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xml" ContentType="application/vnd.openxmlformats-officedocument.drawing+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7.xml" ContentType="application/vnd.openxmlformats-officedocument.drawing+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https://d.docs.live.net/f23f44e7ac32099d/Escritorio/ESCRITORIO/ALEX/ALEX PARGA/ALCALDIA/ALCALDIA/SECRETARIA GENERAL/2025/CORTE 30 DE JUNIO/INFORMATICA/"/>
    </mc:Choice>
  </mc:AlternateContent>
  <xr:revisionPtr revIDLastSave="0" documentId="8_{751BFEA2-4963-4F7B-89E3-BE0BF5C88906}" xr6:coauthVersionLast="47" xr6:coauthVersionMax="47" xr10:uidLastSave="{00000000-0000-0000-0000-000000000000}"/>
  <bookViews>
    <workbookView xWindow="-120" yWindow="-120" windowWidth="20730" windowHeight="11040" xr2:uid="{00000000-000D-0000-FFFF-FFFF00000000}"/>
  </bookViews>
  <sheets>
    <sheet name="Seguridad Humana" sheetId="1" r:id="rId1"/>
    <sheet name="Vida Digna" sheetId="2" r:id="rId2"/>
    <sheet name="Desarrollo Economico" sheetId="3" r:id="rId3"/>
    <sheet name="Ciudad Conectada" sheetId="4" r:id="rId4"/>
    <sheet name="Innovación Pública" sheetId="5" r:id="rId5"/>
    <sheet name="Capitulo Etnico" sheetId="6" r:id="rId6"/>
    <sheet name="PLAN DE DESARROLLO 2024 - 2027" sheetId="8" r:id="rId7"/>
    <sheet name="SEGUIMIENTO DEL PLAN DE DESARRO" sheetId="7" r:id="rId8"/>
    <sheet name="CRITERIOS DE EVALUACIÓN" sheetId="9" r:id="rId9"/>
    <sheet name="GRAFICAS SEGURIDAD HUMANA" sheetId="11" r:id="rId10"/>
    <sheet name="GRAFICAS VIDA DIGNA " sheetId="10" r:id="rId11"/>
    <sheet name="GRAFICAS DESARROLLO ECONOMICO" sheetId="12" r:id="rId12"/>
    <sheet name="GRAFICAS CIUDAD CONECTADA" sheetId="13" r:id="rId13"/>
    <sheet name="GRAFICAS INNOVACIÓN Y PARTICIPA" sheetId="15" r:id="rId14"/>
    <sheet name="GRAFICAS CAPITULO ETNICO" sheetId="17" r:id="rId15"/>
    <sheet name="Matriz de Visor" sheetId="18" r:id="rId16"/>
  </sheets>
  <externalReferences>
    <externalReference r:id="rId17"/>
    <externalReference r:id="rId18"/>
  </externalReferences>
  <definedNames>
    <definedName name="_xlnm._FilterDatabase" localSheetId="5" hidden="1">'Capitulo Etnico'!$A$2:$AH$53</definedName>
    <definedName name="_xlnm._FilterDatabase" localSheetId="3" hidden="1">'Ciudad Conectada'!$B$2:$AF$171</definedName>
    <definedName name="_xlnm._FilterDatabase" localSheetId="2" hidden="1">'Desarrollo Economico'!$A$2:$AH$132</definedName>
    <definedName name="_xlnm._FilterDatabase" localSheetId="4" hidden="1">'Innovación Pública'!$A$2:$AI$141</definedName>
    <definedName name="_xlnm._FilterDatabase" localSheetId="6" hidden="1">'PLAN DE DESARROLLO 2024 - 2027'!$B$2:$T$206</definedName>
    <definedName name="_xlnm._FilterDatabase" localSheetId="0" hidden="1">'Seguridad Humana'!$A$2:$AP$211</definedName>
    <definedName name="_xlnm._FilterDatabase" localSheetId="1" hidden="1">'Vida Digna'!$A$2:$AM$205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9" l="1"/>
  <c r="Y132" i="1" l="1"/>
  <c r="AA9" i="6" l="1"/>
  <c r="AA10" i="6"/>
  <c r="AA12" i="6"/>
  <c r="AA29" i="5"/>
  <c r="AA85" i="1" l="1"/>
  <c r="AA80" i="1"/>
  <c r="AA81" i="1"/>
  <c r="AA64" i="1"/>
  <c r="AA65" i="1"/>
  <c r="AA63" i="1"/>
  <c r="AA49" i="1"/>
  <c r="AA32" i="6" l="1"/>
  <c r="R104" i="4" l="1"/>
  <c r="R101" i="4"/>
  <c r="S101" i="4" s="1"/>
  <c r="Y101" i="4" s="1"/>
  <c r="F146" i="2" l="1"/>
  <c r="F139" i="2"/>
  <c r="F137" i="2"/>
  <c r="F134" i="2"/>
  <c r="F133" i="2"/>
  <c r="O13" i="6" l="1"/>
  <c r="O61" i="1"/>
  <c r="AA19" i="4" l="1"/>
  <c r="AA21" i="4"/>
  <c r="Z20" i="4"/>
  <c r="J20" i="4"/>
  <c r="R100" i="2" l="1"/>
  <c r="R18" i="2" l="1"/>
  <c r="U18" i="2" s="1"/>
  <c r="U17" i="2"/>
  <c r="Z78" i="2" l="1"/>
  <c r="Z84" i="2"/>
  <c r="R71" i="5" l="1"/>
  <c r="O189" i="2" l="1"/>
  <c r="R189" i="2" s="1"/>
  <c r="O186" i="2" l="1"/>
  <c r="R186" i="2" s="1"/>
  <c r="O185" i="2"/>
  <c r="R185" i="2"/>
  <c r="O183" i="2"/>
  <c r="R183" i="2" s="1"/>
  <c r="O180" i="2"/>
  <c r="R180" i="2" s="1"/>
  <c r="O177" i="2"/>
  <c r="R177" i="2"/>
  <c r="O174" i="2"/>
  <c r="R174" i="2"/>
  <c r="X193" i="1" l="1"/>
  <c r="R104" i="5" l="1"/>
  <c r="X132" i="1"/>
  <c r="U133" i="1"/>
  <c r="U132" i="1"/>
  <c r="Z50" i="3" l="1"/>
  <c r="R103" i="4" l="1"/>
  <c r="S103" i="4" s="1"/>
  <c r="Y103" i="4" s="1"/>
  <c r="M119" i="5" l="1"/>
  <c r="I119" i="5"/>
  <c r="L29" i="3"/>
  <c r="J30" i="3"/>
  <c r="J29" i="3"/>
  <c r="O73" i="5" l="1"/>
  <c r="R180" i="1" l="1"/>
  <c r="S180" i="1" s="1"/>
  <c r="N142" i="4"/>
  <c r="O191" i="2" l="1"/>
  <c r="O123" i="2" l="1"/>
  <c r="T3" i="8" l="1"/>
  <c r="I630" i="18" l="1"/>
  <c r="I631" i="18"/>
  <c r="I632" i="18"/>
  <c r="I633" i="18"/>
  <c r="I634" i="18"/>
  <c r="I627" i="18"/>
  <c r="I614" i="18"/>
  <c r="I603" i="18"/>
  <c r="I601" i="18"/>
  <c r="I585" i="18"/>
  <c r="I563" i="18"/>
  <c r="I553" i="18"/>
  <c r="I547" i="18"/>
  <c r="I541" i="18" l="1"/>
  <c r="I534" i="18"/>
  <c r="I516" i="18"/>
  <c r="I506" i="18"/>
  <c r="I504" i="18"/>
  <c r="I487" i="18"/>
  <c r="I465" i="18"/>
  <c r="I447" i="18"/>
  <c r="I449" i="18"/>
  <c r="I441" i="18"/>
  <c r="I442" i="18"/>
  <c r="I439" i="18"/>
  <c r="I407" i="18"/>
  <c r="I400" i="18"/>
  <c r="I401" i="18"/>
  <c r="I405" i="18"/>
  <c r="I397" i="18"/>
  <c r="I384" i="18"/>
  <c r="I385" i="18"/>
  <c r="I386" i="18"/>
  <c r="I393" i="18"/>
  <c r="I396" i="18"/>
  <c r="I371" i="18"/>
  <c r="I370" i="18"/>
  <c r="I341" i="18"/>
  <c r="I298" i="18"/>
  <c r="I275" i="18"/>
  <c r="I276" i="18"/>
  <c r="I269" i="18"/>
  <c r="I270" i="18"/>
  <c r="I264" i="18"/>
  <c r="I266" i="18"/>
  <c r="I267" i="18"/>
  <c r="I262" i="18"/>
  <c r="I255" i="18"/>
  <c r="I258" i="18"/>
  <c r="I260" i="18"/>
  <c r="I261" i="18"/>
  <c r="I253" i="18"/>
  <c r="I238" i="18"/>
  <c r="I240" i="18"/>
  <c r="I232" i="18"/>
  <c r="I219" i="18"/>
  <c r="I218" i="18"/>
  <c r="I212" i="18"/>
  <c r="I207" i="18"/>
  <c r="I208" i="18"/>
  <c r="I166" i="18"/>
  <c r="I138" i="18"/>
  <c r="I139" i="18"/>
  <c r="I140" i="18"/>
  <c r="I133" i="18"/>
  <c r="I131" i="18"/>
  <c r="I110" i="18"/>
  <c r="I111" i="18"/>
  <c r="I112" i="18"/>
  <c r="I113" i="18"/>
  <c r="I114" i="18"/>
  <c r="I121" i="18"/>
  <c r="I123" i="18"/>
  <c r="I104" i="18"/>
  <c r="I107" i="18"/>
  <c r="I97" i="18"/>
  <c r="I94" i="18"/>
  <c r="I90" i="18"/>
  <c r="I91" i="18"/>
  <c r="I75" i="18"/>
  <c r="I77" i="18"/>
  <c r="I81" i="18"/>
  <c r="I71" i="18"/>
  <c r="I60" i="18"/>
  <c r="I52" i="18"/>
  <c r="I53" i="18"/>
  <c r="I54" i="18"/>
  <c r="I55" i="18"/>
  <c r="I56" i="18"/>
  <c r="I57" i="18"/>
  <c r="I51" i="18"/>
  <c r="I45" i="18"/>
  <c r="I37" i="18"/>
  <c r="I41" i="18"/>
  <c r="I35" i="18"/>
  <c r="I29" i="18"/>
  <c r="I32" i="18"/>
  <c r="I33" i="18"/>
  <c r="I34" i="18"/>
  <c r="I23" i="18"/>
  <c r="I24" i="18"/>
  <c r="I26" i="18"/>
  <c r="F1393" i="18"/>
  <c r="D1393" i="18"/>
  <c r="B1393" i="18"/>
  <c r="F1392" i="18"/>
  <c r="D1392" i="18"/>
  <c r="B1392" i="18"/>
  <c r="F1391" i="18"/>
  <c r="D1391" i="18"/>
  <c r="B1391" i="18"/>
  <c r="F1390" i="18"/>
  <c r="D1390" i="18"/>
  <c r="B1390" i="18"/>
  <c r="F1389" i="18"/>
  <c r="D1389" i="18"/>
  <c r="B1389" i="18"/>
  <c r="F1388" i="18"/>
  <c r="D1388" i="18"/>
  <c r="B1388" i="18"/>
  <c r="F1387" i="18"/>
  <c r="D1387" i="18"/>
  <c r="B1387" i="18"/>
  <c r="F1386" i="18"/>
  <c r="D1386" i="18"/>
  <c r="B1386" i="18"/>
  <c r="F1385" i="18"/>
  <c r="D1385" i="18"/>
  <c r="B1385" i="18"/>
  <c r="F1384" i="18"/>
  <c r="D1384" i="18"/>
  <c r="B1384" i="18"/>
  <c r="F1383" i="18"/>
  <c r="D1383" i="18"/>
  <c r="B1383" i="18"/>
  <c r="F1382" i="18"/>
  <c r="D1382" i="18"/>
  <c r="B1382" i="18"/>
  <c r="F1381" i="18"/>
  <c r="D1381" i="18"/>
  <c r="B1381" i="18"/>
  <c r="F1380" i="18"/>
  <c r="D1380" i="18"/>
  <c r="B1380" i="18"/>
  <c r="F1379" i="18"/>
  <c r="D1379" i="18"/>
  <c r="B1379" i="18"/>
  <c r="F1378" i="18"/>
  <c r="D1378" i="18"/>
  <c r="B1378" i="18"/>
  <c r="F1377" i="18"/>
  <c r="D1377" i="18"/>
  <c r="B1377" i="18"/>
  <c r="F1376" i="18"/>
  <c r="D1376" i="18"/>
  <c r="B1376" i="18"/>
  <c r="F1375" i="18"/>
  <c r="D1375" i="18"/>
  <c r="B1375" i="18"/>
  <c r="F1374" i="18"/>
  <c r="D1374" i="18"/>
  <c r="B1374" i="18"/>
  <c r="F1373" i="18"/>
  <c r="D1373" i="18"/>
  <c r="B1373" i="18"/>
  <c r="F1372" i="18"/>
  <c r="D1372" i="18"/>
  <c r="B1372" i="18"/>
  <c r="F1371" i="18"/>
  <c r="D1371" i="18"/>
  <c r="B1371" i="18"/>
  <c r="F1370" i="18"/>
  <c r="D1370" i="18"/>
  <c r="B1370" i="18"/>
  <c r="F1369" i="18"/>
  <c r="D1369" i="18"/>
  <c r="B1369" i="18"/>
  <c r="F1368" i="18"/>
  <c r="D1368" i="18"/>
  <c r="B1368" i="18"/>
  <c r="F1367" i="18"/>
  <c r="D1367" i="18"/>
  <c r="B1367" i="18"/>
  <c r="F1366" i="18"/>
  <c r="D1366" i="18"/>
  <c r="B1366" i="18"/>
  <c r="F1365" i="18"/>
  <c r="D1365" i="18"/>
  <c r="B1365" i="18"/>
  <c r="F1364" i="18"/>
  <c r="D1364" i="18"/>
  <c r="B1364" i="18"/>
  <c r="F1363" i="18"/>
  <c r="D1363" i="18"/>
  <c r="B1363" i="18"/>
  <c r="F1362" i="18"/>
  <c r="D1362" i="18"/>
  <c r="B1362" i="18"/>
  <c r="F1361" i="18"/>
  <c r="D1361" i="18"/>
  <c r="B1361" i="18"/>
  <c r="F1360" i="18"/>
  <c r="D1360" i="18"/>
  <c r="B1360" i="18"/>
  <c r="F1359" i="18"/>
  <c r="D1359" i="18"/>
  <c r="B1359" i="18"/>
  <c r="F1358" i="18"/>
  <c r="D1358" i="18"/>
  <c r="B1358" i="18"/>
  <c r="F1357" i="18"/>
  <c r="D1357" i="18"/>
  <c r="B1357" i="18"/>
  <c r="F1356" i="18"/>
  <c r="D1356" i="18"/>
  <c r="B1356" i="18"/>
  <c r="F1355" i="18"/>
  <c r="D1355" i="18"/>
  <c r="B1355" i="18"/>
  <c r="F1354" i="18"/>
  <c r="D1354" i="18"/>
  <c r="B1354" i="18"/>
  <c r="F1353" i="18"/>
  <c r="D1353" i="18"/>
  <c r="B1353" i="18"/>
  <c r="F1352" i="18"/>
  <c r="D1352" i="18"/>
  <c r="B1352" i="18"/>
  <c r="F1351" i="18"/>
  <c r="D1351" i="18"/>
  <c r="B1351" i="18"/>
  <c r="F1350" i="18"/>
  <c r="D1350" i="18"/>
  <c r="B1350" i="18"/>
  <c r="F1349" i="18"/>
  <c r="D1349" i="18"/>
  <c r="B1349" i="18"/>
  <c r="F1348" i="18"/>
  <c r="D1348" i="18"/>
  <c r="B1348" i="18"/>
  <c r="F1347" i="18"/>
  <c r="D1347" i="18"/>
  <c r="B1347" i="18"/>
  <c r="F1346" i="18"/>
  <c r="D1346" i="18"/>
  <c r="B1346" i="18"/>
  <c r="F1345" i="18"/>
  <c r="D1345" i="18"/>
  <c r="B1345" i="18"/>
  <c r="F1344" i="18"/>
  <c r="D1344" i="18"/>
  <c r="B1344" i="18"/>
  <c r="F1343" i="18"/>
  <c r="D1343" i="18"/>
  <c r="B1343" i="18"/>
  <c r="F1342" i="18"/>
  <c r="D1342" i="18"/>
  <c r="B1342" i="18"/>
  <c r="F1341" i="18"/>
  <c r="D1341" i="18"/>
  <c r="B1341" i="18"/>
  <c r="F1340" i="18"/>
  <c r="D1340" i="18"/>
  <c r="B1340" i="18"/>
  <c r="F1339" i="18"/>
  <c r="D1339" i="18"/>
  <c r="B1339" i="18"/>
  <c r="F1338" i="18"/>
  <c r="D1338" i="18"/>
  <c r="B1338" i="18"/>
  <c r="F1337" i="18"/>
  <c r="D1337" i="18"/>
  <c r="B1337" i="18"/>
  <c r="F1336" i="18"/>
  <c r="D1336" i="18"/>
  <c r="B1336" i="18"/>
  <c r="F1335" i="18"/>
  <c r="D1335" i="18"/>
  <c r="B1335" i="18"/>
  <c r="F1334" i="18"/>
  <c r="D1334" i="18"/>
  <c r="B1334" i="18"/>
  <c r="F1333" i="18"/>
  <c r="D1333" i="18"/>
  <c r="B1333" i="18"/>
  <c r="F1332" i="18"/>
  <c r="D1332" i="18"/>
  <c r="B1332" i="18"/>
  <c r="F1331" i="18"/>
  <c r="D1331" i="18"/>
  <c r="B1331" i="18"/>
  <c r="F1330" i="18"/>
  <c r="D1330" i="18"/>
  <c r="B1330" i="18"/>
  <c r="F1329" i="18"/>
  <c r="D1329" i="18"/>
  <c r="B1329" i="18"/>
  <c r="F1328" i="18"/>
  <c r="D1328" i="18"/>
  <c r="B1328" i="18"/>
  <c r="F1327" i="18"/>
  <c r="D1327" i="18"/>
  <c r="B1327" i="18"/>
  <c r="F1326" i="18"/>
  <c r="D1326" i="18"/>
  <c r="B1326" i="18"/>
  <c r="F1325" i="18"/>
  <c r="D1325" i="18"/>
  <c r="B1325" i="18"/>
  <c r="F1324" i="18"/>
  <c r="D1324" i="18"/>
  <c r="B1324" i="18"/>
  <c r="F1323" i="18"/>
  <c r="D1323" i="18"/>
  <c r="B1323" i="18"/>
  <c r="F1322" i="18"/>
  <c r="D1322" i="18"/>
  <c r="B1322" i="18"/>
  <c r="F1321" i="18"/>
  <c r="D1321" i="18"/>
  <c r="B1321" i="18"/>
  <c r="F1320" i="18"/>
  <c r="D1320" i="18"/>
  <c r="B1320" i="18"/>
  <c r="F1319" i="18"/>
  <c r="D1319" i="18"/>
  <c r="B1319" i="18"/>
  <c r="F1318" i="18"/>
  <c r="D1318" i="18"/>
  <c r="B1318" i="18"/>
  <c r="F1317" i="18"/>
  <c r="D1317" i="18"/>
  <c r="B1317" i="18"/>
  <c r="F1316" i="18"/>
  <c r="D1316" i="18"/>
  <c r="B1316" i="18"/>
  <c r="F1315" i="18"/>
  <c r="D1315" i="18"/>
  <c r="B1315" i="18"/>
  <c r="F1314" i="18"/>
  <c r="D1314" i="18"/>
  <c r="B1314" i="18"/>
  <c r="F1313" i="18"/>
  <c r="D1313" i="18"/>
  <c r="B1313" i="18"/>
  <c r="F1312" i="18"/>
  <c r="D1312" i="18"/>
  <c r="B1312" i="18"/>
  <c r="F1311" i="18"/>
  <c r="D1311" i="18"/>
  <c r="B1311" i="18"/>
  <c r="F1310" i="18"/>
  <c r="D1310" i="18"/>
  <c r="B1310" i="18"/>
  <c r="F1309" i="18"/>
  <c r="D1309" i="18"/>
  <c r="B1309" i="18"/>
  <c r="F1308" i="18"/>
  <c r="D1308" i="18"/>
  <c r="B1308" i="18"/>
  <c r="F1307" i="18"/>
  <c r="D1307" i="18"/>
  <c r="B1307" i="18"/>
  <c r="F1306" i="18"/>
  <c r="D1306" i="18"/>
  <c r="B1306" i="18"/>
  <c r="F1305" i="18"/>
  <c r="D1305" i="18"/>
  <c r="B1305" i="18"/>
  <c r="F1304" i="18"/>
  <c r="D1304" i="18"/>
  <c r="B1304" i="18"/>
  <c r="F1303" i="18"/>
  <c r="D1303" i="18"/>
  <c r="B1303" i="18"/>
  <c r="F1302" i="18"/>
  <c r="D1302" i="18"/>
  <c r="B1302" i="18"/>
  <c r="F1301" i="18"/>
  <c r="D1301" i="18"/>
  <c r="B1301" i="18"/>
  <c r="F1300" i="18"/>
  <c r="D1300" i="18"/>
  <c r="B1300" i="18"/>
  <c r="F1299" i="18"/>
  <c r="D1299" i="18"/>
  <c r="B1299" i="18"/>
  <c r="F1298" i="18"/>
  <c r="D1298" i="18"/>
  <c r="B1298" i="18"/>
  <c r="F1297" i="18"/>
  <c r="D1297" i="18"/>
  <c r="B1297" i="18"/>
  <c r="F1296" i="18"/>
  <c r="D1296" i="18"/>
  <c r="B1296" i="18"/>
  <c r="F1295" i="18"/>
  <c r="D1295" i="18"/>
  <c r="B1295" i="18"/>
  <c r="F1294" i="18"/>
  <c r="D1294" i="18"/>
  <c r="B1294" i="18"/>
  <c r="F1293" i="18"/>
  <c r="D1293" i="18"/>
  <c r="B1293" i="18"/>
  <c r="F1292" i="18"/>
  <c r="D1292" i="18"/>
  <c r="B1292" i="18"/>
  <c r="F1291" i="18"/>
  <c r="D1291" i="18"/>
  <c r="B1291" i="18"/>
  <c r="F1290" i="18"/>
  <c r="D1290" i="18"/>
  <c r="B1290" i="18"/>
  <c r="F1289" i="18"/>
  <c r="D1289" i="18"/>
  <c r="B1289" i="18"/>
  <c r="F1288" i="18"/>
  <c r="D1288" i="18"/>
  <c r="B1288" i="18"/>
  <c r="F1287" i="18"/>
  <c r="D1287" i="18"/>
  <c r="B1287" i="18"/>
  <c r="F1286" i="18"/>
  <c r="D1286" i="18"/>
  <c r="B1286" i="18"/>
  <c r="F1285" i="18"/>
  <c r="D1285" i="18"/>
  <c r="B1285" i="18"/>
  <c r="F1284" i="18"/>
  <c r="D1284" i="18"/>
  <c r="B1284" i="18"/>
  <c r="F1283" i="18"/>
  <c r="D1283" i="18"/>
  <c r="B1283" i="18"/>
  <c r="F1282" i="18"/>
  <c r="D1282" i="18"/>
  <c r="B1282" i="18"/>
  <c r="F1281" i="18"/>
  <c r="D1281" i="18"/>
  <c r="B1281" i="18"/>
  <c r="F1280" i="18"/>
  <c r="D1280" i="18"/>
  <c r="B1280" i="18"/>
  <c r="F1279" i="18"/>
  <c r="D1279" i="18"/>
  <c r="B1279" i="18"/>
  <c r="F1278" i="18"/>
  <c r="D1278" i="18"/>
  <c r="B1278" i="18"/>
  <c r="F1277" i="18"/>
  <c r="D1277" i="18"/>
  <c r="B1277" i="18"/>
  <c r="F1276" i="18"/>
  <c r="D1276" i="18"/>
  <c r="B1276" i="18"/>
  <c r="F1275" i="18"/>
  <c r="D1275" i="18"/>
  <c r="B1275" i="18"/>
  <c r="F1274" i="18"/>
  <c r="D1274" i="18"/>
  <c r="B1274" i="18"/>
  <c r="F1273" i="18"/>
  <c r="D1273" i="18"/>
  <c r="B1273" i="18"/>
  <c r="F1272" i="18"/>
  <c r="D1272" i="18"/>
  <c r="B1272" i="18"/>
  <c r="F1271" i="18"/>
  <c r="D1271" i="18"/>
  <c r="B1271" i="18"/>
  <c r="F1270" i="18"/>
  <c r="D1270" i="18"/>
  <c r="B1270" i="18"/>
  <c r="F1269" i="18"/>
  <c r="D1269" i="18"/>
  <c r="B1269" i="18"/>
  <c r="F1268" i="18"/>
  <c r="D1268" i="18"/>
  <c r="B1268" i="18"/>
  <c r="F1267" i="18"/>
  <c r="D1267" i="18"/>
  <c r="B1267" i="18"/>
  <c r="F1266" i="18"/>
  <c r="D1266" i="18"/>
  <c r="B1266" i="18"/>
  <c r="F1265" i="18"/>
  <c r="D1265" i="18"/>
  <c r="B1265" i="18"/>
  <c r="F1264" i="18"/>
  <c r="D1264" i="18"/>
  <c r="B1264" i="18"/>
  <c r="F1263" i="18"/>
  <c r="D1263" i="18"/>
  <c r="B1263" i="18"/>
  <c r="F1262" i="18"/>
  <c r="D1262" i="18"/>
  <c r="B1262" i="18"/>
  <c r="F1261" i="18"/>
  <c r="D1261" i="18"/>
  <c r="B1261" i="18"/>
  <c r="F1260" i="18"/>
  <c r="D1260" i="18"/>
  <c r="B1260" i="18"/>
  <c r="F1259" i="18"/>
  <c r="D1259" i="18"/>
  <c r="B1259" i="18"/>
  <c r="F1258" i="18"/>
  <c r="D1258" i="18"/>
  <c r="B1258" i="18"/>
  <c r="F1257" i="18"/>
  <c r="D1257" i="18"/>
  <c r="B1257" i="18"/>
  <c r="F1256" i="18"/>
  <c r="D1256" i="18"/>
  <c r="B1256" i="18"/>
  <c r="F1255" i="18"/>
  <c r="D1255" i="18"/>
  <c r="B1255" i="18"/>
  <c r="F1254" i="18"/>
  <c r="D1254" i="18"/>
  <c r="B1254" i="18"/>
  <c r="F1253" i="18"/>
  <c r="D1253" i="18"/>
  <c r="B1253" i="18"/>
  <c r="F1252" i="18"/>
  <c r="D1252" i="18"/>
  <c r="B1252" i="18"/>
  <c r="F1251" i="18"/>
  <c r="D1251" i="18"/>
  <c r="B1251" i="18"/>
  <c r="F1250" i="18"/>
  <c r="D1250" i="18"/>
  <c r="B1250" i="18"/>
  <c r="F1249" i="18"/>
  <c r="D1249" i="18"/>
  <c r="B1249" i="18"/>
  <c r="F1248" i="18"/>
  <c r="D1248" i="18"/>
  <c r="B1248" i="18"/>
  <c r="F1247" i="18"/>
  <c r="D1247" i="18"/>
  <c r="B1247" i="18"/>
  <c r="F1246" i="18"/>
  <c r="D1246" i="18"/>
  <c r="B1246" i="18"/>
  <c r="F1245" i="18"/>
  <c r="D1245" i="18"/>
  <c r="B1245" i="18"/>
  <c r="F1244" i="18"/>
  <c r="D1244" i="18"/>
  <c r="B1244" i="18"/>
  <c r="F1243" i="18"/>
  <c r="D1243" i="18"/>
  <c r="B1243" i="18"/>
  <c r="F1242" i="18"/>
  <c r="D1242" i="18"/>
  <c r="B1242" i="18"/>
  <c r="F1241" i="18"/>
  <c r="D1241" i="18"/>
  <c r="B1241" i="18"/>
  <c r="F1240" i="18"/>
  <c r="D1240" i="18"/>
  <c r="B1240" i="18"/>
  <c r="F1239" i="18"/>
  <c r="D1239" i="18"/>
  <c r="B1239" i="18"/>
  <c r="F1238" i="18"/>
  <c r="D1238" i="18"/>
  <c r="B1238" i="18"/>
  <c r="F1237" i="18"/>
  <c r="D1237" i="18"/>
  <c r="B1237" i="18"/>
  <c r="F1236" i="18"/>
  <c r="D1236" i="18"/>
  <c r="B1236" i="18"/>
  <c r="F1235" i="18"/>
  <c r="D1235" i="18"/>
  <c r="B1235" i="18"/>
  <c r="F1234" i="18"/>
  <c r="D1234" i="18"/>
  <c r="B1234" i="18"/>
  <c r="F1233" i="18"/>
  <c r="D1233" i="18"/>
  <c r="B1233" i="18"/>
  <c r="F1232" i="18"/>
  <c r="D1232" i="18"/>
  <c r="B1232" i="18"/>
  <c r="F1231" i="18"/>
  <c r="D1231" i="18"/>
  <c r="B1231" i="18"/>
  <c r="F1230" i="18"/>
  <c r="D1230" i="18"/>
  <c r="B1230" i="18"/>
  <c r="F1229" i="18"/>
  <c r="D1229" i="18"/>
  <c r="B1229" i="18"/>
  <c r="F1228" i="18"/>
  <c r="D1228" i="18"/>
  <c r="B1228" i="18"/>
  <c r="F1227" i="18"/>
  <c r="D1227" i="18"/>
  <c r="B1227" i="18"/>
  <c r="F1226" i="18"/>
  <c r="D1226" i="18"/>
  <c r="B1226" i="18"/>
  <c r="F1225" i="18"/>
  <c r="D1225" i="18"/>
  <c r="B1225" i="18"/>
  <c r="D1224" i="18"/>
  <c r="B1224" i="18"/>
  <c r="D1223" i="18"/>
  <c r="B1223" i="18"/>
  <c r="D1222" i="18"/>
  <c r="B1222" i="18"/>
  <c r="D1221" i="18"/>
  <c r="B1221" i="18"/>
  <c r="F1220" i="18"/>
  <c r="D1220" i="18"/>
  <c r="B1220" i="18"/>
  <c r="F1219" i="18"/>
  <c r="D1219" i="18"/>
  <c r="B1219" i="18"/>
  <c r="F1218" i="18"/>
  <c r="D1218" i="18"/>
  <c r="B1218" i="18"/>
  <c r="F1217" i="18"/>
  <c r="D1217" i="18"/>
  <c r="B1217" i="18"/>
  <c r="F1216" i="18"/>
  <c r="D1216" i="18"/>
  <c r="B1216" i="18"/>
  <c r="F1215" i="18"/>
  <c r="D1215" i="18"/>
  <c r="B1215" i="18"/>
  <c r="F1214" i="18"/>
  <c r="D1214" i="18"/>
  <c r="B1214" i="18"/>
  <c r="F1213" i="18"/>
  <c r="D1213" i="18"/>
  <c r="B1213" i="18"/>
  <c r="F1212" i="18"/>
  <c r="D1212" i="18"/>
  <c r="B1212" i="18"/>
  <c r="F1211" i="18"/>
  <c r="D1211" i="18"/>
  <c r="B1211" i="18"/>
  <c r="F1210" i="18"/>
  <c r="D1210" i="18"/>
  <c r="B1210" i="18"/>
  <c r="F1209" i="18"/>
  <c r="D1209" i="18"/>
  <c r="B1209" i="18"/>
  <c r="F1208" i="18"/>
  <c r="D1208" i="18"/>
  <c r="B1208" i="18"/>
  <c r="F1207" i="18"/>
  <c r="D1207" i="18"/>
  <c r="B1207" i="18"/>
  <c r="F1206" i="18"/>
  <c r="D1206" i="18"/>
  <c r="B1206" i="18"/>
  <c r="F1205" i="18"/>
  <c r="D1205" i="18"/>
  <c r="B1205" i="18"/>
  <c r="F1204" i="18"/>
  <c r="D1204" i="18"/>
  <c r="B1204" i="18"/>
  <c r="F1203" i="18"/>
  <c r="D1203" i="18"/>
  <c r="B1203" i="18"/>
  <c r="F1202" i="18"/>
  <c r="D1202" i="18"/>
  <c r="B1202" i="18"/>
  <c r="F1201" i="18"/>
  <c r="D1201" i="18"/>
  <c r="B1201" i="18"/>
  <c r="F1200" i="18"/>
  <c r="D1200" i="18"/>
  <c r="B1200" i="18"/>
  <c r="F1199" i="18"/>
  <c r="D1199" i="18"/>
  <c r="B1199" i="18"/>
  <c r="F1198" i="18"/>
  <c r="D1198" i="18"/>
  <c r="B1198" i="18"/>
  <c r="F1197" i="18"/>
  <c r="D1197" i="18"/>
  <c r="B1197" i="18"/>
  <c r="F1196" i="18"/>
  <c r="D1196" i="18"/>
  <c r="B1196" i="18"/>
  <c r="F1195" i="18"/>
  <c r="D1195" i="18"/>
  <c r="B1195" i="18"/>
  <c r="F1194" i="18"/>
  <c r="D1194" i="18"/>
  <c r="B1194" i="18"/>
  <c r="F1193" i="18"/>
  <c r="D1193" i="18"/>
  <c r="B1193" i="18"/>
  <c r="F1192" i="18"/>
  <c r="D1192" i="18"/>
  <c r="B1192" i="18"/>
  <c r="F1191" i="18"/>
  <c r="D1191" i="18"/>
  <c r="B1191" i="18"/>
  <c r="F1190" i="18"/>
  <c r="D1190" i="18"/>
  <c r="B1190" i="18"/>
  <c r="F1189" i="18"/>
  <c r="D1189" i="18"/>
  <c r="B1189" i="18"/>
  <c r="F1188" i="18"/>
  <c r="D1188" i="18"/>
  <c r="B1188" i="18"/>
  <c r="F1187" i="18"/>
  <c r="D1187" i="18"/>
  <c r="B1187" i="18"/>
  <c r="F1186" i="18"/>
  <c r="D1186" i="18"/>
  <c r="B1186" i="18"/>
  <c r="F1185" i="18"/>
  <c r="D1185" i="18"/>
  <c r="B1185" i="18"/>
  <c r="F1184" i="18"/>
  <c r="D1184" i="18"/>
  <c r="B1184" i="18"/>
  <c r="F1183" i="18"/>
  <c r="D1183" i="18"/>
  <c r="B1183" i="18"/>
  <c r="F1182" i="18"/>
  <c r="D1182" i="18"/>
  <c r="B1182" i="18"/>
  <c r="F1181" i="18"/>
  <c r="D1181" i="18"/>
  <c r="B1181" i="18"/>
  <c r="F1180" i="18"/>
  <c r="D1180" i="18"/>
  <c r="B1180" i="18"/>
  <c r="F1179" i="18"/>
  <c r="D1179" i="18"/>
  <c r="B1179" i="18"/>
  <c r="F1178" i="18"/>
  <c r="D1178" i="18"/>
  <c r="B1178" i="18"/>
  <c r="F1177" i="18"/>
  <c r="D1177" i="18"/>
  <c r="B1177" i="18"/>
  <c r="F1176" i="18"/>
  <c r="D1176" i="18"/>
  <c r="B1176" i="18"/>
  <c r="F1175" i="18"/>
  <c r="D1175" i="18"/>
  <c r="B1175" i="18"/>
  <c r="F1174" i="18"/>
  <c r="D1174" i="18"/>
  <c r="B1174" i="18"/>
  <c r="F1173" i="18"/>
  <c r="D1173" i="18"/>
  <c r="B1173" i="18"/>
  <c r="F1172" i="18"/>
  <c r="D1172" i="18"/>
  <c r="B1172" i="18"/>
  <c r="F1171" i="18"/>
  <c r="D1171" i="18"/>
  <c r="B1171" i="18"/>
  <c r="F1170" i="18"/>
  <c r="D1170" i="18"/>
  <c r="B1170" i="18"/>
  <c r="F1169" i="18"/>
  <c r="D1169" i="18"/>
  <c r="B1169" i="18"/>
  <c r="F1168" i="18"/>
  <c r="D1168" i="18"/>
  <c r="B1168" i="18"/>
  <c r="F1167" i="18"/>
  <c r="D1167" i="18"/>
  <c r="B1167" i="18"/>
  <c r="F1166" i="18"/>
  <c r="D1166" i="18"/>
  <c r="B1166" i="18"/>
  <c r="F1165" i="18"/>
  <c r="D1165" i="18"/>
  <c r="B1165" i="18"/>
  <c r="F1164" i="18"/>
  <c r="D1164" i="18"/>
  <c r="B1164" i="18"/>
  <c r="F1163" i="18"/>
  <c r="D1163" i="18"/>
  <c r="B1163" i="18"/>
  <c r="F1162" i="18"/>
  <c r="D1162" i="18"/>
  <c r="B1162" i="18"/>
  <c r="F1161" i="18"/>
  <c r="D1161" i="18"/>
  <c r="B1161" i="18"/>
  <c r="F1160" i="18"/>
  <c r="D1160" i="18"/>
  <c r="B1160" i="18"/>
  <c r="F1159" i="18"/>
  <c r="D1159" i="18"/>
  <c r="B1159" i="18"/>
  <c r="F1158" i="18"/>
  <c r="D1158" i="18"/>
  <c r="B1158" i="18"/>
  <c r="F1157" i="18"/>
  <c r="D1157" i="18"/>
  <c r="B1157" i="18"/>
  <c r="F1156" i="18"/>
  <c r="D1156" i="18"/>
  <c r="B1156" i="18"/>
  <c r="F1155" i="18"/>
  <c r="D1155" i="18"/>
  <c r="B1155" i="18"/>
  <c r="F1154" i="18"/>
  <c r="D1154" i="18"/>
  <c r="B1154" i="18"/>
  <c r="F1153" i="18"/>
  <c r="D1153" i="18"/>
  <c r="B1153" i="18"/>
  <c r="F1152" i="18"/>
  <c r="D1152" i="18"/>
  <c r="B1152" i="18"/>
  <c r="F1151" i="18"/>
  <c r="D1151" i="18"/>
  <c r="B1151" i="18"/>
  <c r="F1150" i="18"/>
  <c r="D1150" i="18"/>
  <c r="B1150" i="18"/>
  <c r="F1149" i="18"/>
  <c r="D1149" i="18"/>
  <c r="B1149" i="18"/>
  <c r="F1148" i="18"/>
  <c r="D1148" i="18"/>
  <c r="B1148" i="18"/>
  <c r="F1147" i="18"/>
  <c r="D1147" i="18"/>
  <c r="B1147" i="18"/>
  <c r="F1146" i="18"/>
  <c r="D1146" i="18"/>
  <c r="B1146" i="18"/>
  <c r="F1145" i="18"/>
  <c r="D1145" i="18"/>
  <c r="B1145" i="18"/>
  <c r="F1144" i="18"/>
  <c r="D1144" i="18"/>
  <c r="B1144" i="18"/>
  <c r="F1143" i="18"/>
  <c r="D1143" i="18"/>
  <c r="B1143" i="18"/>
  <c r="F1142" i="18"/>
  <c r="D1142" i="18"/>
  <c r="B1142" i="18"/>
  <c r="F1141" i="18"/>
  <c r="D1141" i="18"/>
  <c r="B1141" i="18"/>
  <c r="F1140" i="18"/>
  <c r="D1140" i="18"/>
  <c r="B1140" i="18"/>
  <c r="F1139" i="18"/>
  <c r="D1139" i="18"/>
  <c r="B1139" i="18"/>
  <c r="F1138" i="18"/>
  <c r="D1138" i="18"/>
  <c r="B1138" i="18"/>
  <c r="F1137" i="18"/>
  <c r="D1137" i="18"/>
  <c r="B1137" i="18"/>
  <c r="F1136" i="18"/>
  <c r="D1136" i="18"/>
  <c r="B1136" i="18"/>
  <c r="F1135" i="18"/>
  <c r="D1135" i="18"/>
  <c r="B1135" i="18"/>
  <c r="F1134" i="18"/>
  <c r="D1134" i="18"/>
  <c r="B1134" i="18"/>
  <c r="F1133" i="18"/>
  <c r="D1133" i="18"/>
  <c r="B1133" i="18"/>
  <c r="F1132" i="18"/>
  <c r="D1132" i="18"/>
  <c r="B1132" i="18"/>
  <c r="F1131" i="18"/>
  <c r="D1131" i="18"/>
  <c r="B1131" i="18"/>
  <c r="F1130" i="18"/>
  <c r="D1130" i="18"/>
  <c r="B1130" i="18"/>
  <c r="F1129" i="18"/>
  <c r="D1129" i="18"/>
  <c r="B1129" i="18"/>
  <c r="F1128" i="18"/>
  <c r="D1128" i="18"/>
  <c r="B1128" i="18"/>
  <c r="F1127" i="18"/>
  <c r="D1127" i="18"/>
  <c r="B1127" i="18"/>
  <c r="F1126" i="18"/>
  <c r="D1126" i="18"/>
  <c r="B1126" i="18"/>
  <c r="F1125" i="18"/>
  <c r="D1125" i="18"/>
  <c r="B1125" i="18"/>
  <c r="F1124" i="18"/>
  <c r="D1124" i="18"/>
  <c r="B1124" i="18"/>
  <c r="F1123" i="18"/>
  <c r="D1123" i="18"/>
  <c r="B1123" i="18"/>
  <c r="F1122" i="18"/>
  <c r="D1122" i="18"/>
  <c r="B1122" i="18"/>
  <c r="F1121" i="18"/>
  <c r="D1121" i="18"/>
  <c r="B1121" i="18"/>
  <c r="F1120" i="18"/>
  <c r="D1120" i="18"/>
  <c r="B1120" i="18"/>
  <c r="F1119" i="18"/>
  <c r="D1119" i="18"/>
  <c r="B1119" i="18"/>
  <c r="F1118" i="18"/>
  <c r="D1118" i="18"/>
  <c r="B1118" i="18"/>
  <c r="F1117" i="18"/>
  <c r="D1117" i="18"/>
  <c r="B1117" i="18"/>
  <c r="F1116" i="18"/>
  <c r="D1116" i="18"/>
  <c r="B1116" i="18"/>
  <c r="F1115" i="18"/>
  <c r="D1115" i="18"/>
  <c r="B1115" i="18"/>
  <c r="F1114" i="18"/>
  <c r="D1114" i="18"/>
  <c r="B1114" i="18"/>
  <c r="F1113" i="18"/>
  <c r="D1113" i="18"/>
  <c r="B1113" i="18"/>
  <c r="F1112" i="18"/>
  <c r="D1112" i="18"/>
  <c r="B1112" i="18"/>
  <c r="F1111" i="18"/>
  <c r="D1111" i="18"/>
  <c r="B1111" i="18"/>
  <c r="F1110" i="18"/>
  <c r="D1110" i="18"/>
  <c r="B1110" i="18"/>
  <c r="F1109" i="18"/>
  <c r="D1109" i="18"/>
  <c r="B1109" i="18"/>
  <c r="F1108" i="18"/>
  <c r="D1108" i="18"/>
  <c r="B1108" i="18"/>
  <c r="F1107" i="18"/>
  <c r="D1107" i="18"/>
  <c r="B1107" i="18"/>
  <c r="F1106" i="18"/>
  <c r="D1106" i="18"/>
  <c r="B1106" i="18"/>
  <c r="F1105" i="18"/>
  <c r="D1105" i="18"/>
  <c r="B1105" i="18"/>
  <c r="F1104" i="18"/>
  <c r="D1104" i="18"/>
  <c r="B1104" i="18"/>
  <c r="F1103" i="18"/>
  <c r="D1103" i="18"/>
  <c r="B1103" i="18"/>
  <c r="F1102" i="18"/>
  <c r="D1102" i="18"/>
  <c r="B1102" i="18"/>
  <c r="F1101" i="18"/>
  <c r="D1101" i="18"/>
  <c r="B1101" i="18"/>
  <c r="F1100" i="18"/>
  <c r="D1100" i="18"/>
  <c r="B1100" i="18"/>
  <c r="F1099" i="18"/>
  <c r="D1099" i="18"/>
  <c r="B1099" i="18"/>
  <c r="F1098" i="18"/>
  <c r="D1098" i="18"/>
  <c r="B1098" i="18"/>
  <c r="F1097" i="18"/>
  <c r="D1097" i="18"/>
  <c r="B1097" i="18"/>
  <c r="F1096" i="18"/>
  <c r="D1096" i="18"/>
  <c r="B1096" i="18"/>
  <c r="F1095" i="18"/>
  <c r="D1095" i="18"/>
  <c r="B1095" i="18"/>
  <c r="F1094" i="18"/>
  <c r="D1094" i="18"/>
  <c r="B1094" i="18"/>
  <c r="F1093" i="18"/>
  <c r="D1093" i="18"/>
  <c r="B1093" i="18"/>
  <c r="F1092" i="18"/>
  <c r="D1092" i="18"/>
  <c r="B1092" i="18"/>
  <c r="F1091" i="18"/>
  <c r="D1091" i="18"/>
  <c r="B1091" i="18"/>
  <c r="F1090" i="18"/>
  <c r="D1090" i="18"/>
  <c r="B1090" i="18"/>
  <c r="F1089" i="18"/>
  <c r="D1089" i="18"/>
  <c r="B1089" i="18"/>
  <c r="F1088" i="18"/>
  <c r="D1088" i="18"/>
  <c r="B1088" i="18"/>
  <c r="F1087" i="18"/>
  <c r="D1087" i="18"/>
  <c r="B1087" i="18"/>
  <c r="F1086" i="18"/>
  <c r="D1086" i="18"/>
  <c r="B1086" i="18"/>
  <c r="F1085" i="18"/>
  <c r="D1085" i="18"/>
  <c r="B1085" i="18"/>
  <c r="F1084" i="18"/>
  <c r="D1084" i="18"/>
  <c r="B1084" i="18"/>
  <c r="F1083" i="18"/>
  <c r="D1083" i="18"/>
  <c r="B1083" i="18"/>
  <c r="F1082" i="18"/>
  <c r="D1082" i="18"/>
  <c r="B1082" i="18"/>
  <c r="F1081" i="18"/>
  <c r="D1081" i="18"/>
  <c r="B1081" i="18"/>
  <c r="F1080" i="18"/>
  <c r="D1080" i="18"/>
  <c r="B1080" i="18"/>
  <c r="F1079" i="18"/>
  <c r="D1079" i="18"/>
  <c r="B1079" i="18"/>
  <c r="F1078" i="18"/>
  <c r="D1078" i="18"/>
  <c r="B1078" i="18"/>
  <c r="F1077" i="18"/>
  <c r="D1077" i="18"/>
  <c r="B1077" i="18"/>
  <c r="F1076" i="18"/>
  <c r="D1076" i="18"/>
  <c r="B1076" i="18"/>
  <c r="F1075" i="18"/>
  <c r="D1075" i="18"/>
  <c r="B1075" i="18"/>
  <c r="F1074" i="18"/>
  <c r="D1074" i="18"/>
  <c r="B1074" i="18"/>
  <c r="F1073" i="18"/>
  <c r="D1073" i="18"/>
  <c r="B1073" i="18"/>
  <c r="F1072" i="18"/>
  <c r="D1072" i="18"/>
  <c r="B1072" i="18"/>
  <c r="F1071" i="18"/>
  <c r="D1071" i="18"/>
  <c r="B1071" i="18"/>
  <c r="F1070" i="18"/>
  <c r="D1070" i="18"/>
  <c r="B1070" i="18"/>
  <c r="F1069" i="18"/>
  <c r="D1069" i="18"/>
  <c r="B1069" i="18"/>
  <c r="F1068" i="18"/>
  <c r="D1068" i="18"/>
  <c r="B1068" i="18"/>
  <c r="F1067" i="18"/>
  <c r="D1067" i="18"/>
  <c r="B1067" i="18"/>
  <c r="F1066" i="18"/>
  <c r="D1066" i="18"/>
  <c r="B1066" i="18"/>
  <c r="F1065" i="18"/>
  <c r="D1065" i="18"/>
  <c r="B1065" i="18"/>
  <c r="F1064" i="18"/>
  <c r="D1064" i="18"/>
  <c r="B1064" i="18"/>
  <c r="F1063" i="18"/>
  <c r="D1063" i="18"/>
  <c r="B1063" i="18"/>
  <c r="F1062" i="18"/>
  <c r="D1062" i="18"/>
  <c r="B1062" i="18"/>
  <c r="F1061" i="18"/>
  <c r="D1061" i="18"/>
  <c r="B1061" i="18"/>
  <c r="F1060" i="18"/>
  <c r="D1060" i="18"/>
  <c r="B1060" i="18"/>
  <c r="F1059" i="18"/>
  <c r="D1059" i="18"/>
  <c r="B1059" i="18"/>
  <c r="F1058" i="18"/>
  <c r="D1058" i="18"/>
  <c r="B1058" i="18"/>
  <c r="F1057" i="18"/>
  <c r="D1057" i="18"/>
  <c r="B1057" i="18"/>
  <c r="F1056" i="18"/>
  <c r="D1056" i="18"/>
  <c r="B1056" i="18"/>
  <c r="F1055" i="18"/>
  <c r="D1055" i="18"/>
  <c r="B1055" i="18"/>
  <c r="F1054" i="18"/>
  <c r="D1054" i="18"/>
  <c r="B1054" i="18"/>
  <c r="F1053" i="18"/>
  <c r="D1053" i="18"/>
  <c r="B1053" i="18"/>
  <c r="F1052" i="18"/>
  <c r="D1052" i="18"/>
  <c r="B1052" i="18"/>
  <c r="F1051" i="18"/>
  <c r="D1051" i="18"/>
  <c r="B1051" i="18"/>
  <c r="F1050" i="18"/>
  <c r="D1050" i="18"/>
  <c r="B1050" i="18"/>
  <c r="F1049" i="18"/>
  <c r="D1049" i="18"/>
  <c r="B1049" i="18"/>
  <c r="F1048" i="18"/>
  <c r="D1048" i="18"/>
  <c r="B1048" i="18"/>
  <c r="F1047" i="18"/>
  <c r="D1047" i="18"/>
  <c r="B1047" i="18"/>
  <c r="F1046" i="18"/>
  <c r="D1046" i="18"/>
  <c r="B1046" i="18"/>
  <c r="F1045" i="18"/>
  <c r="D1045" i="18"/>
  <c r="B1045" i="18"/>
  <c r="F1044" i="18"/>
  <c r="D1044" i="18"/>
  <c r="B1044" i="18"/>
  <c r="F1043" i="18"/>
  <c r="D1043" i="18"/>
  <c r="B1043" i="18"/>
  <c r="F1042" i="18"/>
  <c r="D1042" i="18"/>
  <c r="B1042" i="18"/>
  <c r="F1041" i="18"/>
  <c r="D1041" i="18"/>
  <c r="B1041" i="18"/>
  <c r="F1040" i="18"/>
  <c r="D1040" i="18"/>
  <c r="B1040" i="18"/>
  <c r="F1039" i="18"/>
  <c r="D1039" i="18"/>
  <c r="B1039" i="18"/>
  <c r="F1038" i="18"/>
  <c r="D1038" i="18"/>
  <c r="B1038" i="18"/>
  <c r="F1037" i="18"/>
  <c r="D1037" i="18"/>
  <c r="B1037" i="18"/>
  <c r="F1036" i="18"/>
  <c r="D1036" i="18"/>
  <c r="B1036" i="18"/>
  <c r="F1035" i="18"/>
  <c r="D1035" i="18"/>
  <c r="B1035" i="18"/>
  <c r="F1034" i="18"/>
  <c r="D1034" i="18"/>
  <c r="B1034" i="18"/>
  <c r="F1033" i="18"/>
  <c r="D1033" i="18"/>
  <c r="B1033" i="18"/>
  <c r="F1032" i="18"/>
  <c r="D1032" i="18"/>
  <c r="B1032" i="18"/>
  <c r="F1031" i="18"/>
  <c r="D1031" i="18"/>
  <c r="B1031" i="18"/>
  <c r="F1030" i="18"/>
  <c r="D1030" i="18"/>
  <c r="B1030" i="18"/>
  <c r="F1029" i="18"/>
  <c r="D1029" i="18"/>
  <c r="B1029" i="18"/>
  <c r="F1028" i="18"/>
  <c r="D1028" i="18"/>
  <c r="B1028" i="18"/>
  <c r="F1027" i="18"/>
  <c r="D1027" i="18"/>
  <c r="B1027" i="18"/>
  <c r="F1026" i="18"/>
  <c r="D1026" i="18"/>
  <c r="B1026" i="18"/>
  <c r="F1025" i="18"/>
  <c r="D1025" i="18"/>
  <c r="B1025" i="18"/>
  <c r="F1024" i="18"/>
  <c r="D1024" i="18"/>
  <c r="B1024" i="18"/>
  <c r="F1023" i="18"/>
  <c r="D1023" i="18"/>
  <c r="B1023" i="18"/>
  <c r="F1022" i="18"/>
  <c r="D1022" i="18"/>
  <c r="B1022" i="18"/>
  <c r="F1021" i="18"/>
  <c r="D1021" i="18"/>
  <c r="B1021" i="18"/>
  <c r="F1020" i="18"/>
  <c r="D1020" i="18"/>
  <c r="B1020" i="18"/>
  <c r="F1019" i="18"/>
  <c r="D1019" i="18"/>
  <c r="B1019" i="18"/>
  <c r="F1018" i="18"/>
  <c r="D1018" i="18"/>
  <c r="B1018" i="18"/>
  <c r="F1017" i="18"/>
  <c r="D1017" i="18"/>
  <c r="B1017" i="18"/>
  <c r="F1016" i="18"/>
  <c r="D1016" i="18"/>
  <c r="B1016" i="18"/>
  <c r="F1015" i="18"/>
  <c r="D1015" i="18"/>
  <c r="B1015" i="18"/>
  <c r="F1014" i="18"/>
  <c r="D1014" i="18"/>
  <c r="B1014" i="18"/>
  <c r="F1013" i="18"/>
  <c r="D1013" i="18"/>
  <c r="B1013" i="18"/>
  <c r="F1012" i="18"/>
  <c r="D1012" i="18"/>
  <c r="B1012" i="18"/>
  <c r="F1011" i="18"/>
  <c r="D1011" i="18"/>
  <c r="B1011" i="18"/>
  <c r="F1010" i="18"/>
  <c r="D1010" i="18"/>
  <c r="B1010" i="18"/>
  <c r="F1009" i="18"/>
  <c r="D1009" i="18"/>
  <c r="B1009" i="18"/>
  <c r="F1008" i="18"/>
  <c r="D1008" i="18"/>
  <c r="B1008" i="18"/>
  <c r="F1007" i="18"/>
  <c r="D1007" i="18"/>
  <c r="B1007" i="18"/>
  <c r="F1006" i="18"/>
  <c r="D1006" i="18"/>
  <c r="B1006" i="18"/>
  <c r="F1005" i="18"/>
  <c r="D1005" i="18"/>
  <c r="B1005" i="18"/>
  <c r="F1004" i="18"/>
  <c r="D1004" i="18"/>
  <c r="B1004" i="18"/>
  <c r="F1003" i="18"/>
  <c r="D1003" i="18"/>
  <c r="B1003" i="18"/>
  <c r="F1002" i="18"/>
  <c r="D1002" i="18"/>
  <c r="B1002" i="18"/>
  <c r="F1001" i="18"/>
  <c r="D1001" i="18"/>
  <c r="B1001" i="18"/>
  <c r="F1000" i="18"/>
  <c r="D1000" i="18"/>
  <c r="B1000" i="18"/>
  <c r="F999" i="18"/>
  <c r="D999" i="18"/>
  <c r="B999" i="18"/>
  <c r="F998" i="18"/>
  <c r="D998" i="18"/>
  <c r="B998" i="18"/>
  <c r="F997" i="18"/>
  <c r="D997" i="18"/>
  <c r="B997" i="18"/>
  <c r="F996" i="18"/>
  <c r="D996" i="18"/>
  <c r="B996" i="18"/>
  <c r="F995" i="18"/>
  <c r="D995" i="18"/>
  <c r="B995" i="18"/>
  <c r="F994" i="18"/>
  <c r="D994" i="18"/>
  <c r="B994" i="18"/>
  <c r="F993" i="18"/>
  <c r="D993" i="18"/>
  <c r="B993" i="18"/>
  <c r="F992" i="18"/>
  <c r="D992" i="18"/>
  <c r="B992" i="18"/>
  <c r="F991" i="18"/>
  <c r="D991" i="18"/>
  <c r="B991" i="18"/>
  <c r="F990" i="18"/>
  <c r="D990" i="18"/>
  <c r="B990" i="18"/>
  <c r="F989" i="18"/>
  <c r="D989" i="18"/>
  <c r="B989" i="18"/>
  <c r="F988" i="18"/>
  <c r="D988" i="18"/>
  <c r="B988" i="18"/>
  <c r="F987" i="18"/>
  <c r="D987" i="18"/>
  <c r="B987" i="18"/>
  <c r="F986" i="18"/>
  <c r="D986" i="18"/>
  <c r="B986" i="18"/>
  <c r="F985" i="18"/>
  <c r="D985" i="18"/>
  <c r="B985" i="18"/>
  <c r="F984" i="18"/>
  <c r="D984" i="18"/>
  <c r="B984" i="18"/>
  <c r="F983" i="18"/>
  <c r="D983" i="18"/>
  <c r="B983" i="18"/>
  <c r="F982" i="18"/>
  <c r="D982" i="18"/>
  <c r="B982" i="18"/>
  <c r="F981" i="18"/>
  <c r="D981" i="18"/>
  <c r="B981" i="18"/>
  <c r="F980" i="18"/>
  <c r="D980" i="18"/>
  <c r="B980" i="18"/>
  <c r="F979" i="18"/>
  <c r="D979" i="18"/>
  <c r="B979" i="18"/>
  <c r="F978" i="18"/>
  <c r="D978" i="18"/>
  <c r="B978" i="18"/>
  <c r="F977" i="18"/>
  <c r="D977" i="18"/>
  <c r="B977" i="18"/>
  <c r="F976" i="18"/>
  <c r="D976" i="18"/>
  <c r="B976" i="18"/>
  <c r="F975" i="18"/>
  <c r="D975" i="18"/>
  <c r="B975" i="18"/>
  <c r="F974" i="18"/>
  <c r="D974" i="18"/>
  <c r="B974" i="18"/>
  <c r="F973" i="18"/>
  <c r="D973" i="18"/>
  <c r="B973" i="18"/>
  <c r="F972" i="18"/>
  <c r="D972" i="18"/>
  <c r="B972" i="18"/>
  <c r="F971" i="18"/>
  <c r="D971" i="18"/>
  <c r="B971" i="18"/>
  <c r="F970" i="18"/>
  <c r="D970" i="18"/>
  <c r="B970" i="18"/>
  <c r="F969" i="18"/>
  <c r="D969" i="18"/>
  <c r="B969" i="18"/>
  <c r="F968" i="18"/>
  <c r="D968" i="18"/>
  <c r="B968" i="18"/>
  <c r="F967" i="18"/>
  <c r="D967" i="18"/>
  <c r="B967" i="18"/>
  <c r="F966" i="18"/>
  <c r="D966" i="18"/>
  <c r="B966" i="18"/>
  <c r="F965" i="18"/>
  <c r="D965" i="18"/>
  <c r="B965" i="18"/>
  <c r="F964" i="18"/>
  <c r="D964" i="18"/>
  <c r="B964" i="18"/>
  <c r="F963" i="18"/>
  <c r="D963" i="18"/>
  <c r="B963" i="18"/>
  <c r="F962" i="18"/>
  <c r="D962" i="18"/>
  <c r="B962" i="18"/>
  <c r="F961" i="18"/>
  <c r="D961" i="18"/>
  <c r="B961" i="18"/>
  <c r="F960" i="18"/>
  <c r="D960" i="18"/>
  <c r="B960" i="18"/>
  <c r="F959" i="18"/>
  <c r="D959" i="18"/>
  <c r="B959" i="18"/>
  <c r="F958" i="18"/>
  <c r="D958" i="18"/>
  <c r="B958" i="18"/>
  <c r="F957" i="18"/>
  <c r="D957" i="18"/>
  <c r="B957" i="18"/>
  <c r="F956" i="18"/>
  <c r="D956" i="18"/>
  <c r="B956" i="18"/>
  <c r="F955" i="18"/>
  <c r="D955" i="18"/>
  <c r="B955" i="18"/>
  <c r="F954" i="18"/>
  <c r="D954" i="18"/>
  <c r="B954" i="18"/>
  <c r="F953" i="18"/>
  <c r="D953" i="18"/>
  <c r="B953" i="18"/>
  <c r="F952" i="18"/>
  <c r="D952" i="18"/>
  <c r="B952" i="18"/>
  <c r="F951" i="18"/>
  <c r="D951" i="18"/>
  <c r="B951" i="18"/>
  <c r="F950" i="18"/>
  <c r="D950" i="18"/>
  <c r="B950" i="18"/>
  <c r="F949" i="18"/>
  <c r="D949" i="18"/>
  <c r="B949" i="18"/>
  <c r="F948" i="18"/>
  <c r="D948" i="18"/>
  <c r="B948" i="18"/>
  <c r="F947" i="18"/>
  <c r="D947" i="18"/>
  <c r="B947" i="18"/>
  <c r="F946" i="18"/>
  <c r="D946" i="18"/>
  <c r="B946" i="18"/>
  <c r="F945" i="18"/>
  <c r="D945" i="18"/>
  <c r="B945" i="18"/>
  <c r="F944" i="18"/>
  <c r="D944" i="18"/>
  <c r="B944" i="18"/>
  <c r="F943" i="18"/>
  <c r="D943" i="18"/>
  <c r="B943" i="18"/>
  <c r="F942" i="18"/>
  <c r="D942" i="18"/>
  <c r="B942" i="18"/>
  <c r="F941" i="18"/>
  <c r="D941" i="18"/>
  <c r="B941" i="18"/>
  <c r="F940" i="18"/>
  <c r="D940" i="18"/>
  <c r="B940" i="18"/>
  <c r="F939" i="18"/>
  <c r="D939" i="18"/>
  <c r="B939" i="18"/>
  <c r="F938" i="18"/>
  <c r="D938" i="18"/>
  <c r="B938" i="18"/>
  <c r="F937" i="18"/>
  <c r="D937" i="18"/>
  <c r="B937" i="18"/>
  <c r="F936" i="18"/>
  <c r="D936" i="18"/>
  <c r="B936" i="18"/>
  <c r="F935" i="18"/>
  <c r="D935" i="18"/>
  <c r="B935" i="18"/>
  <c r="F934" i="18"/>
  <c r="D934" i="18"/>
  <c r="B934" i="18"/>
  <c r="F933" i="18"/>
  <c r="D933" i="18"/>
  <c r="B933" i="18"/>
  <c r="F932" i="18"/>
  <c r="D932" i="18"/>
  <c r="B932" i="18"/>
  <c r="F931" i="18"/>
  <c r="D931" i="18"/>
  <c r="B931" i="18"/>
  <c r="F930" i="18"/>
  <c r="D930" i="18"/>
  <c r="B930" i="18"/>
  <c r="F929" i="18"/>
  <c r="D929" i="18"/>
  <c r="B929" i="18"/>
  <c r="F928" i="18"/>
  <c r="D928" i="18"/>
  <c r="B928" i="18"/>
  <c r="F927" i="18"/>
  <c r="D927" i="18"/>
  <c r="B927" i="18"/>
  <c r="F926" i="18"/>
  <c r="D926" i="18"/>
  <c r="B926" i="18"/>
  <c r="F925" i="18"/>
  <c r="D925" i="18"/>
  <c r="B925" i="18"/>
  <c r="F924" i="18"/>
  <c r="D924" i="18"/>
  <c r="B924" i="18"/>
  <c r="F923" i="18"/>
  <c r="D923" i="18"/>
  <c r="B923" i="18"/>
  <c r="F922" i="18"/>
  <c r="D922" i="18"/>
  <c r="B922" i="18"/>
  <c r="F921" i="18"/>
  <c r="D921" i="18"/>
  <c r="B921" i="18"/>
  <c r="F920" i="18"/>
  <c r="D920" i="18"/>
  <c r="B920" i="18"/>
  <c r="F919" i="18"/>
  <c r="D919" i="18"/>
  <c r="B919" i="18"/>
  <c r="F918" i="18"/>
  <c r="D918" i="18"/>
  <c r="B918" i="18"/>
  <c r="F917" i="18"/>
  <c r="D917" i="18"/>
  <c r="B917" i="18"/>
  <c r="F916" i="18"/>
  <c r="D916" i="18"/>
  <c r="B916" i="18"/>
  <c r="F915" i="18"/>
  <c r="D915" i="18"/>
  <c r="B915" i="18"/>
  <c r="F914" i="18"/>
  <c r="D914" i="18"/>
  <c r="B914" i="18"/>
  <c r="F913" i="18"/>
  <c r="D913" i="18"/>
  <c r="B913" i="18"/>
  <c r="F912" i="18"/>
  <c r="D912" i="18"/>
  <c r="B912" i="18"/>
  <c r="F911" i="18"/>
  <c r="D911" i="18"/>
  <c r="B911" i="18"/>
  <c r="F910" i="18"/>
  <c r="D910" i="18"/>
  <c r="B910" i="18"/>
  <c r="F909" i="18"/>
  <c r="D909" i="18"/>
  <c r="B909" i="18"/>
  <c r="F908" i="18"/>
  <c r="D908" i="18"/>
  <c r="B908" i="18"/>
  <c r="F907" i="18"/>
  <c r="D907" i="18"/>
  <c r="B907" i="18"/>
  <c r="F906" i="18"/>
  <c r="D906" i="18"/>
  <c r="B906" i="18"/>
  <c r="F905" i="18"/>
  <c r="D905" i="18"/>
  <c r="B905" i="18"/>
  <c r="F904" i="18"/>
  <c r="D904" i="18"/>
  <c r="B904" i="18"/>
  <c r="F903" i="18"/>
  <c r="D903" i="18"/>
  <c r="B903" i="18"/>
  <c r="F902" i="18"/>
  <c r="D902" i="18"/>
  <c r="B902" i="18"/>
  <c r="F901" i="18"/>
  <c r="D901" i="18"/>
  <c r="B901" i="18"/>
  <c r="F900" i="18"/>
  <c r="D900" i="18"/>
  <c r="B900" i="18"/>
  <c r="F899" i="18"/>
  <c r="D899" i="18"/>
  <c r="B899" i="18"/>
  <c r="F898" i="18"/>
  <c r="D898" i="18"/>
  <c r="B898" i="18"/>
  <c r="F897" i="18"/>
  <c r="D897" i="18"/>
  <c r="B897" i="18"/>
  <c r="F896" i="18"/>
  <c r="D896" i="18"/>
  <c r="B896" i="18"/>
  <c r="F895" i="18"/>
  <c r="D895" i="18"/>
  <c r="B895" i="18"/>
  <c r="F894" i="18"/>
  <c r="D894" i="18"/>
  <c r="B894" i="18"/>
  <c r="F893" i="18"/>
  <c r="D893" i="18"/>
  <c r="B893" i="18"/>
  <c r="F892" i="18"/>
  <c r="D892" i="18"/>
  <c r="B892" i="18"/>
  <c r="F891" i="18"/>
  <c r="D891" i="18"/>
  <c r="B891" i="18"/>
  <c r="F890" i="18"/>
  <c r="D890" i="18"/>
  <c r="B890" i="18"/>
  <c r="F889" i="18"/>
  <c r="D889" i="18"/>
  <c r="B889" i="18"/>
  <c r="F888" i="18"/>
  <c r="D888" i="18"/>
  <c r="B888" i="18"/>
  <c r="F887" i="18"/>
  <c r="D887" i="18"/>
  <c r="B887" i="18"/>
  <c r="F886" i="18"/>
  <c r="D886" i="18"/>
  <c r="B886" i="18"/>
  <c r="F885" i="18"/>
  <c r="D885" i="18"/>
  <c r="B885" i="18"/>
  <c r="F884" i="18"/>
  <c r="D884" i="18"/>
  <c r="B884" i="18"/>
  <c r="F883" i="18"/>
  <c r="D883" i="18"/>
  <c r="B883" i="18"/>
  <c r="F882" i="18"/>
  <c r="D882" i="18"/>
  <c r="B882" i="18"/>
  <c r="F881" i="18"/>
  <c r="D881" i="18"/>
  <c r="B881" i="18"/>
  <c r="F880" i="18"/>
  <c r="D880" i="18"/>
  <c r="B880" i="18"/>
  <c r="F879" i="18"/>
  <c r="D879" i="18"/>
  <c r="B879" i="18"/>
  <c r="F878" i="18"/>
  <c r="D878" i="18"/>
  <c r="B878" i="18"/>
  <c r="F877" i="18"/>
  <c r="D877" i="18"/>
  <c r="B877" i="18"/>
  <c r="F876" i="18"/>
  <c r="D876" i="18"/>
  <c r="B876" i="18"/>
  <c r="F875" i="18"/>
  <c r="D875" i="18"/>
  <c r="B875" i="18"/>
  <c r="F874" i="18"/>
  <c r="D874" i="18"/>
  <c r="B874" i="18"/>
  <c r="F873" i="18"/>
  <c r="D873" i="18"/>
  <c r="B873" i="18"/>
  <c r="F872" i="18"/>
  <c r="D872" i="18"/>
  <c r="B872" i="18"/>
  <c r="F871" i="18"/>
  <c r="D871" i="18"/>
  <c r="B871" i="18"/>
  <c r="F870" i="18"/>
  <c r="D870" i="18"/>
  <c r="B870" i="18"/>
  <c r="F869" i="18"/>
  <c r="D869" i="18"/>
  <c r="B869" i="18"/>
  <c r="F868" i="18"/>
  <c r="D868" i="18"/>
  <c r="B868" i="18"/>
  <c r="F867" i="18"/>
  <c r="D867" i="18"/>
  <c r="B867" i="18"/>
  <c r="F866" i="18"/>
  <c r="D866" i="18"/>
  <c r="B866" i="18"/>
  <c r="F865" i="18"/>
  <c r="D865" i="18"/>
  <c r="B865" i="18"/>
  <c r="F864" i="18"/>
  <c r="D864" i="18"/>
  <c r="B864" i="18"/>
  <c r="F863" i="18"/>
  <c r="D863" i="18"/>
  <c r="B863" i="18"/>
  <c r="F862" i="18"/>
  <c r="D862" i="18"/>
  <c r="B862" i="18"/>
  <c r="F861" i="18"/>
  <c r="D861" i="18"/>
  <c r="B861" i="18"/>
  <c r="F860" i="18"/>
  <c r="D860" i="18"/>
  <c r="B860" i="18"/>
  <c r="F859" i="18"/>
  <c r="D859" i="18"/>
  <c r="B859" i="18"/>
  <c r="F858" i="18"/>
  <c r="D858" i="18"/>
  <c r="B858" i="18"/>
  <c r="F857" i="18"/>
  <c r="D857" i="18"/>
  <c r="B857" i="18"/>
  <c r="F856" i="18"/>
  <c r="D856" i="18"/>
  <c r="B856" i="18"/>
  <c r="F855" i="18"/>
  <c r="D855" i="18"/>
  <c r="B855" i="18"/>
  <c r="F854" i="18"/>
  <c r="D854" i="18"/>
  <c r="B854" i="18"/>
  <c r="F853" i="18"/>
  <c r="D853" i="18"/>
  <c r="B853" i="18"/>
  <c r="F852" i="18"/>
  <c r="D852" i="18"/>
  <c r="B852" i="18"/>
  <c r="F851" i="18"/>
  <c r="D851" i="18"/>
  <c r="B851" i="18"/>
  <c r="F850" i="18"/>
  <c r="D850" i="18"/>
  <c r="B850" i="18"/>
  <c r="F849" i="18"/>
  <c r="D849" i="18"/>
  <c r="B849" i="18"/>
  <c r="F848" i="18"/>
  <c r="D848" i="18"/>
  <c r="B848" i="18"/>
  <c r="F847" i="18"/>
  <c r="D847" i="18"/>
  <c r="B847" i="18"/>
  <c r="F846" i="18"/>
  <c r="D846" i="18"/>
  <c r="B846" i="18"/>
  <c r="F845" i="18"/>
  <c r="D845" i="18"/>
  <c r="B845" i="18"/>
  <c r="F844" i="18"/>
  <c r="D844" i="18"/>
  <c r="B844" i="18"/>
  <c r="F843" i="18"/>
  <c r="D843" i="18"/>
  <c r="B843" i="18"/>
  <c r="F842" i="18"/>
  <c r="D842" i="18"/>
  <c r="B842" i="18"/>
  <c r="F841" i="18"/>
  <c r="D841" i="18"/>
  <c r="B841" i="18"/>
  <c r="F840" i="18"/>
  <c r="D840" i="18"/>
  <c r="B840" i="18"/>
  <c r="F839" i="18"/>
  <c r="D839" i="18"/>
  <c r="B839" i="18"/>
  <c r="F838" i="18"/>
  <c r="D838" i="18"/>
  <c r="B838" i="18"/>
  <c r="F837" i="18"/>
  <c r="D837" i="18"/>
  <c r="B837" i="18"/>
  <c r="F836" i="18"/>
  <c r="D836" i="18"/>
  <c r="B836" i="18"/>
  <c r="F835" i="18"/>
  <c r="D835" i="18"/>
  <c r="B835" i="18"/>
  <c r="F834" i="18"/>
  <c r="D834" i="18"/>
  <c r="B834" i="18"/>
  <c r="F833" i="18"/>
  <c r="D833" i="18"/>
  <c r="B833" i="18"/>
  <c r="F832" i="18"/>
  <c r="D832" i="18"/>
  <c r="B832" i="18"/>
  <c r="F831" i="18"/>
  <c r="D831" i="18"/>
  <c r="B831" i="18"/>
  <c r="F830" i="18"/>
  <c r="D830" i="18"/>
  <c r="B830" i="18"/>
  <c r="F829" i="18"/>
  <c r="D829" i="18"/>
  <c r="B829" i="18"/>
  <c r="F828" i="18"/>
  <c r="D828" i="18"/>
  <c r="B828" i="18"/>
  <c r="F827" i="18"/>
  <c r="D827" i="18"/>
  <c r="B827" i="18"/>
  <c r="F826" i="18"/>
  <c r="D826" i="18"/>
  <c r="B826" i="18"/>
  <c r="F825" i="18"/>
  <c r="D825" i="18"/>
  <c r="B825" i="18"/>
  <c r="F824" i="18"/>
  <c r="D824" i="18"/>
  <c r="B824" i="18"/>
  <c r="F823" i="18"/>
  <c r="D823" i="18"/>
  <c r="B823" i="18"/>
  <c r="F822" i="18"/>
  <c r="D822" i="18"/>
  <c r="B822" i="18"/>
  <c r="F821" i="18"/>
  <c r="D821" i="18"/>
  <c r="B821" i="18"/>
  <c r="F820" i="18"/>
  <c r="D820" i="18"/>
  <c r="B820" i="18"/>
  <c r="F819" i="18"/>
  <c r="D819" i="18"/>
  <c r="B819" i="18"/>
  <c r="F818" i="18"/>
  <c r="D818" i="18"/>
  <c r="B818" i="18"/>
  <c r="F817" i="18"/>
  <c r="D817" i="18"/>
  <c r="B817" i="18"/>
  <c r="F816" i="18"/>
  <c r="D816" i="18"/>
  <c r="B816" i="18"/>
  <c r="F815" i="18"/>
  <c r="D815" i="18"/>
  <c r="B815" i="18"/>
  <c r="F814" i="18"/>
  <c r="D814" i="18"/>
  <c r="B814" i="18"/>
  <c r="F813" i="18"/>
  <c r="D813" i="18"/>
  <c r="B813" i="18"/>
  <c r="F812" i="18"/>
  <c r="D812" i="18"/>
  <c r="B812" i="18"/>
  <c r="F811" i="18"/>
  <c r="D811" i="18"/>
  <c r="B811" i="18"/>
  <c r="F810" i="18"/>
  <c r="D810" i="18"/>
  <c r="B810" i="18"/>
  <c r="F809" i="18"/>
  <c r="D809" i="18"/>
  <c r="B809" i="18"/>
  <c r="F808" i="18"/>
  <c r="D808" i="18"/>
  <c r="B808" i="18"/>
  <c r="F807" i="18"/>
  <c r="D807" i="18"/>
  <c r="B807" i="18"/>
  <c r="F806" i="18"/>
  <c r="D806" i="18"/>
  <c r="B806" i="18"/>
  <c r="F805" i="18"/>
  <c r="D805" i="18"/>
  <c r="B805" i="18"/>
  <c r="F804" i="18"/>
  <c r="D804" i="18"/>
  <c r="B804" i="18"/>
  <c r="F803" i="18"/>
  <c r="D803" i="18"/>
  <c r="B803" i="18"/>
  <c r="F802" i="18"/>
  <c r="D802" i="18"/>
  <c r="B802" i="18"/>
  <c r="F801" i="18"/>
  <c r="D801" i="18"/>
  <c r="B801" i="18"/>
  <c r="F800" i="18"/>
  <c r="D800" i="18"/>
  <c r="B800" i="18"/>
  <c r="F799" i="18"/>
  <c r="D799" i="18"/>
  <c r="B799" i="18"/>
  <c r="F798" i="18"/>
  <c r="D798" i="18"/>
  <c r="B798" i="18"/>
  <c r="F797" i="18"/>
  <c r="D797" i="18"/>
  <c r="B797" i="18"/>
  <c r="F796" i="18"/>
  <c r="D796" i="18"/>
  <c r="B796" i="18"/>
  <c r="F795" i="18"/>
  <c r="D795" i="18"/>
  <c r="B795" i="18"/>
  <c r="F794" i="18"/>
  <c r="D794" i="18"/>
  <c r="B794" i="18"/>
  <c r="F793" i="18"/>
  <c r="D793" i="18"/>
  <c r="B793" i="18"/>
  <c r="F792" i="18"/>
  <c r="D792" i="18"/>
  <c r="B792" i="18"/>
  <c r="F791" i="18"/>
  <c r="D791" i="18"/>
  <c r="B791" i="18"/>
  <c r="F790" i="18"/>
  <c r="D790" i="18"/>
  <c r="B790" i="18"/>
  <c r="F789" i="18"/>
  <c r="D789" i="18"/>
  <c r="B789" i="18"/>
  <c r="F788" i="18"/>
  <c r="D788" i="18"/>
  <c r="B788" i="18"/>
  <c r="F787" i="18"/>
  <c r="D787" i="18"/>
  <c r="B787" i="18"/>
  <c r="F786" i="18"/>
  <c r="D786" i="18"/>
  <c r="B786" i="18"/>
  <c r="F785" i="18"/>
  <c r="D785" i="18"/>
  <c r="B785" i="18"/>
  <c r="F784" i="18"/>
  <c r="D784" i="18"/>
  <c r="B784" i="18"/>
  <c r="F783" i="18"/>
  <c r="D783" i="18"/>
  <c r="B783" i="18"/>
  <c r="F782" i="18"/>
  <c r="D782" i="18"/>
  <c r="B782" i="18"/>
  <c r="F781" i="18"/>
  <c r="D781" i="18"/>
  <c r="B781" i="18"/>
  <c r="F780" i="18"/>
  <c r="D780" i="18"/>
  <c r="B780" i="18"/>
  <c r="F779" i="18"/>
  <c r="D779" i="18"/>
  <c r="B779" i="18"/>
  <c r="F778" i="18"/>
  <c r="D778" i="18"/>
  <c r="B778" i="18"/>
  <c r="F777" i="18"/>
  <c r="D777" i="18"/>
  <c r="B777" i="18"/>
  <c r="F776" i="18"/>
  <c r="D776" i="18"/>
  <c r="B776" i="18"/>
  <c r="F775" i="18"/>
  <c r="D775" i="18"/>
  <c r="B775" i="18"/>
  <c r="F774" i="18"/>
  <c r="D774" i="18"/>
  <c r="B774" i="18"/>
  <c r="F773" i="18"/>
  <c r="D773" i="18"/>
  <c r="B773" i="18"/>
  <c r="F772" i="18"/>
  <c r="D772" i="18"/>
  <c r="B772" i="18"/>
  <c r="F771" i="18"/>
  <c r="D771" i="18"/>
  <c r="B771" i="18"/>
  <c r="F770" i="18"/>
  <c r="D770" i="18"/>
  <c r="B770" i="18"/>
  <c r="F769" i="18"/>
  <c r="D769" i="18"/>
  <c r="B769" i="18"/>
  <c r="F768" i="18"/>
  <c r="D768" i="18"/>
  <c r="B768" i="18"/>
  <c r="F767" i="18"/>
  <c r="D767" i="18"/>
  <c r="B767" i="18"/>
  <c r="F766" i="18"/>
  <c r="D766" i="18"/>
  <c r="B766" i="18"/>
  <c r="F765" i="18"/>
  <c r="D765" i="18"/>
  <c r="B765" i="18"/>
  <c r="F764" i="18"/>
  <c r="D764" i="18"/>
  <c r="B764" i="18"/>
  <c r="F763" i="18"/>
  <c r="D763" i="18"/>
  <c r="B763" i="18"/>
  <c r="F762" i="18"/>
  <c r="D762" i="18"/>
  <c r="B762" i="18"/>
  <c r="F761" i="18"/>
  <c r="D761" i="18"/>
  <c r="B761" i="18"/>
  <c r="F760" i="18"/>
  <c r="D760" i="18"/>
  <c r="B760" i="18"/>
  <c r="F759" i="18"/>
  <c r="D759" i="18"/>
  <c r="B759" i="18"/>
  <c r="F758" i="18"/>
  <c r="D758" i="18"/>
  <c r="B758" i="18"/>
  <c r="F757" i="18"/>
  <c r="D757" i="18"/>
  <c r="B757" i="18"/>
  <c r="F756" i="18"/>
  <c r="D756" i="18"/>
  <c r="B756" i="18"/>
  <c r="F755" i="18"/>
  <c r="D755" i="18"/>
  <c r="B755" i="18"/>
  <c r="F754" i="18"/>
  <c r="D754" i="18"/>
  <c r="B754" i="18"/>
  <c r="F753" i="18"/>
  <c r="D753" i="18"/>
  <c r="B753" i="18"/>
  <c r="F752" i="18"/>
  <c r="D752" i="18"/>
  <c r="B752" i="18"/>
  <c r="F751" i="18"/>
  <c r="D751" i="18"/>
  <c r="B751" i="18"/>
  <c r="F750" i="18"/>
  <c r="D750" i="18"/>
  <c r="B750" i="18"/>
  <c r="F749" i="18"/>
  <c r="D749" i="18"/>
  <c r="B749" i="18"/>
  <c r="F748" i="18"/>
  <c r="D748" i="18"/>
  <c r="B748" i="18"/>
  <c r="F747" i="18"/>
  <c r="D747" i="18"/>
  <c r="B747" i="18"/>
  <c r="F746" i="18"/>
  <c r="D746" i="18"/>
  <c r="B746" i="18"/>
  <c r="F745" i="18"/>
  <c r="D745" i="18"/>
  <c r="B745" i="18"/>
  <c r="F744" i="18"/>
  <c r="D744" i="18"/>
  <c r="B744" i="18"/>
  <c r="F743" i="18"/>
  <c r="D743" i="18"/>
  <c r="B743" i="18"/>
  <c r="F742" i="18"/>
  <c r="D742" i="18"/>
  <c r="B742" i="18"/>
  <c r="F741" i="18"/>
  <c r="D741" i="18"/>
  <c r="B741" i="18"/>
  <c r="F740" i="18"/>
  <c r="D740" i="18"/>
  <c r="B740" i="18"/>
  <c r="F739" i="18"/>
  <c r="D739" i="18"/>
  <c r="B739" i="18"/>
  <c r="F738" i="18"/>
  <c r="D738" i="18"/>
  <c r="B738" i="18"/>
  <c r="F737" i="18"/>
  <c r="D737" i="18"/>
  <c r="B737" i="18"/>
  <c r="F736" i="18"/>
  <c r="D736" i="18"/>
  <c r="B736" i="18"/>
  <c r="F735" i="18"/>
  <c r="D735" i="18"/>
  <c r="B735" i="18"/>
  <c r="F734" i="18"/>
  <c r="D734" i="18"/>
  <c r="B734" i="18"/>
  <c r="F733" i="18"/>
  <c r="D733" i="18"/>
  <c r="B733" i="18"/>
  <c r="F732" i="18"/>
  <c r="D732" i="18"/>
  <c r="B732" i="18"/>
  <c r="F731" i="18"/>
  <c r="D731" i="18"/>
  <c r="B731" i="18"/>
  <c r="F730" i="18"/>
  <c r="D730" i="18"/>
  <c r="B730" i="18"/>
  <c r="F729" i="18"/>
  <c r="D729" i="18"/>
  <c r="B729" i="18"/>
  <c r="F728" i="18"/>
  <c r="D728" i="18"/>
  <c r="B728" i="18"/>
  <c r="F727" i="18"/>
  <c r="D727" i="18"/>
  <c r="B727" i="18"/>
  <c r="F726" i="18"/>
  <c r="D726" i="18"/>
  <c r="B726" i="18"/>
  <c r="F725" i="18"/>
  <c r="D725" i="18"/>
  <c r="B725" i="18"/>
  <c r="F724" i="18"/>
  <c r="D724" i="18"/>
  <c r="B724" i="18"/>
  <c r="F723" i="18"/>
  <c r="D723" i="18"/>
  <c r="B723" i="18"/>
  <c r="F722" i="18"/>
  <c r="D722" i="18"/>
  <c r="B722" i="18"/>
  <c r="F721" i="18"/>
  <c r="D721" i="18"/>
  <c r="B721" i="18"/>
  <c r="F720" i="18"/>
  <c r="D720" i="18"/>
  <c r="B720" i="18"/>
  <c r="F719" i="18"/>
  <c r="D719" i="18"/>
  <c r="B719" i="18"/>
  <c r="F718" i="18"/>
  <c r="D718" i="18"/>
  <c r="B718" i="18"/>
  <c r="F717" i="18"/>
  <c r="D717" i="18"/>
  <c r="B717" i="18"/>
  <c r="F716" i="18"/>
  <c r="D716" i="18"/>
  <c r="B716" i="18"/>
  <c r="F715" i="18"/>
  <c r="D715" i="18"/>
  <c r="B715" i="18"/>
  <c r="F714" i="18"/>
  <c r="D714" i="18"/>
  <c r="B714" i="18"/>
  <c r="F713" i="18"/>
  <c r="D713" i="18"/>
  <c r="B713" i="18"/>
  <c r="F712" i="18"/>
  <c r="D712" i="18"/>
  <c r="B712" i="18"/>
  <c r="F711" i="18"/>
  <c r="D711" i="18"/>
  <c r="B711" i="18"/>
  <c r="F710" i="18"/>
  <c r="D710" i="18"/>
  <c r="B710" i="18"/>
  <c r="F709" i="18"/>
  <c r="D709" i="18"/>
  <c r="B709" i="18"/>
  <c r="F708" i="18"/>
  <c r="D708" i="18"/>
  <c r="B708" i="18"/>
  <c r="F707" i="18"/>
  <c r="D707" i="18"/>
  <c r="B707" i="18"/>
  <c r="F706" i="18"/>
  <c r="D706" i="18"/>
  <c r="B706" i="18"/>
  <c r="F705" i="18"/>
  <c r="D705" i="18"/>
  <c r="B705" i="18"/>
  <c r="F704" i="18"/>
  <c r="D704" i="18"/>
  <c r="B704" i="18"/>
  <c r="F703" i="18"/>
  <c r="D703" i="18"/>
  <c r="B703" i="18"/>
  <c r="F702" i="18"/>
  <c r="D702" i="18"/>
  <c r="B702" i="18"/>
  <c r="F701" i="18"/>
  <c r="D701" i="18"/>
  <c r="B701" i="18"/>
  <c r="F700" i="18"/>
  <c r="D700" i="18"/>
  <c r="B700" i="18"/>
  <c r="F699" i="18"/>
  <c r="D699" i="18"/>
  <c r="B699" i="18"/>
  <c r="F698" i="18"/>
  <c r="D698" i="18"/>
  <c r="B698" i="18"/>
  <c r="F697" i="18"/>
  <c r="D697" i="18"/>
  <c r="B697" i="18"/>
  <c r="F696" i="18"/>
  <c r="D696" i="18"/>
  <c r="B696" i="18"/>
  <c r="F695" i="18"/>
  <c r="D695" i="18"/>
  <c r="B695" i="18"/>
  <c r="F694" i="18"/>
  <c r="D694" i="18"/>
  <c r="B694" i="18"/>
  <c r="F693" i="18"/>
  <c r="D693" i="18"/>
  <c r="B693" i="18"/>
  <c r="F692" i="18"/>
  <c r="D692" i="18"/>
  <c r="B692" i="18"/>
  <c r="F691" i="18"/>
  <c r="D691" i="18"/>
  <c r="B691" i="18"/>
  <c r="F690" i="18"/>
  <c r="D690" i="18"/>
  <c r="B690" i="18"/>
  <c r="F689" i="18"/>
  <c r="D689" i="18"/>
  <c r="B689" i="18"/>
  <c r="F688" i="18"/>
  <c r="D688" i="18"/>
  <c r="B688" i="18"/>
  <c r="F687" i="18"/>
  <c r="D687" i="18"/>
  <c r="B687" i="18"/>
  <c r="F686" i="18"/>
  <c r="D686" i="18"/>
  <c r="B686" i="18"/>
  <c r="F685" i="18"/>
  <c r="D685" i="18"/>
  <c r="B685" i="18"/>
  <c r="F684" i="18"/>
  <c r="D684" i="18"/>
  <c r="B684" i="18"/>
  <c r="F683" i="18"/>
  <c r="D683" i="18"/>
  <c r="B683" i="18"/>
  <c r="F682" i="18"/>
  <c r="D682" i="18"/>
  <c r="B682" i="18"/>
  <c r="F681" i="18"/>
  <c r="D681" i="18"/>
  <c r="B681" i="18"/>
  <c r="F680" i="18"/>
  <c r="D680" i="18"/>
  <c r="B680" i="18"/>
  <c r="F679" i="18"/>
  <c r="D679" i="18"/>
  <c r="B679" i="18"/>
  <c r="F678" i="18"/>
  <c r="D678" i="18"/>
  <c r="B678" i="18"/>
  <c r="F677" i="18"/>
  <c r="D677" i="18"/>
  <c r="B677" i="18"/>
  <c r="F676" i="18"/>
  <c r="D676" i="18"/>
  <c r="B676" i="18"/>
  <c r="F675" i="18"/>
  <c r="D675" i="18"/>
  <c r="B675" i="18"/>
  <c r="F674" i="18"/>
  <c r="D674" i="18"/>
  <c r="B674" i="18"/>
  <c r="F673" i="18"/>
  <c r="D673" i="18"/>
  <c r="B673" i="18"/>
  <c r="F672" i="18"/>
  <c r="D672" i="18"/>
  <c r="B672" i="18"/>
  <c r="F671" i="18"/>
  <c r="D671" i="18"/>
  <c r="B671" i="18"/>
  <c r="F670" i="18"/>
  <c r="D670" i="18"/>
  <c r="B670" i="18"/>
  <c r="F669" i="18"/>
  <c r="D669" i="18"/>
  <c r="B669" i="18"/>
  <c r="F668" i="18"/>
  <c r="D668" i="18"/>
  <c r="B668" i="18"/>
  <c r="F667" i="18"/>
  <c r="D667" i="18"/>
  <c r="B667" i="18"/>
  <c r="F666" i="18"/>
  <c r="D666" i="18"/>
  <c r="B666" i="18"/>
  <c r="F665" i="18"/>
  <c r="D665" i="18"/>
  <c r="B665" i="18"/>
  <c r="F664" i="18"/>
  <c r="D664" i="18"/>
  <c r="B664" i="18"/>
  <c r="F663" i="18"/>
  <c r="D663" i="18"/>
  <c r="B663" i="18"/>
  <c r="F662" i="18"/>
  <c r="D662" i="18"/>
  <c r="B662" i="18"/>
  <c r="F661" i="18"/>
  <c r="D661" i="18"/>
  <c r="B661" i="18"/>
  <c r="F660" i="18"/>
  <c r="D660" i="18"/>
  <c r="B660" i="18"/>
  <c r="F659" i="18"/>
  <c r="D659" i="18"/>
  <c r="B659" i="18"/>
  <c r="F658" i="18"/>
  <c r="D658" i="18"/>
  <c r="B658" i="18"/>
  <c r="F657" i="18"/>
  <c r="D657" i="18"/>
  <c r="B657" i="18"/>
  <c r="F656" i="18"/>
  <c r="D656" i="18"/>
  <c r="B656" i="18"/>
  <c r="F655" i="18"/>
  <c r="D655" i="18"/>
  <c r="B655" i="18"/>
  <c r="F654" i="18"/>
  <c r="D654" i="18"/>
  <c r="B654" i="18"/>
  <c r="F653" i="18"/>
  <c r="D653" i="18"/>
  <c r="B653" i="18"/>
  <c r="F652" i="18"/>
  <c r="D652" i="18"/>
  <c r="B652" i="18"/>
  <c r="F651" i="18"/>
  <c r="D651" i="18"/>
  <c r="B651" i="18"/>
  <c r="F650" i="18"/>
  <c r="D650" i="18"/>
  <c r="B650" i="18"/>
  <c r="F649" i="18"/>
  <c r="D649" i="18"/>
  <c r="B649" i="18"/>
  <c r="F648" i="18"/>
  <c r="D648" i="18"/>
  <c r="B648" i="18"/>
  <c r="F647" i="18"/>
  <c r="D647" i="18"/>
  <c r="B647" i="18"/>
  <c r="F646" i="18"/>
  <c r="D646" i="18"/>
  <c r="B646" i="18"/>
  <c r="F645" i="18"/>
  <c r="D645" i="18"/>
  <c r="B645" i="18"/>
  <c r="F644" i="18"/>
  <c r="D644" i="18"/>
  <c r="B644" i="18"/>
  <c r="F643" i="18"/>
  <c r="D643" i="18"/>
  <c r="B643" i="18"/>
  <c r="F642" i="18"/>
  <c r="D642" i="18"/>
  <c r="B642" i="18"/>
  <c r="F641" i="18"/>
  <c r="D641" i="18"/>
  <c r="B641" i="18"/>
  <c r="F640" i="18"/>
  <c r="D640" i="18"/>
  <c r="B640" i="18"/>
  <c r="F639" i="18"/>
  <c r="D639" i="18"/>
  <c r="B639" i="18"/>
  <c r="F638" i="18"/>
  <c r="D638" i="18"/>
  <c r="B638" i="18"/>
  <c r="F637" i="18"/>
  <c r="D637" i="18"/>
  <c r="B637" i="18"/>
  <c r="F636" i="18"/>
  <c r="D636" i="18"/>
  <c r="B636" i="18"/>
  <c r="F635" i="18"/>
  <c r="D635" i="18"/>
  <c r="B635" i="18"/>
  <c r="F634" i="18"/>
  <c r="D634" i="18"/>
  <c r="B634" i="18"/>
  <c r="F633" i="18"/>
  <c r="D633" i="18"/>
  <c r="B633" i="18"/>
  <c r="F632" i="18"/>
  <c r="D632" i="18"/>
  <c r="B632" i="18"/>
  <c r="F631" i="18"/>
  <c r="D631" i="18"/>
  <c r="B631" i="18"/>
  <c r="F630" i="18"/>
  <c r="D630" i="18"/>
  <c r="B630" i="18"/>
  <c r="F629" i="18"/>
  <c r="D629" i="18"/>
  <c r="B629" i="18"/>
  <c r="F628" i="18"/>
  <c r="D628" i="18"/>
  <c r="B628" i="18"/>
  <c r="F627" i="18"/>
  <c r="D627" i="18"/>
  <c r="B627" i="18"/>
  <c r="F626" i="18"/>
  <c r="D626" i="18"/>
  <c r="B626" i="18"/>
  <c r="F625" i="18"/>
  <c r="D625" i="18"/>
  <c r="B625" i="18"/>
  <c r="F624" i="18"/>
  <c r="D624" i="18"/>
  <c r="B624" i="18"/>
  <c r="F623" i="18"/>
  <c r="D623" i="18"/>
  <c r="B623" i="18"/>
  <c r="F622" i="18"/>
  <c r="D622" i="18"/>
  <c r="B622" i="18"/>
  <c r="F621" i="18"/>
  <c r="D621" i="18"/>
  <c r="B621" i="18"/>
  <c r="F620" i="18"/>
  <c r="D620" i="18"/>
  <c r="B620" i="18"/>
  <c r="F619" i="18"/>
  <c r="D619" i="18"/>
  <c r="B619" i="18"/>
  <c r="F618" i="18"/>
  <c r="D618" i="18"/>
  <c r="B618" i="18"/>
  <c r="F617" i="18"/>
  <c r="D617" i="18"/>
  <c r="B617" i="18"/>
  <c r="F616" i="18"/>
  <c r="D616" i="18"/>
  <c r="B616" i="18"/>
  <c r="F615" i="18"/>
  <c r="D615" i="18"/>
  <c r="B615" i="18"/>
  <c r="F614" i="18"/>
  <c r="D614" i="18"/>
  <c r="B614" i="18"/>
  <c r="F613" i="18"/>
  <c r="D613" i="18"/>
  <c r="B613" i="18"/>
  <c r="F612" i="18"/>
  <c r="D612" i="18"/>
  <c r="B612" i="18"/>
  <c r="F611" i="18"/>
  <c r="D611" i="18"/>
  <c r="B611" i="18"/>
  <c r="F610" i="18"/>
  <c r="D610" i="18"/>
  <c r="B610" i="18"/>
  <c r="F609" i="18"/>
  <c r="D609" i="18"/>
  <c r="B609" i="18"/>
  <c r="F608" i="18"/>
  <c r="D608" i="18"/>
  <c r="B608" i="18"/>
  <c r="F607" i="18"/>
  <c r="D607" i="18"/>
  <c r="B607" i="18"/>
  <c r="F606" i="18"/>
  <c r="D606" i="18"/>
  <c r="B606" i="18"/>
  <c r="F605" i="18"/>
  <c r="D605" i="18"/>
  <c r="B605" i="18"/>
  <c r="F604" i="18"/>
  <c r="D604" i="18"/>
  <c r="B604" i="18"/>
  <c r="F603" i="18"/>
  <c r="D603" i="18"/>
  <c r="B603" i="18"/>
  <c r="F602" i="18"/>
  <c r="D602" i="18"/>
  <c r="B602" i="18"/>
  <c r="F601" i="18"/>
  <c r="D601" i="18"/>
  <c r="B601" i="18"/>
  <c r="F600" i="18"/>
  <c r="D600" i="18"/>
  <c r="B600" i="18"/>
  <c r="F599" i="18"/>
  <c r="D599" i="18"/>
  <c r="B599" i="18"/>
  <c r="F598" i="18"/>
  <c r="D598" i="18"/>
  <c r="B598" i="18"/>
  <c r="F597" i="18"/>
  <c r="D597" i="18"/>
  <c r="B597" i="18"/>
  <c r="F596" i="18"/>
  <c r="D596" i="18"/>
  <c r="B596" i="18"/>
  <c r="F595" i="18"/>
  <c r="D595" i="18"/>
  <c r="B595" i="18"/>
  <c r="F594" i="18"/>
  <c r="D594" i="18"/>
  <c r="B594" i="18"/>
  <c r="F593" i="18"/>
  <c r="D593" i="18"/>
  <c r="B593" i="18"/>
  <c r="F592" i="18"/>
  <c r="D592" i="18"/>
  <c r="B592" i="18"/>
  <c r="F591" i="18"/>
  <c r="D591" i="18"/>
  <c r="B591" i="18"/>
  <c r="F590" i="18"/>
  <c r="D590" i="18"/>
  <c r="B590" i="18"/>
  <c r="F589" i="18"/>
  <c r="D589" i="18"/>
  <c r="B589" i="18"/>
  <c r="F588" i="18"/>
  <c r="D588" i="18"/>
  <c r="B588" i="18"/>
  <c r="F587" i="18"/>
  <c r="D587" i="18"/>
  <c r="B587" i="18"/>
  <c r="F586" i="18"/>
  <c r="D586" i="18"/>
  <c r="B586" i="18"/>
  <c r="F585" i="18"/>
  <c r="D585" i="18"/>
  <c r="B585" i="18"/>
  <c r="F584" i="18"/>
  <c r="D584" i="18"/>
  <c r="B584" i="18"/>
  <c r="F583" i="18"/>
  <c r="D583" i="18"/>
  <c r="B583" i="18"/>
  <c r="F582" i="18"/>
  <c r="D582" i="18"/>
  <c r="B582" i="18"/>
  <c r="F581" i="18"/>
  <c r="D581" i="18"/>
  <c r="B581" i="18"/>
  <c r="F580" i="18"/>
  <c r="D580" i="18"/>
  <c r="B580" i="18"/>
  <c r="F579" i="18"/>
  <c r="D579" i="18"/>
  <c r="B579" i="18"/>
  <c r="F578" i="18"/>
  <c r="D578" i="18"/>
  <c r="B578" i="18"/>
  <c r="F577" i="18"/>
  <c r="D577" i="18"/>
  <c r="B577" i="18"/>
  <c r="F576" i="18"/>
  <c r="D576" i="18"/>
  <c r="B576" i="18"/>
  <c r="F575" i="18"/>
  <c r="D575" i="18"/>
  <c r="B575" i="18"/>
  <c r="F574" i="18"/>
  <c r="D574" i="18"/>
  <c r="B574" i="18"/>
  <c r="F573" i="18"/>
  <c r="D573" i="18"/>
  <c r="B573" i="18"/>
  <c r="F572" i="18"/>
  <c r="D572" i="18"/>
  <c r="B572" i="18"/>
  <c r="F571" i="18"/>
  <c r="D571" i="18"/>
  <c r="B571" i="18"/>
  <c r="F570" i="18"/>
  <c r="D570" i="18"/>
  <c r="B570" i="18"/>
  <c r="F569" i="18"/>
  <c r="D569" i="18"/>
  <c r="B569" i="18"/>
  <c r="F568" i="18"/>
  <c r="D568" i="18"/>
  <c r="B568" i="18"/>
  <c r="F567" i="18"/>
  <c r="D567" i="18"/>
  <c r="B567" i="18"/>
  <c r="F566" i="18"/>
  <c r="D566" i="18"/>
  <c r="B566" i="18"/>
  <c r="F565" i="18"/>
  <c r="D565" i="18"/>
  <c r="B565" i="18"/>
  <c r="F564" i="18"/>
  <c r="D564" i="18"/>
  <c r="B564" i="18"/>
  <c r="F563" i="18"/>
  <c r="D563" i="18"/>
  <c r="B563" i="18"/>
  <c r="F562" i="18"/>
  <c r="D562" i="18"/>
  <c r="B562" i="18"/>
  <c r="F561" i="18"/>
  <c r="D561" i="18"/>
  <c r="B561" i="18"/>
  <c r="F560" i="18"/>
  <c r="D560" i="18"/>
  <c r="B560" i="18"/>
  <c r="F559" i="18"/>
  <c r="D559" i="18"/>
  <c r="B559" i="18"/>
  <c r="F558" i="18"/>
  <c r="D558" i="18"/>
  <c r="B558" i="18"/>
  <c r="F557" i="18"/>
  <c r="D557" i="18"/>
  <c r="B557" i="18"/>
  <c r="F556" i="18"/>
  <c r="D556" i="18"/>
  <c r="B556" i="18"/>
  <c r="F555" i="18"/>
  <c r="D555" i="18"/>
  <c r="B555" i="18"/>
  <c r="F554" i="18"/>
  <c r="D554" i="18"/>
  <c r="B554" i="18"/>
  <c r="F553" i="18"/>
  <c r="D553" i="18"/>
  <c r="B553" i="18"/>
  <c r="F552" i="18"/>
  <c r="D552" i="18"/>
  <c r="B552" i="18"/>
  <c r="F551" i="18"/>
  <c r="D551" i="18"/>
  <c r="B551" i="18"/>
  <c r="F550" i="18"/>
  <c r="D550" i="18"/>
  <c r="B550" i="18"/>
  <c r="F549" i="18"/>
  <c r="D549" i="18"/>
  <c r="B549" i="18"/>
  <c r="F548" i="18"/>
  <c r="D548" i="18"/>
  <c r="B548" i="18"/>
  <c r="F547" i="18"/>
  <c r="D547" i="18"/>
  <c r="B547" i="18"/>
  <c r="F546" i="18"/>
  <c r="D546" i="18"/>
  <c r="B546" i="18"/>
  <c r="F545" i="18"/>
  <c r="D545" i="18"/>
  <c r="B545" i="18"/>
  <c r="F544" i="18"/>
  <c r="D544" i="18"/>
  <c r="B544" i="18"/>
  <c r="F543" i="18"/>
  <c r="D543" i="18"/>
  <c r="B543" i="18"/>
  <c r="F542" i="18"/>
  <c r="D542" i="18"/>
  <c r="B542" i="18"/>
  <c r="F541" i="18"/>
  <c r="D541" i="18"/>
  <c r="B541" i="18"/>
  <c r="F540" i="18"/>
  <c r="D540" i="18"/>
  <c r="B540" i="18"/>
  <c r="F539" i="18"/>
  <c r="D539" i="18"/>
  <c r="B539" i="18"/>
  <c r="F538" i="18"/>
  <c r="D538" i="18"/>
  <c r="B538" i="18"/>
  <c r="F537" i="18"/>
  <c r="D537" i="18"/>
  <c r="B537" i="18"/>
  <c r="F536" i="18"/>
  <c r="D536" i="18"/>
  <c r="B536" i="18"/>
  <c r="F535" i="18"/>
  <c r="D535" i="18"/>
  <c r="B535" i="18"/>
  <c r="F534" i="18"/>
  <c r="D534" i="18"/>
  <c r="B534" i="18"/>
  <c r="F533" i="18"/>
  <c r="D533" i="18"/>
  <c r="B533" i="18"/>
  <c r="F532" i="18"/>
  <c r="D532" i="18"/>
  <c r="B532" i="18"/>
  <c r="F531" i="18"/>
  <c r="D531" i="18"/>
  <c r="B531" i="18"/>
  <c r="F530" i="18"/>
  <c r="D530" i="18"/>
  <c r="B530" i="18"/>
  <c r="F529" i="18"/>
  <c r="D529" i="18"/>
  <c r="B529" i="18"/>
  <c r="F528" i="18"/>
  <c r="D528" i="18"/>
  <c r="B528" i="18"/>
  <c r="F527" i="18"/>
  <c r="D527" i="18"/>
  <c r="B527" i="18"/>
  <c r="F526" i="18"/>
  <c r="D526" i="18"/>
  <c r="B526" i="18"/>
  <c r="F525" i="18"/>
  <c r="D525" i="18"/>
  <c r="B525" i="18"/>
  <c r="F524" i="18"/>
  <c r="D524" i="18"/>
  <c r="B524" i="18"/>
  <c r="F523" i="18"/>
  <c r="D523" i="18"/>
  <c r="B523" i="18"/>
  <c r="F522" i="18"/>
  <c r="D522" i="18"/>
  <c r="B522" i="18"/>
  <c r="F521" i="18"/>
  <c r="D521" i="18"/>
  <c r="B521" i="18"/>
  <c r="F520" i="18"/>
  <c r="D520" i="18"/>
  <c r="B520" i="18"/>
  <c r="F519" i="18"/>
  <c r="D519" i="18"/>
  <c r="B519" i="18"/>
  <c r="F518" i="18"/>
  <c r="D518" i="18"/>
  <c r="B518" i="18"/>
  <c r="F517" i="18"/>
  <c r="D517" i="18"/>
  <c r="B517" i="18"/>
  <c r="F516" i="18"/>
  <c r="D516" i="18"/>
  <c r="B516" i="18"/>
  <c r="F515" i="18"/>
  <c r="D515" i="18"/>
  <c r="B515" i="18"/>
  <c r="F514" i="18"/>
  <c r="D514" i="18"/>
  <c r="B514" i="18"/>
  <c r="F513" i="18"/>
  <c r="D513" i="18"/>
  <c r="B513" i="18"/>
  <c r="F512" i="18"/>
  <c r="D512" i="18"/>
  <c r="B512" i="18"/>
  <c r="F511" i="18"/>
  <c r="D511" i="18"/>
  <c r="B511" i="18"/>
  <c r="F510" i="18"/>
  <c r="D510" i="18"/>
  <c r="B510" i="18"/>
  <c r="F509" i="18"/>
  <c r="D509" i="18"/>
  <c r="B509" i="18"/>
  <c r="F508" i="18"/>
  <c r="D508" i="18"/>
  <c r="B508" i="18"/>
  <c r="F507" i="18"/>
  <c r="D507" i="18"/>
  <c r="B507" i="18"/>
  <c r="F506" i="18"/>
  <c r="D506" i="18"/>
  <c r="B506" i="18"/>
  <c r="F505" i="18"/>
  <c r="D505" i="18"/>
  <c r="B505" i="18"/>
  <c r="F504" i="18"/>
  <c r="D504" i="18"/>
  <c r="B504" i="18"/>
  <c r="F503" i="18"/>
  <c r="D503" i="18"/>
  <c r="B503" i="18"/>
  <c r="F502" i="18"/>
  <c r="D502" i="18"/>
  <c r="B502" i="18"/>
  <c r="F501" i="18"/>
  <c r="D501" i="18"/>
  <c r="B501" i="18"/>
  <c r="F500" i="18"/>
  <c r="D500" i="18"/>
  <c r="B500" i="18"/>
  <c r="F499" i="18"/>
  <c r="D499" i="18"/>
  <c r="B499" i="18"/>
  <c r="F498" i="18"/>
  <c r="D498" i="18"/>
  <c r="B498" i="18"/>
  <c r="F497" i="18"/>
  <c r="D497" i="18"/>
  <c r="B497" i="18"/>
  <c r="F496" i="18"/>
  <c r="D496" i="18"/>
  <c r="B496" i="18"/>
  <c r="F495" i="18"/>
  <c r="D495" i="18"/>
  <c r="B495" i="18"/>
  <c r="F494" i="18"/>
  <c r="D494" i="18"/>
  <c r="B494" i="18"/>
  <c r="F493" i="18"/>
  <c r="D493" i="18"/>
  <c r="B493" i="18"/>
  <c r="F492" i="18"/>
  <c r="D492" i="18"/>
  <c r="B492" i="18"/>
  <c r="F491" i="18"/>
  <c r="D491" i="18"/>
  <c r="B491" i="18"/>
  <c r="F490" i="18"/>
  <c r="D490" i="18"/>
  <c r="B490" i="18"/>
  <c r="F489" i="18"/>
  <c r="D489" i="18"/>
  <c r="B489" i="18"/>
  <c r="F488" i="18"/>
  <c r="D488" i="18"/>
  <c r="B488" i="18"/>
  <c r="F487" i="18"/>
  <c r="D487" i="18"/>
  <c r="B487" i="18"/>
  <c r="F486" i="18"/>
  <c r="D486" i="18"/>
  <c r="B486" i="18"/>
  <c r="F485" i="18"/>
  <c r="D485" i="18"/>
  <c r="B485" i="18"/>
  <c r="F484" i="18"/>
  <c r="D484" i="18"/>
  <c r="B484" i="18"/>
  <c r="F483" i="18"/>
  <c r="D483" i="18"/>
  <c r="B483" i="18"/>
  <c r="F482" i="18"/>
  <c r="D482" i="18"/>
  <c r="B482" i="18"/>
  <c r="F481" i="18"/>
  <c r="D481" i="18"/>
  <c r="B481" i="18"/>
  <c r="F480" i="18"/>
  <c r="D480" i="18"/>
  <c r="B480" i="18"/>
  <c r="F479" i="18"/>
  <c r="D479" i="18"/>
  <c r="B479" i="18"/>
  <c r="F478" i="18"/>
  <c r="D478" i="18"/>
  <c r="B478" i="18"/>
  <c r="F477" i="18"/>
  <c r="D477" i="18"/>
  <c r="B477" i="18"/>
  <c r="F476" i="18"/>
  <c r="D476" i="18"/>
  <c r="B476" i="18"/>
  <c r="F475" i="18"/>
  <c r="D475" i="18"/>
  <c r="B475" i="18"/>
  <c r="F474" i="18"/>
  <c r="D474" i="18"/>
  <c r="B474" i="18"/>
  <c r="F473" i="18"/>
  <c r="D473" i="18"/>
  <c r="B473" i="18"/>
  <c r="F472" i="18"/>
  <c r="D472" i="18"/>
  <c r="B472" i="18"/>
  <c r="F471" i="18"/>
  <c r="D471" i="18"/>
  <c r="B471" i="18"/>
  <c r="F470" i="18"/>
  <c r="D470" i="18"/>
  <c r="B470" i="18"/>
  <c r="F469" i="18"/>
  <c r="D469" i="18"/>
  <c r="B469" i="18"/>
  <c r="F468" i="18"/>
  <c r="D468" i="18"/>
  <c r="B468" i="18"/>
  <c r="F467" i="18"/>
  <c r="D467" i="18"/>
  <c r="B467" i="18"/>
  <c r="F466" i="18"/>
  <c r="D466" i="18"/>
  <c r="B466" i="18"/>
  <c r="F465" i="18"/>
  <c r="D465" i="18"/>
  <c r="B465" i="18"/>
  <c r="F464" i="18"/>
  <c r="D464" i="18"/>
  <c r="B464" i="18"/>
  <c r="F463" i="18"/>
  <c r="D463" i="18"/>
  <c r="B463" i="18"/>
  <c r="F462" i="18"/>
  <c r="D462" i="18"/>
  <c r="B462" i="18"/>
  <c r="F461" i="18"/>
  <c r="D461" i="18"/>
  <c r="B461" i="18"/>
  <c r="F460" i="18"/>
  <c r="D460" i="18"/>
  <c r="B460" i="18"/>
  <c r="F459" i="18"/>
  <c r="D459" i="18"/>
  <c r="B459" i="18"/>
  <c r="F458" i="18"/>
  <c r="D458" i="18"/>
  <c r="B458" i="18"/>
  <c r="F457" i="18"/>
  <c r="D457" i="18"/>
  <c r="B457" i="18"/>
  <c r="F456" i="18"/>
  <c r="D456" i="18"/>
  <c r="B456" i="18"/>
  <c r="F455" i="18"/>
  <c r="D455" i="18"/>
  <c r="B455" i="18"/>
  <c r="F454" i="18"/>
  <c r="D454" i="18"/>
  <c r="B454" i="18"/>
  <c r="F453" i="18"/>
  <c r="D453" i="18"/>
  <c r="B453" i="18"/>
  <c r="F452" i="18"/>
  <c r="D452" i="18"/>
  <c r="B452" i="18"/>
  <c r="F451" i="18"/>
  <c r="D451" i="18"/>
  <c r="B451" i="18"/>
  <c r="F450" i="18"/>
  <c r="D450" i="18"/>
  <c r="B450" i="18"/>
  <c r="F449" i="18"/>
  <c r="D449" i="18"/>
  <c r="B449" i="18"/>
  <c r="F448" i="18"/>
  <c r="D448" i="18"/>
  <c r="B448" i="18"/>
  <c r="F447" i="18"/>
  <c r="D447" i="18"/>
  <c r="B447" i="18"/>
  <c r="F446" i="18"/>
  <c r="D446" i="18"/>
  <c r="B446" i="18"/>
  <c r="F445" i="18"/>
  <c r="D445" i="18"/>
  <c r="B445" i="18"/>
  <c r="F444" i="18"/>
  <c r="D444" i="18"/>
  <c r="B444" i="18"/>
  <c r="F443" i="18"/>
  <c r="D443" i="18"/>
  <c r="B443" i="18"/>
  <c r="F442" i="18"/>
  <c r="D442" i="18"/>
  <c r="B442" i="18"/>
  <c r="F441" i="18"/>
  <c r="D441" i="18"/>
  <c r="B441" i="18"/>
  <c r="F440" i="18"/>
  <c r="D440" i="18"/>
  <c r="B440" i="18"/>
  <c r="F439" i="18"/>
  <c r="D439" i="18"/>
  <c r="B439" i="18"/>
  <c r="F438" i="18"/>
  <c r="D438" i="18"/>
  <c r="B438" i="18"/>
  <c r="F437" i="18"/>
  <c r="D437" i="18"/>
  <c r="B437" i="18"/>
  <c r="F436" i="18"/>
  <c r="D436" i="18"/>
  <c r="B436" i="18"/>
  <c r="F435" i="18"/>
  <c r="D435" i="18"/>
  <c r="B435" i="18"/>
  <c r="F434" i="18"/>
  <c r="D434" i="18"/>
  <c r="B434" i="18"/>
  <c r="F433" i="18"/>
  <c r="D433" i="18"/>
  <c r="B433" i="18"/>
  <c r="F432" i="18"/>
  <c r="D432" i="18"/>
  <c r="B432" i="18"/>
  <c r="F431" i="18"/>
  <c r="D431" i="18"/>
  <c r="B431" i="18"/>
  <c r="F430" i="18"/>
  <c r="D430" i="18"/>
  <c r="B430" i="18"/>
  <c r="F429" i="18"/>
  <c r="D429" i="18"/>
  <c r="B429" i="18"/>
  <c r="F428" i="18"/>
  <c r="D428" i="18"/>
  <c r="B428" i="18"/>
  <c r="F427" i="18"/>
  <c r="D427" i="18"/>
  <c r="B427" i="18"/>
  <c r="F426" i="18"/>
  <c r="D426" i="18"/>
  <c r="B426" i="18"/>
  <c r="F425" i="18"/>
  <c r="D425" i="18"/>
  <c r="B425" i="18"/>
  <c r="F424" i="18"/>
  <c r="D424" i="18"/>
  <c r="B424" i="18"/>
  <c r="F423" i="18"/>
  <c r="D423" i="18"/>
  <c r="B423" i="18"/>
  <c r="F422" i="18"/>
  <c r="D422" i="18"/>
  <c r="B422" i="18"/>
  <c r="F421" i="18"/>
  <c r="D421" i="18"/>
  <c r="B421" i="18"/>
  <c r="F420" i="18"/>
  <c r="D420" i="18"/>
  <c r="B420" i="18"/>
  <c r="F419" i="18"/>
  <c r="D419" i="18"/>
  <c r="B419" i="18"/>
  <c r="F418" i="18"/>
  <c r="D418" i="18"/>
  <c r="B418" i="18"/>
  <c r="F417" i="18"/>
  <c r="D417" i="18"/>
  <c r="B417" i="18"/>
  <c r="F416" i="18"/>
  <c r="D416" i="18"/>
  <c r="B416" i="18"/>
  <c r="F415" i="18"/>
  <c r="D415" i="18"/>
  <c r="B415" i="18"/>
  <c r="F414" i="18"/>
  <c r="D414" i="18"/>
  <c r="B414" i="18"/>
  <c r="F413" i="18"/>
  <c r="D413" i="18"/>
  <c r="B413" i="18"/>
  <c r="F412" i="18"/>
  <c r="D412" i="18"/>
  <c r="B412" i="18"/>
  <c r="F411" i="18"/>
  <c r="D411" i="18"/>
  <c r="B411" i="18"/>
  <c r="F410" i="18"/>
  <c r="D410" i="18"/>
  <c r="B410" i="18"/>
  <c r="F409" i="18"/>
  <c r="D409" i="18"/>
  <c r="B409" i="18"/>
  <c r="F408" i="18"/>
  <c r="D408" i="18"/>
  <c r="B408" i="18"/>
  <c r="F407" i="18"/>
  <c r="D407" i="18"/>
  <c r="B407" i="18"/>
  <c r="F406" i="18"/>
  <c r="D406" i="18"/>
  <c r="B406" i="18"/>
  <c r="F405" i="18"/>
  <c r="D405" i="18"/>
  <c r="B405" i="18"/>
  <c r="F404" i="18"/>
  <c r="D404" i="18"/>
  <c r="B404" i="18"/>
  <c r="F403" i="18"/>
  <c r="D403" i="18"/>
  <c r="B403" i="18"/>
  <c r="F402" i="18"/>
  <c r="D402" i="18"/>
  <c r="B402" i="18"/>
  <c r="F401" i="18"/>
  <c r="D401" i="18"/>
  <c r="B401" i="18"/>
  <c r="F400" i="18"/>
  <c r="D400" i="18"/>
  <c r="B400" i="18"/>
  <c r="F399" i="18"/>
  <c r="D399" i="18"/>
  <c r="B399" i="18"/>
  <c r="F398" i="18"/>
  <c r="D398" i="18"/>
  <c r="B398" i="18"/>
  <c r="F397" i="18"/>
  <c r="D397" i="18"/>
  <c r="B397" i="18"/>
  <c r="F396" i="18"/>
  <c r="D396" i="18"/>
  <c r="B396" i="18"/>
  <c r="F395" i="18"/>
  <c r="D395" i="18"/>
  <c r="B395" i="18"/>
  <c r="F394" i="18"/>
  <c r="D394" i="18"/>
  <c r="B394" i="18"/>
  <c r="F393" i="18"/>
  <c r="D393" i="18"/>
  <c r="B393" i="18"/>
  <c r="F392" i="18"/>
  <c r="D392" i="18"/>
  <c r="B392" i="18"/>
  <c r="F391" i="18"/>
  <c r="D391" i="18"/>
  <c r="B391" i="18"/>
  <c r="F390" i="18"/>
  <c r="D390" i="18"/>
  <c r="B390" i="18"/>
  <c r="F389" i="18"/>
  <c r="D389" i="18"/>
  <c r="B389" i="18"/>
  <c r="F388" i="18"/>
  <c r="D388" i="18"/>
  <c r="B388" i="18"/>
  <c r="F387" i="18"/>
  <c r="D387" i="18"/>
  <c r="B387" i="18"/>
  <c r="F386" i="18"/>
  <c r="D386" i="18"/>
  <c r="B386" i="18"/>
  <c r="F385" i="18"/>
  <c r="D385" i="18"/>
  <c r="B385" i="18"/>
  <c r="F384" i="18"/>
  <c r="D384" i="18"/>
  <c r="B384" i="18"/>
  <c r="F383" i="18"/>
  <c r="D383" i="18"/>
  <c r="B383" i="18"/>
  <c r="F382" i="18"/>
  <c r="D382" i="18"/>
  <c r="B382" i="18"/>
  <c r="F381" i="18"/>
  <c r="D381" i="18"/>
  <c r="B381" i="18"/>
  <c r="F380" i="18"/>
  <c r="D380" i="18"/>
  <c r="B380" i="18"/>
  <c r="F379" i="18"/>
  <c r="D379" i="18"/>
  <c r="B379" i="18"/>
  <c r="F378" i="18"/>
  <c r="D378" i="18"/>
  <c r="B378" i="18"/>
  <c r="F377" i="18"/>
  <c r="D377" i="18"/>
  <c r="B377" i="18"/>
  <c r="F376" i="18"/>
  <c r="D376" i="18"/>
  <c r="B376" i="18"/>
  <c r="F375" i="18"/>
  <c r="D375" i="18"/>
  <c r="B375" i="18"/>
  <c r="F374" i="18"/>
  <c r="D374" i="18"/>
  <c r="B374" i="18"/>
  <c r="F373" i="18"/>
  <c r="D373" i="18"/>
  <c r="B373" i="18"/>
  <c r="F372" i="18"/>
  <c r="D372" i="18"/>
  <c r="B372" i="18"/>
  <c r="F371" i="18"/>
  <c r="D371" i="18"/>
  <c r="B371" i="18"/>
  <c r="F370" i="18"/>
  <c r="D370" i="18"/>
  <c r="B370" i="18"/>
  <c r="F369" i="18"/>
  <c r="D369" i="18"/>
  <c r="B369" i="18"/>
  <c r="F368" i="18"/>
  <c r="D368" i="18"/>
  <c r="B368" i="18"/>
  <c r="F367" i="18"/>
  <c r="D367" i="18"/>
  <c r="B367" i="18"/>
  <c r="F366" i="18"/>
  <c r="D366" i="18"/>
  <c r="B366" i="18"/>
  <c r="F365" i="18"/>
  <c r="D365" i="18"/>
  <c r="B365" i="18"/>
  <c r="F364" i="18"/>
  <c r="D364" i="18"/>
  <c r="B364" i="18"/>
  <c r="F363" i="18"/>
  <c r="D363" i="18"/>
  <c r="B363" i="18"/>
  <c r="F362" i="18"/>
  <c r="D362" i="18"/>
  <c r="B362" i="18"/>
  <c r="F361" i="18"/>
  <c r="D361" i="18"/>
  <c r="B361" i="18"/>
  <c r="F360" i="18"/>
  <c r="D360" i="18"/>
  <c r="B360" i="18"/>
  <c r="F359" i="18"/>
  <c r="D359" i="18"/>
  <c r="B359" i="18"/>
  <c r="F358" i="18"/>
  <c r="D358" i="18"/>
  <c r="B358" i="18"/>
  <c r="F357" i="18"/>
  <c r="D357" i="18"/>
  <c r="B357" i="18"/>
  <c r="F356" i="18"/>
  <c r="D356" i="18"/>
  <c r="B356" i="18"/>
  <c r="F355" i="18"/>
  <c r="D355" i="18"/>
  <c r="B355" i="18"/>
  <c r="F354" i="18"/>
  <c r="D354" i="18"/>
  <c r="B354" i="18"/>
  <c r="F353" i="18"/>
  <c r="D353" i="18"/>
  <c r="B353" i="18"/>
  <c r="F352" i="18"/>
  <c r="D352" i="18"/>
  <c r="B352" i="18"/>
  <c r="F351" i="18"/>
  <c r="D351" i="18"/>
  <c r="B351" i="18"/>
  <c r="F350" i="18"/>
  <c r="D350" i="18"/>
  <c r="B350" i="18"/>
  <c r="F349" i="18"/>
  <c r="D349" i="18"/>
  <c r="B349" i="18"/>
  <c r="F348" i="18"/>
  <c r="D348" i="18"/>
  <c r="B348" i="18"/>
  <c r="F347" i="18"/>
  <c r="D347" i="18"/>
  <c r="B347" i="18"/>
  <c r="F346" i="18"/>
  <c r="D346" i="18"/>
  <c r="B346" i="18"/>
  <c r="F345" i="18"/>
  <c r="D345" i="18"/>
  <c r="B345" i="18"/>
  <c r="F344" i="18"/>
  <c r="D344" i="18"/>
  <c r="B344" i="18"/>
  <c r="F343" i="18"/>
  <c r="D343" i="18"/>
  <c r="B343" i="18"/>
  <c r="F342" i="18"/>
  <c r="D342" i="18"/>
  <c r="B342" i="18"/>
  <c r="F341" i="18"/>
  <c r="D341" i="18"/>
  <c r="B341" i="18"/>
  <c r="F340" i="18"/>
  <c r="D340" i="18"/>
  <c r="B340" i="18"/>
  <c r="F339" i="18"/>
  <c r="D339" i="18"/>
  <c r="B339" i="18"/>
  <c r="F338" i="18"/>
  <c r="D338" i="18"/>
  <c r="B338" i="18"/>
  <c r="F337" i="18"/>
  <c r="D337" i="18"/>
  <c r="B337" i="18"/>
  <c r="F336" i="18"/>
  <c r="D336" i="18"/>
  <c r="B336" i="18"/>
  <c r="F335" i="18"/>
  <c r="D335" i="18"/>
  <c r="B335" i="18"/>
  <c r="F334" i="18"/>
  <c r="D334" i="18"/>
  <c r="B334" i="18"/>
  <c r="F333" i="18"/>
  <c r="D333" i="18"/>
  <c r="B333" i="18"/>
  <c r="F332" i="18"/>
  <c r="D332" i="18"/>
  <c r="B332" i="18"/>
  <c r="F331" i="18"/>
  <c r="D331" i="18"/>
  <c r="B331" i="18"/>
  <c r="F330" i="18"/>
  <c r="D330" i="18"/>
  <c r="B330" i="18"/>
  <c r="F329" i="18"/>
  <c r="D329" i="18"/>
  <c r="B329" i="18"/>
  <c r="F328" i="18"/>
  <c r="D328" i="18"/>
  <c r="B328" i="18"/>
  <c r="F327" i="18"/>
  <c r="D327" i="18"/>
  <c r="B327" i="18"/>
  <c r="F326" i="18"/>
  <c r="D326" i="18"/>
  <c r="B326" i="18"/>
  <c r="F325" i="18"/>
  <c r="D325" i="18"/>
  <c r="B325" i="18"/>
  <c r="F324" i="18"/>
  <c r="D324" i="18"/>
  <c r="B324" i="18"/>
  <c r="F323" i="18"/>
  <c r="D323" i="18"/>
  <c r="B323" i="18"/>
  <c r="F322" i="18"/>
  <c r="D322" i="18"/>
  <c r="B322" i="18"/>
  <c r="F321" i="18"/>
  <c r="D321" i="18"/>
  <c r="B321" i="18"/>
  <c r="F320" i="18"/>
  <c r="D320" i="18"/>
  <c r="B320" i="18"/>
  <c r="F319" i="18"/>
  <c r="D319" i="18"/>
  <c r="B319" i="18"/>
  <c r="F318" i="18"/>
  <c r="D318" i="18"/>
  <c r="B318" i="18"/>
  <c r="F317" i="18"/>
  <c r="D317" i="18"/>
  <c r="B317" i="18"/>
  <c r="F316" i="18"/>
  <c r="D316" i="18"/>
  <c r="B316" i="18"/>
  <c r="F315" i="18"/>
  <c r="D315" i="18"/>
  <c r="B315" i="18"/>
  <c r="F314" i="18"/>
  <c r="D314" i="18"/>
  <c r="B314" i="18"/>
  <c r="F313" i="18"/>
  <c r="D313" i="18"/>
  <c r="B313" i="18"/>
  <c r="F312" i="18"/>
  <c r="D312" i="18"/>
  <c r="B312" i="18"/>
  <c r="F311" i="18"/>
  <c r="D311" i="18"/>
  <c r="B311" i="18"/>
  <c r="F310" i="18"/>
  <c r="D310" i="18"/>
  <c r="B310" i="18"/>
  <c r="F309" i="18"/>
  <c r="D309" i="18"/>
  <c r="B309" i="18"/>
  <c r="F308" i="18"/>
  <c r="D308" i="18"/>
  <c r="B308" i="18"/>
  <c r="F307" i="18"/>
  <c r="D307" i="18"/>
  <c r="B307" i="18"/>
  <c r="F306" i="18"/>
  <c r="D306" i="18"/>
  <c r="B306" i="18"/>
  <c r="F305" i="18"/>
  <c r="D305" i="18"/>
  <c r="B305" i="18"/>
  <c r="F304" i="18"/>
  <c r="D304" i="18"/>
  <c r="B304" i="18"/>
  <c r="F303" i="18"/>
  <c r="D303" i="18"/>
  <c r="B303" i="18"/>
  <c r="F302" i="18"/>
  <c r="D302" i="18"/>
  <c r="B302" i="18"/>
  <c r="F301" i="18"/>
  <c r="D301" i="18"/>
  <c r="B301" i="18"/>
  <c r="F300" i="18"/>
  <c r="D300" i="18"/>
  <c r="B300" i="18"/>
  <c r="F299" i="18"/>
  <c r="D299" i="18"/>
  <c r="B299" i="18"/>
  <c r="F298" i="18"/>
  <c r="D298" i="18"/>
  <c r="B298" i="18"/>
  <c r="F297" i="18"/>
  <c r="D297" i="18"/>
  <c r="B297" i="18"/>
  <c r="F296" i="18"/>
  <c r="D296" i="18"/>
  <c r="B296" i="18"/>
  <c r="F295" i="18"/>
  <c r="D295" i="18"/>
  <c r="B295" i="18"/>
  <c r="F294" i="18"/>
  <c r="D294" i="18"/>
  <c r="B294" i="18"/>
  <c r="F293" i="18"/>
  <c r="D293" i="18"/>
  <c r="B293" i="18"/>
  <c r="F292" i="18"/>
  <c r="D292" i="18"/>
  <c r="B292" i="18"/>
  <c r="F291" i="18"/>
  <c r="D291" i="18"/>
  <c r="B291" i="18"/>
  <c r="F290" i="18"/>
  <c r="D290" i="18"/>
  <c r="B290" i="18"/>
  <c r="F289" i="18"/>
  <c r="D289" i="18"/>
  <c r="B289" i="18"/>
  <c r="F288" i="18"/>
  <c r="D288" i="18"/>
  <c r="B288" i="18"/>
  <c r="F287" i="18"/>
  <c r="D287" i="18"/>
  <c r="B287" i="18"/>
  <c r="F286" i="18"/>
  <c r="D286" i="18"/>
  <c r="B286" i="18"/>
  <c r="F285" i="18"/>
  <c r="D285" i="18"/>
  <c r="B285" i="18"/>
  <c r="F284" i="18"/>
  <c r="D284" i="18"/>
  <c r="B284" i="18"/>
  <c r="F283" i="18"/>
  <c r="D283" i="18"/>
  <c r="B283" i="18"/>
  <c r="F282" i="18"/>
  <c r="D282" i="18"/>
  <c r="B282" i="18"/>
  <c r="F281" i="18"/>
  <c r="D281" i="18"/>
  <c r="B281" i="18"/>
  <c r="F280" i="18"/>
  <c r="D280" i="18"/>
  <c r="B280" i="18"/>
  <c r="F279" i="18"/>
  <c r="D279" i="18"/>
  <c r="B279" i="18"/>
  <c r="F278" i="18"/>
  <c r="D278" i="18"/>
  <c r="B278" i="18"/>
  <c r="F277" i="18"/>
  <c r="D277" i="18"/>
  <c r="B277" i="18"/>
  <c r="F276" i="18"/>
  <c r="D276" i="18"/>
  <c r="B276" i="18"/>
  <c r="F275" i="18"/>
  <c r="D275" i="18"/>
  <c r="B275" i="18"/>
  <c r="F274" i="18"/>
  <c r="D274" i="18"/>
  <c r="B274" i="18"/>
  <c r="F273" i="18"/>
  <c r="D273" i="18"/>
  <c r="B273" i="18"/>
  <c r="F272" i="18"/>
  <c r="D272" i="18"/>
  <c r="B272" i="18"/>
  <c r="F271" i="18"/>
  <c r="D271" i="18"/>
  <c r="B271" i="18"/>
  <c r="F270" i="18"/>
  <c r="D270" i="18"/>
  <c r="B270" i="18"/>
  <c r="F269" i="18"/>
  <c r="D269" i="18"/>
  <c r="B269" i="18"/>
  <c r="F268" i="18"/>
  <c r="D268" i="18"/>
  <c r="B268" i="18"/>
  <c r="F267" i="18"/>
  <c r="D267" i="18"/>
  <c r="B267" i="18"/>
  <c r="F266" i="18"/>
  <c r="D266" i="18"/>
  <c r="B266" i="18"/>
  <c r="F265" i="18"/>
  <c r="D265" i="18"/>
  <c r="B265" i="18"/>
  <c r="F264" i="18"/>
  <c r="D264" i="18"/>
  <c r="B264" i="18"/>
  <c r="F263" i="18"/>
  <c r="D263" i="18"/>
  <c r="B263" i="18"/>
  <c r="F262" i="18"/>
  <c r="D262" i="18"/>
  <c r="B262" i="18"/>
  <c r="F261" i="18"/>
  <c r="D261" i="18"/>
  <c r="B261" i="18"/>
  <c r="F260" i="18"/>
  <c r="D260" i="18"/>
  <c r="B260" i="18"/>
  <c r="F259" i="18"/>
  <c r="D259" i="18"/>
  <c r="B259" i="18"/>
  <c r="F258" i="18"/>
  <c r="D258" i="18"/>
  <c r="B258" i="18"/>
  <c r="F257" i="18"/>
  <c r="D257" i="18"/>
  <c r="B257" i="18"/>
  <c r="F256" i="18"/>
  <c r="D256" i="18"/>
  <c r="B256" i="18"/>
  <c r="F255" i="18"/>
  <c r="D255" i="18"/>
  <c r="B255" i="18"/>
  <c r="F254" i="18"/>
  <c r="D254" i="18"/>
  <c r="B254" i="18"/>
  <c r="F253" i="18"/>
  <c r="D253" i="18"/>
  <c r="B253" i="18"/>
  <c r="F252" i="18"/>
  <c r="D252" i="18"/>
  <c r="B252" i="18"/>
  <c r="F251" i="18"/>
  <c r="D251" i="18"/>
  <c r="B251" i="18"/>
  <c r="F250" i="18"/>
  <c r="D250" i="18"/>
  <c r="B250" i="18"/>
  <c r="F249" i="18"/>
  <c r="D249" i="18"/>
  <c r="B249" i="18"/>
  <c r="F248" i="18"/>
  <c r="D248" i="18"/>
  <c r="B248" i="18"/>
  <c r="F247" i="18"/>
  <c r="D247" i="18"/>
  <c r="B247" i="18"/>
  <c r="F246" i="18"/>
  <c r="D246" i="18"/>
  <c r="B246" i="18"/>
  <c r="F245" i="18"/>
  <c r="D245" i="18"/>
  <c r="B245" i="18"/>
  <c r="F244" i="18"/>
  <c r="D244" i="18"/>
  <c r="B244" i="18"/>
  <c r="F243" i="18"/>
  <c r="D243" i="18"/>
  <c r="B243" i="18"/>
  <c r="F242" i="18"/>
  <c r="D242" i="18"/>
  <c r="B242" i="18"/>
  <c r="F241" i="18"/>
  <c r="D241" i="18"/>
  <c r="B241" i="18"/>
  <c r="F240" i="18"/>
  <c r="D240" i="18"/>
  <c r="B240" i="18"/>
  <c r="F239" i="18"/>
  <c r="D239" i="18"/>
  <c r="B239" i="18"/>
  <c r="F238" i="18"/>
  <c r="D238" i="18"/>
  <c r="B238" i="18"/>
  <c r="F237" i="18"/>
  <c r="D237" i="18"/>
  <c r="B237" i="18"/>
  <c r="F236" i="18"/>
  <c r="D236" i="18"/>
  <c r="B236" i="18"/>
  <c r="F235" i="18"/>
  <c r="D235" i="18"/>
  <c r="B235" i="18"/>
  <c r="F234" i="18"/>
  <c r="D234" i="18"/>
  <c r="B234" i="18"/>
  <c r="F233" i="18"/>
  <c r="D233" i="18"/>
  <c r="B233" i="18"/>
  <c r="F232" i="18"/>
  <c r="D232" i="18"/>
  <c r="B232" i="18"/>
  <c r="F231" i="18"/>
  <c r="D231" i="18"/>
  <c r="B231" i="18"/>
  <c r="F230" i="18"/>
  <c r="D230" i="18"/>
  <c r="B230" i="18"/>
  <c r="F229" i="18"/>
  <c r="D229" i="18"/>
  <c r="B229" i="18"/>
  <c r="F228" i="18"/>
  <c r="D228" i="18"/>
  <c r="B228" i="18"/>
  <c r="F227" i="18"/>
  <c r="D227" i="18"/>
  <c r="B227" i="18"/>
  <c r="F226" i="18"/>
  <c r="D226" i="18"/>
  <c r="B226" i="18"/>
  <c r="F225" i="18"/>
  <c r="D225" i="18"/>
  <c r="B225" i="18"/>
  <c r="F224" i="18"/>
  <c r="D224" i="18"/>
  <c r="B224" i="18"/>
  <c r="F223" i="18"/>
  <c r="D223" i="18"/>
  <c r="B223" i="18"/>
  <c r="F222" i="18"/>
  <c r="D222" i="18"/>
  <c r="B222" i="18"/>
  <c r="F221" i="18"/>
  <c r="D221" i="18"/>
  <c r="B221" i="18"/>
  <c r="F220" i="18"/>
  <c r="D220" i="18"/>
  <c r="B220" i="18"/>
  <c r="F219" i="18"/>
  <c r="D219" i="18"/>
  <c r="B219" i="18"/>
  <c r="F218" i="18"/>
  <c r="D218" i="18"/>
  <c r="B218" i="18"/>
  <c r="F217" i="18"/>
  <c r="D217" i="18"/>
  <c r="B217" i="18"/>
  <c r="F216" i="18"/>
  <c r="D216" i="18"/>
  <c r="B216" i="18"/>
  <c r="F215" i="18"/>
  <c r="D215" i="18"/>
  <c r="B215" i="18"/>
  <c r="F214" i="18"/>
  <c r="D214" i="18"/>
  <c r="B214" i="18"/>
  <c r="F213" i="18"/>
  <c r="D213" i="18"/>
  <c r="B213" i="18"/>
  <c r="F212" i="18"/>
  <c r="D212" i="18"/>
  <c r="B212" i="18"/>
  <c r="F211" i="18"/>
  <c r="D211" i="18"/>
  <c r="B211" i="18"/>
  <c r="F210" i="18"/>
  <c r="D210" i="18"/>
  <c r="B210" i="18"/>
  <c r="F209" i="18"/>
  <c r="D209" i="18"/>
  <c r="B209" i="18"/>
  <c r="F208" i="18"/>
  <c r="D208" i="18"/>
  <c r="B208" i="18"/>
  <c r="F207" i="18"/>
  <c r="D207" i="18"/>
  <c r="B207" i="18"/>
  <c r="F206" i="18"/>
  <c r="D206" i="18"/>
  <c r="B206" i="18"/>
  <c r="F205" i="18"/>
  <c r="D205" i="18"/>
  <c r="B205" i="18"/>
  <c r="F204" i="18"/>
  <c r="D204" i="18"/>
  <c r="B204" i="18"/>
  <c r="F203" i="18"/>
  <c r="D203" i="18"/>
  <c r="B203" i="18"/>
  <c r="F202" i="18"/>
  <c r="D202" i="18"/>
  <c r="B202" i="18"/>
  <c r="F201" i="18"/>
  <c r="D201" i="18"/>
  <c r="B201" i="18"/>
  <c r="F200" i="18"/>
  <c r="D200" i="18"/>
  <c r="B200" i="18"/>
  <c r="F199" i="18"/>
  <c r="D199" i="18"/>
  <c r="B199" i="18"/>
  <c r="F198" i="18"/>
  <c r="D198" i="18"/>
  <c r="B198" i="18"/>
  <c r="F197" i="18"/>
  <c r="D197" i="18"/>
  <c r="B197" i="18"/>
  <c r="F196" i="18"/>
  <c r="D196" i="18"/>
  <c r="B196" i="18"/>
  <c r="F195" i="18"/>
  <c r="D195" i="18"/>
  <c r="B195" i="18"/>
  <c r="F194" i="18"/>
  <c r="D194" i="18"/>
  <c r="B194" i="18"/>
  <c r="F193" i="18"/>
  <c r="D193" i="18"/>
  <c r="B193" i="18"/>
  <c r="F192" i="18"/>
  <c r="D192" i="18"/>
  <c r="B192" i="18"/>
  <c r="F191" i="18"/>
  <c r="D191" i="18"/>
  <c r="B191" i="18"/>
  <c r="F190" i="18"/>
  <c r="D190" i="18"/>
  <c r="B190" i="18"/>
  <c r="F189" i="18"/>
  <c r="D189" i="18"/>
  <c r="B189" i="18"/>
  <c r="F188" i="18"/>
  <c r="D188" i="18"/>
  <c r="B188" i="18"/>
  <c r="F187" i="18"/>
  <c r="D187" i="18"/>
  <c r="B187" i="18"/>
  <c r="F186" i="18"/>
  <c r="D186" i="18"/>
  <c r="B186" i="18"/>
  <c r="F185" i="18"/>
  <c r="D185" i="18"/>
  <c r="B185" i="18"/>
  <c r="F184" i="18"/>
  <c r="D184" i="18"/>
  <c r="B184" i="18"/>
  <c r="F183" i="18"/>
  <c r="D183" i="18"/>
  <c r="B183" i="18"/>
  <c r="F182" i="18"/>
  <c r="D182" i="18"/>
  <c r="B182" i="18"/>
  <c r="F181" i="18"/>
  <c r="D181" i="18"/>
  <c r="B181" i="18"/>
  <c r="F180" i="18"/>
  <c r="D180" i="18"/>
  <c r="B180" i="18"/>
  <c r="F179" i="18"/>
  <c r="D179" i="18"/>
  <c r="B179" i="18"/>
  <c r="F178" i="18"/>
  <c r="D178" i="18"/>
  <c r="B178" i="18"/>
  <c r="F177" i="18"/>
  <c r="D177" i="18"/>
  <c r="B177" i="18"/>
  <c r="F176" i="18"/>
  <c r="D176" i="18"/>
  <c r="B176" i="18"/>
  <c r="F175" i="18"/>
  <c r="D175" i="18"/>
  <c r="B175" i="18"/>
  <c r="F174" i="18"/>
  <c r="D174" i="18"/>
  <c r="B174" i="18"/>
  <c r="F173" i="18"/>
  <c r="D173" i="18"/>
  <c r="B173" i="18"/>
  <c r="F172" i="18"/>
  <c r="D172" i="18"/>
  <c r="B172" i="18"/>
  <c r="F171" i="18"/>
  <c r="D171" i="18"/>
  <c r="B171" i="18"/>
  <c r="F170" i="18"/>
  <c r="D170" i="18"/>
  <c r="B170" i="18"/>
  <c r="F169" i="18"/>
  <c r="D169" i="18"/>
  <c r="B169" i="18"/>
  <c r="F168" i="18"/>
  <c r="D168" i="18"/>
  <c r="B168" i="18"/>
  <c r="F167" i="18"/>
  <c r="D167" i="18"/>
  <c r="B167" i="18"/>
  <c r="F166" i="18"/>
  <c r="D166" i="18"/>
  <c r="B166" i="18"/>
  <c r="F165" i="18"/>
  <c r="D165" i="18"/>
  <c r="B165" i="18"/>
  <c r="F164" i="18"/>
  <c r="D164" i="18"/>
  <c r="B164" i="18"/>
  <c r="F163" i="18"/>
  <c r="D163" i="18"/>
  <c r="B163" i="18"/>
  <c r="F162" i="18"/>
  <c r="D162" i="18"/>
  <c r="B162" i="18"/>
  <c r="F161" i="18"/>
  <c r="D161" i="18"/>
  <c r="B161" i="18"/>
  <c r="F160" i="18"/>
  <c r="D160" i="18"/>
  <c r="B160" i="18"/>
  <c r="F159" i="18"/>
  <c r="D159" i="18"/>
  <c r="B159" i="18"/>
  <c r="F158" i="18"/>
  <c r="D158" i="18"/>
  <c r="B158" i="18"/>
  <c r="F157" i="18"/>
  <c r="D157" i="18"/>
  <c r="B157" i="18"/>
  <c r="F156" i="18"/>
  <c r="D156" i="18"/>
  <c r="B156" i="18"/>
  <c r="F155" i="18"/>
  <c r="D155" i="18"/>
  <c r="B155" i="18"/>
  <c r="F154" i="18"/>
  <c r="D154" i="18"/>
  <c r="B154" i="18"/>
  <c r="F153" i="18"/>
  <c r="D153" i="18"/>
  <c r="B153" i="18"/>
  <c r="F152" i="18"/>
  <c r="D152" i="18"/>
  <c r="B152" i="18"/>
  <c r="F151" i="18"/>
  <c r="D151" i="18"/>
  <c r="B151" i="18"/>
  <c r="F150" i="18"/>
  <c r="D150" i="18"/>
  <c r="B150" i="18"/>
  <c r="F149" i="18"/>
  <c r="D149" i="18"/>
  <c r="B149" i="18"/>
  <c r="F148" i="18"/>
  <c r="D148" i="18"/>
  <c r="B148" i="18"/>
  <c r="F147" i="18"/>
  <c r="D147" i="18"/>
  <c r="B147" i="18"/>
  <c r="F146" i="18"/>
  <c r="D146" i="18"/>
  <c r="B146" i="18"/>
  <c r="F145" i="18"/>
  <c r="D145" i="18"/>
  <c r="B145" i="18"/>
  <c r="F144" i="18"/>
  <c r="D144" i="18"/>
  <c r="B144" i="18"/>
  <c r="F143" i="18"/>
  <c r="D143" i="18"/>
  <c r="B143" i="18"/>
  <c r="F142" i="18"/>
  <c r="D142" i="18"/>
  <c r="B142" i="18"/>
  <c r="F141" i="18"/>
  <c r="D141" i="18"/>
  <c r="B141" i="18"/>
  <c r="F140" i="18"/>
  <c r="D140" i="18"/>
  <c r="B140" i="18"/>
  <c r="F139" i="18"/>
  <c r="D139" i="18"/>
  <c r="B139" i="18"/>
  <c r="F138" i="18"/>
  <c r="D138" i="18"/>
  <c r="B138" i="18"/>
  <c r="F137" i="18"/>
  <c r="D137" i="18"/>
  <c r="B137" i="18"/>
  <c r="F136" i="18"/>
  <c r="D136" i="18"/>
  <c r="B136" i="18"/>
  <c r="F135" i="18"/>
  <c r="D135" i="18"/>
  <c r="B135" i="18"/>
  <c r="F134" i="18"/>
  <c r="D134" i="18"/>
  <c r="B134" i="18"/>
  <c r="F133" i="18"/>
  <c r="D133" i="18"/>
  <c r="B133" i="18"/>
  <c r="F132" i="18"/>
  <c r="D132" i="18"/>
  <c r="B132" i="18"/>
  <c r="F131" i="18"/>
  <c r="D131" i="18"/>
  <c r="B131" i="18"/>
  <c r="F130" i="18"/>
  <c r="D130" i="18"/>
  <c r="B130" i="18"/>
  <c r="F129" i="18"/>
  <c r="D129" i="18"/>
  <c r="B129" i="18"/>
  <c r="F128" i="18"/>
  <c r="D128" i="18"/>
  <c r="B128" i="18"/>
  <c r="F127" i="18"/>
  <c r="D127" i="18"/>
  <c r="B127" i="18"/>
  <c r="F126" i="18"/>
  <c r="D126" i="18"/>
  <c r="B126" i="18"/>
  <c r="F125" i="18"/>
  <c r="D125" i="18"/>
  <c r="B125" i="18"/>
  <c r="F124" i="18"/>
  <c r="D124" i="18"/>
  <c r="B124" i="18"/>
  <c r="F123" i="18"/>
  <c r="D123" i="18"/>
  <c r="B123" i="18"/>
  <c r="F122" i="18"/>
  <c r="D122" i="18"/>
  <c r="B122" i="18"/>
  <c r="F121" i="18"/>
  <c r="D121" i="18"/>
  <c r="B121" i="18"/>
  <c r="F120" i="18"/>
  <c r="D120" i="18"/>
  <c r="B120" i="18"/>
  <c r="F119" i="18"/>
  <c r="D119" i="18"/>
  <c r="B119" i="18"/>
  <c r="F118" i="18"/>
  <c r="D118" i="18"/>
  <c r="B118" i="18"/>
  <c r="F117" i="18"/>
  <c r="D117" i="18"/>
  <c r="B117" i="18"/>
  <c r="F116" i="18"/>
  <c r="D116" i="18"/>
  <c r="B116" i="18"/>
  <c r="F115" i="18"/>
  <c r="D115" i="18"/>
  <c r="B115" i="18"/>
  <c r="F114" i="18"/>
  <c r="D114" i="18"/>
  <c r="B114" i="18"/>
  <c r="F113" i="18"/>
  <c r="D113" i="18"/>
  <c r="B113" i="18"/>
  <c r="F112" i="18"/>
  <c r="D112" i="18"/>
  <c r="B112" i="18"/>
  <c r="F111" i="18"/>
  <c r="D111" i="18"/>
  <c r="B111" i="18"/>
  <c r="F110" i="18"/>
  <c r="D110" i="18"/>
  <c r="B110" i="18"/>
  <c r="F109" i="18"/>
  <c r="D109" i="18"/>
  <c r="B109" i="18"/>
  <c r="F108" i="18"/>
  <c r="D108" i="18"/>
  <c r="B108" i="18"/>
  <c r="F107" i="18"/>
  <c r="D107" i="18"/>
  <c r="B107" i="18"/>
  <c r="F106" i="18"/>
  <c r="D106" i="18"/>
  <c r="B106" i="18"/>
  <c r="F105" i="18"/>
  <c r="D105" i="18"/>
  <c r="B105" i="18"/>
  <c r="F104" i="18"/>
  <c r="D104" i="18"/>
  <c r="B104" i="18"/>
  <c r="F103" i="18"/>
  <c r="D103" i="18"/>
  <c r="B103" i="18"/>
  <c r="F102" i="18"/>
  <c r="D102" i="18"/>
  <c r="B102" i="18"/>
  <c r="F101" i="18"/>
  <c r="D101" i="18"/>
  <c r="B101" i="18"/>
  <c r="F100" i="18"/>
  <c r="D100" i="18"/>
  <c r="B100" i="18"/>
  <c r="F99" i="18"/>
  <c r="D99" i="18"/>
  <c r="B99" i="18"/>
  <c r="F98" i="18"/>
  <c r="D98" i="18"/>
  <c r="B98" i="18"/>
  <c r="F97" i="18"/>
  <c r="D97" i="18"/>
  <c r="B97" i="18"/>
  <c r="F96" i="18"/>
  <c r="D96" i="18"/>
  <c r="B96" i="18"/>
  <c r="F95" i="18"/>
  <c r="D95" i="18"/>
  <c r="B95" i="18"/>
  <c r="F94" i="18"/>
  <c r="D94" i="18"/>
  <c r="B94" i="18"/>
  <c r="F93" i="18"/>
  <c r="D93" i="18"/>
  <c r="B93" i="18"/>
  <c r="F92" i="18"/>
  <c r="D92" i="18"/>
  <c r="B92" i="18"/>
  <c r="F91" i="18"/>
  <c r="D91" i="18"/>
  <c r="B91" i="18"/>
  <c r="F90" i="18"/>
  <c r="D90" i="18"/>
  <c r="B90" i="18"/>
  <c r="F89" i="18"/>
  <c r="D89" i="18"/>
  <c r="B89" i="18"/>
  <c r="B88" i="18"/>
  <c r="B87" i="18"/>
  <c r="B86" i="18"/>
  <c r="F85" i="18"/>
  <c r="D85" i="18"/>
  <c r="B85" i="18"/>
  <c r="F84" i="18"/>
  <c r="D84" i="18"/>
  <c r="B84" i="18"/>
  <c r="F83" i="18"/>
  <c r="D83" i="18"/>
  <c r="B83" i="18"/>
  <c r="F82" i="18"/>
  <c r="D82" i="18"/>
  <c r="B82" i="18"/>
  <c r="F81" i="18"/>
  <c r="D81" i="18"/>
  <c r="B81" i="18"/>
  <c r="F80" i="18"/>
  <c r="D80" i="18"/>
  <c r="B80" i="18"/>
  <c r="F79" i="18"/>
  <c r="D79" i="18"/>
  <c r="B79" i="18"/>
  <c r="F78" i="18"/>
  <c r="D78" i="18"/>
  <c r="B78" i="18"/>
  <c r="F77" i="18"/>
  <c r="D77" i="18"/>
  <c r="B77" i="18"/>
  <c r="F76" i="18"/>
  <c r="D76" i="18"/>
  <c r="B76" i="18"/>
  <c r="F75" i="18"/>
  <c r="D75" i="18"/>
  <c r="B75" i="18"/>
  <c r="F74" i="18"/>
  <c r="D74" i="18"/>
  <c r="B74" i="18"/>
  <c r="F73" i="18"/>
  <c r="D73" i="18"/>
  <c r="B73" i="18"/>
  <c r="F72" i="18"/>
  <c r="D72" i="18"/>
  <c r="B72" i="18"/>
  <c r="F71" i="18"/>
  <c r="D71" i="18"/>
  <c r="B71" i="18"/>
  <c r="F70" i="18"/>
  <c r="D70" i="18"/>
  <c r="B70" i="18"/>
  <c r="F69" i="18"/>
  <c r="D69" i="18"/>
  <c r="B69" i="18"/>
  <c r="F68" i="18"/>
  <c r="D68" i="18"/>
  <c r="B68" i="18"/>
  <c r="F67" i="18"/>
  <c r="D67" i="18"/>
  <c r="B67" i="18"/>
  <c r="F66" i="18"/>
  <c r="D66" i="18"/>
  <c r="B66" i="18"/>
  <c r="F65" i="18"/>
  <c r="D65" i="18"/>
  <c r="B65" i="18"/>
  <c r="F64" i="18"/>
  <c r="D64" i="18"/>
  <c r="B64" i="18"/>
  <c r="F63" i="18"/>
  <c r="D63" i="18"/>
  <c r="B63" i="18"/>
  <c r="F62" i="18"/>
  <c r="D62" i="18"/>
  <c r="B62" i="18"/>
  <c r="F61" i="18"/>
  <c r="D61" i="18"/>
  <c r="B61" i="18"/>
  <c r="F60" i="18"/>
  <c r="D60" i="18"/>
  <c r="B60" i="18"/>
  <c r="F59" i="18"/>
  <c r="D59" i="18"/>
  <c r="B59" i="18"/>
  <c r="F58" i="18"/>
  <c r="D58" i="18"/>
  <c r="B58" i="18"/>
  <c r="F57" i="18"/>
  <c r="D57" i="18"/>
  <c r="B57" i="18"/>
  <c r="F56" i="18"/>
  <c r="D56" i="18"/>
  <c r="B56" i="18"/>
  <c r="F55" i="18"/>
  <c r="D55" i="18"/>
  <c r="B55" i="18"/>
  <c r="F54" i="18"/>
  <c r="D54" i="18"/>
  <c r="B54" i="18"/>
  <c r="F53" i="18"/>
  <c r="D53" i="18"/>
  <c r="B53" i="18"/>
  <c r="F52" i="18"/>
  <c r="D52" i="18"/>
  <c r="B52" i="18"/>
  <c r="F51" i="18"/>
  <c r="D51" i="18"/>
  <c r="B51" i="18"/>
  <c r="F50" i="18"/>
  <c r="D50" i="18"/>
  <c r="B50" i="18"/>
  <c r="F49" i="18"/>
  <c r="D49" i="18"/>
  <c r="B49" i="18"/>
  <c r="F48" i="18"/>
  <c r="D48" i="18"/>
  <c r="B48" i="18"/>
  <c r="F47" i="18"/>
  <c r="D47" i="18"/>
  <c r="B47" i="18"/>
  <c r="F46" i="18"/>
  <c r="D46" i="18"/>
  <c r="B46" i="18"/>
  <c r="F45" i="18"/>
  <c r="D45" i="18"/>
  <c r="B45" i="18"/>
  <c r="F44" i="18"/>
  <c r="D44" i="18"/>
  <c r="B44" i="18"/>
  <c r="F42" i="18"/>
  <c r="D42" i="18"/>
  <c r="B42" i="18"/>
  <c r="F41" i="18"/>
  <c r="D41" i="18"/>
  <c r="B41" i="18"/>
  <c r="F40" i="18"/>
  <c r="D40" i="18"/>
  <c r="B40" i="18"/>
  <c r="F39" i="18"/>
  <c r="D39" i="18"/>
  <c r="B39" i="18"/>
  <c r="F38" i="18"/>
  <c r="D38" i="18"/>
  <c r="B38" i="18"/>
  <c r="F37" i="18"/>
  <c r="D37" i="18"/>
  <c r="B37" i="18"/>
  <c r="F36" i="18"/>
  <c r="D36" i="18"/>
  <c r="B36" i="18"/>
  <c r="F35" i="18"/>
  <c r="D35" i="18"/>
  <c r="B35" i="18"/>
  <c r="F34" i="18"/>
  <c r="D34" i="18"/>
  <c r="B34" i="18"/>
  <c r="F33" i="18"/>
  <c r="D33" i="18"/>
  <c r="B33" i="18"/>
  <c r="F32" i="18"/>
  <c r="D32" i="18"/>
  <c r="B32" i="18"/>
  <c r="F31" i="18"/>
  <c r="D31" i="18"/>
  <c r="B31" i="18"/>
  <c r="F30" i="18"/>
  <c r="D30" i="18"/>
  <c r="B30" i="18"/>
  <c r="F29" i="18"/>
  <c r="D29" i="18"/>
  <c r="B29" i="18"/>
  <c r="F28" i="18"/>
  <c r="D28" i="18"/>
  <c r="B28" i="18"/>
  <c r="F27" i="18"/>
  <c r="D27" i="18"/>
  <c r="B27" i="18"/>
  <c r="F26" i="18"/>
  <c r="D26" i="18"/>
  <c r="B26" i="18"/>
  <c r="F25" i="18"/>
  <c r="D25" i="18"/>
  <c r="B25" i="18"/>
  <c r="F24" i="18"/>
  <c r="D24" i="18"/>
  <c r="B24" i="18"/>
  <c r="F23" i="18"/>
  <c r="D23" i="18"/>
  <c r="B23" i="18"/>
  <c r="F22" i="18"/>
  <c r="D22" i="18"/>
  <c r="B22" i="18"/>
  <c r="F21" i="18"/>
  <c r="D21" i="18"/>
  <c r="B21" i="18"/>
  <c r="F20" i="18"/>
  <c r="D20" i="18"/>
  <c r="B20" i="18"/>
  <c r="F19" i="18"/>
  <c r="D19" i="18"/>
  <c r="B19" i="18"/>
  <c r="F18" i="18"/>
  <c r="D18" i="18"/>
  <c r="B18" i="18"/>
  <c r="F17" i="18"/>
  <c r="D17" i="18"/>
  <c r="B17" i="18"/>
  <c r="F16" i="18"/>
  <c r="D16" i="18"/>
  <c r="B16" i="18"/>
  <c r="F15" i="18"/>
  <c r="D15" i="18"/>
  <c r="B15" i="18"/>
  <c r="F14" i="18"/>
  <c r="D14" i="18"/>
  <c r="B14" i="18"/>
  <c r="F13" i="18"/>
  <c r="D13" i="18"/>
  <c r="B13" i="18"/>
  <c r="F12" i="18"/>
  <c r="D12" i="18"/>
  <c r="B12" i="18"/>
  <c r="F11" i="18"/>
  <c r="D11" i="18"/>
  <c r="B11" i="18"/>
  <c r="F10" i="18"/>
  <c r="D10" i="18"/>
  <c r="B10" i="18"/>
  <c r="F9" i="18"/>
  <c r="D9" i="18"/>
  <c r="B9" i="18"/>
  <c r="F8" i="18"/>
  <c r="D8" i="18"/>
  <c r="B8" i="18"/>
  <c r="F7" i="18"/>
  <c r="D7" i="18"/>
  <c r="B7" i="18"/>
  <c r="F6" i="18"/>
  <c r="D6" i="18"/>
  <c r="B6" i="18"/>
  <c r="F5" i="18"/>
  <c r="D5" i="18"/>
  <c r="B5" i="18"/>
  <c r="F4" i="18"/>
  <c r="D4" i="18"/>
  <c r="B4" i="18"/>
  <c r="F3" i="18"/>
  <c r="D3" i="18"/>
  <c r="B3" i="18"/>
  <c r="F2" i="18"/>
  <c r="D2" i="18"/>
  <c r="B2" i="18"/>
  <c r="W149" i="4" l="1"/>
  <c r="AA103" i="4" l="1"/>
  <c r="J54" i="5" l="1"/>
  <c r="C48" i="15" l="1"/>
  <c r="X14" i="1" l="1"/>
  <c r="C44" i="17" l="1"/>
  <c r="C70" i="15" l="1"/>
  <c r="C63" i="15"/>
  <c r="C61" i="15"/>
  <c r="C64" i="12"/>
  <c r="C63" i="12"/>
  <c r="C65" i="12"/>
  <c r="I187" i="8" l="1"/>
  <c r="I158" i="8"/>
  <c r="I150" i="8"/>
  <c r="I45" i="8"/>
  <c r="B4" i="8"/>
  <c r="R143" i="4" l="1"/>
  <c r="S143" i="4" s="1"/>
  <c r="R142" i="4"/>
  <c r="S104" i="4"/>
  <c r="U142" i="4" l="1"/>
  <c r="S142" i="4"/>
  <c r="J56" i="4"/>
  <c r="H70" i="4" l="1"/>
  <c r="W143" i="4"/>
  <c r="W142" i="4"/>
  <c r="L142" i="4"/>
  <c r="L143" i="4"/>
  <c r="J142" i="4"/>
  <c r="J143" i="4"/>
  <c r="I125" i="4" l="1"/>
  <c r="L8" i="6" l="1"/>
  <c r="L6" i="6"/>
  <c r="L6" i="3"/>
  <c r="L149" i="1" l="1"/>
  <c r="J149" i="1"/>
  <c r="L7" i="1"/>
  <c r="X18" i="1"/>
  <c r="V17" i="1"/>
  <c r="L17" i="1"/>
  <c r="J17" i="1"/>
  <c r="J154" i="1" l="1"/>
  <c r="J45" i="1"/>
  <c r="T184" i="2" l="1"/>
  <c r="F21" i="6" l="1"/>
  <c r="X14" i="5" l="1"/>
  <c r="J93" i="2"/>
  <c r="R90" i="4"/>
  <c r="S90" i="4" s="1"/>
  <c r="Y90" i="4" s="1"/>
  <c r="I173" i="18" s="1"/>
  <c r="R127" i="1" l="1"/>
  <c r="L127" i="1"/>
  <c r="L103" i="4" l="1"/>
  <c r="K106" i="4"/>
  <c r="AA98" i="5" l="1"/>
  <c r="H200" i="1" l="1"/>
  <c r="J171" i="4" l="1"/>
  <c r="J170" i="4"/>
  <c r="J169" i="4"/>
  <c r="J177" i="2"/>
  <c r="AA136" i="5" l="1"/>
  <c r="AA135" i="5"/>
  <c r="AA128" i="3"/>
  <c r="AA127" i="3"/>
  <c r="AA123" i="3"/>
  <c r="AA122" i="3"/>
  <c r="AA120" i="3"/>
  <c r="AA118" i="3"/>
  <c r="AA113" i="3"/>
  <c r="AA110" i="3"/>
  <c r="AA108" i="3"/>
  <c r="AA63" i="3"/>
  <c r="AA61" i="3"/>
  <c r="AA53" i="3"/>
  <c r="AA67" i="2"/>
  <c r="AA65" i="2"/>
  <c r="AA80" i="2"/>
  <c r="AA105" i="2"/>
  <c r="AA111" i="2"/>
  <c r="AA113" i="2"/>
  <c r="AA112" i="2"/>
  <c r="AA110" i="2"/>
  <c r="AA109" i="2"/>
  <c r="AA162" i="2"/>
  <c r="AA158" i="4"/>
  <c r="AA155" i="4"/>
  <c r="AA90" i="4"/>
  <c r="AA81" i="4"/>
  <c r="AA44" i="4"/>
  <c r="AA43" i="4"/>
  <c r="AA42" i="4"/>
  <c r="AA35" i="4"/>
  <c r="AA38" i="6"/>
  <c r="AA34" i="6"/>
  <c r="AA24" i="6"/>
  <c r="AA27" i="6"/>
  <c r="AA28" i="6"/>
  <c r="AA29" i="6"/>
  <c r="AA170" i="4"/>
  <c r="AA160" i="4"/>
  <c r="AA166" i="4"/>
  <c r="AA165" i="4"/>
  <c r="AA164" i="4"/>
  <c r="AA163" i="4"/>
  <c r="AA162" i="4"/>
  <c r="AA161" i="4"/>
  <c r="AA119" i="4"/>
  <c r="AA159" i="4" l="1"/>
  <c r="M158" i="8" s="1"/>
  <c r="AA19" i="3" l="1"/>
  <c r="Z50" i="2"/>
  <c r="Z51" i="2"/>
  <c r="AA42" i="2"/>
  <c r="X22" i="2"/>
  <c r="AA16" i="2"/>
  <c r="AA25" i="1"/>
  <c r="AA13" i="1"/>
  <c r="J44" i="3" l="1"/>
  <c r="W132" i="1" l="1"/>
  <c r="I34" i="1" l="1"/>
  <c r="H39" i="6"/>
  <c r="O39" i="6" s="1"/>
  <c r="Z36" i="6"/>
  <c r="Z37" i="6"/>
  <c r="R74" i="1"/>
  <c r="U74" i="1" s="1"/>
  <c r="W74" i="1" s="1"/>
  <c r="Z75" i="1"/>
  <c r="L45" i="1"/>
  <c r="Z13" i="1"/>
  <c r="H140" i="5" l="1"/>
  <c r="H117" i="4" l="1"/>
  <c r="H112" i="4"/>
  <c r="L166" i="2" l="1"/>
  <c r="W95" i="1" l="1"/>
  <c r="R93" i="1"/>
  <c r="W93" i="1"/>
  <c r="V93" i="1"/>
  <c r="R52" i="6" l="1"/>
  <c r="S52" i="6" s="1"/>
  <c r="Y52" i="6" s="1"/>
  <c r="R51" i="6"/>
  <c r="U51" i="6" s="1"/>
  <c r="W51" i="6" s="1"/>
  <c r="R50" i="6"/>
  <c r="W50" i="6" s="1"/>
  <c r="R49" i="6"/>
  <c r="U49" i="6" s="1"/>
  <c r="W49" i="6" s="1"/>
  <c r="R48" i="6"/>
  <c r="U48" i="6" s="1"/>
  <c r="W48" i="6" s="1"/>
  <c r="R46" i="6"/>
  <c r="S46" i="6" s="1"/>
  <c r="Y46" i="6" s="1"/>
  <c r="R45" i="6"/>
  <c r="U45" i="6" s="1"/>
  <c r="W45" i="6" s="1"/>
  <c r="R44" i="6"/>
  <c r="U44" i="6" s="1"/>
  <c r="W44" i="6" s="1"/>
  <c r="R43" i="6"/>
  <c r="S43" i="6" s="1"/>
  <c r="Y43" i="6" s="1"/>
  <c r="AA43" i="6" s="1"/>
  <c r="R42" i="6"/>
  <c r="Y42" i="6" s="1"/>
  <c r="R41" i="6"/>
  <c r="S41" i="6" s="1"/>
  <c r="Y41" i="6" s="1"/>
  <c r="R39" i="6"/>
  <c r="S39" i="6" s="1"/>
  <c r="Y39" i="6" s="1"/>
  <c r="R38" i="6"/>
  <c r="S38" i="6" s="1"/>
  <c r="R37" i="6"/>
  <c r="U37" i="6" s="1"/>
  <c r="W37" i="6" s="1"/>
  <c r="R36" i="6"/>
  <c r="S36" i="6" s="1"/>
  <c r="Y36" i="6" s="1"/>
  <c r="R35" i="6"/>
  <c r="S35" i="6" s="1"/>
  <c r="Y35" i="6" s="1"/>
  <c r="R34" i="6"/>
  <c r="S34" i="6" s="1"/>
  <c r="R33" i="6"/>
  <c r="S33" i="6" s="1"/>
  <c r="Y33" i="6" s="1"/>
  <c r="R32" i="6"/>
  <c r="W42" i="6"/>
  <c r="L52" i="6"/>
  <c r="L51" i="6"/>
  <c r="L50" i="6"/>
  <c r="L49" i="6"/>
  <c r="L48" i="6"/>
  <c r="L46" i="6"/>
  <c r="L45" i="6"/>
  <c r="L44" i="6"/>
  <c r="L43" i="6"/>
  <c r="L42" i="6"/>
  <c r="L41" i="6"/>
  <c r="L39" i="6"/>
  <c r="L37" i="6"/>
  <c r="L36" i="6"/>
  <c r="L35" i="6"/>
  <c r="L34" i="6"/>
  <c r="L33" i="6"/>
  <c r="J52" i="6"/>
  <c r="J51" i="6"/>
  <c r="J50" i="6"/>
  <c r="J49" i="6"/>
  <c r="J48" i="6"/>
  <c r="J46" i="6"/>
  <c r="J45" i="6"/>
  <c r="J44" i="6"/>
  <c r="J43" i="6"/>
  <c r="J42" i="6"/>
  <c r="J41" i="6"/>
  <c r="J39" i="6"/>
  <c r="J37" i="6"/>
  <c r="J36" i="6"/>
  <c r="J35" i="6"/>
  <c r="J34" i="6"/>
  <c r="J33" i="6"/>
  <c r="W28" i="6"/>
  <c r="W27" i="6"/>
  <c r="W20" i="6"/>
  <c r="W19" i="6"/>
  <c r="W16" i="6"/>
  <c r="W15" i="6"/>
  <c r="R29" i="6"/>
  <c r="S29" i="6" s="1"/>
  <c r="R28" i="6"/>
  <c r="S28" i="6" s="1"/>
  <c r="R27" i="6"/>
  <c r="S27" i="6" s="1"/>
  <c r="R26" i="6"/>
  <c r="S26" i="6" s="1"/>
  <c r="R25" i="6"/>
  <c r="S25" i="6" s="1"/>
  <c r="Y25" i="6" s="1"/>
  <c r="I30" i="18" s="1"/>
  <c r="R24" i="6"/>
  <c r="S24" i="6" s="1"/>
  <c r="R23" i="6"/>
  <c r="S23" i="6" s="1"/>
  <c r="Y23" i="6" s="1"/>
  <c r="R21" i="6"/>
  <c r="S21" i="6" s="1"/>
  <c r="Y21" i="6" s="1"/>
  <c r="I8" i="18" s="1"/>
  <c r="R20" i="6"/>
  <c r="S20" i="6" s="1"/>
  <c r="Y20" i="6" s="1"/>
  <c r="R19" i="6"/>
  <c r="S19" i="6" s="1"/>
  <c r="Y19" i="6" s="1"/>
  <c r="R18" i="6"/>
  <c r="S18" i="6" s="1"/>
  <c r="Y18" i="6" s="1"/>
  <c r="R17" i="6"/>
  <c r="S17" i="6" s="1"/>
  <c r="Y17" i="6" s="1"/>
  <c r="R16" i="6"/>
  <c r="S16" i="6" s="1"/>
  <c r="Y16" i="6" s="1"/>
  <c r="R15" i="6"/>
  <c r="Y15" i="6" s="1"/>
  <c r="AA15" i="6" s="1"/>
  <c r="L29" i="6"/>
  <c r="L28" i="6"/>
  <c r="L27" i="6"/>
  <c r="L26" i="6"/>
  <c r="L25" i="6"/>
  <c r="L24" i="6"/>
  <c r="L23" i="6"/>
  <c r="L21" i="6"/>
  <c r="L20" i="6"/>
  <c r="L19" i="6"/>
  <c r="L18" i="6"/>
  <c r="L17" i="6"/>
  <c r="L16" i="6"/>
  <c r="L15" i="6"/>
  <c r="J29" i="6"/>
  <c r="J28" i="6"/>
  <c r="J27" i="6"/>
  <c r="J26" i="6"/>
  <c r="J25" i="6"/>
  <c r="J24" i="6"/>
  <c r="J23" i="6"/>
  <c r="J21" i="6"/>
  <c r="J20" i="6"/>
  <c r="J19" i="6"/>
  <c r="J18" i="6"/>
  <c r="J17" i="6"/>
  <c r="J16" i="6"/>
  <c r="J15" i="6"/>
  <c r="R13" i="6"/>
  <c r="S13" i="6" s="1"/>
  <c r="Y13" i="6" s="1"/>
  <c r="R12" i="6"/>
  <c r="S12" i="6" s="1"/>
  <c r="R11" i="6"/>
  <c r="S11" i="6" s="1"/>
  <c r="Y11" i="6" s="1"/>
  <c r="AA11" i="6" s="1"/>
  <c r="R10" i="6"/>
  <c r="S10" i="6" s="1"/>
  <c r="R9" i="6"/>
  <c r="S9" i="6" s="1"/>
  <c r="R8" i="6"/>
  <c r="S8" i="6" s="1"/>
  <c r="Y8" i="6" s="1"/>
  <c r="AA8" i="6" s="1"/>
  <c r="R7" i="6"/>
  <c r="S7" i="6" s="1"/>
  <c r="Y7" i="6" s="1"/>
  <c r="AA7" i="6" s="1"/>
  <c r="R6" i="6"/>
  <c r="S6" i="6" s="1"/>
  <c r="Y6" i="6" s="1"/>
  <c r="L7" i="6"/>
  <c r="L13" i="6"/>
  <c r="L12" i="6"/>
  <c r="J13" i="6"/>
  <c r="J12" i="6"/>
  <c r="J8" i="6"/>
  <c r="J7" i="6"/>
  <c r="J6" i="6"/>
  <c r="W125" i="5"/>
  <c r="R141" i="5"/>
  <c r="S141" i="5" s="1"/>
  <c r="Y141" i="5" s="1"/>
  <c r="R140" i="5"/>
  <c r="S140" i="5" s="1"/>
  <c r="Y140" i="5" s="1"/>
  <c r="I374" i="18" s="1"/>
  <c r="R138" i="5"/>
  <c r="S138" i="5" s="1"/>
  <c r="Y138" i="5" s="1"/>
  <c r="R137" i="5"/>
  <c r="S137" i="5" s="1"/>
  <c r="Y137" i="5" s="1"/>
  <c r="R136" i="5"/>
  <c r="S136" i="5" s="1"/>
  <c r="R135" i="5"/>
  <c r="S135" i="5" s="1"/>
  <c r="R133" i="5"/>
  <c r="S133" i="5" s="1"/>
  <c r="Y133" i="5" s="1"/>
  <c r="R132" i="5"/>
  <c r="S132" i="5" s="1"/>
  <c r="Y132" i="5" s="1"/>
  <c r="R130" i="5"/>
  <c r="S130" i="5" s="1"/>
  <c r="Y130" i="5" s="1"/>
  <c r="R129" i="5"/>
  <c r="S129" i="5" s="1"/>
  <c r="R128" i="5"/>
  <c r="S128" i="5" s="1"/>
  <c r="Y128" i="5" s="1"/>
  <c r="R127" i="5"/>
  <c r="U127" i="5" s="1"/>
  <c r="W127" i="5" s="1"/>
  <c r="R126" i="5"/>
  <c r="S126" i="5" s="1"/>
  <c r="Y126" i="5" s="1"/>
  <c r="R125" i="5"/>
  <c r="S125" i="5" s="1"/>
  <c r="R124" i="5"/>
  <c r="S124" i="5" s="1"/>
  <c r="Y124" i="5" s="1"/>
  <c r="R122" i="5"/>
  <c r="S122" i="5" s="1"/>
  <c r="Y122" i="5" s="1"/>
  <c r="R121" i="5"/>
  <c r="S121" i="5" s="1"/>
  <c r="Y121" i="5" s="1"/>
  <c r="R120" i="5"/>
  <c r="S120" i="5" s="1"/>
  <c r="Y120" i="5" s="1"/>
  <c r="R119" i="5"/>
  <c r="S119" i="5" s="1"/>
  <c r="Y119" i="5" s="1"/>
  <c r="R118" i="5"/>
  <c r="S118" i="5" s="1"/>
  <c r="Y118" i="5" s="1"/>
  <c r="R117" i="5"/>
  <c r="S117" i="5" s="1"/>
  <c r="Y117" i="5" s="1"/>
  <c r="R115" i="5"/>
  <c r="R114" i="5"/>
  <c r="S114" i="5" s="1"/>
  <c r="R113" i="5"/>
  <c r="S113" i="5" s="1"/>
  <c r="Y113" i="5" s="1"/>
  <c r="R112" i="5"/>
  <c r="S112" i="5" s="1"/>
  <c r="Y112" i="5" s="1"/>
  <c r="I351" i="18" s="1"/>
  <c r="R111" i="5"/>
  <c r="S111" i="5" s="1"/>
  <c r="Y111" i="5" s="1"/>
  <c r="I350" i="18" s="1"/>
  <c r="L141" i="5"/>
  <c r="L140" i="5"/>
  <c r="L138" i="5"/>
  <c r="L137" i="5"/>
  <c r="L136" i="5"/>
  <c r="L135" i="5"/>
  <c r="L133" i="5"/>
  <c r="L132" i="5"/>
  <c r="L130" i="5"/>
  <c r="L128" i="5"/>
  <c r="L127" i="5"/>
  <c r="L126" i="5"/>
  <c r="L125" i="5"/>
  <c r="L124" i="5"/>
  <c r="L122" i="5"/>
  <c r="L121" i="5"/>
  <c r="L120" i="5"/>
  <c r="L119" i="5"/>
  <c r="L118" i="5"/>
  <c r="L117" i="5"/>
  <c r="L115" i="5"/>
  <c r="L114" i="5"/>
  <c r="L113" i="5"/>
  <c r="L112" i="5"/>
  <c r="L111" i="5"/>
  <c r="J141" i="5"/>
  <c r="J140" i="5"/>
  <c r="J138" i="5"/>
  <c r="J137" i="5"/>
  <c r="J136" i="5"/>
  <c r="J135" i="5"/>
  <c r="J133" i="5"/>
  <c r="J132" i="5"/>
  <c r="J130" i="5"/>
  <c r="J128" i="5"/>
  <c r="J127" i="5"/>
  <c r="J126" i="5"/>
  <c r="J125" i="5"/>
  <c r="J124" i="5"/>
  <c r="J122" i="5"/>
  <c r="J121" i="5"/>
  <c r="J120" i="5"/>
  <c r="J119" i="5"/>
  <c r="J118" i="5"/>
  <c r="J117" i="5"/>
  <c r="J115" i="5"/>
  <c r="J114" i="5"/>
  <c r="J113" i="5"/>
  <c r="J112" i="5"/>
  <c r="J111" i="5"/>
  <c r="R108" i="5"/>
  <c r="S108" i="5" s="1"/>
  <c r="Y108" i="5" s="1"/>
  <c r="R107" i="5"/>
  <c r="S107" i="5" s="1"/>
  <c r="Y107" i="5" s="1"/>
  <c r="R106" i="5"/>
  <c r="S106" i="5" s="1"/>
  <c r="Y106" i="5" s="1"/>
  <c r="S104" i="5"/>
  <c r="Y104" i="5" s="1"/>
  <c r="R103" i="5"/>
  <c r="S103" i="5" s="1"/>
  <c r="Y103" i="5" s="1"/>
  <c r="R102" i="5"/>
  <c r="S102" i="5" s="1"/>
  <c r="Y102" i="5" s="1"/>
  <c r="R101" i="5"/>
  <c r="S101" i="5" s="1"/>
  <c r="Y101" i="5" s="1"/>
  <c r="R100" i="5"/>
  <c r="S100" i="5" s="1"/>
  <c r="Y100" i="5" s="1"/>
  <c r="R98" i="5"/>
  <c r="S98" i="5" s="1"/>
  <c r="R97" i="5"/>
  <c r="S97" i="5" s="1"/>
  <c r="Y97" i="5" s="1"/>
  <c r="R96" i="5"/>
  <c r="S96" i="5" s="1"/>
  <c r="Y96" i="5" s="1"/>
  <c r="R95" i="5"/>
  <c r="S95" i="5" s="1"/>
  <c r="Y95" i="5" s="1"/>
  <c r="R93" i="5"/>
  <c r="S93" i="5" s="1"/>
  <c r="Y93" i="5" s="1"/>
  <c r="I283" i="18" s="1"/>
  <c r="R91" i="5"/>
  <c r="S91" i="5" s="1"/>
  <c r="Y91" i="5" s="1"/>
  <c r="I337" i="18" s="1"/>
  <c r="R90" i="5"/>
  <c r="S90" i="5" s="1"/>
  <c r="Y90" i="5" s="1"/>
  <c r="R89" i="5"/>
  <c r="S89" i="5" s="1"/>
  <c r="R88" i="5"/>
  <c r="S88" i="5" s="1"/>
  <c r="R87" i="5"/>
  <c r="S87" i="5" s="1"/>
  <c r="Y87" i="5" s="1"/>
  <c r="R86" i="5"/>
  <c r="S86" i="5" s="1"/>
  <c r="Y86" i="5" s="1"/>
  <c r="I332" i="18" s="1"/>
  <c r="R84" i="5"/>
  <c r="S84" i="5" s="1"/>
  <c r="Y84" i="5" s="1"/>
  <c r="R83" i="5"/>
  <c r="S83" i="5" s="1"/>
  <c r="Y83" i="5" s="1"/>
  <c r="R82" i="5"/>
  <c r="S82" i="5" s="1"/>
  <c r="Y82" i="5" s="1"/>
  <c r="R81" i="5"/>
  <c r="S81" i="5" s="1"/>
  <c r="Y81" i="5" s="1"/>
  <c r="R80" i="5"/>
  <c r="U80" i="5" s="1"/>
  <c r="W80" i="5" s="1"/>
  <c r="R79" i="5"/>
  <c r="U79" i="5" s="1"/>
  <c r="W79" i="5" s="1"/>
  <c r="L108" i="5"/>
  <c r="L107" i="5"/>
  <c r="L106" i="5"/>
  <c r="L104" i="5"/>
  <c r="L103" i="5"/>
  <c r="L102" i="5"/>
  <c r="L101" i="5"/>
  <c r="L100" i="5"/>
  <c r="L98" i="5"/>
  <c r="L97" i="5"/>
  <c r="L96" i="5"/>
  <c r="L95" i="5"/>
  <c r="L93" i="5"/>
  <c r="L92" i="5" s="1"/>
  <c r="H187" i="8" s="1"/>
  <c r="L90" i="5"/>
  <c r="L88" i="5"/>
  <c r="L87" i="5"/>
  <c r="L86" i="5"/>
  <c r="L84" i="5"/>
  <c r="L83" i="5"/>
  <c r="L82" i="5"/>
  <c r="L81" i="5"/>
  <c r="L80" i="5"/>
  <c r="L79" i="5"/>
  <c r="J108" i="5"/>
  <c r="J107" i="5"/>
  <c r="J106" i="5"/>
  <c r="J104" i="5"/>
  <c r="J103" i="5"/>
  <c r="J102" i="5"/>
  <c r="J101" i="5"/>
  <c r="J100" i="5"/>
  <c r="J98" i="5"/>
  <c r="J97" i="5"/>
  <c r="J96" i="5"/>
  <c r="J95" i="5"/>
  <c r="J93" i="5"/>
  <c r="J92" i="5" s="1"/>
  <c r="E187" i="8" s="1"/>
  <c r="J90" i="5"/>
  <c r="J88" i="5"/>
  <c r="J87" i="5"/>
  <c r="J86" i="5"/>
  <c r="J84" i="5"/>
  <c r="J83" i="5"/>
  <c r="J82" i="5"/>
  <c r="J81" i="5"/>
  <c r="J80" i="5"/>
  <c r="J79" i="5"/>
  <c r="R76" i="5"/>
  <c r="S76" i="5" s="1"/>
  <c r="Y76" i="5" s="1"/>
  <c r="R75" i="5"/>
  <c r="S75" i="5" s="1"/>
  <c r="Y75" i="5" s="1"/>
  <c r="I324" i="18" s="1"/>
  <c r="R73" i="5"/>
  <c r="S73" i="5" s="1"/>
  <c r="Y73" i="5" s="1"/>
  <c r="R72" i="5"/>
  <c r="S72" i="5" s="1"/>
  <c r="Y72" i="5" s="1"/>
  <c r="S71" i="5"/>
  <c r="Y71" i="5" s="1"/>
  <c r="R70" i="5"/>
  <c r="S70" i="5" s="1"/>
  <c r="Y70" i="5" s="1"/>
  <c r="R69" i="5"/>
  <c r="S69" i="5" s="1"/>
  <c r="Y69" i="5" s="1"/>
  <c r="I319" i="18" s="1"/>
  <c r="R67" i="5"/>
  <c r="S67" i="5" s="1"/>
  <c r="Y67" i="5" s="1"/>
  <c r="R65" i="5"/>
  <c r="S65" i="5" s="1"/>
  <c r="Y65" i="5" s="1"/>
  <c r="R64" i="5"/>
  <c r="S64" i="5" s="1"/>
  <c r="Y64" i="5" s="1"/>
  <c r="R63" i="5"/>
  <c r="S63" i="5" s="1"/>
  <c r="Y63" i="5" s="1"/>
  <c r="R62" i="5"/>
  <c r="S62" i="5" s="1"/>
  <c r="Y62" i="5" s="1"/>
  <c r="R60" i="5"/>
  <c r="S60" i="5" s="1"/>
  <c r="Y60" i="5" s="1"/>
  <c r="R59" i="5"/>
  <c r="S59" i="5" s="1"/>
  <c r="L76" i="5"/>
  <c r="L75" i="5"/>
  <c r="J76" i="5"/>
  <c r="J75" i="5"/>
  <c r="L73" i="5"/>
  <c r="L72" i="5"/>
  <c r="L71" i="5"/>
  <c r="L70" i="5"/>
  <c r="L69" i="5"/>
  <c r="J73" i="5"/>
  <c r="J72" i="5"/>
  <c r="J71" i="5"/>
  <c r="J70" i="5"/>
  <c r="J69" i="5"/>
  <c r="L67" i="5"/>
  <c r="L66" i="5" s="1"/>
  <c r="H181" i="8" s="1"/>
  <c r="J67" i="5"/>
  <c r="J66" i="5" s="1"/>
  <c r="E181" i="8" s="1"/>
  <c r="L65" i="5"/>
  <c r="L64" i="5"/>
  <c r="L63" i="5"/>
  <c r="L62" i="5"/>
  <c r="J65" i="5"/>
  <c r="J64" i="5"/>
  <c r="J63" i="5"/>
  <c r="J62" i="5"/>
  <c r="L60" i="5"/>
  <c r="L59" i="5"/>
  <c r="J60" i="5"/>
  <c r="J59" i="5"/>
  <c r="R56" i="5"/>
  <c r="S56" i="5" s="1"/>
  <c r="Y56" i="5" s="1"/>
  <c r="I282" i="18" s="1"/>
  <c r="R54" i="5"/>
  <c r="U54" i="5" s="1"/>
  <c r="W54" i="5" s="1"/>
  <c r="R53" i="5"/>
  <c r="S53" i="5" s="1"/>
  <c r="Y53" i="5" s="1"/>
  <c r="R52" i="5"/>
  <c r="S52" i="5" s="1"/>
  <c r="Y52" i="5" s="1"/>
  <c r="R51" i="5"/>
  <c r="S51" i="5" s="1"/>
  <c r="Y51" i="5" s="1"/>
  <c r="R50" i="5"/>
  <c r="S50" i="5" s="1"/>
  <c r="Y50" i="5" s="1"/>
  <c r="L56" i="5"/>
  <c r="L55" i="5" s="1"/>
  <c r="H177" i="8" s="1"/>
  <c r="J56" i="5"/>
  <c r="J55" i="5" s="1"/>
  <c r="E177" i="8" s="1"/>
  <c r="L54" i="5"/>
  <c r="L53" i="5"/>
  <c r="L52" i="5"/>
  <c r="L51" i="5"/>
  <c r="L50" i="5"/>
  <c r="J53" i="5"/>
  <c r="J52" i="5"/>
  <c r="J51" i="5"/>
  <c r="J50" i="5"/>
  <c r="W42" i="5"/>
  <c r="R47" i="5"/>
  <c r="S47" i="5" s="1"/>
  <c r="Y47" i="5" s="1"/>
  <c r="R46" i="5"/>
  <c r="S46" i="5" s="1"/>
  <c r="Y46" i="5" s="1"/>
  <c r="R45" i="5"/>
  <c r="S45" i="5" s="1"/>
  <c r="Y45" i="5" s="1"/>
  <c r="R44" i="5"/>
  <c r="S44" i="5" s="1"/>
  <c r="Y44" i="5" s="1"/>
  <c r="R42" i="5"/>
  <c r="S42" i="5" s="1"/>
  <c r="Y42" i="5" s="1"/>
  <c r="R41" i="5"/>
  <c r="R39" i="5"/>
  <c r="S39" i="5" s="1"/>
  <c r="R38" i="5"/>
  <c r="S38" i="5" s="1"/>
  <c r="Y38" i="5" s="1"/>
  <c r="R37" i="5"/>
  <c r="R35" i="5"/>
  <c r="S35" i="5" s="1"/>
  <c r="Y35" i="5" s="1"/>
  <c r="R34" i="5"/>
  <c r="S34" i="5" s="1"/>
  <c r="Y34" i="5" s="1"/>
  <c r="R33" i="5"/>
  <c r="S33" i="5" s="1"/>
  <c r="Y33" i="5" s="1"/>
  <c r="I277" i="18" s="1"/>
  <c r="R31" i="5"/>
  <c r="S31" i="5" s="1"/>
  <c r="Y31" i="5" s="1"/>
  <c r="I299" i="18" s="1"/>
  <c r="R29" i="5"/>
  <c r="S29" i="5" s="1"/>
  <c r="R28" i="5"/>
  <c r="S28" i="5" s="1"/>
  <c r="Y28" i="5" s="1"/>
  <c r="I297" i="18" s="1"/>
  <c r="R27" i="5"/>
  <c r="S27" i="5" s="1"/>
  <c r="Y27" i="5" s="1"/>
  <c r="R25" i="5"/>
  <c r="S25" i="5" s="1"/>
  <c r="Y25" i="5" s="1"/>
  <c r="R24" i="5"/>
  <c r="S24" i="5" s="1"/>
  <c r="Y24" i="5" s="1"/>
  <c r="I294" i="18" s="1"/>
  <c r="R22" i="5"/>
  <c r="S22" i="5" s="1"/>
  <c r="Y22" i="5" s="1"/>
  <c r="R21" i="5"/>
  <c r="S21" i="5" s="1"/>
  <c r="Y21" i="5" s="1"/>
  <c r="R20" i="5"/>
  <c r="S20" i="5" s="1"/>
  <c r="Y20" i="5" s="1"/>
  <c r="R19" i="5"/>
  <c r="S19" i="5" s="1"/>
  <c r="Y19" i="5" s="1"/>
  <c r="I290" i="18" s="1"/>
  <c r="L47" i="5"/>
  <c r="L46" i="5"/>
  <c r="L45" i="5"/>
  <c r="L44" i="5"/>
  <c r="L42" i="5"/>
  <c r="L41" i="5"/>
  <c r="L39" i="5"/>
  <c r="L38" i="5"/>
  <c r="L37" i="5"/>
  <c r="L35" i="5"/>
  <c r="L34" i="5"/>
  <c r="L33" i="5"/>
  <c r="L31" i="5"/>
  <c r="L30" i="5" s="1"/>
  <c r="H170" i="8" s="1"/>
  <c r="L28" i="5"/>
  <c r="L27" i="5"/>
  <c r="L25" i="5"/>
  <c r="L24" i="5"/>
  <c r="L22" i="5"/>
  <c r="L21" i="5"/>
  <c r="L20" i="5"/>
  <c r="L19" i="5"/>
  <c r="J47" i="5"/>
  <c r="J46" i="5"/>
  <c r="J45" i="5"/>
  <c r="J44" i="5"/>
  <c r="J42" i="5"/>
  <c r="J41" i="5"/>
  <c r="J39" i="5"/>
  <c r="J38" i="5"/>
  <c r="J37" i="5"/>
  <c r="J35" i="5"/>
  <c r="J34" i="5"/>
  <c r="J33" i="5"/>
  <c r="J31" i="5"/>
  <c r="J30" i="5" s="1"/>
  <c r="E170" i="8" s="1"/>
  <c r="J28" i="5"/>
  <c r="J27" i="5"/>
  <c r="J25" i="5"/>
  <c r="J24" i="5"/>
  <c r="J22" i="5"/>
  <c r="J21" i="5"/>
  <c r="J20" i="5"/>
  <c r="J19" i="5"/>
  <c r="R16" i="5"/>
  <c r="S16" i="5" s="1"/>
  <c r="R15" i="5"/>
  <c r="S15" i="5" s="1"/>
  <c r="Y15" i="5" s="1"/>
  <c r="R14" i="5"/>
  <c r="S14" i="5" s="1"/>
  <c r="Y14" i="5" s="1"/>
  <c r="R13" i="5"/>
  <c r="S13" i="5" s="1"/>
  <c r="Y13" i="5" s="1"/>
  <c r="R11" i="5"/>
  <c r="S11" i="5" s="1"/>
  <c r="Y11" i="5" s="1"/>
  <c r="R10" i="5"/>
  <c r="S10" i="5" s="1"/>
  <c r="Y10" i="5" s="1"/>
  <c r="I284" i="18" s="1"/>
  <c r="R6" i="5"/>
  <c r="U6" i="5" s="1"/>
  <c r="R8" i="5"/>
  <c r="S8" i="5" s="1"/>
  <c r="AA8" i="5" s="1"/>
  <c r="R7" i="5"/>
  <c r="S7" i="5" s="1"/>
  <c r="AA7" i="5" s="1"/>
  <c r="J6" i="5"/>
  <c r="L6" i="5"/>
  <c r="L16" i="5"/>
  <c r="L15" i="5"/>
  <c r="L14" i="5"/>
  <c r="L13" i="5"/>
  <c r="J16" i="5"/>
  <c r="J15" i="5"/>
  <c r="J14" i="5"/>
  <c r="J13" i="5"/>
  <c r="L8" i="5"/>
  <c r="L11" i="5"/>
  <c r="L10" i="5"/>
  <c r="J8" i="5"/>
  <c r="J11" i="5"/>
  <c r="J10" i="5"/>
  <c r="W170" i="4"/>
  <c r="R171" i="4"/>
  <c r="S171" i="4" s="1"/>
  <c r="R170" i="4"/>
  <c r="S170" i="4" s="1"/>
  <c r="R169" i="4"/>
  <c r="L168" i="4"/>
  <c r="H160" i="8" s="1"/>
  <c r="H159" i="8" s="1"/>
  <c r="J168" i="4"/>
  <c r="E160" i="8" s="1"/>
  <c r="E159" i="8" s="1"/>
  <c r="W166" i="4"/>
  <c r="W165" i="4"/>
  <c r="W164" i="4"/>
  <c r="W161" i="4"/>
  <c r="W160" i="4"/>
  <c r="W158" i="4"/>
  <c r="W157" i="4"/>
  <c r="W155" i="4"/>
  <c r="W163" i="4"/>
  <c r="W162" i="4"/>
  <c r="W139" i="4"/>
  <c r="R166" i="4"/>
  <c r="S166" i="4" s="1"/>
  <c r="R165" i="4"/>
  <c r="S165" i="4" s="1"/>
  <c r="R164" i="4"/>
  <c r="S164" i="4" s="1"/>
  <c r="R163" i="4"/>
  <c r="S163" i="4" s="1"/>
  <c r="R162" i="4"/>
  <c r="S162" i="4" s="1"/>
  <c r="R161" i="4"/>
  <c r="S161" i="4" s="1"/>
  <c r="R160" i="4"/>
  <c r="S160" i="4" s="1"/>
  <c r="R158" i="4"/>
  <c r="S158" i="4" s="1"/>
  <c r="R157" i="4"/>
  <c r="S157" i="4" s="1"/>
  <c r="Y157" i="4" s="1"/>
  <c r="R156" i="4"/>
  <c r="U156" i="4" s="1"/>
  <c r="R155" i="4"/>
  <c r="S155" i="4" s="1"/>
  <c r="R154" i="4"/>
  <c r="S154" i="4" s="1"/>
  <c r="Y154" i="4" s="1"/>
  <c r="R153" i="4"/>
  <c r="S153" i="4" s="1"/>
  <c r="Y153" i="4" s="1"/>
  <c r="R152" i="4"/>
  <c r="S152" i="4" s="1"/>
  <c r="Y152" i="4" s="1"/>
  <c r="R151" i="4"/>
  <c r="S151" i="4" s="1"/>
  <c r="Y151" i="4" s="1"/>
  <c r="R149" i="4"/>
  <c r="S149" i="4" s="1"/>
  <c r="Y149" i="4" s="1"/>
  <c r="R148" i="4"/>
  <c r="S148" i="4" s="1"/>
  <c r="Y148" i="4" s="1"/>
  <c r="R147" i="4"/>
  <c r="S147" i="4" s="1"/>
  <c r="AA147" i="4" s="1"/>
  <c r="R146" i="4"/>
  <c r="S146" i="4" s="1"/>
  <c r="R145" i="4"/>
  <c r="S145" i="4" s="1"/>
  <c r="Y145" i="4" s="1"/>
  <c r="R141" i="4"/>
  <c r="R139" i="4"/>
  <c r="S139" i="4" s="1"/>
  <c r="AA139" i="4" s="1"/>
  <c r="R138" i="4"/>
  <c r="U138" i="4" s="1"/>
  <c r="W138" i="4" s="1"/>
  <c r="R137" i="4"/>
  <c r="S137" i="4" s="1"/>
  <c r="Y137" i="4" s="1"/>
  <c r="L166" i="4"/>
  <c r="L165" i="4"/>
  <c r="L164" i="4"/>
  <c r="L163" i="4"/>
  <c r="L162" i="4"/>
  <c r="L161" i="4"/>
  <c r="L160" i="4"/>
  <c r="L158" i="4"/>
  <c r="L157" i="4"/>
  <c r="L156" i="4"/>
  <c r="L155" i="4"/>
  <c r="L154" i="4"/>
  <c r="L152" i="4"/>
  <c r="L151" i="4"/>
  <c r="L149" i="4"/>
  <c r="L148" i="4"/>
  <c r="L147" i="4"/>
  <c r="L146" i="4"/>
  <c r="L145" i="4"/>
  <c r="L141" i="4"/>
  <c r="L139" i="4"/>
  <c r="L138" i="4"/>
  <c r="L137" i="4"/>
  <c r="J166" i="4"/>
  <c r="J165" i="4"/>
  <c r="J164" i="4"/>
  <c r="J163" i="4"/>
  <c r="J162" i="4"/>
  <c r="J161" i="4"/>
  <c r="J160" i="4"/>
  <c r="J158" i="4"/>
  <c r="J157" i="4"/>
  <c r="J156" i="4"/>
  <c r="J155" i="4"/>
  <c r="J154" i="4"/>
  <c r="J152" i="4"/>
  <c r="J151" i="4"/>
  <c r="J149" i="4"/>
  <c r="J148" i="4"/>
  <c r="J147" i="4"/>
  <c r="J146" i="4"/>
  <c r="J145" i="4"/>
  <c r="J141" i="4"/>
  <c r="J139" i="4"/>
  <c r="J138" i="4"/>
  <c r="J137" i="4"/>
  <c r="Z98" i="4"/>
  <c r="R134" i="4"/>
  <c r="R133" i="4"/>
  <c r="S133" i="4" s="1"/>
  <c r="Y133" i="4" s="1"/>
  <c r="R132" i="4"/>
  <c r="S132" i="4" s="1"/>
  <c r="Y132" i="4" s="1"/>
  <c r="R131" i="4"/>
  <c r="S131" i="4" s="1"/>
  <c r="Y131" i="4" s="1"/>
  <c r="R130" i="4"/>
  <c r="S130" i="4" s="1"/>
  <c r="AA130" i="4" s="1"/>
  <c r="R129" i="4"/>
  <c r="S129" i="4" s="1"/>
  <c r="Y129" i="4" s="1"/>
  <c r="R128" i="4"/>
  <c r="S128" i="4" s="1"/>
  <c r="Y128" i="4" s="1"/>
  <c r="R127" i="4"/>
  <c r="S127" i="4" s="1"/>
  <c r="Y127" i="4" s="1"/>
  <c r="R126" i="4"/>
  <c r="S126" i="4" s="1"/>
  <c r="AA126" i="4" s="1"/>
  <c r="R125" i="4"/>
  <c r="S125" i="4" s="1"/>
  <c r="Y125" i="4" s="1"/>
  <c r="R124" i="4"/>
  <c r="S124" i="4" s="1"/>
  <c r="AA124" i="4" s="1"/>
  <c r="R123" i="4"/>
  <c r="S123" i="4" s="1"/>
  <c r="Y123" i="4" s="1"/>
  <c r="R122" i="4"/>
  <c r="S122" i="4" s="1"/>
  <c r="Y122" i="4" s="1"/>
  <c r="I73" i="18" s="1"/>
  <c r="R120" i="4"/>
  <c r="S120" i="4" s="1"/>
  <c r="Y120" i="4" s="1"/>
  <c r="R119" i="4"/>
  <c r="S119" i="4" s="1"/>
  <c r="R118" i="4"/>
  <c r="S118" i="4" s="1"/>
  <c r="Y118" i="4" s="1"/>
  <c r="R117" i="4"/>
  <c r="S117" i="4" s="1"/>
  <c r="Y117" i="4" s="1"/>
  <c r="R116" i="4"/>
  <c r="S116" i="4" s="1"/>
  <c r="Y116" i="4" s="1"/>
  <c r="R115" i="4"/>
  <c r="S115" i="4" s="1"/>
  <c r="Y115" i="4" s="1"/>
  <c r="R114" i="4"/>
  <c r="S114" i="4" s="1"/>
  <c r="Y114" i="4" s="1"/>
  <c r="R113" i="4"/>
  <c r="S113" i="4" s="1"/>
  <c r="Y113" i="4" s="1"/>
  <c r="R112" i="4"/>
  <c r="S112" i="4" s="1"/>
  <c r="Y112" i="4" s="1"/>
  <c r="R111" i="4"/>
  <c r="S111" i="4" s="1"/>
  <c r="Y111" i="4" s="1"/>
  <c r="R110" i="4"/>
  <c r="S110" i="4" s="1"/>
  <c r="Y110" i="4" s="1"/>
  <c r="I62" i="18" s="1"/>
  <c r="R108" i="4"/>
  <c r="S108" i="4" s="1"/>
  <c r="Y108" i="4" s="1"/>
  <c r="R107" i="4"/>
  <c r="S107" i="4" s="1"/>
  <c r="Y107" i="4" s="1"/>
  <c r="R106" i="4"/>
  <c r="S106" i="4" s="1"/>
  <c r="Y106" i="4" s="1"/>
  <c r="I48" i="18" s="1"/>
  <c r="R102" i="4"/>
  <c r="S102" i="4" s="1"/>
  <c r="I58" i="18"/>
  <c r="R99" i="4"/>
  <c r="S99" i="4" s="1"/>
  <c r="Y99" i="4" s="1"/>
  <c r="I47" i="18" s="1"/>
  <c r="L134" i="4"/>
  <c r="L132" i="4"/>
  <c r="L131" i="4"/>
  <c r="L130" i="4"/>
  <c r="L129" i="4"/>
  <c r="L128" i="4"/>
  <c r="L127" i="4"/>
  <c r="L126" i="4"/>
  <c r="L124" i="4"/>
  <c r="L123" i="4"/>
  <c r="L120" i="4"/>
  <c r="L119" i="4"/>
  <c r="L118" i="4"/>
  <c r="L117" i="4"/>
  <c r="L116" i="4"/>
  <c r="L115" i="4"/>
  <c r="L114" i="4"/>
  <c r="L113" i="4"/>
  <c r="L112" i="4"/>
  <c r="L111" i="4"/>
  <c r="L110" i="4"/>
  <c r="L104" i="4"/>
  <c r="L102" i="4"/>
  <c r="L101" i="4"/>
  <c r="J134" i="4"/>
  <c r="J132" i="4"/>
  <c r="J131" i="4"/>
  <c r="J130" i="4"/>
  <c r="J129" i="4"/>
  <c r="J128" i="4"/>
  <c r="J127" i="4"/>
  <c r="J126" i="4"/>
  <c r="J124" i="4"/>
  <c r="J123" i="4"/>
  <c r="J120" i="4"/>
  <c r="J119" i="4"/>
  <c r="J118" i="4"/>
  <c r="J117" i="4"/>
  <c r="J116" i="4"/>
  <c r="J115" i="4"/>
  <c r="J114" i="4"/>
  <c r="J113" i="4"/>
  <c r="J112" i="4"/>
  <c r="J111" i="4"/>
  <c r="J110" i="4"/>
  <c r="E150" i="8"/>
  <c r="J104" i="4"/>
  <c r="J103" i="4"/>
  <c r="J102" i="4"/>
  <c r="J101" i="4"/>
  <c r="L99" i="4"/>
  <c r="L98" i="4" s="1"/>
  <c r="K99" i="4"/>
  <c r="K98" i="4" s="1"/>
  <c r="J99" i="4"/>
  <c r="J98" i="4" s="1"/>
  <c r="I99" i="4"/>
  <c r="I98" i="4" s="1"/>
  <c r="L96" i="4"/>
  <c r="L95" i="4" s="1"/>
  <c r="H146" i="8" s="1"/>
  <c r="L94" i="4"/>
  <c r="L93" i="4"/>
  <c r="L92" i="4"/>
  <c r="L90" i="4"/>
  <c r="L89" i="4"/>
  <c r="L88" i="4"/>
  <c r="L87" i="4"/>
  <c r="L86" i="4"/>
  <c r="L85" i="4"/>
  <c r="L84" i="4"/>
  <c r="J96" i="4"/>
  <c r="J95" i="4" s="1"/>
  <c r="E146" i="8" s="1"/>
  <c r="J94" i="4"/>
  <c r="J93" i="4"/>
  <c r="J92" i="4"/>
  <c r="J87" i="4"/>
  <c r="J84" i="4"/>
  <c r="J90" i="4"/>
  <c r="J89" i="4"/>
  <c r="J88" i="4"/>
  <c r="J86" i="4"/>
  <c r="J85" i="4"/>
  <c r="R96" i="4"/>
  <c r="S96" i="4" s="1"/>
  <c r="Y96" i="4" s="1"/>
  <c r="I174" i="18" s="1"/>
  <c r="R94" i="4"/>
  <c r="S94" i="4" s="1"/>
  <c r="Y94" i="4" s="1"/>
  <c r="R93" i="4"/>
  <c r="S93" i="4" s="1"/>
  <c r="AA93" i="4" s="1"/>
  <c r="R92" i="4"/>
  <c r="U92" i="4" s="1"/>
  <c r="R89" i="4"/>
  <c r="S89" i="4" s="1"/>
  <c r="Y89" i="4" s="1"/>
  <c r="R88" i="4"/>
  <c r="S88" i="4" s="1"/>
  <c r="Y88" i="4" s="1"/>
  <c r="R87" i="4"/>
  <c r="U87" i="4" s="1"/>
  <c r="W87" i="4" s="1"/>
  <c r="R86" i="4"/>
  <c r="S86" i="4" s="1"/>
  <c r="Y86" i="4" s="1"/>
  <c r="R85" i="4"/>
  <c r="S85" i="4" s="1"/>
  <c r="Y85" i="4" s="1"/>
  <c r="R84" i="4"/>
  <c r="U84" i="4" s="1"/>
  <c r="W93" i="4"/>
  <c r="U90" i="4"/>
  <c r="W90" i="4" s="1"/>
  <c r="R81" i="4"/>
  <c r="S81" i="4" s="1"/>
  <c r="R80" i="4"/>
  <c r="S80" i="4" s="1"/>
  <c r="Y80" i="4" s="1"/>
  <c r="R78" i="4"/>
  <c r="S78" i="4" s="1"/>
  <c r="Y78" i="4" s="1"/>
  <c r="R76" i="4"/>
  <c r="S76" i="4" s="1"/>
  <c r="R75" i="4"/>
  <c r="S75" i="4" s="1"/>
  <c r="Y75" i="4" s="1"/>
  <c r="R74" i="4"/>
  <c r="S74" i="4" s="1"/>
  <c r="Y74" i="4" s="1"/>
  <c r="R72" i="4"/>
  <c r="U72" i="4" s="1"/>
  <c r="W72" i="4" s="1"/>
  <c r="R71" i="4"/>
  <c r="S71" i="4" s="1"/>
  <c r="Y71" i="4" s="1"/>
  <c r="R70" i="4"/>
  <c r="S70" i="4" s="1"/>
  <c r="Y70" i="4" s="1"/>
  <c r="R68" i="4"/>
  <c r="U68" i="4" s="1"/>
  <c r="W68" i="4" s="1"/>
  <c r="R67" i="4"/>
  <c r="U67" i="4" s="1"/>
  <c r="W67" i="4" s="1"/>
  <c r="R66" i="4"/>
  <c r="S66" i="4" s="1"/>
  <c r="Y66" i="4" s="1"/>
  <c r="R65" i="4"/>
  <c r="S65" i="4" s="1"/>
  <c r="Y65" i="4" s="1"/>
  <c r="R63" i="4"/>
  <c r="S63" i="4" s="1"/>
  <c r="Y63" i="4" s="1"/>
  <c r="R62" i="4"/>
  <c r="S62" i="4" s="1"/>
  <c r="Y62" i="4" s="1"/>
  <c r="I152" i="18" s="1"/>
  <c r="L81" i="4"/>
  <c r="L80" i="4"/>
  <c r="L78" i="4"/>
  <c r="L77" i="4" s="1"/>
  <c r="H141" i="8" s="1"/>
  <c r="L75" i="4"/>
  <c r="L74" i="4"/>
  <c r="L72" i="4"/>
  <c r="L71" i="4"/>
  <c r="L70" i="4"/>
  <c r="L68" i="4"/>
  <c r="L67" i="4"/>
  <c r="L66" i="4"/>
  <c r="L65" i="4"/>
  <c r="L63" i="4"/>
  <c r="L62" i="4"/>
  <c r="J81" i="4"/>
  <c r="J80" i="4"/>
  <c r="J78" i="4"/>
  <c r="J77" i="4" s="1"/>
  <c r="E141" i="8" s="1"/>
  <c r="J75" i="4"/>
  <c r="J74" i="4"/>
  <c r="J72" i="4"/>
  <c r="J71" i="4"/>
  <c r="J70" i="4"/>
  <c r="J68" i="4"/>
  <c r="J67" i="4"/>
  <c r="J66" i="4"/>
  <c r="J65" i="4"/>
  <c r="J63" i="4"/>
  <c r="J62" i="4"/>
  <c r="R59" i="4"/>
  <c r="S59" i="4" s="1"/>
  <c r="Y59" i="4" s="1"/>
  <c r="I151" i="18" s="1"/>
  <c r="R58" i="4"/>
  <c r="S58" i="4" s="1"/>
  <c r="Y58" i="4" s="1"/>
  <c r="R56" i="4"/>
  <c r="S56" i="4" s="1"/>
  <c r="Y56" i="4" s="1"/>
  <c r="R55" i="4"/>
  <c r="S55" i="4" s="1"/>
  <c r="Y55" i="4" s="1"/>
  <c r="R54" i="4"/>
  <c r="S54" i="4" s="1"/>
  <c r="Y54" i="4" s="1"/>
  <c r="I147" i="18" s="1"/>
  <c r="R52" i="4"/>
  <c r="S52" i="4" s="1"/>
  <c r="Y52" i="4" s="1"/>
  <c r="R51" i="4"/>
  <c r="S51" i="4" s="1"/>
  <c r="Y51" i="4" s="1"/>
  <c r="I145" i="18" s="1"/>
  <c r="R49" i="4"/>
  <c r="S49" i="4" s="1"/>
  <c r="Y49" i="4" s="1"/>
  <c r="R48" i="4"/>
  <c r="S48" i="4" s="1"/>
  <c r="Y48" i="4" s="1"/>
  <c r="R47" i="4"/>
  <c r="S47" i="4" s="1"/>
  <c r="Y47" i="4" s="1"/>
  <c r="R45" i="4"/>
  <c r="S45" i="4" s="1"/>
  <c r="Y45" i="4" s="1"/>
  <c r="R44" i="4"/>
  <c r="S44" i="4" s="1"/>
  <c r="R43" i="4"/>
  <c r="S43" i="4" s="1"/>
  <c r="R42" i="4"/>
  <c r="S42" i="4" s="1"/>
  <c r="R41" i="4"/>
  <c r="S41" i="4" s="1"/>
  <c r="Y41" i="4" s="1"/>
  <c r="R40" i="4"/>
  <c r="S40" i="4" s="1"/>
  <c r="Y40" i="4" s="1"/>
  <c r="R39" i="4"/>
  <c r="S39" i="4" s="1"/>
  <c r="L59" i="4"/>
  <c r="L58" i="4"/>
  <c r="L56" i="4"/>
  <c r="L55" i="4"/>
  <c r="L54" i="4"/>
  <c r="L52" i="4"/>
  <c r="L51" i="4"/>
  <c r="L49" i="4"/>
  <c r="L48" i="4"/>
  <c r="L47" i="4"/>
  <c r="L43" i="4"/>
  <c r="L41" i="4"/>
  <c r="L40" i="4"/>
  <c r="J59" i="4"/>
  <c r="J58" i="4"/>
  <c r="J55" i="4"/>
  <c r="J54" i="4"/>
  <c r="J52" i="4"/>
  <c r="J51" i="4"/>
  <c r="J49" i="4"/>
  <c r="J48" i="4"/>
  <c r="J47" i="4"/>
  <c r="J43" i="4"/>
  <c r="J41" i="4"/>
  <c r="J40" i="4"/>
  <c r="T27" i="4"/>
  <c r="R36" i="4"/>
  <c r="U36" i="4" s="1"/>
  <c r="W36" i="4" s="1"/>
  <c r="R35" i="4"/>
  <c r="S35" i="4" s="1"/>
  <c r="R34" i="4"/>
  <c r="S34" i="4" s="1"/>
  <c r="Y34" i="4" s="1"/>
  <c r="R32" i="4"/>
  <c r="S32" i="4" s="1"/>
  <c r="R31" i="4"/>
  <c r="S31" i="4" s="1"/>
  <c r="Y31" i="4" s="1"/>
  <c r="R30" i="4"/>
  <c r="S30" i="4" s="1"/>
  <c r="Y30" i="4" s="1"/>
  <c r="R29" i="4"/>
  <c r="S29" i="4" s="1"/>
  <c r="Y29" i="4" s="1"/>
  <c r="R28" i="4"/>
  <c r="S28" i="4" s="1"/>
  <c r="Y28" i="4" s="1"/>
  <c r="L36" i="4"/>
  <c r="L35" i="4"/>
  <c r="L34" i="4"/>
  <c r="L32" i="4"/>
  <c r="L31" i="4"/>
  <c r="L30" i="4"/>
  <c r="L29" i="4"/>
  <c r="L28" i="4"/>
  <c r="J36" i="4"/>
  <c r="J35" i="4"/>
  <c r="J34" i="4"/>
  <c r="J32" i="4"/>
  <c r="J31" i="4"/>
  <c r="J30" i="4"/>
  <c r="J29" i="4"/>
  <c r="J28" i="4"/>
  <c r="R25" i="4"/>
  <c r="S25" i="4" s="1"/>
  <c r="Y25" i="4" s="1"/>
  <c r="R24" i="4"/>
  <c r="S24" i="4" s="1"/>
  <c r="Y24" i="4" s="1"/>
  <c r="I125" i="18" s="1"/>
  <c r="R23" i="4"/>
  <c r="S23" i="4" s="1"/>
  <c r="Y23" i="4" s="1"/>
  <c r="L25" i="4"/>
  <c r="L24" i="4"/>
  <c r="L23" i="4"/>
  <c r="J25" i="4"/>
  <c r="J24" i="4"/>
  <c r="J23" i="4"/>
  <c r="W16" i="4"/>
  <c r="R7" i="4"/>
  <c r="S7" i="4" s="1"/>
  <c r="Y7" i="4" s="1"/>
  <c r="R8" i="4"/>
  <c r="S8" i="4" s="1"/>
  <c r="R9" i="4"/>
  <c r="S9" i="4" s="1"/>
  <c r="R10" i="4"/>
  <c r="S10" i="4" s="1"/>
  <c r="R11" i="4"/>
  <c r="S11" i="4" s="1"/>
  <c r="R12" i="4"/>
  <c r="S12" i="4" s="1"/>
  <c r="R13" i="4"/>
  <c r="U13" i="4" s="1"/>
  <c r="W13" i="4" s="1"/>
  <c r="R14" i="4"/>
  <c r="U14" i="4" s="1"/>
  <c r="W14" i="4" s="1"/>
  <c r="R15" i="4"/>
  <c r="S15" i="4" s="1"/>
  <c r="Y15" i="4" s="1"/>
  <c r="R16" i="4"/>
  <c r="S16" i="4" s="1"/>
  <c r="Y16" i="4" s="1"/>
  <c r="R17" i="4"/>
  <c r="S17" i="4" s="1"/>
  <c r="Y17" i="4" s="1"/>
  <c r="R18" i="4"/>
  <c r="U18" i="4" s="1"/>
  <c r="W18" i="4" s="1"/>
  <c r="R19" i="4"/>
  <c r="S19" i="4" s="1"/>
  <c r="R20" i="4"/>
  <c r="R21" i="4"/>
  <c r="S21" i="4" s="1"/>
  <c r="R6" i="4"/>
  <c r="S6" i="4" s="1"/>
  <c r="Y6" i="4" s="1"/>
  <c r="L7" i="4"/>
  <c r="L21" i="4"/>
  <c r="L20" i="4"/>
  <c r="L19" i="4"/>
  <c r="L18" i="4"/>
  <c r="L17" i="4"/>
  <c r="L16" i="4"/>
  <c r="L15" i="4"/>
  <c r="L14" i="4"/>
  <c r="L13" i="4"/>
  <c r="L12" i="4"/>
  <c r="L11" i="4"/>
  <c r="L10" i="4"/>
  <c r="L9" i="4"/>
  <c r="L8" i="4"/>
  <c r="L6" i="4"/>
  <c r="J21" i="4"/>
  <c r="J18" i="4"/>
  <c r="J17" i="4"/>
  <c r="J13" i="4"/>
  <c r="J7" i="4"/>
  <c r="J6" i="4"/>
  <c r="I36" i="18" l="1"/>
  <c r="AA25" i="6"/>
  <c r="S41" i="5"/>
  <c r="Y41" i="5" s="1"/>
  <c r="I280" i="18" s="1"/>
  <c r="U41" i="5"/>
  <c r="AA91" i="5"/>
  <c r="I291" i="18"/>
  <c r="AA20" i="5"/>
  <c r="I20" i="18"/>
  <c r="Z6" i="6"/>
  <c r="AA6" i="6"/>
  <c r="S37" i="5"/>
  <c r="Y37" i="5" s="1"/>
  <c r="I300" i="18" s="1"/>
  <c r="U37" i="5"/>
  <c r="W37" i="5" s="1"/>
  <c r="Y39" i="5"/>
  <c r="I302" i="18" s="1"/>
  <c r="S20" i="4"/>
  <c r="Y20" i="4" s="1"/>
  <c r="U20" i="4"/>
  <c r="S156" i="4"/>
  <c r="Y156" i="4" s="1"/>
  <c r="Y26" i="6"/>
  <c r="I31" i="18" s="1"/>
  <c r="I28" i="18"/>
  <c r="I137" i="18"/>
  <c r="AA41" i="4"/>
  <c r="Y22" i="4"/>
  <c r="K126" i="8" s="1"/>
  <c r="E49" i="13" s="1"/>
  <c r="AA138" i="5"/>
  <c r="I373" i="18"/>
  <c r="AA132" i="5"/>
  <c r="I368" i="18"/>
  <c r="I342" i="18"/>
  <c r="AA100" i="5"/>
  <c r="AA34" i="5"/>
  <c r="I278" i="18"/>
  <c r="Y59" i="5"/>
  <c r="I312" i="18" s="1"/>
  <c r="AA42" i="5"/>
  <c r="I281" i="18"/>
  <c r="Y88" i="5"/>
  <c r="I334" i="18" s="1"/>
  <c r="U115" i="5"/>
  <c r="W115" i="5" s="1"/>
  <c r="I303" i="18"/>
  <c r="AA44" i="5"/>
  <c r="Y89" i="5"/>
  <c r="I335" i="18" s="1"/>
  <c r="Y26" i="5"/>
  <c r="K169" i="8" s="1"/>
  <c r="E59" i="15" s="1"/>
  <c r="AA130" i="5"/>
  <c r="I367" i="18"/>
  <c r="I338" i="18"/>
  <c r="I306" i="18"/>
  <c r="AA47" i="5"/>
  <c r="Y109" i="4"/>
  <c r="Y99" i="5"/>
  <c r="K189" i="8" s="1"/>
  <c r="E90" i="15" s="1"/>
  <c r="AA25" i="5"/>
  <c r="I295" i="18"/>
  <c r="AA35" i="5"/>
  <c r="I279" i="18"/>
  <c r="AA16" i="5"/>
  <c r="I289" i="18"/>
  <c r="AA15" i="5"/>
  <c r="I288" i="18"/>
  <c r="AA14" i="5"/>
  <c r="I287" i="18"/>
  <c r="AA13" i="5"/>
  <c r="I286" i="18"/>
  <c r="AA38" i="5"/>
  <c r="I301" i="18"/>
  <c r="AA37" i="5"/>
  <c r="AA11" i="5"/>
  <c r="I285" i="18"/>
  <c r="AA27" i="5"/>
  <c r="I296" i="18"/>
  <c r="AA51" i="5"/>
  <c r="I308" i="18"/>
  <c r="AA50" i="5"/>
  <c r="I307" i="18"/>
  <c r="AA52" i="5"/>
  <c r="I309" i="18"/>
  <c r="AA53" i="5"/>
  <c r="I310" i="18"/>
  <c r="I108" i="18"/>
  <c r="I128" i="18"/>
  <c r="AA29" i="4"/>
  <c r="I129" i="18"/>
  <c r="AA30" i="4"/>
  <c r="I153" i="18"/>
  <c r="AA63" i="4"/>
  <c r="I127" i="18"/>
  <c r="AA28" i="4"/>
  <c r="I130" i="18"/>
  <c r="Y27" i="4"/>
  <c r="AA141" i="5"/>
  <c r="I375" i="18"/>
  <c r="AA137" i="5"/>
  <c r="I372" i="18"/>
  <c r="AA133" i="5"/>
  <c r="I369" i="18"/>
  <c r="AA128" i="5"/>
  <c r="I365" i="18"/>
  <c r="AA126" i="5"/>
  <c r="I363" i="18"/>
  <c r="AA124" i="5"/>
  <c r="I361" i="18"/>
  <c r="AA122" i="5"/>
  <c r="I360" i="18"/>
  <c r="AA121" i="5"/>
  <c r="I359" i="18"/>
  <c r="AA120" i="5"/>
  <c r="I358" i="18"/>
  <c r="AA119" i="5"/>
  <c r="I357" i="18"/>
  <c r="AA118" i="5"/>
  <c r="I356" i="18"/>
  <c r="AA117" i="5"/>
  <c r="I355" i="18"/>
  <c r="AA114" i="5"/>
  <c r="I353" i="18"/>
  <c r="AA113" i="5"/>
  <c r="I352" i="18"/>
  <c r="S169" i="4"/>
  <c r="Y169" i="4" s="1"/>
  <c r="U169" i="4"/>
  <c r="U168" i="4" s="1"/>
  <c r="I160" i="8" s="1"/>
  <c r="I159" i="8" s="1"/>
  <c r="AA97" i="5"/>
  <c r="I340" i="18"/>
  <c r="AA96" i="5"/>
  <c r="I339" i="18"/>
  <c r="AA90" i="5"/>
  <c r="I336" i="18"/>
  <c r="AA87" i="5"/>
  <c r="I333" i="18"/>
  <c r="AA84" i="5"/>
  <c r="I331" i="18"/>
  <c r="AA83" i="5"/>
  <c r="I330" i="18"/>
  <c r="AA82" i="5"/>
  <c r="I329" i="18"/>
  <c r="AA81" i="5"/>
  <c r="I328" i="18"/>
  <c r="AA76" i="5"/>
  <c r="I325" i="18"/>
  <c r="AA72" i="5"/>
  <c r="I322" i="18"/>
  <c r="AA71" i="5"/>
  <c r="I321" i="18"/>
  <c r="AA73" i="5"/>
  <c r="I323" i="18"/>
  <c r="AA70" i="5"/>
  <c r="I320" i="18"/>
  <c r="AA67" i="5"/>
  <c r="AA66" i="5" s="1"/>
  <c r="I318" i="18"/>
  <c r="AA64" i="5"/>
  <c r="I316" i="18"/>
  <c r="AA65" i="5"/>
  <c r="I317" i="18"/>
  <c r="AA63" i="5"/>
  <c r="I315" i="18"/>
  <c r="AA62" i="5"/>
  <c r="I314" i="18"/>
  <c r="AA60" i="5"/>
  <c r="I313" i="18"/>
  <c r="Y57" i="4"/>
  <c r="K135" i="8" s="1"/>
  <c r="E65" i="13" s="1"/>
  <c r="I150" i="18"/>
  <c r="AA58" i="4"/>
  <c r="I124" i="18"/>
  <c r="AA19" i="6"/>
  <c r="I6" i="18"/>
  <c r="AA21" i="6"/>
  <c r="AA35" i="6"/>
  <c r="I38" i="18"/>
  <c r="I21" i="18"/>
  <c r="AA20" i="6"/>
  <c r="I7" i="18"/>
  <c r="AA36" i="6"/>
  <c r="I39" i="18"/>
  <c r="AA46" i="6"/>
  <c r="I14" i="18"/>
  <c r="Y14" i="6"/>
  <c r="K201" i="8" s="1"/>
  <c r="E45" i="17" s="1"/>
  <c r="I2" i="18"/>
  <c r="AA39" i="6"/>
  <c r="I42" i="18"/>
  <c r="AA16" i="6"/>
  <c r="I3" i="18"/>
  <c r="AA17" i="6"/>
  <c r="I4" i="18"/>
  <c r="AA42" i="6"/>
  <c r="I10" i="18"/>
  <c r="I22" i="18"/>
  <c r="I25" i="18"/>
  <c r="AA41" i="6"/>
  <c r="I9" i="18"/>
  <c r="AA13" i="6"/>
  <c r="I27" i="18"/>
  <c r="AA18" i="6"/>
  <c r="I5" i="18"/>
  <c r="I11" i="18"/>
  <c r="AA46" i="5"/>
  <c r="I305" i="18"/>
  <c r="AA45" i="5"/>
  <c r="I304" i="18"/>
  <c r="AA94" i="4"/>
  <c r="I46" i="18"/>
  <c r="AA45" i="4"/>
  <c r="I141" i="18"/>
  <c r="AA74" i="4"/>
  <c r="I161" i="18"/>
  <c r="AA113" i="4"/>
  <c r="I65" i="18"/>
  <c r="AA75" i="4"/>
  <c r="I162" i="18"/>
  <c r="AA132" i="4"/>
  <c r="I83" i="18"/>
  <c r="AA17" i="4"/>
  <c r="I119" i="18"/>
  <c r="AA78" i="4"/>
  <c r="AA77" i="4" s="1"/>
  <c r="M141" i="8" s="1"/>
  <c r="D76" i="13" s="1"/>
  <c r="I164" i="18"/>
  <c r="AA107" i="4"/>
  <c r="I49" i="18"/>
  <c r="AA116" i="4"/>
  <c r="I68" i="18"/>
  <c r="AA125" i="4"/>
  <c r="I76" i="18"/>
  <c r="AA133" i="4"/>
  <c r="I84" i="18"/>
  <c r="AA148" i="4"/>
  <c r="I98" i="18"/>
  <c r="AA157" i="4"/>
  <c r="I106" i="18"/>
  <c r="AA80" i="4"/>
  <c r="AA79" i="4" s="1"/>
  <c r="M142" i="8" s="1"/>
  <c r="D77" i="13" s="1"/>
  <c r="I165" i="18"/>
  <c r="AA88" i="4"/>
  <c r="I171" i="18"/>
  <c r="AA108" i="4"/>
  <c r="I50" i="18"/>
  <c r="AA117" i="4"/>
  <c r="I69" i="18"/>
  <c r="AA149" i="4"/>
  <c r="I99" i="18"/>
  <c r="AA15" i="4"/>
  <c r="I117" i="18"/>
  <c r="AA7" i="4"/>
  <c r="I109" i="18"/>
  <c r="AA34" i="4"/>
  <c r="I132" i="18"/>
  <c r="AA70" i="4"/>
  <c r="I158" i="18"/>
  <c r="AA89" i="4"/>
  <c r="I172" i="18"/>
  <c r="AA118" i="4"/>
  <c r="I70" i="18"/>
  <c r="AA127" i="4"/>
  <c r="I78" i="18"/>
  <c r="AA151" i="4"/>
  <c r="I100" i="18"/>
  <c r="AA71" i="4"/>
  <c r="I159" i="18"/>
  <c r="AA111" i="4"/>
  <c r="I63" i="18"/>
  <c r="AA128" i="4"/>
  <c r="I79" i="18"/>
  <c r="AA152" i="4"/>
  <c r="I101" i="18"/>
  <c r="AA145" i="4"/>
  <c r="I95" i="18"/>
  <c r="AA154" i="4"/>
  <c r="I103" i="18"/>
  <c r="AA65" i="4"/>
  <c r="I154" i="18"/>
  <c r="AA85" i="4"/>
  <c r="I168" i="18"/>
  <c r="AA104" i="4"/>
  <c r="I61" i="18"/>
  <c r="AA114" i="4"/>
  <c r="I66" i="18"/>
  <c r="AA123" i="4"/>
  <c r="I74" i="18"/>
  <c r="AA131" i="4"/>
  <c r="I82" i="18"/>
  <c r="AA146" i="4"/>
  <c r="I96" i="18"/>
  <c r="AA66" i="4"/>
  <c r="I155" i="18"/>
  <c r="AA86" i="4"/>
  <c r="I169" i="18"/>
  <c r="AA115" i="4"/>
  <c r="I67" i="18"/>
  <c r="AA16" i="4"/>
  <c r="I118" i="18"/>
  <c r="AA25" i="4"/>
  <c r="I126" i="18"/>
  <c r="AA112" i="4"/>
  <c r="I64" i="18"/>
  <c r="AA120" i="4"/>
  <c r="I72" i="18"/>
  <c r="AA129" i="4"/>
  <c r="I80" i="18"/>
  <c r="AA153" i="4"/>
  <c r="I102" i="18"/>
  <c r="AA52" i="4"/>
  <c r="I146" i="18"/>
  <c r="AA48" i="4"/>
  <c r="I143" i="18"/>
  <c r="AA49" i="4"/>
  <c r="I144" i="18"/>
  <c r="AA47" i="4"/>
  <c r="I142" i="18"/>
  <c r="AA21" i="5"/>
  <c r="I292" i="18"/>
  <c r="AA22" i="5"/>
  <c r="I293" i="18"/>
  <c r="AA137" i="4"/>
  <c r="I89" i="18"/>
  <c r="AA56" i="4"/>
  <c r="I149" i="18"/>
  <c r="AA55" i="4"/>
  <c r="I148" i="18"/>
  <c r="I19" i="18"/>
  <c r="AA52" i="6"/>
  <c r="AA108" i="5"/>
  <c r="I349" i="18"/>
  <c r="AA107" i="5"/>
  <c r="I348" i="18"/>
  <c r="AA106" i="5"/>
  <c r="I347" i="18"/>
  <c r="AA104" i="5"/>
  <c r="I346" i="18"/>
  <c r="AA103" i="5"/>
  <c r="I345" i="18"/>
  <c r="AA102" i="5"/>
  <c r="I344" i="18"/>
  <c r="I343" i="18"/>
  <c r="AA101" i="5"/>
  <c r="AA40" i="4"/>
  <c r="I136" i="18"/>
  <c r="L5" i="6"/>
  <c r="H200" i="8" s="1"/>
  <c r="AA33" i="6"/>
  <c r="AA23" i="6"/>
  <c r="W52" i="6"/>
  <c r="W47" i="6" s="1"/>
  <c r="J26" i="5"/>
  <c r="E169" i="8" s="1"/>
  <c r="AA31" i="4"/>
  <c r="AA110" i="4"/>
  <c r="AA6" i="4"/>
  <c r="AA59" i="4"/>
  <c r="AA51" i="4"/>
  <c r="Y50" i="4"/>
  <c r="K133" i="8" s="1"/>
  <c r="E63" i="13" s="1"/>
  <c r="U11" i="5"/>
  <c r="W11" i="5" s="1"/>
  <c r="L40" i="5"/>
  <c r="H173" i="8" s="1"/>
  <c r="J58" i="5"/>
  <c r="E179" i="8" s="1"/>
  <c r="J74" i="5"/>
  <c r="E183" i="8" s="1"/>
  <c r="U137" i="5"/>
  <c r="W137" i="5" s="1"/>
  <c r="J46" i="4"/>
  <c r="E132" i="8" s="1"/>
  <c r="U96" i="5"/>
  <c r="W96" i="5" s="1"/>
  <c r="U132" i="5"/>
  <c r="W132" i="5" s="1"/>
  <c r="U76" i="5"/>
  <c r="W76" i="5" s="1"/>
  <c r="U13" i="5"/>
  <c r="W13" i="5" s="1"/>
  <c r="L105" i="5"/>
  <c r="H190" i="8" s="1"/>
  <c r="J85" i="5"/>
  <c r="E186" i="8" s="1"/>
  <c r="U26" i="6"/>
  <c r="W26" i="6" s="1"/>
  <c r="U21" i="6"/>
  <c r="W21" i="6" s="1"/>
  <c r="U34" i="6"/>
  <c r="W34" i="6" s="1"/>
  <c r="L23" i="5"/>
  <c r="H168" i="8" s="1"/>
  <c r="J49" i="5"/>
  <c r="E176" i="8" s="1"/>
  <c r="E175" i="8" s="1"/>
  <c r="J139" i="5"/>
  <c r="E197" i="8" s="1"/>
  <c r="U141" i="5"/>
  <c r="W141" i="5" s="1"/>
  <c r="U10" i="5"/>
  <c r="W10" i="5" s="1"/>
  <c r="U60" i="5"/>
  <c r="W60" i="5" s="1"/>
  <c r="J105" i="5"/>
  <c r="E190" i="8" s="1"/>
  <c r="J40" i="5"/>
  <c r="E173" i="8" s="1"/>
  <c r="U62" i="5"/>
  <c r="W62" i="5" s="1"/>
  <c r="U14" i="5"/>
  <c r="W14" i="5" s="1"/>
  <c r="U45" i="5"/>
  <c r="W45" i="5" s="1"/>
  <c r="U122" i="5"/>
  <c r="W122" i="5" s="1"/>
  <c r="U70" i="5"/>
  <c r="W70" i="5" s="1"/>
  <c r="W21" i="5"/>
  <c r="J5" i="5"/>
  <c r="E163" i="8" s="1"/>
  <c r="Y18" i="5"/>
  <c r="L58" i="5"/>
  <c r="H179" i="8" s="1"/>
  <c r="U82" i="5"/>
  <c r="W82" i="5" s="1"/>
  <c r="S18" i="4"/>
  <c r="Y18" i="4" s="1"/>
  <c r="W23" i="4"/>
  <c r="L69" i="4"/>
  <c r="H139" i="8" s="1"/>
  <c r="J136" i="4"/>
  <c r="E154" i="8" s="1"/>
  <c r="L57" i="4"/>
  <c r="H135" i="8" s="1"/>
  <c r="AA93" i="5"/>
  <c r="Y92" i="5"/>
  <c r="K187" i="8" s="1"/>
  <c r="AA24" i="5"/>
  <c r="Y23" i="5"/>
  <c r="K168" i="8" s="1"/>
  <c r="E58" i="15" s="1"/>
  <c r="Y139" i="5"/>
  <c r="K197" i="8" s="1"/>
  <c r="E101" i="15" s="1"/>
  <c r="AA140" i="5"/>
  <c r="AA23" i="4"/>
  <c r="J100" i="4"/>
  <c r="E149" i="8" s="1"/>
  <c r="S134" i="4"/>
  <c r="Y134" i="4" s="1"/>
  <c r="U46" i="5"/>
  <c r="W46" i="5" s="1"/>
  <c r="S54" i="5"/>
  <c r="Y54" i="5" s="1"/>
  <c r="U83" i="5"/>
  <c r="W83" i="5" s="1"/>
  <c r="U111" i="5"/>
  <c r="J53" i="4"/>
  <c r="E134" i="8" s="1"/>
  <c r="L9" i="5"/>
  <c r="H164" i="8" s="1"/>
  <c r="U8" i="5"/>
  <c r="W8" i="5" s="1"/>
  <c r="J23" i="5"/>
  <c r="E168" i="8" s="1"/>
  <c r="L26" i="5"/>
  <c r="H169" i="8" s="1"/>
  <c r="Y55" i="5"/>
  <c r="K177" i="8" s="1"/>
  <c r="E70" i="15" s="1"/>
  <c r="AA56" i="5"/>
  <c r="U90" i="5"/>
  <c r="W90" i="5" s="1"/>
  <c r="U112" i="5"/>
  <c r="W112" i="5" s="1"/>
  <c r="U29" i="6"/>
  <c r="W29" i="6" s="1"/>
  <c r="L47" i="6"/>
  <c r="H206" i="8" s="1"/>
  <c r="L91" i="4"/>
  <c r="H145" i="8" s="1"/>
  <c r="L12" i="5"/>
  <c r="H165" i="8" s="1"/>
  <c r="U128" i="4"/>
  <c r="W128" i="4" s="1"/>
  <c r="J78" i="5"/>
  <c r="E185" i="8" s="1"/>
  <c r="U95" i="5"/>
  <c r="W95" i="5" s="1"/>
  <c r="J116" i="5"/>
  <c r="E193" i="8" s="1"/>
  <c r="L110" i="5"/>
  <c r="H192" i="8" s="1"/>
  <c r="U113" i="5"/>
  <c r="W113" i="5" s="1"/>
  <c r="J22" i="6"/>
  <c r="E202" i="8" s="1"/>
  <c r="U119" i="5"/>
  <c r="W119" i="5" s="1"/>
  <c r="L18" i="5"/>
  <c r="H167" i="8" s="1"/>
  <c r="U25" i="5"/>
  <c r="W25" i="5" s="1"/>
  <c r="U63" i="5"/>
  <c r="W63" i="5" s="1"/>
  <c r="S80" i="5"/>
  <c r="Y80" i="5" s="1"/>
  <c r="U104" i="5"/>
  <c r="W104" i="5" s="1"/>
  <c r="L40" i="6"/>
  <c r="H205" i="8" s="1"/>
  <c r="L78" i="5"/>
  <c r="H185" i="8" s="1"/>
  <c r="Y102" i="4"/>
  <c r="I59" i="18" s="1"/>
  <c r="U34" i="5"/>
  <c r="W34" i="5" s="1"/>
  <c r="U64" i="5"/>
  <c r="W64" i="5" s="1"/>
  <c r="U124" i="5"/>
  <c r="W124" i="5" s="1"/>
  <c r="U24" i="5"/>
  <c r="J50" i="4"/>
  <c r="E133" i="8" s="1"/>
  <c r="Y105" i="4"/>
  <c r="K150" i="8" s="1"/>
  <c r="E97" i="13" s="1"/>
  <c r="AA106" i="4"/>
  <c r="J9" i="5"/>
  <c r="E164" i="8" s="1"/>
  <c r="W16" i="5"/>
  <c r="J32" i="5"/>
  <c r="E171" i="8" s="1"/>
  <c r="U51" i="5"/>
  <c r="W51" i="5" s="1"/>
  <c r="U65" i="5"/>
  <c r="W65" i="5" s="1"/>
  <c r="U81" i="5"/>
  <c r="W81" i="5" s="1"/>
  <c r="J131" i="5"/>
  <c r="E195" i="8" s="1"/>
  <c r="L139" i="5"/>
  <c r="H197" i="8" s="1"/>
  <c r="U18" i="6"/>
  <c r="W18" i="6" s="1"/>
  <c r="AA99" i="4"/>
  <c r="Y98" i="4"/>
  <c r="U22" i="5"/>
  <c r="W22" i="5" s="1"/>
  <c r="L100" i="4"/>
  <c r="H149" i="8" s="1"/>
  <c r="L136" i="4"/>
  <c r="H154" i="8" s="1"/>
  <c r="L53" i="4"/>
  <c r="H134" i="8" s="1"/>
  <c r="J121" i="4"/>
  <c r="L50" i="4"/>
  <c r="H133" i="8" s="1"/>
  <c r="U48" i="4"/>
  <c r="W48" i="4" s="1"/>
  <c r="U99" i="4"/>
  <c r="W99" i="4" s="1"/>
  <c r="W98" i="4" s="1"/>
  <c r="W49" i="4"/>
  <c r="L27" i="4"/>
  <c r="H128" i="8" s="1"/>
  <c r="W51" i="4"/>
  <c r="U117" i="4"/>
  <c r="W117" i="4" s="1"/>
  <c r="U17" i="4"/>
  <c r="W17" i="4" s="1"/>
  <c r="L79" i="4"/>
  <c r="H142" i="8" s="1"/>
  <c r="U70" i="4"/>
  <c r="W70" i="4" s="1"/>
  <c r="L121" i="4"/>
  <c r="H152" i="8" s="1"/>
  <c r="U118" i="4"/>
  <c r="W118" i="4" s="1"/>
  <c r="J69" i="4"/>
  <c r="E139" i="8" s="1"/>
  <c r="J79" i="4"/>
  <c r="E142" i="8" s="1"/>
  <c r="U119" i="4"/>
  <c r="W119" i="4" s="1"/>
  <c r="W156" i="4"/>
  <c r="J33" i="4"/>
  <c r="E129" i="8" s="1"/>
  <c r="L33" i="4"/>
  <c r="H129" i="8" s="1"/>
  <c r="J57" i="4"/>
  <c r="E135" i="8" s="1"/>
  <c r="L46" i="4"/>
  <c r="H132" i="8" s="1"/>
  <c r="L61" i="4"/>
  <c r="H137" i="8" s="1"/>
  <c r="W127" i="4"/>
  <c r="AA122" i="4"/>
  <c r="AA54" i="4"/>
  <c r="Y53" i="4"/>
  <c r="K134" i="8" s="1"/>
  <c r="E64" i="13" s="1"/>
  <c r="E148" i="8"/>
  <c r="AA62" i="4"/>
  <c r="H148" i="8"/>
  <c r="L167" i="4"/>
  <c r="AA143" i="4"/>
  <c r="U30" i="4"/>
  <c r="W30" i="4" s="1"/>
  <c r="S72" i="4"/>
  <c r="Y72" i="4" s="1"/>
  <c r="J159" i="4"/>
  <c r="E158" i="8" s="1"/>
  <c r="F158" i="8" s="1"/>
  <c r="U52" i="4"/>
  <c r="W52" i="4" s="1"/>
  <c r="W146" i="4"/>
  <c r="U54" i="4"/>
  <c r="U85" i="4"/>
  <c r="W85" i="4" s="1"/>
  <c r="U123" i="4"/>
  <c r="W123" i="4" s="1"/>
  <c r="U131" i="4"/>
  <c r="W131" i="4" s="1"/>
  <c r="W147" i="4"/>
  <c r="AA171" i="4"/>
  <c r="U145" i="4"/>
  <c r="W145" i="4" s="1"/>
  <c r="J61" i="4"/>
  <c r="E137" i="8" s="1"/>
  <c r="U55" i="4"/>
  <c r="W55" i="4" s="1"/>
  <c r="U124" i="4"/>
  <c r="W124" i="4" s="1"/>
  <c r="U132" i="4"/>
  <c r="W132" i="4" s="1"/>
  <c r="L144" i="4"/>
  <c r="H156" i="8" s="1"/>
  <c r="S138" i="4"/>
  <c r="U113" i="4"/>
  <c r="W113" i="4" s="1"/>
  <c r="U137" i="4"/>
  <c r="Y46" i="4"/>
  <c r="K132" i="8" s="1"/>
  <c r="E62" i="13" s="1"/>
  <c r="J22" i="4"/>
  <c r="E126" i="8" s="1"/>
  <c r="AA32" i="4"/>
  <c r="U31" i="4"/>
  <c r="W31" i="4" s="1"/>
  <c r="U62" i="4"/>
  <c r="J91" i="4"/>
  <c r="E145" i="8" s="1"/>
  <c r="U129" i="4"/>
  <c r="W129" i="4" s="1"/>
  <c r="L159" i="4"/>
  <c r="H158" i="8" s="1"/>
  <c r="U63" i="4"/>
  <c r="W63" i="4" s="1"/>
  <c r="U43" i="4"/>
  <c r="W43" i="4" s="1"/>
  <c r="U56" i="4"/>
  <c r="W56" i="4" s="1"/>
  <c r="U78" i="4"/>
  <c r="U77" i="4" s="1"/>
  <c r="I141" i="8" s="1"/>
  <c r="U34" i="4"/>
  <c r="W34" i="4" s="1"/>
  <c r="U47" i="4"/>
  <c r="W115" i="4"/>
  <c r="U134" i="4"/>
  <c r="W134" i="4" s="1"/>
  <c r="S141" i="4"/>
  <c r="Y141" i="4" s="1"/>
  <c r="U141" i="4"/>
  <c r="W141" i="4" s="1"/>
  <c r="W140" i="4" s="1"/>
  <c r="U152" i="4"/>
  <c r="W152" i="4" s="1"/>
  <c r="J40" i="6"/>
  <c r="E205" i="8" s="1"/>
  <c r="U17" i="6"/>
  <c r="Y95" i="4"/>
  <c r="K146" i="8" s="1"/>
  <c r="E86" i="13" s="1"/>
  <c r="AA96" i="4"/>
  <c r="AA95" i="4" s="1"/>
  <c r="Y32" i="5"/>
  <c r="K171" i="8" s="1"/>
  <c r="E61" i="15" s="1"/>
  <c r="AA33" i="5"/>
  <c r="U33" i="5"/>
  <c r="W33" i="5" s="1"/>
  <c r="U35" i="5"/>
  <c r="W35" i="5" s="1"/>
  <c r="L32" i="5"/>
  <c r="J12" i="5"/>
  <c r="E165" i="8" s="1"/>
  <c r="S6" i="5"/>
  <c r="Y6" i="5" s="1"/>
  <c r="Y5" i="5" s="1"/>
  <c r="L5" i="5"/>
  <c r="H163" i="8" s="1"/>
  <c r="W6" i="5"/>
  <c r="AA31" i="5"/>
  <c r="AA30" i="5" s="1"/>
  <c r="Y30" i="5"/>
  <c r="K170" i="8" s="1"/>
  <c r="E60" i="15" s="1"/>
  <c r="U31" i="5"/>
  <c r="U38" i="5"/>
  <c r="W38" i="5" s="1"/>
  <c r="U39" i="5"/>
  <c r="W39" i="5" s="1"/>
  <c r="L36" i="5"/>
  <c r="H172" i="8" s="1"/>
  <c r="J36" i="5"/>
  <c r="E172" i="8" s="1"/>
  <c r="U20" i="5"/>
  <c r="W20" i="5" s="1"/>
  <c r="J18" i="5"/>
  <c r="E167" i="8" s="1"/>
  <c r="AA19" i="5"/>
  <c r="U19" i="5"/>
  <c r="Y9" i="5"/>
  <c r="K164" i="8" s="1"/>
  <c r="E47" i="15" s="1"/>
  <c r="AA10" i="5"/>
  <c r="U27" i="5"/>
  <c r="W27" i="5" s="1"/>
  <c r="AA28" i="5"/>
  <c r="U28" i="5"/>
  <c r="W28" i="5" s="1"/>
  <c r="L74" i="5"/>
  <c r="H183" i="8" s="1"/>
  <c r="AA75" i="5"/>
  <c r="Y74" i="5"/>
  <c r="K183" i="8" s="1"/>
  <c r="E79" i="15" s="1"/>
  <c r="U75" i="5"/>
  <c r="W75" i="5" s="1"/>
  <c r="U72" i="5"/>
  <c r="W72" i="5" s="1"/>
  <c r="L68" i="5"/>
  <c r="H182" i="8" s="1"/>
  <c r="U71" i="5"/>
  <c r="W71" i="5" s="1"/>
  <c r="U73" i="5"/>
  <c r="W73" i="5" s="1"/>
  <c r="J68" i="5"/>
  <c r="E182" i="8" s="1"/>
  <c r="AA69" i="5"/>
  <c r="U69" i="5"/>
  <c r="Y66" i="5"/>
  <c r="K181" i="8" s="1"/>
  <c r="E77" i="15" s="1"/>
  <c r="U67" i="5"/>
  <c r="L61" i="5"/>
  <c r="H180" i="8" s="1"/>
  <c r="J61" i="5"/>
  <c r="E180" i="8" s="1"/>
  <c r="Y61" i="5"/>
  <c r="K180" i="8" s="1"/>
  <c r="E76" i="15" s="1"/>
  <c r="U59" i="5"/>
  <c r="W59" i="5" s="1"/>
  <c r="J140" i="4"/>
  <c r="E155" i="8" s="1"/>
  <c r="L140" i="4"/>
  <c r="H155" i="8" s="1"/>
  <c r="W103" i="4"/>
  <c r="W104" i="4"/>
  <c r="W102" i="4"/>
  <c r="AA101" i="4"/>
  <c r="H150" i="8"/>
  <c r="Y77" i="4"/>
  <c r="K141" i="8" s="1"/>
  <c r="E76" i="13" s="1"/>
  <c r="AA95" i="5"/>
  <c r="U98" i="5"/>
  <c r="W98" i="5" s="1"/>
  <c r="U97" i="5"/>
  <c r="W97" i="5" s="1"/>
  <c r="J94" i="5"/>
  <c r="E188" i="8" s="1"/>
  <c r="L94" i="5"/>
  <c r="H188" i="8" s="1"/>
  <c r="U84" i="5"/>
  <c r="W84" i="5" s="1"/>
  <c r="S79" i="5"/>
  <c r="Y79" i="5" s="1"/>
  <c r="I326" i="18" s="1"/>
  <c r="W93" i="5"/>
  <c r="W92" i="5" s="1"/>
  <c r="AA86" i="5"/>
  <c r="U86" i="5"/>
  <c r="W86" i="5" s="1"/>
  <c r="U87" i="5"/>
  <c r="W87" i="5" s="1"/>
  <c r="U88" i="5"/>
  <c r="W88" i="5" s="1"/>
  <c r="L85" i="5"/>
  <c r="H186" i="8" s="1"/>
  <c r="J47" i="6"/>
  <c r="E206" i="8" s="1"/>
  <c r="J167" i="4"/>
  <c r="S45" i="6"/>
  <c r="U25" i="6"/>
  <c r="W25" i="6" s="1"/>
  <c r="S48" i="6"/>
  <c r="Y48" i="6" s="1"/>
  <c r="U108" i="5"/>
  <c r="W108" i="5" s="1"/>
  <c r="U107" i="5"/>
  <c r="Y105" i="5"/>
  <c r="K190" i="8" s="1"/>
  <c r="E91" i="15" s="1"/>
  <c r="U106" i="5"/>
  <c r="U100" i="5"/>
  <c r="U102" i="5"/>
  <c r="W102" i="5" s="1"/>
  <c r="J99" i="5"/>
  <c r="E189" i="8" s="1"/>
  <c r="U101" i="5"/>
  <c r="W101" i="5" s="1"/>
  <c r="U103" i="5"/>
  <c r="W103" i="5" s="1"/>
  <c r="L99" i="5"/>
  <c r="H189" i="8" s="1"/>
  <c r="U41" i="4"/>
  <c r="W41" i="4" s="1"/>
  <c r="U40" i="4"/>
  <c r="W40" i="4" s="1"/>
  <c r="U39" i="4"/>
  <c r="U39" i="6"/>
  <c r="W39" i="6" s="1"/>
  <c r="J31" i="6"/>
  <c r="E204" i="8" s="1"/>
  <c r="L31" i="6"/>
  <c r="H204" i="8" s="1"/>
  <c r="U35" i="6"/>
  <c r="W35" i="6" s="1"/>
  <c r="U33" i="6"/>
  <c r="W33" i="6" s="1"/>
  <c r="U13" i="6"/>
  <c r="W13" i="6" s="1"/>
  <c r="U8" i="6"/>
  <c r="W8" i="6" s="1"/>
  <c r="U7" i="6"/>
  <c r="W7" i="6" s="1"/>
  <c r="U6" i="6"/>
  <c r="J5" i="6"/>
  <c r="E200" i="8" s="1"/>
  <c r="L14" i="6"/>
  <c r="H201" i="8" s="1"/>
  <c r="J14" i="6"/>
  <c r="E201" i="8" s="1"/>
  <c r="W76" i="4"/>
  <c r="U75" i="4"/>
  <c r="W75" i="4" s="1"/>
  <c r="U74" i="4"/>
  <c r="W74" i="4" s="1"/>
  <c r="W71" i="4"/>
  <c r="S68" i="4"/>
  <c r="Y68" i="4" s="1"/>
  <c r="S67" i="4"/>
  <c r="Y67" i="4" s="1"/>
  <c r="U66" i="4"/>
  <c r="W66" i="4" s="1"/>
  <c r="J64" i="4"/>
  <c r="E138" i="8" s="1"/>
  <c r="U65" i="4"/>
  <c r="W65" i="4" s="1"/>
  <c r="L64" i="4"/>
  <c r="H138" i="8" s="1"/>
  <c r="L22" i="6"/>
  <c r="H202" i="8" s="1"/>
  <c r="U23" i="6"/>
  <c r="W23" i="6" s="1"/>
  <c r="U138" i="5"/>
  <c r="J134" i="5"/>
  <c r="E196" i="8" s="1"/>
  <c r="L134" i="5"/>
  <c r="H196" i="8" s="1"/>
  <c r="U133" i="5"/>
  <c r="W133" i="5" s="1"/>
  <c r="Y131" i="5"/>
  <c r="K195" i="8" s="1"/>
  <c r="E99" i="15" s="1"/>
  <c r="L131" i="5"/>
  <c r="H195" i="8" s="1"/>
  <c r="U126" i="5"/>
  <c r="W126" i="5" s="1"/>
  <c r="S127" i="5"/>
  <c r="Y127" i="5" s="1"/>
  <c r="I364" i="18" s="1"/>
  <c r="U128" i="5"/>
  <c r="W128" i="5" s="1"/>
  <c r="W129" i="5"/>
  <c r="U130" i="5"/>
  <c r="W130" i="5" s="1"/>
  <c r="Y116" i="5"/>
  <c r="K193" i="8" s="1"/>
  <c r="E97" i="15" s="1"/>
  <c r="U120" i="5"/>
  <c r="W120" i="5" s="1"/>
  <c r="U121" i="5"/>
  <c r="W121" i="5" s="1"/>
  <c r="U117" i="5"/>
  <c r="W117" i="5" s="1"/>
  <c r="U118" i="5"/>
  <c r="W118" i="5" s="1"/>
  <c r="L116" i="5"/>
  <c r="H193" i="8" s="1"/>
  <c r="S115" i="5"/>
  <c r="Y115" i="5" s="1"/>
  <c r="I354" i="18" s="1"/>
  <c r="U114" i="5"/>
  <c r="W114" i="5" s="1"/>
  <c r="J110" i="5"/>
  <c r="E192" i="8" s="1"/>
  <c r="W159" i="4"/>
  <c r="L150" i="4"/>
  <c r="H157" i="8" s="1"/>
  <c r="J150" i="4"/>
  <c r="E157" i="8" s="1"/>
  <c r="U154" i="4"/>
  <c r="W154" i="4" s="1"/>
  <c r="U148" i="4"/>
  <c r="W148" i="4" s="1"/>
  <c r="Y144" i="4"/>
  <c r="K156" i="8" s="1"/>
  <c r="E107" i="13" s="1"/>
  <c r="J144" i="4"/>
  <c r="E156" i="8" s="1"/>
  <c r="S36" i="4"/>
  <c r="U29" i="4"/>
  <c r="W29" i="4" s="1"/>
  <c r="U28" i="4"/>
  <c r="J27" i="4"/>
  <c r="E128" i="8" s="1"/>
  <c r="W21" i="4"/>
  <c r="W15" i="4"/>
  <c r="S14" i="4"/>
  <c r="Y14" i="4" s="1"/>
  <c r="S13" i="4"/>
  <c r="Y13" i="4" s="1"/>
  <c r="U7" i="4"/>
  <c r="W7" i="4" s="1"/>
  <c r="U6" i="4"/>
  <c r="L5" i="4"/>
  <c r="H125" i="8" s="1"/>
  <c r="J5" i="4"/>
  <c r="E125" i="8" s="1"/>
  <c r="U47" i="5"/>
  <c r="W47" i="5" s="1"/>
  <c r="L43" i="5"/>
  <c r="H174" i="8" s="1"/>
  <c r="J43" i="5"/>
  <c r="E174" i="8" s="1"/>
  <c r="U44" i="5"/>
  <c r="U116" i="4"/>
  <c r="W116" i="4" s="1"/>
  <c r="U120" i="4"/>
  <c r="W120" i="4" s="1"/>
  <c r="U114" i="4"/>
  <c r="W114" i="4" s="1"/>
  <c r="U111" i="4"/>
  <c r="W111" i="4" s="1"/>
  <c r="U110" i="4"/>
  <c r="U140" i="5"/>
  <c r="U56" i="5"/>
  <c r="U55" i="5" s="1"/>
  <c r="I177" i="8" s="1"/>
  <c r="L49" i="5"/>
  <c r="H176" i="8" s="1"/>
  <c r="H175" i="8" s="1"/>
  <c r="U50" i="5"/>
  <c r="W52" i="5"/>
  <c r="U53" i="5"/>
  <c r="W53" i="5" s="1"/>
  <c r="L109" i="4"/>
  <c r="H151" i="8" s="1"/>
  <c r="J109" i="4"/>
  <c r="U112" i="4"/>
  <c r="W112" i="4" s="1"/>
  <c r="U94" i="4"/>
  <c r="W94" i="4" s="1"/>
  <c r="J83" i="4"/>
  <c r="L83" i="4"/>
  <c r="H144" i="8" s="1"/>
  <c r="U89" i="4"/>
  <c r="W89" i="4" s="1"/>
  <c r="U86" i="4"/>
  <c r="W86" i="4" s="1"/>
  <c r="Y79" i="4"/>
  <c r="K142" i="8" s="1"/>
  <c r="E77" i="13" s="1"/>
  <c r="U81" i="4"/>
  <c r="W81" i="4" s="1"/>
  <c r="U80" i="4"/>
  <c r="U59" i="4"/>
  <c r="W59" i="4" s="1"/>
  <c r="U58" i="4"/>
  <c r="U25" i="4"/>
  <c r="W25" i="4" s="1"/>
  <c r="U24" i="4"/>
  <c r="W24" i="4" s="1"/>
  <c r="L22" i="4"/>
  <c r="H126" i="8" s="1"/>
  <c r="S50" i="6"/>
  <c r="Y50" i="6" s="1"/>
  <c r="S51" i="6"/>
  <c r="Y51" i="6" s="1"/>
  <c r="S49" i="6"/>
  <c r="Y49" i="6" s="1"/>
  <c r="S44" i="6"/>
  <c r="Y44" i="6" s="1"/>
  <c r="I12" i="18" s="1"/>
  <c r="U43" i="6"/>
  <c r="W41" i="6"/>
  <c r="W46" i="6"/>
  <c r="S32" i="6"/>
  <c r="U36" i="6"/>
  <c r="W36" i="6" s="1"/>
  <c r="S37" i="6"/>
  <c r="Y37" i="6" s="1"/>
  <c r="AA37" i="6" s="1"/>
  <c r="Y12" i="5"/>
  <c r="K165" i="8" s="1"/>
  <c r="E49" i="15" s="1"/>
  <c r="U15" i="5"/>
  <c r="W15" i="5" s="1"/>
  <c r="U96" i="4"/>
  <c r="W92" i="4"/>
  <c r="S92" i="4"/>
  <c r="Y92" i="4" s="1"/>
  <c r="Y91" i="4" s="1"/>
  <c r="W84" i="4"/>
  <c r="S84" i="4"/>
  <c r="Y84" i="4" s="1"/>
  <c r="S87" i="4"/>
  <c r="Y87" i="4" s="1"/>
  <c r="X6" i="4"/>
  <c r="X7" i="4"/>
  <c r="Z7" i="4" s="1"/>
  <c r="X13" i="4"/>
  <c r="Z13" i="4" s="1"/>
  <c r="X14" i="4"/>
  <c r="Z14" i="4" s="1"/>
  <c r="X15" i="4"/>
  <c r="Z15" i="4" s="1"/>
  <c r="X16" i="4"/>
  <c r="Z16" i="4" s="1"/>
  <c r="X17" i="4"/>
  <c r="Z17" i="4" s="1"/>
  <c r="X18" i="4"/>
  <c r="Z18" i="4" s="1"/>
  <c r="V23" i="4"/>
  <c r="X23" i="4"/>
  <c r="Z23" i="4" s="1"/>
  <c r="V25" i="4"/>
  <c r="X25" i="4"/>
  <c r="Z25" i="4" s="1"/>
  <c r="V31" i="4"/>
  <c r="V27" i="4" s="1"/>
  <c r="X31" i="4"/>
  <c r="Z31" i="4" s="1"/>
  <c r="Z27" i="4" s="1"/>
  <c r="V34" i="4"/>
  <c r="X34" i="4"/>
  <c r="Z34" i="4" s="1"/>
  <c r="V36" i="4"/>
  <c r="X36" i="4"/>
  <c r="Z36" i="4" s="1"/>
  <c r="X40" i="4"/>
  <c r="Z40" i="4" s="1"/>
  <c r="X45" i="4"/>
  <c r="Z45" i="4" s="1"/>
  <c r="X47" i="4"/>
  <c r="X48" i="4"/>
  <c r="Z48" i="4" s="1"/>
  <c r="X49" i="4"/>
  <c r="Z49" i="4" s="1"/>
  <c r="X52" i="4"/>
  <c r="X50" i="4" s="1"/>
  <c r="X54" i="4"/>
  <c r="Z54" i="4" s="1"/>
  <c r="V55" i="4"/>
  <c r="X55" i="4"/>
  <c r="Z55" i="4" s="1"/>
  <c r="X56" i="4"/>
  <c r="Z56" i="4" s="1"/>
  <c r="X59" i="4"/>
  <c r="Z59" i="4" s="1"/>
  <c r="Z57" i="4" s="1"/>
  <c r="X62" i="4"/>
  <c r="Z62" i="4" s="1"/>
  <c r="Z61" i="4" s="1"/>
  <c r="V65" i="4"/>
  <c r="X65" i="4"/>
  <c r="Z65" i="4" s="1"/>
  <c r="X66" i="4"/>
  <c r="Z66" i="4" s="1"/>
  <c r="X67" i="4"/>
  <c r="Z67" i="4" s="1"/>
  <c r="V68" i="4"/>
  <c r="X68" i="4"/>
  <c r="Z68" i="4" s="1"/>
  <c r="V70" i="4"/>
  <c r="X70" i="4"/>
  <c r="V71" i="4"/>
  <c r="X71" i="4"/>
  <c r="Z71" i="4" s="1"/>
  <c r="X72" i="4"/>
  <c r="Z72" i="4" s="1"/>
  <c r="V74" i="4"/>
  <c r="X74" i="4"/>
  <c r="X75" i="4"/>
  <c r="Z75" i="4" s="1"/>
  <c r="X78" i="4"/>
  <c r="X77" i="4" s="1"/>
  <c r="X80" i="4"/>
  <c r="V81" i="4"/>
  <c r="X81" i="4"/>
  <c r="Z81" i="4" s="1"/>
  <c r="X85" i="4"/>
  <c r="Z85" i="4" s="1"/>
  <c r="X86" i="4"/>
  <c r="Z86" i="4" s="1"/>
  <c r="X90" i="4"/>
  <c r="X92" i="4"/>
  <c r="X94" i="4"/>
  <c r="Z94" i="4" s="1"/>
  <c r="V96" i="4"/>
  <c r="V95" i="4" s="1"/>
  <c r="X96" i="4"/>
  <c r="X95" i="4" s="1"/>
  <c r="V101" i="4"/>
  <c r="X101" i="4"/>
  <c r="V102" i="4"/>
  <c r="X102" i="4"/>
  <c r="Z102" i="4" s="1"/>
  <c r="V104" i="4"/>
  <c r="X104" i="4"/>
  <c r="X106" i="4"/>
  <c r="Z106" i="4" s="1"/>
  <c r="X107" i="4"/>
  <c r="Z107" i="4" s="1"/>
  <c r="X108" i="4"/>
  <c r="Z108" i="4" s="1"/>
  <c r="V110" i="4"/>
  <c r="X110" i="4"/>
  <c r="X111" i="4"/>
  <c r="Z111" i="4" s="1"/>
  <c r="X113" i="4"/>
  <c r="Z113" i="4" s="1"/>
  <c r="X114" i="4"/>
  <c r="Z114" i="4" s="1"/>
  <c r="V115" i="4"/>
  <c r="X115" i="4"/>
  <c r="Z115" i="4" s="1"/>
  <c r="X116" i="4"/>
  <c r="Z116" i="4" s="1"/>
  <c r="X118" i="4"/>
  <c r="Z118" i="4" s="1"/>
  <c r="Z119" i="4"/>
  <c r="X120" i="4"/>
  <c r="Z120" i="4" s="1"/>
  <c r="X122" i="4"/>
  <c r="Z122" i="4" s="1"/>
  <c r="X125" i="4"/>
  <c r="Z125" i="4" s="1"/>
  <c r="V127" i="4"/>
  <c r="X127" i="4"/>
  <c r="Z127" i="4" s="1"/>
  <c r="V128" i="4"/>
  <c r="X128" i="4"/>
  <c r="Z128" i="4" s="1"/>
  <c r="X131" i="4"/>
  <c r="Z131" i="4" s="1"/>
  <c r="X133" i="4"/>
  <c r="Z133" i="4" s="1"/>
  <c r="X134" i="4"/>
  <c r="Z134" i="4" s="1"/>
  <c r="V137" i="4"/>
  <c r="V136" i="4" s="1"/>
  <c r="X137" i="4"/>
  <c r="X136" i="4" s="1"/>
  <c r="Y136" i="4" s="1"/>
  <c r="X141" i="4"/>
  <c r="Z141" i="4" s="1"/>
  <c r="V142" i="4"/>
  <c r="X142" i="4"/>
  <c r="Z142" i="4" s="1"/>
  <c r="X143" i="4"/>
  <c r="Z143" i="4" s="1"/>
  <c r="X146" i="4"/>
  <c r="Z146" i="4" s="1"/>
  <c r="X147" i="4"/>
  <c r="Z147" i="4" s="1"/>
  <c r="X148" i="4"/>
  <c r="Z148" i="4" s="1"/>
  <c r="X151" i="4"/>
  <c r="Z151" i="4" s="1"/>
  <c r="X152" i="4"/>
  <c r="Z152" i="4" s="1"/>
  <c r="X153" i="4"/>
  <c r="X154" i="4"/>
  <c r="Z154" i="4" s="1"/>
  <c r="X156" i="4"/>
  <c r="Z156" i="4" s="1"/>
  <c r="X157" i="4"/>
  <c r="Z157" i="4" s="1"/>
  <c r="R132" i="3"/>
  <c r="S132" i="3" s="1"/>
  <c r="Y132" i="3" s="1"/>
  <c r="I273" i="18" s="1"/>
  <c r="R131" i="3"/>
  <c r="S131" i="3" s="1"/>
  <c r="Y131" i="3" s="1"/>
  <c r="R130" i="3"/>
  <c r="S130" i="3" s="1"/>
  <c r="R128" i="3"/>
  <c r="R127" i="3"/>
  <c r="R126" i="3"/>
  <c r="S126" i="3" s="1"/>
  <c r="L132" i="3"/>
  <c r="L129" i="3" s="1"/>
  <c r="H122" i="8" s="1"/>
  <c r="L128" i="3"/>
  <c r="L127" i="3"/>
  <c r="L126" i="3"/>
  <c r="J132" i="3"/>
  <c r="J129" i="3" s="1"/>
  <c r="E122" i="8" s="1"/>
  <c r="J128" i="3"/>
  <c r="J127" i="3"/>
  <c r="J126" i="3"/>
  <c r="R123" i="3"/>
  <c r="S123" i="3" s="1"/>
  <c r="R122" i="3"/>
  <c r="S122" i="3" s="1"/>
  <c r="R121" i="3"/>
  <c r="S121" i="3" s="1"/>
  <c r="Y121" i="3" s="1"/>
  <c r="R120" i="3"/>
  <c r="S120" i="3" s="1"/>
  <c r="R119" i="3"/>
  <c r="S119" i="3" s="1"/>
  <c r="Y119" i="3" s="1"/>
  <c r="I263" i="18" s="1"/>
  <c r="R118" i="3"/>
  <c r="S118" i="3" s="1"/>
  <c r="R116" i="3"/>
  <c r="S116" i="3" s="1"/>
  <c r="AA116" i="3" s="1"/>
  <c r="R115" i="3"/>
  <c r="S115" i="3" s="1"/>
  <c r="AA115" i="3" s="1"/>
  <c r="R114" i="3"/>
  <c r="S114" i="3" s="1"/>
  <c r="Y114" i="3" s="1"/>
  <c r="R113" i="3"/>
  <c r="S113" i="3" s="1"/>
  <c r="R112" i="3"/>
  <c r="S112" i="3" s="1"/>
  <c r="Y112" i="3" s="1"/>
  <c r="R111" i="3"/>
  <c r="S111" i="3" s="1"/>
  <c r="Y111" i="3" s="1"/>
  <c r="R110" i="3"/>
  <c r="S110" i="3" s="1"/>
  <c r="R109" i="3"/>
  <c r="S109" i="3" s="1"/>
  <c r="Y109" i="3" s="1"/>
  <c r="R108" i="3"/>
  <c r="S108" i="3" s="1"/>
  <c r="R106" i="3"/>
  <c r="S106" i="3" s="1"/>
  <c r="Y106" i="3" s="1"/>
  <c r="R105" i="3"/>
  <c r="S105" i="3" s="1"/>
  <c r="Y105" i="3" s="1"/>
  <c r="R104" i="3"/>
  <c r="S104" i="3" s="1"/>
  <c r="Y104" i="3" s="1"/>
  <c r="R103" i="3"/>
  <c r="S103" i="3" s="1"/>
  <c r="Y103" i="3" s="1"/>
  <c r="R102" i="3"/>
  <c r="S102" i="3" s="1"/>
  <c r="Y102" i="3" s="1"/>
  <c r="L119" i="3"/>
  <c r="L123" i="3"/>
  <c r="L122" i="3"/>
  <c r="L121" i="3"/>
  <c r="L118" i="3"/>
  <c r="L116" i="3"/>
  <c r="L115" i="3"/>
  <c r="L114" i="3"/>
  <c r="L112" i="3"/>
  <c r="L111" i="3"/>
  <c r="L109" i="3"/>
  <c r="L108" i="3"/>
  <c r="L106" i="3"/>
  <c r="L105" i="3"/>
  <c r="L104" i="3"/>
  <c r="L103" i="3"/>
  <c r="L102" i="3"/>
  <c r="J123" i="3"/>
  <c r="J122" i="3"/>
  <c r="J121" i="3"/>
  <c r="J119" i="3"/>
  <c r="J118" i="3"/>
  <c r="J116" i="3"/>
  <c r="J115" i="3"/>
  <c r="J114" i="3"/>
  <c r="J112" i="3"/>
  <c r="J111" i="3"/>
  <c r="J109" i="3"/>
  <c r="J108" i="3"/>
  <c r="J106" i="3"/>
  <c r="J105" i="3"/>
  <c r="J104" i="3"/>
  <c r="J103" i="3"/>
  <c r="J102" i="3"/>
  <c r="V56" i="3"/>
  <c r="V54" i="3" s="1"/>
  <c r="R99" i="3"/>
  <c r="S99" i="3" s="1"/>
  <c r="Y99" i="3" s="1"/>
  <c r="R98" i="3"/>
  <c r="S98" i="3" s="1"/>
  <c r="Y98" i="3" s="1"/>
  <c r="R97" i="3"/>
  <c r="S97" i="3" s="1"/>
  <c r="I245" i="18" s="1"/>
  <c r="R95" i="3"/>
  <c r="S95" i="3" s="1"/>
  <c r="Y95" i="3" s="1"/>
  <c r="R94" i="3"/>
  <c r="S94" i="3" s="1"/>
  <c r="Y94" i="3" s="1"/>
  <c r="R93" i="3"/>
  <c r="S93" i="3" s="1"/>
  <c r="Y93" i="3" s="1"/>
  <c r="R92" i="3"/>
  <c r="S92" i="3" s="1"/>
  <c r="Y92" i="3" s="1"/>
  <c r="R90" i="3"/>
  <c r="S90" i="3" s="1"/>
  <c r="Y90" i="3" s="1"/>
  <c r="R89" i="3"/>
  <c r="S89" i="3" s="1"/>
  <c r="Y89" i="3" s="1"/>
  <c r="R88" i="3"/>
  <c r="S88" i="3" s="1"/>
  <c r="Y88" i="3" s="1"/>
  <c r="R87" i="3"/>
  <c r="S87" i="3" s="1"/>
  <c r="Y87" i="3" s="1"/>
  <c r="I241" i="18" s="1"/>
  <c r="R85" i="3"/>
  <c r="S85" i="3" s="1"/>
  <c r="Y85" i="3" s="1"/>
  <c r="R84" i="3"/>
  <c r="S84" i="3" s="1"/>
  <c r="Y84" i="3" s="1"/>
  <c r="R83" i="3"/>
  <c r="U83" i="3" s="1"/>
  <c r="W83" i="3" s="1"/>
  <c r="R82" i="3"/>
  <c r="S82" i="3" s="1"/>
  <c r="Y82" i="3" s="1"/>
  <c r="R81" i="3"/>
  <c r="S81" i="3" s="1"/>
  <c r="Y81" i="3" s="1"/>
  <c r="R80" i="3"/>
  <c r="S80" i="3" s="1"/>
  <c r="Y80" i="3" s="1"/>
  <c r="R79" i="3"/>
  <c r="S79" i="3" s="1"/>
  <c r="Y79" i="3" s="1"/>
  <c r="R78" i="3"/>
  <c r="S78" i="3" s="1"/>
  <c r="Y78" i="3" s="1"/>
  <c r="R77" i="3"/>
  <c r="S77" i="3" s="1"/>
  <c r="Y77" i="3" s="1"/>
  <c r="R76" i="3"/>
  <c r="S76" i="3" s="1"/>
  <c r="Y76" i="3" s="1"/>
  <c r="R75" i="3"/>
  <c r="S75" i="3" s="1"/>
  <c r="Y75" i="3" s="1"/>
  <c r="R74" i="3"/>
  <c r="S74" i="3" s="1"/>
  <c r="Y74" i="3" s="1"/>
  <c r="R72" i="3"/>
  <c r="S72" i="3" s="1"/>
  <c r="Y72" i="3" s="1"/>
  <c r="R71" i="3"/>
  <c r="U71" i="3" s="1"/>
  <c r="W71" i="3" s="1"/>
  <c r="R70" i="3"/>
  <c r="S70" i="3" s="1"/>
  <c r="Y70" i="3" s="1"/>
  <c r="R69" i="3"/>
  <c r="S69" i="3" s="1"/>
  <c r="Y69" i="3" s="1"/>
  <c r="I177" i="18" s="1"/>
  <c r="L98" i="3"/>
  <c r="L99" i="3"/>
  <c r="L97" i="3"/>
  <c r="J99" i="3"/>
  <c r="J98" i="3"/>
  <c r="J97" i="3"/>
  <c r="L93" i="3"/>
  <c r="L95" i="3"/>
  <c r="L94" i="3"/>
  <c r="L92" i="3"/>
  <c r="J95" i="3"/>
  <c r="J94" i="3"/>
  <c r="J93" i="3"/>
  <c r="J92" i="3"/>
  <c r="L89" i="3"/>
  <c r="L90" i="3"/>
  <c r="L88" i="3"/>
  <c r="L87" i="3"/>
  <c r="L76" i="3"/>
  <c r="L85" i="3"/>
  <c r="L84" i="3"/>
  <c r="L83" i="3"/>
  <c r="L82" i="3"/>
  <c r="L81" i="3"/>
  <c r="L80" i="3"/>
  <c r="L79" i="3"/>
  <c r="L78" i="3"/>
  <c r="L77" i="3"/>
  <c r="L75" i="3"/>
  <c r="L74" i="3"/>
  <c r="J90" i="3"/>
  <c r="J89" i="3"/>
  <c r="J88" i="3"/>
  <c r="J87" i="3"/>
  <c r="J85" i="3"/>
  <c r="J84" i="3"/>
  <c r="J83" i="3"/>
  <c r="J82" i="3"/>
  <c r="J81" i="3"/>
  <c r="J80" i="3"/>
  <c r="J79" i="3"/>
  <c r="J78" i="3"/>
  <c r="J77" i="3"/>
  <c r="J76" i="3"/>
  <c r="J75" i="3"/>
  <c r="J74" i="3"/>
  <c r="L71" i="3"/>
  <c r="L70" i="3"/>
  <c r="L72" i="3"/>
  <c r="L69" i="3"/>
  <c r="J72" i="3"/>
  <c r="J71" i="3"/>
  <c r="J70" i="3"/>
  <c r="J69" i="3"/>
  <c r="R66" i="3"/>
  <c r="S66" i="3" s="1"/>
  <c r="R65" i="3"/>
  <c r="S65" i="3" s="1"/>
  <c r="R63" i="3"/>
  <c r="S63" i="3" s="1"/>
  <c r="R62" i="3"/>
  <c r="S62" i="3" s="1"/>
  <c r="Y62" i="3" s="1"/>
  <c r="R61" i="3"/>
  <c r="S61" i="3" s="1"/>
  <c r="R60" i="3"/>
  <c r="S60" i="3" s="1"/>
  <c r="Y60" i="3" s="1"/>
  <c r="R58" i="3"/>
  <c r="S58" i="3" s="1"/>
  <c r="Y58" i="3" s="1"/>
  <c r="R57" i="3"/>
  <c r="S57" i="3" s="1"/>
  <c r="Y57" i="3" s="1"/>
  <c r="R56" i="3"/>
  <c r="S56" i="3" s="1"/>
  <c r="R55" i="3"/>
  <c r="S55" i="3" s="1"/>
  <c r="Y55" i="3" s="1"/>
  <c r="R53" i="3"/>
  <c r="S53" i="3" s="1"/>
  <c r="R52" i="3"/>
  <c r="S52" i="3" s="1"/>
  <c r="Y52" i="3" s="1"/>
  <c r="R51" i="3"/>
  <c r="S51" i="3" s="1"/>
  <c r="Y51" i="3" s="1"/>
  <c r="R50" i="3"/>
  <c r="R49" i="3"/>
  <c r="S49" i="3" s="1"/>
  <c r="Y49" i="3" s="1"/>
  <c r="R48" i="3"/>
  <c r="S48" i="3" s="1"/>
  <c r="Y48" i="3" s="1"/>
  <c r="R47" i="3"/>
  <c r="S47" i="3" s="1"/>
  <c r="Y47" i="3" s="1"/>
  <c r="I226" i="18" s="1"/>
  <c r="L66" i="3"/>
  <c r="L65" i="3"/>
  <c r="J66" i="3"/>
  <c r="J65" i="3"/>
  <c r="L63" i="3"/>
  <c r="L62" i="3"/>
  <c r="L61" i="3"/>
  <c r="L60" i="3"/>
  <c r="L58" i="3"/>
  <c r="L57" i="3"/>
  <c r="L56" i="3"/>
  <c r="L55" i="3"/>
  <c r="L52" i="3"/>
  <c r="L51" i="3"/>
  <c r="L50" i="3"/>
  <c r="L49" i="3"/>
  <c r="L48" i="3"/>
  <c r="L47" i="3"/>
  <c r="J63" i="3"/>
  <c r="J62" i="3"/>
  <c r="J61" i="3"/>
  <c r="J60" i="3"/>
  <c r="J58" i="3"/>
  <c r="J57" i="3"/>
  <c r="J56" i="3"/>
  <c r="J55" i="3"/>
  <c r="J52" i="3"/>
  <c r="J51" i="3"/>
  <c r="J50" i="3"/>
  <c r="J49" i="3"/>
  <c r="J48" i="3"/>
  <c r="J47" i="3"/>
  <c r="R44" i="3"/>
  <c r="S44" i="3" s="1"/>
  <c r="Y44" i="3" s="1"/>
  <c r="I225" i="18" s="1"/>
  <c r="R42" i="3"/>
  <c r="S42" i="3" s="1"/>
  <c r="Y42" i="3" s="1"/>
  <c r="R41" i="3"/>
  <c r="S41" i="3" s="1"/>
  <c r="Y41" i="3" s="1"/>
  <c r="I223" i="18" s="1"/>
  <c r="R39" i="3"/>
  <c r="S39" i="3" s="1"/>
  <c r="Y39" i="3" s="1"/>
  <c r="R38" i="3"/>
  <c r="S38" i="3" s="1"/>
  <c r="Y38" i="3" s="1"/>
  <c r="R37" i="3"/>
  <c r="S37" i="3" s="1"/>
  <c r="Y37" i="3" s="1"/>
  <c r="R36" i="3"/>
  <c r="S36" i="3" s="1"/>
  <c r="R35" i="3"/>
  <c r="S35" i="3" s="1"/>
  <c r="L44" i="3"/>
  <c r="L43" i="3" s="1"/>
  <c r="H104" i="8" s="1"/>
  <c r="L42" i="3"/>
  <c r="L41" i="3"/>
  <c r="L39" i="3"/>
  <c r="L38" i="3"/>
  <c r="L37" i="3"/>
  <c r="L36" i="3"/>
  <c r="L35" i="3"/>
  <c r="J43" i="3"/>
  <c r="E104" i="8" s="1"/>
  <c r="J42" i="3"/>
  <c r="J41" i="3"/>
  <c r="J39" i="3"/>
  <c r="J38" i="3"/>
  <c r="J37" i="3"/>
  <c r="J36" i="3"/>
  <c r="J35" i="3"/>
  <c r="T21" i="3"/>
  <c r="L32" i="3"/>
  <c r="L31" i="3"/>
  <c r="L30" i="3"/>
  <c r="L27" i="3"/>
  <c r="L26" i="3"/>
  <c r="L25" i="3"/>
  <c r="L23" i="3"/>
  <c r="L22" i="3"/>
  <c r="L20" i="3"/>
  <c r="L19" i="3"/>
  <c r="L18" i="3"/>
  <c r="L17" i="3"/>
  <c r="J32" i="3"/>
  <c r="J31" i="3"/>
  <c r="J27" i="3"/>
  <c r="J26" i="3"/>
  <c r="J25" i="3"/>
  <c r="J23" i="3"/>
  <c r="J22" i="3"/>
  <c r="J20" i="3"/>
  <c r="J19" i="3"/>
  <c r="J18" i="3"/>
  <c r="J17" i="3"/>
  <c r="R32" i="3"/>
  <c r="S32" i="3" s="1"/>
  <c r="R31" i="3"/>
  <c r="R30" i="3"/>
  <c r="R29" i="3"/>
  <c r="R27" i="3"/>
  <c r="W27" i="3" s="1"/>
  <c r="R26" i="3"/>
  <c r="S26" i="3" s="1"/>
  <c r="R25" i="3"/>
  <c r="S25" i="3" s="1"/>
  <c r="Y25" i="3" s="1"/>
  <c r="R23" i="3"/>
  <c r="U23" i="3" s="1"/>
  <c r="W23" i="3" s="1"/>
  <c r="R22" i="3"/>
  <c r="S22" i="3" s="1"/>
  <c r="Y22" i="3" s="1"/>
  <c r="I209" i="18" s="1"/>
  <c r="R20" i="3"/>
  <c r="S20" i="3" s="1"/>
  <c r="AA20" i="3" s="1"/>
  <c r="R19" i="3"/>
  <c r="S19" i="3" s="1"/>
  <c r="R18" i="3"/>
  <c r="S18" i="3" s="1"/>
  <c r="Y18" i="3" s="1"/>
  <c r="R17" i="3"/>
  <c r="S17" i="3" s="1"/>
  <c r="Y17" i="3" s="1"/>
  <c r="L14" i="3"/>
  <c r="L13" i="3"/>
  <c r="L12" i="3"/>
  <c r="J14" i="3"/>
  <c r="J13" i="3"/>
  <c r="J12" i="3"/>
  <c r="L8" i="2"/>
  <c r="L8" i="3"/>
  <c r="L7" i="3"/>
  <c r="L9" i="3"/>
  <c r="L10" i="3"/>
  <c r="J7" i="3"/>
  <c r="J8" i="3"/>
  <c r="J9" i="3"/>
  <c r="J10" i="3"/>
  <c r="J6" i="3"/>
  <c r="R14" i="3"/>
  <c r="U14" i="3" s="1"/>
  <c r="W14" i="3" s="1"/>
  <c r="R13" i="3"/>
  <c r="S13" i="3" s="1"/>
  <c r="Y13" i="3" s="1"/>
  <c r="R12" i="3"/>
  <c r="S12" i="3" s="1"/>
  <c r="Y12" i="3" s="1"/>
  <c r="R6" i="2"/>
  <c r="U6" i="2" s="1"/>
  <c r="R7" i="3"/>
  <c r="S7" i="3" s="1"/>
  <c r="Y7" i="3" s="1"/>
  <c r="R8" i="3"/>
  <c r="U8" i="3" s="1"/>
  <c r="W8" i="3" s="1"/>
  <c r="R9" i="3"/>
  <c r="W9" i="3" s="1"/>
  <c r="R10" i="3"/>
  <c r="U10" i="3" s="1"/>
  <c r="W10" i="3" s="1"/>
  <c r="R6" i="3"/>
  <c r="R191" i="2"/>
  <c r="S191" i="2" s="1"/>
  <c r="Y191" i="2" s="1"/>
  <c r="R205" i="2"/>
  <c r="R204" i="2"/>
  <c r="U204" i="2" s="1"/>
  <c r="W204" i="2" s="1"/>
  <c r="R202" i="2"/>
  <c r="R201" i="2"/>
  <c r="U201" i="2" s="1"/>
  <c r="W201" i="2" s="1"/>
  <c r="R200" i="2"/>
  <c r="U200" i="2" s="1"/>
  <c r="R199" i="2"/>
  <c r="S199" i="2" s="1"/>
  <c r="Y199" i="2" s="1"/>
  <c r="R197" i="2"/>
  <c r="S197" i="2" s="1"/>
  <c r="Y197" i="2" s="1"/>
  <c r="R196" i="2"/>
  <c r="S196" i="2" s="1"/>
  <c r="Y196" i="2" s="1"/>
  <c r="R195" i="2"/>
  <c r="S195" i="2" s="1"/>
  <c r="Y195" i="2" s="1"/>
  <c r="R194" i="2"/>
  <c r="U194" i="2" s="1"/>
  <c r="L205" i="2"/>
  <c r="L204" i="2"/>
  <c r="L201" i="2"/>
  <c r="L199" i="2"/>
  <c r="L196" i="2"/>
  <c r="L195" i="2"/>
  <c r="L194" i="2"/>
  <c r="J205" i="2"/>
  <c r="J204" i="2"/>
  <c r="J201" i="2"/>
  <c r="J199" i="2"/>
  <c r="J196" i="2"/>
  <c r="J195" i="2"/>
  <c r="J194" i="2"/>
  <c r="T187" i="2"/>
  <c r="W178" i="2"/>
  <c r="R190" i="2"/>
  <c r="S190" i="2" s="1"/>
  <c r="Y190" i="2" s="1"/>
  <c r="S189" i="2"/>
  <c r="R188" i="2"/>
  <c r="S188" i="2" s="1"/>
  <c r="Y188" i="2" s="1"/>
  <c r="I686" i="18" s="1"/>
  <c r="S186" i="2"/>
  <c r="Y186" i="2" s="1"/>
  <c r="S185" i="2"/>
  <c r="Y185" i="2" s="1"/>
  <c r="I684" i="18" s="1"/>
  <c r="S183" i="2"/>
  <c r="Y183" i="2" s="1"/>
  <c r="R181" i="2"/>
  <c r="S180" i="2"/>
  <c r="Y180" i="2" s="1"/>
  <c r="R179" i="2"/>
  <c r="S179" i="2" s="1"/>
  <c r="Y179" i="2" s="1"/>
  <c r="R178" i="2"/>
  <c r="S178" i="2" s="1"/>
  <c r="S177" i="2"/>
  <c r="Y177" i="2" s="1"/>
  <c r="R175" i="2"/>
  <c r="S175" i="2" s="1"/>
  <c r="Y175" i="2" s="1"/>
  <c r="S174" i="2"/>
  <c r="Y174" i="2" s="1"/>
  <c r="I676" i="18" s="1"/>
  <c r="R172" i="2"/>
  <c r="S172" i="2" s="1"/>
  <c r="Y172" i="2" s="1"/>
  <c r="R171" i="2"/>
  <c r="S171" i="2" s="1"/>
  <c r="Y171" i="2" s="1"/>
  <c r="I674" i="18" s="1"/>
  <c r="R169" i="2"/>
  <c r="S169" i="2" s="1"/>
  <c r="Y169" i="2" s="1"/>
  <c r="R168" i="2"/>
  <c r="S168" i="2" s="1"/>
  <c r="Y168" i="2" s="1"/>
  <c r="R167" i="2"/>
  <c r="S167" i="2" s="1"/>
  <c r="Y167" i="2" s="1"/>
  <c r="R166" i="2"/>
  <c r="U166" i="2" s="1"/>
  <c r="L191" i="2"/>
  <c r="L190" i="2"/>
  <c r="L189" i="2"/>
  <c r="L188" i="2"/>
  <c r="L186" i="2"/>
  <c r="L185" i="2"/>
  <c r="L183" i="2"/>
  <c r="L182" i="2" s="1"/>
  <c r="H85" i="8" s="1"/>
  <c r="L181" i="2"/>
  <c r="L180" i="2"/>
  <c r="L179" i="2"/>
  <c r="L177" i="2"/>
  <c r="L175" i="2"/>
  <c r="L174" i="2"/>
  <c r="L172" i="2"/>
  <c r="L171" i="2"/>
  <c r="J191" i="2"/>
  <c r="J190" i="2"/>
  <c r="J189" i="2"/>
  <c r="J188" i="2"/>
  <c r="J186" i="2"/>
  <c r="J185" i="2"/>
  <c r="J183" i="2"/>
  <c r="J182" i="2" s="1"/>
  <c r="E85" i="8" s="1"/>
  <c r="J181" i="2"/>
  <c r="J180" i="2"/>
  <c r="J179" i="2"/>
  <c r="J175" i="2"/>
  <c r="J174" i="2"/>
  <c r="J172" i="2"/>
  <c r="J171" i="2"/>
  <c r="L169" i="2"/>
  <c r="L168" i="2"/>
  <c r="L167" i="2"/>
  <c r="J169" i="2"/>
  <c r="J168" i="2"/>
  <c r="J167" i="2"/>
  <c r="J166" i="2"/>
  <c r="AA41" i="5" l="1"/>
  <c r="Y40" i="5"/>
  <c r="K173" i="8" s="1"/>
  <c r="E63" i="15" s="1"/>
  <c r="AA18" i="5"/>
  <c r="Y58" i="5"/>
  <c r="AA5" i="6"/>
  <c r="AA31" i="6"/>
  <c r="AA59" i="5"/>
  <c r="AA58" i="5" s="1"/>
  <c r="M179" i="8" s="1"/>
  <c r="Y36" i="5"/>
  <c r="K172" i="8" s="1"/>
  <c r="E62" i="15" s="1"/>
  <c r="AA9" i="5"/>
  <c r="M164" i="8" s="1"/>
  <c r="U40" i="5"/>
  <c r="I173" i="8" s="1"/>
  <c r="W41" i="5"/>
  <c r="W40" i="5" s="1"/>
  <c r="I224" i="18"/>
  <c r="AA42" i="3"/>
  <c r="AA14" i="6"/>
  <c r="M201" i="8" s="1"/>
  <c r="D45" i="17" s="1"/>
  <c r="S50" i="3"/>
  <c r="Y50" i="3" s="1"/>
  <c r="I229" i="18" s="1"/>
  <c r="U50" i="3"/>
  <c r="W50" i="3" s="1"/>
  <c r="AA39" i="5"/>
  <c r="AA36" i="5" s="1"/>
  <c r="M172" i="8" s="1"/>
  <c r="D62" i="15" s="1"/>
  <c r="AA134" i="5"/>
  <c r="M196" i="8" s="1"/>
  <c r="D100" i="15" s="1"/>
  <c r="Y150" i="4"/>
  <c r="K157" i="8" s="1"/>
  <c r="E108" i="13" s="1"/>
  <c r="AA156" i="4"/>
  <c r="AA150" i="4" s="1"/>
  <c r="M157" i="8" s="1"/>
  <c r="D108" i="13" s="1"/>
  <c r="I105" i="18"/>
  <c r="Y36" i="4"/>
  <c r="AA36" i="4" s="1"/>
  <c r="AA20" i="4"/>
  <c r="I122" i="18"/>
  <c r="AA26" i="6"/>
  <c r="Y126" i="3"/>
  <c r="Y125" i="3" s="1"/>
  <c r="S205" i="2"/>
  <c r="Y205" i="2" s="1"/>
  <c r="I699" i="18" s="1"/>
  <c r="U205" i="2"/>
  <c r="W205" i="2" s="1"/>
  <c r="W203" i="2" s="1"/>
  <c r="I692" i="18"/>
  <c r="AA196" i="2"/>
  <c r="I257" i="18"/>
  <c r="AA112" i="3"/>
  <c r="Y56" i="3"/>
  <c r="I234" i="18" s="1"/>
  <c r="S29" i="3"/>
  <c r="Y29" i="3" s="1"/>
  <c r="AA29" i="3" s="1"/>
  <c r="U29" i="3"/>
  <c r="W29" i="3" s="1"/>
  <c r="S30" i="3"/>
  <c r="Y30" i="3" s="1"/>
  <c r="AA30" i="3" s="1"/>
  <c r="U30" i="3"/>
  <c r="W30" i="3" s="1"/>
  <c r="AA131" i="3"/>
  <c r="I272" i="18"/>
  <c r="AA169" i="4"/>
  <c r="AA168" i="4" s="1"/>
  <c r="AA167" i="4" s="1"/>
  <c r="M159" i="8" s="1"/>
  <c r="Y168" i="4"/>
  <c r="K160" i="8" s="1"/>
  <c r="K159" i="8" s="1"/>
  <c r="AA105" i="5"/>
  <c r="M190" i="8" s="1"/>
  <c r="D91" i="15" s="1"/>
  <c r="AA26" i="5"/>
  <c r="M169" i="8" s="1"/>
  <c r="AA88" i="5"/>
  <c r="AA131" i="5"/>
  <c r="M195" i="8" s="1"/>
  <c r="D99" i="15" s="1"/>
  <c r="AA12" i="5"/>
  <c r="M165" i="8" s="1"/>
  <c r="D49" i="15" s="1"/>
  <c r="AA89" i="5"/>
  <c r="AA116" i="5"/>
  <c r="M193" i="8" s="1"/>
  <c r="D97" i="15" s="1"/>
  <c r="AA61" i="5"/>
  <c r="M180" i="8" s="1"/>
  <c r="D76" i="15" s="1"/>
  <c r="AA179" i="2"/>
  <c r="I680" i="18"/>
  <c r="AA43" i="5"/>
  <c r="M174" i="8" s="1"/>
  <c r="D64" i="15" s="1"/>
  <c r="W107" i="5"/>
  <c r="U105" i="5"/>
  <c r="I190" i="8" s="1"/>
  <c r="AA99" i="5"/>
  <c r="M189" i="8" s="1"/>
  <c r="D90" i="15" s="1"/>
  <c r="I254" i="18"/>
  <c r="S200" i="2"/>
  <c r="I274" i="18"/>
  <c r="AA52" i="3"/>
  <c r="I231" i="18"/>
  <c r="AA51" i="3"/>
  <c r="I230" i="18"/>
  <c r="AA49" i="3"/>
  <c r="I228" i="18"/>
  <c r="AA48" i="3"/>
  <c r="I227" i="18"/>
  <c r="AA39" i="3"/>
  <c r="I222" i="18"/>
  <c r="AA38" i="3"/>
  <c r="I221" i="18"/>
  <c r="AA37" i="3"/>
  <c r="I220" i="18"/>
  <c r="AA18" i="3"/>
  <c r="I206" i="18"/>
  <c r="AA17" i="3"/>
  <c r="I205" i="18"/>
  <c r="AA13" i="3"/>
  <c r="I203" i="18"/>
  <c r="AA12" i="3"/>
  <c r="I202" i="18"/>
  <c r="AA7" i="3"/>
  <c r="I198" i="18"/>
  <c r="AA54" i="5"/>
  <c r="AA49" i="5" s="1"/>
  <c r="M176" i="8" s="1"/>
  <c r="I311" i="18"/>
  <c r="W169" i="4"/>
  <c r="W168" i="4" s="1"/>
  <c r="W167" i="4" s="1"/>
  <c r="H167" i="4" s="1"/>
  <c r="AA90" i="3"/>
  <c r="I244" i="18"/>
  <c r="AA89" i="3"/>
  <c r="I243" i="18"/>
  <c r="AA88" i="3"/>
  <c r="I242" i="18"/>
  <c r="AA80" i="5"/>
  <c r="I327" i="18"/>
  <c r="AA49" i="6"/>
  <c r="I16" i="18"/>
  <c r="I40" i="18"/>
  <c r="AA50" i="6"/>
  <c r="I17" i="18"/>
  <c r="Y45" i="6"/>
  <c r="I13" i="18" s="1"/>
  <c r="AA191" i="2"/>
  <c r="I689" i="18"/>
  <c r="AA190" i="2"/>
  <c r="I688" i="18"/>
  <c r="AA189" i="2"/>
  <c r="I687" i="18"/>
  <c r="AA186" i="2"/>
  <c r="I685" i="18"/>
  <c r="AA183" i="2"/>
  <c r="AA182" i="2" s="1"/>
  <c r="M85" i="8" s="1"/>
  <c r="D97" i="10" s="1"/>
  <c r="I683" i="18"/>
  <c r="S181" i="2"/>
  <c r="Y181" i="2" s="1"/>
  <c r="AA181" i="2" s="1"/>
  <c r="U181" i="2"/>
  <c r="W181" i="2" s="1"/>
  <c r="AA180" i="2"/>
  <c r="I681" i="18"/>
  <c r="AA177" i="2"/>
  <c r="I678" i="18"/>
  <c r="AA175" i="2"/>
  <c r="I677" i="18"/>
  <c r="AA172" i="2"/>
  <c r="I675" i="18"/>
  <c r="AA169" i="2"/>
  <c r="I673" i="18"/>
  <c r="AA168" i="2"/>
  <c r="I672" i="18"/>
  <c r="AA167" i="2"/>
  <c r="I671" i="18"/>
  <c r="AA144" i="4"/>
  <c r="M156" i="8" s="1"/>
  <c r="D107" i="13" s="1"/>
  <c r="AA134" i="4"/>
  <c r="AA121" i="4" s="1"/>
  <c r="M152" i="8" s="1"/>
  <c r="D99" i="13" s="1"/>
  <c r="I85" i="18"/>
  <c r="AA67" i="4"/>
  <c r="I156" i="18"/>
  <c r="AA68" i="4"/>
  <c r="I157" i="18"/>
  <c r="AA109" i="4"/>
  <c r="M151" i="8" s="1"/>
  <c r="D98" i="13" s="1"/>
  <c r="AA72" i="4"/>
  <c r="AA69" i="4" s="1"/>
  <c r="M139" i="8" s="1"/>
  <c r="D74" i="13" s="1"/>
  <c r="I160" i="18"/>
  <c r="AA46" i="4"/>
  <c r="M132" i="8" s="1"/>
  <c r="D62" i="13" s="1"/>
  <c r="AA13" i="4"/>
  <c r="I115" i="18"/>
  <c r="AA87" i="4"/>
  <c r="I170" i="18"/>
  <c r="AA14" i="4"/>
  <c r="I116" i="18"/>
  <c r="AA50" i="4"/>
  <c r="M133" i="8" s="1"/>
  <c r="D63" i="13" s="1"/>
  <c r="AA141" i="4"/>
  <c r="I92" i="18"/>
  <c r="K145" i="8"/>
  <c r="E85" i="13" s="1"/>
  <c r="I44" i="18"/>
  <c r="AA18" i="4"/>
  <c r="I120" i="18"/>
  <c r="AA84" i="4"/>
  <c r="I167" i="18"/>
  <c r="I211" i="18"/>
  <c r="AA99" i="3"/>
  <c r="I247" i="18"/>
  <c r="AA98" i="3"/>
  <c r="I246" i="18"/>
  <c r="AA95" i="3"/>
  <c r="I196" i="18"/>
  <c r="AA94" i="3"/>
  <c r="I195" i="18"/>
  <c r="AA93" i="3"/>
  <c r="I194" i="18"/>
  <c r="AA92" i="3"/>
  <c r="I193" i="18"/>
  <c r="AA85" i="3"/>
  <c r="I192" i="18"/>
  <c r="AA84" i="3"/>
  <c r="I191" i="18"/>
  <c r="AA82" i="3"/>
  <c r="I189" i="18"/>
  <c r="AA81" i="3"/>
  <c r="I188" i="18"/>
  <c r="AA80" i="3"/>
  <c r="I187" i="18"/>
  <c r="AA79" i="3"/>
  <c r="I186" i="18"/>
  <c r="AA78" i="3"/>
  <c r="I185" i="18"/>
  <c r="AA77" i="3"/>
  <c r="I184" i="18"/>
  <c r="AA76" i="3"/>
  <c r="I183" i="18"/>
  <c r="AA75" i="3"/>
  <c r="I182" i="18"/>
  <c r="AA74" i="3"/>
  <c r="I181" i="18"/>
  <c r="AA72" i="3"/>
  <c r="I180" i="18"/>
  <c r="AA70" i="3"/>
  <c r="I178" i="18"/>
  <c r="I15" i="18"/>
  <c r="AA48" i="6"/>
  <c r="Y47" i="6"/>
  <c r="AA51" i="6"/>
  <c r="I18" i="18"/>
  <c r="AA121" i="3"/>
  <c r="I265" i="18"/>
  <c r="AA114" i="3"/>
  <c r="I259" i="18"/>
  <c r="AA111" i="3"/>
  <c r="I256" i="18"/>
  <c r="AA106" i="3"/>
  <c r="I252" i="18"/>
  <c r="AA105" i="3"/>
  <c r="I251" i="18"/>
  <c r="AA104" i="3"/>
  <c r="I250" i="18"/>
  <c r="AA103" i="3"/>
  <c r="I249" i="18"/>
  <c r="AA102" i="3"/>
  <c r="I248" i="18"/>
  <c r="AA62" i="3"/>
  <c r="I239" i="18"/>
  <c r="AA60" i="3"/>
  <c r="I237" i="18"/>
  <c r="AA58" i="3"/>
  <c r="I236" i="18"/>
  <c r="AA57" i="3"/>
  <c r="I235" i="18"/>
  <c r="AA55" i="3"/>
  <c r="I233" i="18"/>
  <c r="AA205" i="2"/>
  <c r="AA199" i="2"/>
  <c r="I694" i="18"/>
  <c r="AA197" i="2"/>
  <c r="I693" i="18"/>
  <c r="AA195" i="2"/>
  <c r="I691" i="18"/>
  <c r="J40" i="3"/>
  <c r="E103" i="8" s="1"/>
  <c r="L40" i="3"/>
  <c r="H103" i="8" s="1"/>
  <c r="U47" i="6"/>
  <c r="I206" i="8" s="1"/>
  <c r="AA68" i="5"/>
  <c r="M182" i="8" s="1"/>
  <c r="D78" i="15" s="1"/>
  <c r="AA74" i="5"/>
  <c r="M183" i="8" s="1"/>
  <c r="D79" i="15" s="1"/>
  <c r="AA139" i="5"/>
  <c r="M197" i="8" s="1"/>
  <c r="D101" i="15" s="1"/>
  <c r="Y110" i="5"/>
  <c r="K192" i="8" s="1"/>
  <c r="E96" i="15" s="1"/>
  <c r="AA115" i="5"/>
  <c r="AA110" i="5" s="1"/>
  <c r="AA94" i="5"/>
  <c r="M188" i="8" s="1"/>
  <c r="D89" i="15" s="1"/>
  <c r="W9" i="5"/>
  <c r="M181" i="8"/>
  <c r="D77" i="15" s="1"/>
  <c r="AA32" i="5"/>
  <c r="M171" i="8" s="1"/>
  <c r="D61" i="15" s="1"/>
  <c r="AA40" i="5"/>
  <c r="M173" i="8" s="1"/>
  <c r="D63" i="15" s="1"/>
  <c r="AA23" i="5"/>
  <c r="M168" i="8" s="1"/>
  <c r="D58" i="15" s="1"/>
  <c r="AA92" i="5"/>
  <c r="M187" i="8" s="1"/>
  <c r="AA55" i="5"/>
  <c r="K167" i="8"/>
  <c r="E57" i="15" s="1"/>
  <c r="U98" i="4"/>
  <c r="I148" i="8" s="1"/>
  <c r="Y100" i="4"/>
  <c r="K149" i="8" s="1"/>
  <c r="E96" i="13" s="1"/>
  <c r="AA102" i="4"/>
  <c r="AA100" i="4" s="1"/>
  <c r="M149" i="8" s="1"/>
  <c r="AA61" i="4"/>
  <c r="M137" i="8" s="1"/>
  <c r="D72" i="13" s="1"/>
  <c r="AA22" i="4"/>
  <c r="M126" i="8" s="1"/>
  <c r="D49" i="13" s="1"/>
  <c r="AA57" i="4"/>
  <c r="M135" i="8" s="1"/>
  <c r="D65" i="13" s="1"/>
  <c r="AA105" i="4"/>
  <c r="M150" i="8" s="1"/>
  <c r="D97" i="13" s="1"/>
  <c r="AA53" i="4"/>
  <c r="M134" i="8" s="1"/>
  <c r="D64" i="13" s="1"/>
  <c r="AA98" i="4"/>
  <c r="Z110" i="4"/>
  <c r="Z109" i="4" s="1"/>
  <c r="X109" i="4"/>
  <c r="K151" i="8" s="1"/>
  <c r="E98" i="13" s="1"/>
  <c r="AA27" i="4"/>
  <c r="M128" i="8" s="1"/>
  <c r="D57" i="13" s="1"/>
  <c r="AA47" i="3"/>
  <c r="Y66" i="3"/>
  <c r="Y32" i="3"/>
  <c r="Y40" i="3"/>
  <c r="K103" i="8" s="1"/>
  <c r="E47" i="12" s="1"/>
  <c r="Y65" i="3"/>
  <c r="I175" i="18" s="1"/>
  <c r="M170" i="8"/>
  <c r="D60" i="15" s="1"/>
  <c r="J48" i="5"/>
  <c r="E178" i="8"/>
  <c r="J57" i="5"/>
  <c r="U74" i="5"/>
  <c r="I183" i="8" s="1"/>
  <c r="W5" i="5"/>
  <c r="W74" i="5"/>
  <c r="W12" i="5"/>
  <c r="W131" i="5"/>
  <c r="W32" i="5"/>
  <c r="W61" i="5"/>
  <c r="U91" i="4"/>
  <c r="I145" i="8" s="1"/>
  <c r="J203" i="2"/>
  <c r="E91" i="8" s="1"/>
  <c r="U22" i="6"/>
  <c r="I202" i="8" s="1"/>
  <c r="H203" i="8"/>
  <c r="W94" i="5"/>
  <c r="U110" i="5"/>
  <c r="I192" i="8" s="1"/>
  <c r="U9" i="5"/>
  <c r="I164" i="8" s="1"/>
  <c r="W78" i="5"/>
  <c r="U61" i="5"/>
  <c r="I180" i="8" s="1"/>
  <c r="U32" i="5"/>
  <c r="I171" i="8" s="1"/>
  <c r="Y49" i="5"/>
  <c r="W26" i="5"/>
  <c r="L4" i="5"/>
  <c r="U94" i="5"/>
  <c r="I188" i="8" s="1"/>
  <c r="H162" i="8"/>
  <c r="U18" i="5"/>
  <c r="I167" i="8" s="1"/>
  <c r="U12" i="5"/>
  <c r="I165" i="8" s="1"/>
  <c r="W56" i="5"/>
  <c r="W55" i="5" s="1"/>
  <c r="W116" i="5"/>
  <c r="E162" i="8"/>
  <c r="H143" i="8"/>
  <c r="W78" i="4"/>
  <c r="W77" i="4" s="1"/>
  <c r="J82" i="4"/>
  <c r="J184" i="2"/>
  <c r="E86" i="8" s="1"/>
  <c r="U172" i="2"/>
  <c r="W172" i="2" s="1"/>
  <c r="X69" i="4"/>
  <c r="W22" i="4"/>
  <c r="X57" i="4"/>
  <c r="Z70" i="4"/>
  <c r="Z69" i="4" s="1"/>
  <c r="Z22" i="4"/>
  <c r="J28" i="3"/>
  <c r="E100" i="8" s="1"/>
  <c r="S8" i="3"/>
  <c r="Y8" i="3" s="1"/>
  <c r="L203" i="2"/>
  <c r="H91" i="8" s="1"/>
  <c r="W179" i="2"/>
  <c r="L165" i="2"/>
  <c r="H81" i="8" s="1"/>
  <c r="J193" i="2"/>
  <c r="E89" i="8" s="1"/>
  <c r="J170" i="2"/>
  <c r="E82" i="8" s="1"/>
  <c r="J91" i="3"/>
  <c r="E114" i="8" s="1"/>
  <c r="J68" i="3"/>
  <c r="E111" i="8" s="1"/>
  <c r="Z144" i="4"/>
  <c r="U169" i="2"/>
  <c r="W169" i="2" s="1"/>
  <c r="W138" i="5"/>
  <c r="W134" i="5" s="1"/>
  <c r="U134" i="5"/>
  <c r="I196" i="8" s="1"/>
  <c r="J173" i="2"/>
  <c r="E83" i="8" s="1"/>
  <c r="J187" i="2"/>
  <c r="E87" i="8" s="1"/>
  <c r="U175" i="2"/>
  <c r="W175" i="2" s="1"/>
  <c r="S204" i="2"/>
  <c r="Y204" i="2" s="1"/>
  <c r="S127" i="3"/>
  <c r="U127" i="3"/>
  <c r="W127" i="3" s="1"/>
  <c r="X100" i="4"/>
  <c r="L26" i="4"/>
  <c r="AA127" i="5"/>
  <c r="U26" i="5"/>
  <c r="I169" i="8" s="1"/>
  <c r="W43" i="6"/>
  <c r="W40" i="6" s="1"/>
  <c r="U40" i="6"/>
  <c r="I205" i="8" s="1"/>
  <c r="U186" i="2"/>
  <c r="W186" i="2" s="1"/>
  <c r="U196" i="2"/>
  <c r="W196" i="2" s="1"/>
  <c r="S6" i="2"/>
  <c r="X22" i="4"/>
  <c r="J4" i="5"/>
  <c r="L48" i="5"/>
  <c r="E184" i="8"/>
  <c r="U183" i="2"/>
  <c r="W183" i="2" s="1"/>
  <c r="W182" i="2" s="1"/>
  <c r="U190" i="2"/>
  <c r="W190" i="2" s="1"/>
  <c r="S201" i="2"/>
  <c r="Y201" i="2" s="1"/>
  <c r="U199" i="2"/>
  <c r="W199" i="2" s="1"/>
  <c r="S10" i="3"/>
  <c r="Y10" i="3" s="1"/>
  <c r="U98" i="3"/>
  <c r="W98" i="3" s="1"/>
  <c r="Z78" i="4"/>
  <c r="Z77" i="4" s="1"/>
  <c r="V22" i="4"/>
  <c r="U116" i="5"/>
  <c r="I193" i="8" s="1"/>
  <c r="U78" i="5"/>
  <c r="I185" i="8" s="1"/>
  <c r="W69" i="4"/>
  <c r="W24" i="5"/>
  <c r="W23" i="5" s="1"/>
  <c r="U23" i="5"/>
  <c r="I168" i="8" s="1"/>
  <c r="S202" i="2"/>
  <c r="Y202" i="2" s="1"/>
  <c r="U202" i="2"/>
  <c r="X83" i="4"/>
  <c r="U31" i="6"/>
  <c r="I204" i="8" s="1"/>
  <c r="W111" i="5"/>
  <c r="W110" i="5" s="1"/>
  <c r="W22" i="6"/>
  <c r="W17" i="6"/>
  <c r="W14" i="6" s="1"/>
  <c r="U14" i="6"/>
  <c r="I201" i="8" s="1"/>
  <c r="U5" i="5"/>
  <c r="I163" i="8" s="1"/>
  <c r="S128" i="3"/>
  <c r="U128" i="3"/>
  <c r="W128" i="3" s="1"/>
  <c r="S9" i="3"/>
  <c r="Y9" i="3" s="1"/>
  <c r="AA25" i="3"/>
  <c r="Z101" i="4"/>
  <c r="U49" i="5"/>
  <c r="I176" i="8" s="1"/>
  <c r="I175" i="8" s="1"/>
  <c r="D112" i="15" s="1"/>
  <c r="J30" i="6"/>
  <c r="L57" i="5"/>
  <c r="J97" i="4"/>
  <c r="H127" i="8"/>
  <c r="H199" i="8"/>
  <c r="E152" i="8"/>
  <c r="U83" i="4"/>
  <c r="I144" i="8" s="1"/>
  <c r="H124" i="8"/>
  <c r="U50" i="4"/>
  <c r="I133" i="8" s="1"/>
  <c r="U25" i="3"/>
  <c r="W25" i="3" s="1"/>
  <c r="J17" i="5"/>
  <c r="X140" i="4"/>
  <c r="Z121" i="4"/>
  <c r="Z64" i="4"/>
  <c r="X144" i="4"/>
  <c r="X91" i="4"/>
  <c r="X46" i="4"/>
  <c r="W50" i="4"/>
  <c r="X150" i="4"/>
  <c r="X121" i="4"/>
  <c r="Y121" i="4" s="1"/>
  <c r="X79" i="4"/>
  <c r="X27" i="4"/>
  <c r="X64" i="4"/>
  <c r="W144" i="4"/>
  <c r="Z33" i="4"/>
  <c r="Z26" i="4" s="1"/>
  <c r="Z105" i="4"/>
  <c r="Z53" i="4"/>
  <c r="V33" i="4"/>
  <c r="V26" i="4" s="1"/>
  <c r="X105" i="4"/>
  <c r="X53" i="4"/>
  <c r="X5" i="4"/>
  <c r="Y5" i="4" s="1"/>
  <c r="E124" i="8"/>
  <c r="E127" i="8"/>
  <c r="Z140" i="4"/>
  <c r="Z153" i="4"/>
  <c r="Z150" i="4" s="1"/>
  <c r="Z104" i="4"/>
  <c r="V100" i="4"/>
  <c r="Z90" i="4"/>
  <c r="Z83" i="4" s="1"/>
  <c r="Z80" i="4"/>
  <c r="Z79" i="4" s="1"/>
  <c r="Z74" i="4"/>
  <c r="Z52" i="4"/>
  <c r="Z50" i="4" s="1"/>
  <c r="Z6" i="4"/>
  <c r="Z5" i="4" s="1"/>
  <c r="AA138" i="4"/>
  <c r="W62" i="4"/>
  <c r="W61" i="4" s="1"/>
  <c r="U61" i="4"/>
  <c r="I137" i="8" s="1"/>
  <c r="W151" i="4"/>
  <c r="W150" i="4" s="1"/>
  <c r="U150" i="4"/>
  <c r="I157" i="8" s="1"/>
  <c r="L97" i="4"/>
  <c r="Z137" i="4"/>
  <c r="Z136" i="4" s="1"/>
  <c r="Z96" i="4"/>
  <c r="Z95" i="4" s="1"/>
  <c r="Z92" i="4"/>
  <c r="Z91" i="4" s="1"/>
  <c r="X61" i="4"/>
  <c r="Y61" i="4" s="1"/>
  <c r="K137" i="8" s="1"/>
  <c r="E72" i="13" s="1"/>
  <c r="Z47" i="4"/>
  <c r="Z46" i="4" s="1"/>
  <c r="X33" i="4"/>
  <c r="W6" i="4"/>
  <c r="W5" i="4" s="1"/>
  <c r="U5" i="4"/>
  <c r="I125" i="8" s="1"/>
  <c r="Y69" i="4"/>
  <c r="K139" i="8" s="1"/>
  <c r="E74" i="13" s="1"/>
  <c r="U140" i="4"/>
  <c r="I155" i="8" s="1"/>
  <c r="U136" i="4"/>
  <c r="I154" i="8" s="1"/>
  <c r="W137" i="4"/>
  <c r="W136" i="4" s="1"/>
  <c r="W121" i="4"/>
  <c r="U121" i="4"/>
  <c r="I152" i="8" s="1"/>
  <c r="AA92" i="4"/>
  <c r="Y142" i="4"/>
  <c r="K148" i="8"/>
  <c r="U73" i="4"/>
  <c r="I140" i="8" s="1"/>
  <c r="U53" i="4"/>
  <c r="I134" i="8" s="1"/>
  <c r="W54" i="4"/>
  <c r="W53" i="4" s="1"/>
  <c r="J26" i="4"/>
  <c r="W91" i="4"/>
  <c r="E144" i="8"/>
  <c r="E143" i="8" s="1"/>
  <c r="Y64" i="4"/>
  <c r="K138" i="8" s="1"/>
  <c r="E73" i="13" s="1"/>
  <c r="U144" i="4"/>
  <c r="I156" i="8" s="1"/>
  <c r="H153" i="8"/>
  <c r="W47" i="4"/>
  <c r="W46" i="4" s="1"/>
  <c r="U46" i="4"/>
  <c r="I132" i="8" s="1"/>
  <c r="H178" i="8"/>
  <c r="E166" i="8"/>
  <c r="J73" i="3"/>
  <c r="E112" i="8" s="1"/>
  <c r="U88" i="3"/>
  <c r="W88" i="3" s="1"/>
  <c r="J21" i="3"/>
  <c r="E98" i="8" s="1"/>
  <c r="L28" i="3"/>
  <c r="H100" i="8" s="1"/>
  <c r="L86" i="3"/>
  <c r="H113" i="8" s="1"/>
  <c r="U97" i="3"/>
  <c r="W97" i="3" s="1"/>
  <c r="AA119" i="3"/>
  <c r="W35" i="3"/>
  <c r="U89" i="3"/>
  <c r="W89" i="3" s="1"/>
  <c r="S23" i="3"/>
  <c r="J24" i="3"/>
  <c r="E99" i="8" s="1"/>
  <c r="U82" i="3"/>
  <c r="W82" i="3" s="1"/>
  <c r="J16" i="3"/>
  <c r="E97" i="8" s="1"/>
  <c r="J59" i="3"/>
  <c r="E108" i="8" s="1"/>
  <c r="U84" i="3"/>
  <c r="W84" i="3" s="1"/>
  <c r="U22" i="3"/>
  <c r="U21" i="3" s="1"/>
  <c r="I98" i="8" s="1"/>
  <c r="U75" i="3"/>
  <c r="W75" i="3" s="1"/>
  <c r="U114" i="3"/>
  <c r="W114" i="3" s="1"/>
  <c r="Y130" i="3"/>
  <c r="S31" i="3"/>
  <c r="L11" i="3"/>
  <c r="H95" i="8" s="1"/>
  <c r="U48" i="3"/>
  <c r="W48" i="3" s="1"/>
  <c r="U99" i="3"/>
  <c r="W99" i="3" s="1"/>
  <c r="U56" i="3"/>
  <c r="W56" i="3" s="1"/>
  <c r="U103" i="3"/>
  <c r="W103" i="3" s="1"/>
  <c r="J64" i="3"/>
  <c r="E109" i="8" s="1"/>
  <c r="L68" i="3"/>
  <c r="AA109" i="3"/>
  <c r="W115" i="3"/>
  <c r="AA44" i="6"/>
  <c r="W191" i="2"/>
  <c r="L187" i="2"/>
  <c r="H87" i="8" s="1"/>
  <c r="W189" i="2"/>
  <c r="AA188" i="2"/>
  <c r="Y187" i="2"/>
  <c r="K87" i="8" s="1"/>
  <c r="E99" i="10" s="1"/>
  <c r="U188" i="2"/>
  <c r="AA185" i="2"/>
  <c r="Y184" i="2"/>
  <c r="K86" i="8" s="1"/>
  <c r="E98" i="10" s="1"/>
  <c r="U185" i="2"/>
  <c r="L184" i="2"/>
  <c r="H86" i="8" s="1"/>
  <c r="Y182" i="2"/>
  <c r="K85" i="8" s="1"/>
  <c r="E97" i="10" s="1"/>
  <c r="W180" i="2"/>
  <c r="U177" i="2"/>
  <c r="AA174" i="2"/>
  <c r="Y173" i="2"/>
  <c r="K83" i="8" s="1"/>
  <c r="E95" i="10" s="1"/>
  <c r="U174" i="2"/>
  <c r="L173" i="2"/>
  <c r="H83" i="8" s="1"/>
  <c r="L170" i="2"/>
  <c r="H82" i="8" s="1"/>
  <c r="AA171" i="2"/>
  <c r="Y170" i="2"/>
  <c r="K82" i="8" s="1"/>
  <c r="E94" i="10" s="1"/>
  <c r="U171" i="2"/>
  <c r="J165" i="2"/>
  <c r="E81" i="8" s="1"/>
  <c r="U168" i="2"/>
  <c r="W168" i="2" s="1"/>
  <c r="L21" i="3"/>
  <c r="H98" i="8" s="1"/>
  <c r="M146" i="8"/>
  <c r="D86" i="13" s="1"/>
  <c r="L17" i="5"/>
  <c r="H171" i="8"/>
  <c r="H166" i="8" s="1"/>
  <c r="AA6" i="5"/>
  <c r="AA5" i="5" s="1"/>
  <c r="W31" i="5"/>
  <c r="W30" i="5" s="1"/>
  <c r="U30" i="5"/>
  <c r="I170" i="8" s="1"/>
  <c r="W36" i="5"/>
  <c r="U36" i="5"/>
  <c r="I172" i="8" s="1"/>
  <c r="W19" i="5"/>
  <c r="W18" i="5" s="1"/>
  <c r="U132" i="3"/>
  <c r="AA132" i="3"/>
  <c r="L24" i="3"/>
  <c r="H99" i="8" s="1"/>
  <c r="L82" i="4"/>
  <c r="U90" i="3"/>
  <c r="W90" i="3" s="1"/>
  <c r="J86" i="3"/>
  <c r="E113" i="8" s="1"/>
  <c r="L96" i="3"/>
  <c r="H115" i="8" s="1"/>
  <c r="J96" i="3"/>
  <c r="E115" i="8" s="1"/>
  <c r="L91" i="3"/>
  <c r="H114" i="8" s="1"/>
  <c r="S83" i="3"/>
  <c r="Y83" i="3" s="1"/>
  <c r="U74" i="3"/>
  <c r="W74" i="3" s="1"/>
  <c r="S71" i="3"/>
  <c r="Y71" i="3" s="1"/>
  <c r="U70" i="3"/>
  <c r="W70" i="3" s="1"/>
  <c r="AA69" i="3"/>
  <c r="U69" i="3"/>
  <c r="W69" i="3" s="1"/>
  <c r="H147" i="8"/>
  <c r="E203" i="8"/>
  <c r="U68" i="5"/>
  <c r="I182" i="8" s="1"/>
  <c r="W69" i="5"/>
  <c r="W68" i="5" s="1"/>
  <c r="W67" i="5"/>
  <c r="W66" i="5" s="1"/>
  <c r="U66" i="5"/>
  <c r="I181" i="8" s="1"/>
  <c r="W58" i="5"/>
  <c r="U58" i="5"/>
  <c r="I179" i="8" s="1"/>
  <c r="K179" i="8"/>
  <c r="L135" i="4"/>
  <c r="W101" i="4"/>
  <c r="W100" i="4" s="1"/>
  <c r="U100" i="4"/>
  <c r="I149" i="8" s="1"/>
  <c r="H184" i="8"/>
  <c r="AA79" i="5"/>
  <c r="Y78" i="5"/>
  <c r="W85" i="5"/>
  <c r="U85" i="5"/>
  <c r="I186" i="8" s="1"/>
  <c r="E153" i="8"/>
  <c r="AA97" i="3"/>
  <c r="Y96" i="3"/>
  <c r="Y91" i="3"/>
  <c r="K114" i="8" s="1"/>
  <c r="E65" i="12" s="1"/>
  <c r="AA41" i="3"/>
  <c r="AA87" i="3"/>
  <c r="Y86" i="3"/>
  <c r="K113" i="8" s="1"/>
  <c r="E62" i="12" s="1"/>
  <c r="AA22" i="3"/>
  <c r="U38" i="3"/>
  <c r="W38" i="3" s="1"/>
  <c r="W32" i="3"/>
  <c r="U41" i="3"/>
  <c r="J54" i="3"/>
  <c r="E107" i="8" s="1"/>
  <c r="U65" i="3"/>
  <c r="W65" i="3" s="1"/>
  <c r="U76" i="3"/>
  <c r="W76" i="3" s="1"/>
  <c r="U79" i="3"/>
  <c r="W79" i="3" s="1"/>
  <c r="U92" i="3"/>
  <c r="W116" i="3"/>
  <c r="Y43" i="3"/>
  <c r="K104" i="8" s="1"/>
  <c r="E48" i="12" s="1"/>
  <c r="AA44" i="3"/>
  <c r="U87" i="3"/>
  <c r="J125" i="3"/>
  <c r="E121" i="8" s="1"/>
  <c r="E120" i="8" s="1"/>
  <c r="S27" i="3"/>
  <c r="Y27" i="3" s="1"/>
  <c r="U109" i="3"/>
  <c r="W109" i="3" s="1"/>
  <c r="U26" i="3"/>
  <c r="W26" i="3" s="1"/>
  <c r="W36" i="3"/>
  <c r="U95" i="3"/>
  <c r="W95" i="3" s="1"/>
  <c r="U80" i="3"/>
  <c r="W80" i="3" s="1"/>
  <c r="U42" i="3"/>
  <c r="W42" i="3" s="1"/>
  <c r="U72" i="3"/>
  <c r="W72" i="3" s="1"/>
  <c r="U78" i="3"/>
  <c r="W78" i="3" s="1"/>
  <c r="U93" i="3"/>
  <c r="W93" i="3" s="1"/>
  <c r="U121" i="3"/>
  <c r="W121" i="3" s="1"/>
  <c r="U126" i="3"/>
  <c r="U108" i="3"/>
  <c r="W108" i="3" s="1"/>
  <c r="U81" i="3"/>
  <c r="W81" i="3" s="1"/>
  <c r="J5" i="3"/>
  <c r="U20" i="3"/>
  <c r="W20" i="3" s="1"/>
  <c r="U44" i="3"/>
  <c r="W44" i="3" s="1"/>
  <c r="W43" i="3" s="1"/>
  <c r="L46" i="3"/>
  <c r="H106" i="8" s="1"/>
  <c r="L73" i="3"/>
  <c r="H112" i="8" s="1"/>
  <c r="U77" i="3"/>
  <c r="W77" i="3" s="1"/>
  <c r="U85" i="3"/>
  <c r="W85" i="3" s="1"/>
  <c r="U94" i="3"/>
  <c r="W94" i="3" s="1"/>
  <c r="U102" i="3"/>
  <c r="W102" i="3" s="1"/>
  <c r="W106" i="5"/>
  <c r="U99" i="5"/>
  <c r="I189" i="8" s="1"/>
  <c r="W100" i="5"/>
  <c r="W99" i="5" s="1"/>
  <c r="J77" i="5"/>
  <c r="L77" i="5"/>
  <c r="U123" i="3"/>
  <c r="W123" i="3" s="1"/>
  <c r="U122" i="3"/>
  <c r="W122" i="3" s="1"/>
  <c r="J117" i="3"/>
  <c r="E119" i="8" s="1"/>
  <c r="U38" i="4"/>
  <c r="I131" i="8" s="1"/>
  <c r="W39" i="4"/>
  <c r="W38" i="4" s="1"/>
  <c r="U118" i="3"/>
  <c r="U119" i="3"/>
  <c r="W119" i="3" s="1"/>
  <c r="L117" i="3"/>
  <c r="H119" i="8" s="1"/>
  <c r="Y117" i="3"/>
  <c r="K119" i="8" s="1"/>
  <c r="E72" i="12" s="1"/>
  <c r="L107" i="3"/>
  <c r="H118" i="8" s="1"/>
  <c r="J107" i="3"/>
  <c r="E118" i="8" s="1"/>
  <c r="U112" i="3"/>
  <c r="W112" i="3" s="1"/>
  <c r="U111" i="3"/>
  <c r="W111" i="3" s="1"/>
  <c r="W106" i="3"/>
  <c r="W105" i="3"/>
  <c r="J101" i="3"/>
  <c r="E117" i="8" s="1"/>
  <c r="Y101" i="3"/>
  <c r="U104" i="3"/>
  <c r="W104" i="3" s="1"/>
  <c r="L101" i="3"/>
  <c r="H117" i="8" s="1"/>
  <c r="L64" i="3"/>
  <c r="H109" i="8" s="1"/>
  <c r="U63" i="3"/>
  <c r="W63" i="3" s="1"/>
  <c r="U62" i="3"/>
  <c r="W62" i="3" s="1"/>
  <c r="L59" i="3"/>
  <c r="H108" i="8" s="1"/>
  <c r="U61" i="3"/>
  <c r="W61" i="3" s="1"/>
  <c r="U58" i="3"/>
  <c r="W58" i="3" s="1"/>
  <c r="U57" i="3"/>
  <c r="W57" i="3" s="1"/>
  <c r="L54" i="3"/>
  <c r="H107" i="8" s="1"/>
  <c r="U55" i="3"/>
  <c r="W200" i="2"/>
  <c r="U195" i="2"/>
  <c r="W195" i="2" s="1"/>
  <c r="L193" i="2"/>
  <c r="H89" i="8" s="1"/>
  <c r="W194" i="2"/>
  <c r="S194" i="2"/>
  <c r="Y194" i="2" s="1"/>
  <c r="I690" i="18" s="1"/>
  <c r="L30" i="6"/>
  <c r="L4" i="6"/>
  <c r="E199" i="8"/>
  <c r="J4" i="6"/>
  <c r="W6" i="6"/>
  <c r="W5" i="6" s="1"/>
  <c r="U5" i="6"/>
  <c r="I200" i="8" s="1"/>
  <c r="W73" i="4"/>
  <c r="U69" i="4"/>
  <c r="I139" i="8" s="1"/>
  <c r="W64" i="4"/>
  <c r="U64" i="4"/>
  <c r="I138" i="8" s="1"/>
  <c r="U131" i="5"/>
  <c r="I195" i="8" s="1"/>
  <c r="W123" i="5"/>
  <c r="U123" i="5"/>
  <c r="I194" i="8" s="1"/>
  <c r="J135" i="4"/>
  <c r="W35" i="4"/>
  <c r="W33" i="4" s="1"/>
  <c r="U33" i="4"/>
  <c r="I129" i="8" s="1"/>
  <c r="K128" i="8"/>
  <c r="E57" i="13" s="1"/>
  <c r="U27" i="4"/>
  <c r="I128" i="8" s="1"/>
  <c r="W28" i="4"/>
  <c r="W27" i="4" s="1"/>
  <c r="L4" i="4"/>
  <c r="J4" i="4"/>
  <c r="U43" i="5"/>
  <c r="I174" i="8" s="1"/>
  <c r="W44" i="5"/>
  <c r="W43" i="5" s="1"/>
  <c r="E151" i="8"/>
  <c r="W110" i="4"/>
  <c r="W109" i="4" s="1"/>
  <c r="U109" i="4"/>
  <c r="I151" i="8" s="1"/>
  <c r="U52" i="3"/>
  <c r="W52" i="3" s="1"/>
  <c r="U51" i="3"/>
  <c r="W51" i="3" s="1"/>
  <c r="J46" i="3"/>
  <c r="E106" i="8" s="1"/>
  <c r="U49" i="3"/>
  <c r="W49" i="3" s="1"/>
  <c r="U39" i="3"/>
  <c r="W39" i="3" s="1"/>
  <c r="J34" i="3"/>
  <c r="L34" i="3"/>
  <c r="H102" i="8" s="1"/>
  <c r="Y34" i="3"/>
  <c r="W37" i="3"/>
  <c r="Y16" i="3"/>
  <c r="U19" i="3"/>
  <c r="W19" i="3" s="1"/>
  <c r="L16" i="3"/>
  <c r="H97" i="8" s="1"/>
  <c r="U18" i="3"/>
  <c r="W18" i="3" s="1"/>
  <c r="U17" i="3"/>
  <c r="J11" i="3"/>
  <c r="E95" i="8" s="1"/>
  <c r="U7" i="3"/>
  <c r="W7" i="3" s="1"/>
  <c r="L5" i="3"/>
  <c r="H94" i="8" s="1"/>
  <c r="S6" i="3"/>
  <c r="Y6" i="3" s="1"/>
  <c r="W6" i="3"/>
  <c r="W140" i="5"/>
  <c r="W139" i="5" s="1"/>
  <c r="U139" i="5"/>
  <c r="I197" i="8" s="1"/>
  <c r="W50" i="5"/>
  <c r="W49" i="5" s="1"/>
  <c r="W80" i="4"/>
  <c r="W79" i="4" s="1"/>
  <c r="U79" i="4"/>
  <c r="I142" i="8" s="1"/>
  <c r="U57" i="4"/>
  <c r="I135" i="8" s="1"/>
  <c r="W58" i="4"/>
  <c r="W57" i="4" s="1"/>
  <c r="U22" i="4"/>
  <c r="I126" i="8" s="1"/>
  <c r="L125" i="3"/>
  <c r="H121" i="8" s="1"/>
  <c r="H120" i="8" s="1"/>
  <c r="U66" i="3"/>
  <c r="W66" i="3" s="1"/>
  <c r="W31" i="6"/>
  <c r="W96" i="4"/>
  <c r="W95" i="4" s="1"/>
  <c r="U95" i="4"/>
  <c r="Y83" i="4"/>
  <c r="W83" i="4"/>
  <c r="U12" i="3"/>
  <c r="U13" i="3"/>
  <c r="W13" i="3" s="1"/>
  <c r="S14" i="3"/>
  <c r="Y14" i="3" s="1"/>
  <c r="I204" i="18" s="1"/>
  <c r="W166" i="2"/>
  <c r="S166" i="2"/>
  <c r="Y166" i="2" s="1"/>
  <c r="I670" i="18" s="1"/>
  <c r="U167" i="2"/>
  <c r="Z160" i="2"/>
  <c r="L163" i="2"/>
  <c r="L161" i="2"/>
  <c r="R163" i="2"/>
  <c r="U163" i="2" s="1"/>
  <c r="W163" i="2" s="1"/>
  <c r="R162" i="2"/>
  <c r="S162" i="2" s="1"/>
  <c r="R161" i="2"/>
  <c r="S161" i="2" s="1"/>
  <c r="Y161" i="2" s="1"/>
  <c r="I552" i="18" s="1"/>
  <c r="R159" i="2"/>
  <c r="U159" i="2" s="1"/>
  <c r="W159" i="2" s="1"/>
  <c r="R158" i="2"/>
  <c r="S158" i="2" s="1"/>
  <c r="Y158" i="2" s="1"/>
  <c r="R157" i="2"/>
  <c r="S157" i="2" s="1"/>
  <c r="Y157" i="2" s="1"/>
  <c r="R156" i="2"/>
  <c r="S156" i="2" s="1"/>
  <c r="Y156" i="2" s="1"/>
  <c r="R155" i="2"/>
  <c r="S155" i="2" s="1"/>
  <c r="Y155" i="2" s="1"/>
  <c r="I665" i="18" s="1"/>
  <c r="R153" i="2"/>
  <c r="S153" i="2" s="1"/>
  <c r="Y153" i="2" s="1"/>
  <c r="R152" i="2"/>
  <c r="S152" i="2" s="1"/>
  <c r="Y152" i="2" s="1"/>
  <c r="R151" i="2"/>
  <c r="S151" i="2" s="1"/>
  <c r="R150" i="2"/>
  <c r="S150" i="2" s="1"/>
  <c r="Y150" i="2" s="1"/>
  <c r="R149" i="2"/>
  <c r="S149" i="2" s="1"/>
  <c r="Y149" i="2" s="1"/>
  <c r="I660" i="18" s="1"/>
  <c r="R147" i="2"/>
  <c r="U147" i="2" s="1"/>
  <c r="R146" i="2"/>
  <c r="L159" i="2"/>
  <c r="L158" i="2"/>
  <c r="L157" i="2"/>
  <c r="L156" i="2"/>
  <c r="L155" i="2"/>
  <c r="L153" i="2"/>
  <c r="L152" i="2"/>
  <c r="L151" i="2"/>
  <c r="L150" i="2"/>
  <c r="L149" i="2"/>
  <c r="L147" i="2"/>
  <c r="L146" i="2"/>
  <c r="L144" i="2"/>
  <c r="L143" i="2"/>
  <c r="L142" i="2"/>
  <c r="L141" i="2"/>
  <c r="J163" i="2"/>
  <c r="J161" i="2"/>
  <c r="J159" i="2"/>
  <c r="J158" i="2"/>
  <c r="J157" i="2"/>
  <c r="J156" i="2"/>
  <c r="J155" i="2"/>
  <c r="J153" i="2"/>
  <c r="J152" i="2"/>
  <c r="J151" i="2"/>
  <c r="J150" i="2"/>
  <c r="J149" i="2"/>
  <c r="J147" i="2"/>
  <c r="J146" i="2"/>
  <c r="J144" i="2"/>
  <c r="J143" i="2"/>
  <c r="J142" i="2"/>
  <c r="J141" i="2"/>
  <c r="R144" i="2"/>
  <c r="S144" i="2" s="1"/>
  <c r="Y144" i="2" s="1"/>
  <c r="R143" i="2"/>
  <c r="S143" i="2" s="1"/>
  <c r="Y143" i="2" s="1"/>
  <c r="R142" i="2"/>
  <c r="R141" i="2"/>
  <c r="S141" i="2" s="1"/>
  <c r="Y141" i="2" s="1"/>
  <c r="I654" i="18" s="1"/>
  <c r="W133" i="2"/>
  <c r="R139" i="2"/>
  <c r="R138" i="2"/>
  <c r="S138" i="2" s="1"/>
  <c r="Y138" i="2" s="1"/>
  <c r="R137" i="2"/>
  <c r="R136" i="2"/>
  <c r="S136" i="2" s="1"/>
  <c r="Y136" i="2" s="1"/>
  <c r="R135" i="2"/>
  <c r="S135" i="2" s="1"/>
  <c r="Y135" i="2" s="1"/>
  <c r="R134" i="2"/>
  <c r="R133" i="2"/>
  <c r="S133" i="2" s="1"/>
  <c r="Y133" i="2" s="1"/>
  <c r="R132" i="2"/>
  <c r="S132" i="2" s="1"/>
  <c r="Y132" i="2" s="1"/>
  <c r="L139" i="2"/>
  <c r="L138" i="2"/>
  <c r="L137" i="2"/>
  <c r="L136" i="2"/>
  <c r="L135" i="2"/>
  <c r="L134" i="2"/>
  <c r="L133" i="2"/>
  <c r="L132" i="2"/>
  <c r="J139" i="2"/>
  <c r="J138" i="2"/>
  <c r="J137" i="2"/>
  <c r="J136" i="2"/>
  <c r="J135" i="2"/>
  <c r="J134" i="2"/>
  <c r="J133" i="2"/>
  <c r="J132" i="2"/>
  <c r="R129" i="2"/>
  <c r="S129" i="2" s="1"/>
  <c r="Y129" i="2" s="1"/>
  <c r="R128" i="2"/>
  <c r="S128" i="2" s="1"/>
  <c r="Y128" i="2" s="1"/>
  <c r="R127" i="2"/>
  <c r="U127" i="2" s="1"/>
  <c r="R125" i="2"/>
  <c r="S125" i="2" s="1"/>
  <c r="Y125" i="2" s="1"/>
  <c r="I642" i="18" s="1"/>
  <c r="R123" i="2"/>
  <c r="U123" i="2" s="1"/>
  <c r="U122" i="2" s="1"/>
  <c r="I70" i="8" s="1"/>
  <c r="R121" i="2"/>
  <c r="S121" i="2" s="1"/>
  <c r="Y121" i="2" s="1"/>
  <c r="I640" i="18" s="1"/>
  <c r="L129" i="2"/>
  <c r="L128" i="2"/>
  <c r="L127" i="2"/>
  <c r="L125" i="2"/>
  <c r="L124" i="2" s="1"/>
  <c r="H71" i="8" s="1"/>
  <c r="L123" i="2"/>
  <c r="L122" i="2" s="1"/>
  <c r="H70" i="8" s="1"/>
  <c r="L121" i="2"/>
  <c r="L120" i="2" s="1"/>
  <c r="H69" i="8" s="1"/>
  <c r="J129" i="2"/>
  <c r="J128" i="2"/>
  <c r="J127" i="2"/>
  <c r="J125" i="2"/>
  <c r="J124" i="2" s="1"/>
  <c r="E71" i="8" s="1"/>
  <c r="J123" i="2"/>
  <c r="J122" i="2" s="1"/>
  <c r="E70" i="8" s="1"/>
  <c r="J121" i="2"/>
  <c r="J120" i="2" s="1"/>
  <c r="E69" i="8" s="1"/>
  <c r="R118" i="2"/>
  <c r="S118" i="2" s="1"/>
  <c r="R117" i="2"/>
  <c r="U117" i="2" s="1"/>
  <c r="W117" i="2" s="1"/>
  <c r="R116" i="2"/>
  <c r="U116" i="2" s="1"/>
  <c r="W116" i="2" s="1"/>
  <c r="R115" i="2"/>
  <c r="S115" i="2" s="1"/>
  <c r="R114" i="2"/>
  <c r="S114" i="2" s="1"/>
  <c r="Y114" i="2" s="1"/>
  <c r="R113" i="2"/>
  <c r="S113" i="2" s="1"/>
  <c r="R112" i="2"/>
  <c r="S112" i="2" s="1"/>
  <c r="R111" i="2"/>
  <c r="S111" i="2" s="1"/>
  <c r="R110" i="2"/>
  <c r="S110" i="2" s="1"/>
  <c r="R109" i="2"/>
  <c r="R108" i="2"/>
  <c r="U108" i="2" s="1"/>
  <c r="W108" i="2" s="1"/>
  <c r="S107" i="2"/>
  <c r="Y107" i="2" s="1"/>
  <c r="R105" i="2"/>
  <c r="S105" i="2" s="1"/>
  <c r="R104" i="2"/>
  <c r="S104" i="2" s="1"/>
  <c r="Y104" i="2" s="1"/>
  <c r="R103" i="2"/>
  <c r="U103" i="2" s="1"/>
  <c r="W103" i="2" s="1"/>
  <c r="R102" i="2"/>
  <c r="L118" i="2"/>
  <c r="L117" i="2"/>
  <c r="L116" i="2"/>
  <c r="L115" i="2"/>
  <c r="L114" i="2"/>
  <c r="L108" i="2"/>
  <c r="J118" i="2"/>
  <c r="J117" i="2"/>
  <c r="J116" i="2"/>
  <c r="J115" i="2"/>
  <c r="J114" i="2"/>
  <c r="J108" i="2"/>
  <c r="L104" i="2"/>
  <c r="L103" i="2"/>
  <c r="L102" i="2"/>
  <c r="J104" i="2"/>
  <c r="J103" i="2"/>
  <c r="J102" i="2"/>
  <c r="W100" i="2"/>
  <c r="R99" i="2"/>
  <c r="S99" i="2" s="1"/>
  <c r="Y99" i="2" s="1"/>
  <c r="R98" i="2"/>
  <c r="S98" i="2" s="1"/>
  <c r="Y98" i="2" s="1"/>
  <c r="R97" i="2"/>
  <c r="R96" i="2"/>
  <c r="U96" i="2" s="1"/>
  <c r="W96" i="2" s="1"/>
  <c r="R95" i="2"/>
  <c r="S95" i="2" s="1"/>
  <c r="Y95" i="2" s="1"/>
  <c r="R94" i="2"/>
  <c r="S94" i="2" s="1"/>
  <c r="Y94" i="2" s="1"/>
  <c r="R93" i="2"/>
  <c r="L99" i="2"/>
  <c r="L98" i="2"/>
  <c r="L97" i="2"/>
  <c r="L96" i="2"/>
  <c r="L95" i="2"/>
  <c r="L94" i="2"/>
  <c r="L93" i="2"/>
  <c r="J99" i="2"/>
  <c r="J98" i="2"/>
  <c r="J97" i="2"/>
  <c r="J96" i="2"/>
  <c r="J95" i="2"/>
  <c r="J94" i="2"/>
  <c r="T86" i="2"/>
  <c r="R90" i="2"/>
  <c r="S90" i="2" s="1"/>
  <c r="Y90" i="2" s="1"/>
  <c r="R89" i="2"/>
  <c r="R88" i="2"/>
  <c r="S88" i="2" s="1"/>
  <c r="Y88" i="2" s="1"/>
  <c r="R87" i="2"/>
  <c r="S87" i="2" s="1"/>
  <c r="Y87" i="2" s="1"/>
  <c r="R86" i="2"/>
  <c r="S86" i="2" s="1"/>
  <c r="Y86" i="2" s="1"/>
  <c r="L90" i="2"/>
  <c r="L89" i="2"/>
  <c r="L88" i="2"/>
  <c r="L87" i="2"/>
  <c r="L86" i="2"/>
  <c r="J90" i="2"/>
  <c r="J89" i="2"/>
  <c r="J88" i="2"/>
  <c r="J87" i="2"/>
  <c r="J86" i="2"/>
  <c r="R84" i="2"/>
  <c r="S84" i="2" s="1"/>
  <c r="Y84" i="2" s="1"/>
  <c r="R83" i="2"/>
  <c r="S83" i="2" s="1"/>
  <c r="Y83" i="2" s="1"/>
  <c r="R82" i="2"/>
  <c r="S82" i="2" s="1"/>
  <c r="Y82" i="2" s="1"/>
  <c r="R81" i="2"/>
  <c r="S81" i="2" s="1"/>
  <c r="Y81" i="2" s="1"/>
  <c r="I548" i="18" s="1"/>
  <c r="R80" i="2"/>
  <c r="S80" i="2" s="1"/>
  <c r="R79" i="2"/>
  <c r="S79" i="2" s="1"/>
  <c r="Y79" i="2" s="1"/>
  <c r="R78" i="2"/>
  <c r="S78" i="2" s="1"/>
  <c r="Y78" i="2" s="1"/>
  <c r="L84" i="2"/>
  <c r="L81" i="2"/>
  <c r="L78" i="2"/>
  <c r="J84" i="2"/>
  <c r="J81" i="2"/>
  <c r="J78" i="2"/>
  <c r="L76" i="2"/>
  <c r="L75" i="2"/>
  <c r="L74" i="2"/>
  <c r="J76" i="2"/>
  <c r="J75" i="2"/>
  <c r="J74" i="2"/>
  <c r="R76" i="2"/>
  <c r="S76" i="2" s="1"/>
  <c r="Y76" i="2" s="1"/>
  <c r="R75" i="2"/>
  <c r="S75" i="2" s="1"/>
  <c r="Y75" i="2" s="1"/>
  <c r="R74" i="2"/>
  <c r="S74" i="2" s="1"/>
  <c r="Y74" i="2" s="1"/>
  <c r="R72" i="2"/>
  <c r="S72" i="2" s="1"/>
  <c r="Y72" i="2" s="1"/>
  <c r="R71" i="2"/>
  <c r="S71" i="2" s="1"/>
  <c r="Y71" i="2" s="1"/>
  <c r="R70" i="2"/>
  <c r="R69" i="2"/>
  <c r="L72" i="2"/>
  <c r="L71" i="2"/>
  <c r="L70" i="2"/>
  <c r="L69" i="2"/>
  <c r="J72" i="2"/>
  <c r="J71" i="2"/>
  <c r="J70" i="2"/>
  <c r="J69" i="2"/>
  <c r="R67" i="2"/>
  <c r="S67" i="2" s="1"/>
  <c r="R66" i="2"/>
  <c r="S66" i="2" s="1"/>
  <c r="Y66" i="2" s="1"/>
  <c r="R65" i="2"/>
  <c r="S65" i="2" s="1"/>
  <c r="R64" i="2"/>
  <c r="S64" i="2" s="1"/>
  <c r="Y64" i="2" s="1"/>
  <c r="R63" i="2"/>
  <c r="S63" i="2" s="1"/>
  <c r="Y63" i="2" s="1"/>
  <c r="R62" i="2"/>
  <c r="U62" i="2" s="1"/>
  <c r="W62" i="2" s="1"/>
  <c r="R61" i="2"/>
  <c r="U61" i="2" s="1"/>
  <c r="R59" i="2"/>
  <c r="S59" i="2" s="1"/>
  <c r="Y59" i="2" s="1"/>
  <c r="R58" i="2"/>
  <c r="S58" i="2" s="1"/>
  <c r="Y58" i="2" s="1"/>
  <c r="R57" i="2"/>
  <c r="S57" i="2" s="1"/>
  <c r="Y57" i="2" s="1"/>
  <c r="L67" i="2"/>
  <c r="L66" i="2"/>
  <c r="L65" i="2"/>
  <c r="L64" i="2"/>
  <c r="L63" i="2"/>
  <c r="L62" i="2"/>
  <c r="L61" i="2"/>
  <c r="J67" i="2"/>
  <c r="J66" i="2"/>
  <c r="J65" i="2"/>
  <c r="J64" i="2"/>
  <c r="J63" i="2"/>
  <c r="J62" i="2"/>
  <c r="J61" i="2"/>
  <c r="L59" i="2"/>
  <c r="L58" i="2"/>
  <c r="L57" i="2"/>
  <c r="J59" i="2"/>
  <c r="J58" i="2"/>
  <c r="J57" i="2"/>
  <c r="R55" i="2"/>
  <c r="U55" i="2" s="1"/>
  <c r="W55" i="2" s="1"/>
  <c r="R54" i="2"/>
  <c r="S54" i="2" s="1"/>
  <c r="Y54" i="2" s="1"/>
  <c r="R53" i="2"/>
  <c r="S53" i="2" s="1"/>
  <c r="Y53" i="2" s="1"/>
  <c r="L55" i="2"/>
  <c r="L54" i="2"/>
  <c r="L53" i="2"/>
  <c r="J55" i="2"/>
  <c r="J54" i="2"/>
  <c r="J53" i="2"/>
  <c r="S51" i="2"/>
  <c r="Y51" i="2" s="1"/>
  <c r="S50" i="2"/>
  <c r="Y50" i="2" s="1"/>
  <c r="I543" i="18" s="1"/>
  <c r="T48" i="2"/>
  <c r="U50" i="2"/>
  <c r="U51" i="2"/>
  <c r="W51" i="2" s="1"/>
  <c r="J50" i="2"/>
  <c r="L50" i="2"/>
  <c r="L51" i="2"/>
  <c r="J51" i="2"/>
  <c r="R48" i="2"/>
  <c r="R47" i="2"/>
  <c r="S47" i="2" s="1"/>
  <c r="Y47" i="2" s="1"/>
  <c r="R46" i="2"/>
  <c r="S46" i="2" s="1"/>
  <c r="Y46" i="2" s="1"/>
  <c r="R45" i="2"/>
  <c r="S45" i="2" s="1"/>
  <c r="Y45" i="2" s="1"/>
  <c r="R44" i="2"/>
  <c r="R42" i="2"/>
  <c r="S42" i="2" s="1"/>
  <c r="R41" i="2"/>
  <c r="S41" i="2" s="1"/>
  <c r="Y41" i="2" s="1"/>
  <c r="R40" i="2"/>
  <c r="S40" i="2" s="1"/>
  <c r="R38" i="2"/>
  <c r="S38" i="2" s="1"/>
  <c r="R37" i="2"/>
  <c r="S37" i="2" s="1"/>
  <c r="R36" i="2"/>
  <c r="S36" i="2" s="1"/>
  <c r="R35" i="2"/>
  <c r="S35" i="2" s="1"/>
  <c r="L48" i="2"/>
  <c r="L47" i="2"/>
  <c r="L46" i="2"/>
  <c r="L45" i="2"/>
  <c r="L44" i="2"/>
  <c r="J48" i="2"/>
  <c r="J47" i="2"/>
  <c r="J46" i="2"/>
  <c r="J45" i="2"/>
  <c r="J44" i="2"/>
  <c r="W42" i="2"/>
  <c r="S70" i="2" l="1"/>
  <c r="Y70" i="2" s="1"/>
  <c r="I652" i="18"/>
  <c r="AA138" i="2"/>
  <c r="AA22" i="6"/>
  <c r="M202" i="8" s="1"/>
  <c r="D44" i="17" s="1"/>
  <c r="AA47" i="6"/>
  <c r="M204" i="8"/>
  <c r="D53" i="17" s="1"/>
  <c r="K185" i="8"/>
  <c r="E87" i="15" s="1"/>
  <c r="AA4" i="5"/>
  <c r="M162" i="8" s="1"/>
  <c r="O6" i="15" s="1"/>
  <c r="D46" i="15" s="1"/>
  <c r="S69" i="2"/>
  <c r="Y69" i="2" s="1"/>
  <c r="AA126" i="3"/>
  <c r="I268" i="18"/>
  <c r="S146" i="2"/>
  <c r="Y146" i="2" s="1"/>
  <c r="U146" i="2"/>
  <c r="W146" i="2" s="1"/>
  <c r="U139" i="2"/>
  <c r="W139" i="2" s="1"/>
  <c r="S139" i="2"/>
  <c r="Y139" i="2" s="1"/>
  <c r="S134" i="2"/>
  <c r="Y134" i="2" s="1"/>
  <c r="U134" i="2"/>
  <c r="W134" i="2" s="1"/>
  <c r="S137" i="2"/>
  <c r="Y137" i="2" s="1"/>
  <c r="U137" i="2"/>
  <c r="W137" i="2" s="1"/>
  <c r="S142" i="2"/>
  <c r="Y142" i="2" s="1"/>
  <c r="Y140" i="2" s="1"/>
  <c r="K75" i="8" s="1"/>
  <c r="E83" i="10" s="1"/>
  <c r="U142" i="2"/>
  <c r="W142" i="2" s="1"/>
  <c r="S102" i="2"/>
  <c r="Y102" i="2" s="1"/>
  <c r="Y4" i="4"/>
  <c r="I134" i="18"/>
  <c r="Y33" i="4"/>
  <c r="K129" i="8" s="1"/>
  <c r="E56" i="13" s="1"/>
  <c r="I213" i="18"/>
  <c r="AA27" i="3"/>
  <c r="AA24" i="3" s="1"/>
  <c r="M99" i="8" s="1"/>
  <c r="D41" i="12" s="1"/>
  <c r="AA16" i="3"/>
  <c r="M97" i="8" s="1"/>
  <c r="D39" i="12" s="1"/>
  <c r="Y24" i="3"/>
  <c r="AA34" i="3"/>
  <c r="M102" i="8" s="1"/>
  <c r="D46" i="12" s="1"/>
  <c r="S97" i="2"/>
  <c r="Y97" i="2" s="1"/>
  <c r="I620" i="18" s="1"/>
  <c r="S48" i="2"/>
  <c r="Y48" i="2" s="1"/>
  <c r="AA48" i="2" s="1"/>
  <c r="U48" i="2"/>
  <c r="W48" i="2" s="1"/>
  <c r="Y167" i="4"/>
  <c r="J33" i="3"/>
  <c r="Y46" i="3"/>
  <c r="K106" i="8" s="1"/>
  <c r="I682" i="18"/>
  <c r="I628" i="18"/>
  <c r="I646" i="18"/>
  <c r="AA46" i="2"/>
  <c r="I588" i="18"/>
  <c r="AA51" i="2"/>
  <c r="I544" i="18"/>
  <c r="I644" i="18"/>
  <c r="AA128" i="2"/>
  <c r="AA79" i="2"/>
  <c r="I546" i="18"/>
  <c r="AA133" i="2"/>
  <c r="I647" i="18"/>
  <c r="AA58" i="2"/>
  <c r="I595" i="18"/>
  <c r="AA82" i="2"/>
  <c r="I549" i="18"/>
  <c r="AA83" i="2"/>
  <c r="I550" i="18"/>
  <c r="AA59" i="3"/>
  <c r="M108" i="8" s="1"/>
  <c r="D57" i="12" s="1"/>
  <c r="Y54" i="3"/>
  <c r="K107" i="8" s="1"/>
  <c r="E55" i="12" s="1"/>
  <c r="AA56" i="3"/>
  <c r="AA54" i="3" s="1"/>
  <c r="M107" i="8" s="1"/>
  <c r="D55" i="12" s="1"/>
  <c r="AA91" i="3"/>
  <c r="M114" i="8" s="1"/>
  <c r="D65" i="12" s="1"/>
  <c r="I214" i="18"/>
  <c r="AA32" i="3"/>
  <c r="I217" i="18"/>
  <c r="I215" i="18"/>
  <c r="Y5" i="3"/>
  <c r="I197" i="18"/>
  <c r="AA107" i="3"/>
  <c r="M118" i="8" s="1"/>
  <c r="U28" i="3"/>
  <c r="I100" i="8" s="1"/>
  <c r="AA50" i="3"/>
  <c r="AA46" i="3" s="1"/>
  <c r="M106" i="8" s="1"/>
  <c r="AA130" i="3"/>
  <c r="AA129" i="3" s="1"/>
  <c r="M122" i="8" s="1"/>
  <c r="I271" i="18"/>
  <c r="Y97" i="4"/>
  <c r="AA48" i="5"/>
  <c r="M175" i="8" s="1"/>
  <c r="O8" i="15" s="1"/>
  <c r="D68" i="15" s="1"/>
  <c r="AA85" i="5"/>
  <c r="M186" i="8" s="1"/>
  <c r="D88" i="15" s="1"/>
  <c r="W105" i="5"/>
  <c r="W77" i="5" s="1"/>
  <c r="H77" i="5" s="1"/>
  <c r="AA66" i="3"/>
  <c r="I176" i="18"/>
  <c r="AA90" i="2"/>
  <c r="I615" i="18"/>
  <c r="AA88" i="2"/>
  <c r="I613" i="18"/>
  <c r="AA87" i="2"/>
  <c r="I612" i="18"/>
  <c r="AA86" i="2"/>
  <c r="I611" i="18"/>
  <c r="AA114" i="2"/>
  <c r="I635" i="18"/>
  <c r="AA104" i="2"/>
  <c r="I626" i="18"/>
  <c r="AA99" i="2"/>
  <c r="I622" i="18"/>
  <c r="AA98" i="2"/>
  <c r="I621" i="18"/>
  <c r="AA95" i="2"/>
  <c r="I618" i="18"/>
  <c r="AA94" i="2"/>
  <c r="I617" i="18"/>
  <c r="AA31" i="3"/>
  <c r="I216" i="18"/>
  <c r="AA10" i="3"/>
  <c r="I201" i="18"/>
  <c r="AA9" i="3"/>
  <c r="I200" i="18"/>
  <c r="AA8" i="3"/>
  <c r="I199" i="18"/>
  <c r="AA76" i="2"/>
  <c r="I610" i="18"/>
  <c r="AA75" i="2"/>
  <c r="I609" i="18"/>
  <c r="AA74" i="2"/>
  <c r="I608" i="18"/>
  <c r="AA72" i="2"/>
  <c r="I607" i="18"/>
  <c r="AA71" i="2"/>
  <c r="I606" i="18"/>
  <c r="AA64" i="2"/>
  <c r="I600" i="18"/>
  <c r="AA63" i="2"/>
  <c r="I599" i="18"/>
  <c r="AA66" i="2"/>
  <c r="I602" i="18"/>
  <c r="AA59" i="2"/>
  <c r="I596" i="18"/>
  <c r="AA57" i="2"/>
  <c r="I594" i="18"/>
  <c r="AA53" i="2"/>
  <c r="I591" i="18"/>
  <c r="AA54" i="2"/>
  <c r="I592" i="18"/>
  <c r="AA47" i="2"/>
  <c r="I589" i="18"/>
  <c r="AA45" i="2"/>
  <c r="I587" i="18"/>
  <c r="AA41" i="2"/>
  <c r="I584" i="18"/>
  <c r="AA40" i="2"/>
  <c r="I583" i="18"/>
  <c r="AA158" i="2"/>
  <c r="I668" i="18"/>
  <c r="AA157" i="2"/>
  <c r="I667" i="18"/>
  <c r="AA156" i="2"/>
  <c r="I666" i="18"/>
  <c r="AA153" i="2"/>
  <c r="I664" i="18"/>
  <c r="AA152" i="2"/>
  <c r="I663" i="18"/>
  <c r="AA151" i="2"/>
  <c r="I662" i="18"/>
  <c r="AA150" i="2"/>
  <c r="I661" i="18"/>
  <c r="AA144" i="2"/>
  <c r="I657" i="18"/>
  <c r="AA143" i="2"/>
  <c r="I656" i="18"/>
  <c r="AA136" i="2"/>
  <c r="I650" i="18"/>
  <c r="AA135" i="2"/>
  <c r="I649" i="18"/>
  <c r="M160" i="8"/>
  <c r="AA84" i="2"/>
  <c r="I551" i="18"/>
  <c r="AA78" i="2"/>
  <c r="I545" i="18"/>
  <c r="AA5" i="4"/>
  <c r="AA4" i="4" s="1"/>
  <c r="H101" i="8"/>
  <c r="AA64" i="4"/>
  <c r="M138" i="8" s="1"/>
  <c r="D73" i="13" s="1"/>
  <c r="M206" i="8"/>
  <c r="D55" i="17" s="1"/>
  <c r="AA45" i="6"/>
  <c r="AA40" i="6" s="1"/>
  <c r="AA30" i="6" s="1"/>
  <c r="Y40" i="6"/>
  <c r="K205" i="8" s="1"/>
  <c r="E54" i="17" s="1"/>
  <c r="Y82" i="4"/>
  <c r="AA83" i="4"/>
  <c r="M144" i="8" s="1"/>
  <c r="D84" i="13" s="1"/>
  <c r="Y140" i="4"/>
  <c r="K155" i="8" s="1"/>
  <c r="E106" i="13" s="1"/>
  <c r="I93" i="18"/>
  <c r="K115" i="8"/>
  <c r="E66" i="12" s="1"/>
  <c r="AA83" i="3"/>
  <c r="AA73" i="3" s="1"/>
  <c r="I190" i="18"/>
  <c r="AA71" i="3"/>
  <c r="AA68" i="3" s="1"/>
  <c r="M111" i="8" s="1"/>
  <c r="I179" i="18"/>
  <c r="AA129" i="2"/>
  <c r="I645" i="18"/>
  <c r="K206" i="8"/>
  <c r="E55" i="17" s="1"/>
  <c r="AA101" i="3"/>
  <c r="M117" i="8" s="1"/>
  <c r="D70" i="12" s="1"/>
  <c r="AA204" i="2"/>
  <c r="AA203" i="2" s="1"/>
  <c r="M91" i="8" s="1"/>
  <c r="D106" i="10" s="1"/>
  <c r="I698" i="18"/>
  <c r="AA202" i="2"/>
  <c r="I697" i="18"/>
  <c r="AA201" i="2"/>
  <c r="I696" i="18"/>
  <c r="J145" i="2"/>
  <c r="E76" i="8" s="1"/>
  <c r="M200" i="8"/>
  <c r="D43" i="17" s="1"/>
  <c r="AA17" i="5"/>
  <c r="M166" i="8" s="1"/>
  <c r="O7" i="15" s="1"/>
  <c r="D56" i="15" s="1"/>
  <c r="AA57" i="5"/>
  <c r="M178" i="8" s="1"/>
  <c r="O9" i="15" s="1"/>
  <c r="D74" i="15" s="1"/>
  <c r="M167" i="8"/>
  <c r="D57" i="15" s="1"/>
  <c r="K176" i="8"/>
  <c r="K175" i="8" s="1"/>
  <c r="Y48" i="5"/>
  <c r="M192" i="8"/>
  <c r="D96" i="15" s="1"/>
  <c r="AA78" i="5"/>
  <c r="M177" i="8"/>
  <c r="D70" i="15" s="1"/>
  <c r="X4" i="4"/>
  <c r="AA97" i="4"/>
  <c r="M147" i="8" s="1"/>
  <c r="P12" i="13" s="1"/>
  <c r="D95" i="13" s="1"/>
  <c r="M148" i="8"/>
  <c r="AA33" i="4"/>
  <c r="M129" i="8" s="1"/>
  <c r="D56" i="13" s="1"/>
  <c r="K154" i="8"/>
  <c r="E105" i="13" s="1"/>
  <c r="AA136" i="4"/>
  <c r="AA91" i="4"/>
  <c r="Y64" i="3"/>
  <c r="K109" i="8" s="1"/>
  <c r="E56" i="12" s="1"/>
  <c r="W31" i="3"/>
  <c r="W28" i="3" s="1"/>
  <c r="AA65" i="3"/>
  <c r="AA40" i="3"/>
  <c r="M103" i="8" s="1"/>
  <c r="D47" i="12" s="1"/>
  <c r="AA43" i="3"/>
  <c r="M104" i="8" s="1"/>
  <c r="D48" i="12" s="1"/>
  <c r="AA86" i="3"/>
  <c r="M113" i="8" s="1"/>
  <c r="D62" i="12" s="1"/>
  <c r="K97" i="8"/>
  <c r="E39" i="12" s="1"/>
  <c r="AA125" i="3"/>
  <c r="AA96" i="3"/>
  <c r="M115" i="8" s="1"/>
  <c r="D66" i="12" s="1"/>
  <c r="AA117" i="3"/>
  <c r="K102" i="8"/>
  <c r="E46" i="12" s="1"/>
  <c r="Y33" i="3"/>
  <c r="AA184" i="2"/>
  <c r="M86" i="8" s="1"/>
  <c r="D98" i="10" s="1"/>
  <c r="AA170" i="2"/>
  <c r="M82" i="8" s="1"/>
  <c r="D94" i="10" s="1"/>
  <c r="AA187" i="2"/>
  <c r="M87" i="8" s="1"/>
  <c r="D99" i="10" s="1"/>
  <c r="AA107" i="2"/>
  <c r="AA173" i="2"/>
  <c r="M83" i="8" s="1"/>
  <c r="D95" i="10" s="1"/>
  <c r="J3" i="6"/>
  <c r="E198" i="8" s="1"/>
  <c r="E9" i="7" s="1"/>
  <c r="W4" i="5"/>
  <c r="H4" i="5" s="1"/>
  <c r="K152" i="8"/>
  <c r="E99" i="13" s="1"/>
  <c r="I203" i="8"/>
  <c r="D64" i="17" s="1"/>
  <c r="I199" i="8"/>
  <c r="D63" i="17" s="1"/>
  <c r="I162" i="8"/>
  <c r="D110" i="15" s="1"/>
  <c r="I166" i="8"/>
  <c r="D111" i="15" s="1"/>
  <c r="I191" i="8"/>
  <c r="D115" i="15" s="1"/>
  <c r="W4" i="4"/>
  <c r="H4" i="4" s="1"/>
  <c r="J56" i="2"/>
  <c r="E58" i="8" s="1"/>
  <c r="J101" i="2"/>
  <c r="E66" i="8" s="1"/>
  <c r="U57" i="2"/>
  <c r="W57" i="2" s="1"/>
  <c r="J73" i="2"/>
  <c r="E61" i="8" s="1"/>
  <c r="U203" i="2"/>
  <c r="I91" i="8" s="1"/>
  <c r="U88" i="2"/>
  <c r="W88" i="2" s="1"/>
  <c r="U161" i="2"/>
  <c r="W161" i="2" s="1"/>
  <c r="W160" i="2" s="1"/>
  <c r="L145" i="2"/>
  <c r="H76" i="8" s="1"/>
  <c r="J140" i="2"/>
  <c r="E75" i="8" s="1"/>
  <c r="Y203" i="2"/>
  <c r="K91" i="8" s="1"/>
  <c r="E106" i="10" s="1"/>
  <c r="Z4" i="4"/>
  <c r="Z100" i="4"/>
  <c r="Z97" i="4" s="1"/>
  <c r="I124" i="8"/>
  <c r="D121" i="13" s="1"/>
  <c r="E147" i="8"/>
  <c r="X82" i="4"/>
  <c r="U184" i="2"/>
  <c r="I86" i="8" s="1"/>
  <c r="U98" i="2"/>
  <c r="W98" i="2" s="1"/>
  <c r="W136" i="2"/>
  <c r="W193" i="2"/>
  <c r="W198" i="2"/>
  <c r="U69" i="2"/>
  <c r="W69" i="2" s="1"/>
  <c r="U84" i="2"/>
  <c r="W84" i="2" s="1"/>
  <c r="J126" i="2"/>
  <c r="E72" i="8" s="1"/>
  <c r="E68" i="8" s="1"/>
  <c r="W135" i="2"/>
  <c r="U158" i="2"/>
  <c r="W158" i="2" s="1"/>
  <c r="U193" i="2"/>
  <c r="I89" i="8" s="1"/>
  <c r="U182" i="2"/>
  <c r="I85" i="8" s="1"/>
  <c r="W96" i="3"/>
  <c r="U5" i="3"/>
  <c r="I94" i="8" s="1"/>
  <c r="Y28" i="3"/>
  <c r="K100" i="8" s="1"/>
  <c r="E42" i="12" s="1"/>
  <c r="W147" i="2"/>
  <c r="U152" i="2"/>
  <c r="W152" i="2" s="1"/>
  <c r="D69" i="15"/>
  <c r="Y77" i="2"/>
  <c r="K62" i="8" s="1"/>
  <c r="E52" i="10" s="1"/>
  <c r="AA81" i="2"/>
  <c r="L43" i="2"/>
  <c r="H55" i="8" s="1"/>
  <c r="Y49" i="2"/>
  <c r="K56" i="8" s="1"/>
  <c r="E46" i="10" s="1"/>
  <c r="AA50" i="2"/>
  <c r="W53" i="2"/>
  <c r="Y118" i="2"/>
  <c r="U138" i="2"/>
  <c r="W138" i="2" s="1"/>
  <c r="S147" i="2"/>
  <c r="Y147" i="2" s="1"/>
  <c r="U82" i="4"/>
  <c r="I146" i="8"/>
  <c r="I143" i="8" s="1"/>
  <c r="D125" i="13" s="1"/>
  <c r="X135" i="4"/>
  <c r="U97" i="4"/>
  <c r="X97" i="4"/>
  <c r="AA194" i="2"/>
  <c r="AA193" i="2" s="1"/>
  <c r="I130" i="8"/>
  <c r="D123" i="13" s="1"/>
  <c r="U4" i="5"/>
  <c r="U78" i="2"/>
  <c r="W78" i="2" s="1"/>
  <c r="I127" i="8"/>
  <c r="D122" i="13" s="1"/>
  <c r="D75" i="15"/>
  <c r="U34" i="3"/>
  <c r="I102" i="8" s="1"/>
  <c r="I153" i="8"/>
  <c r="D127" i="13" s="1"/>
  <c r="I184" i="8"/>
  <c r="D114" i="15" s="1"/>
  <c r="AA89" i="2"/>
  <c r="S89" i="2"/>
  <c r="E75" i="15"/>
  <c r="I136" i="8"/>
  <c r="D124" i="13" s="1"/>
  <c r="U30" i="6"/>
  <c r="D96" i="13"/>
  <c r="I178" i="8"/>
  <c r="D113" i="15" s="1"/>
  <c r="D59" i="15"/>
  <c r="U64" i="3"/>
  <c r="I109" i="8" s="1"/>
  <c r="U54" i="3"/>
  <c r="I107" i="8" s="1"/>
  <c r="I147" i="8"/>
  <c r="D126" i="13" s="1"/>
  <c r="W57" i="5"/>
  <c r="H57" i="5" s="1"/>
  <c r="D47" i="15"/>
  <c r="U24" i="3"/>
  <c r="I99" i="8" s="1"/>
  <c r="X26" i="4"/>
  <c r="W135" i="4"/>
  <c r="H135" i="4" s="1"/>
  <c r="AA142" i="4"/>
  <c r="AA140" i="4" s="1"/>
  <c r="U135" i="4"/>
  <c r="Z135" i="4"/>
  <c r="W97" i="4"/>
  <c r="H97" i="4" s="1"/>
  <c r="Z82" i="4"/>
  <c r="E110" i="8"/>
  <c r="J77" i="2"/>
  <c r="E62" i="8" s="1"/>
  <c r="Y129" i="3"/>
  <c r="U96" i="3"/>
  <c r="I115" i="8" s="1"/>
  <c r="Y73" i="3"/>
  <c r="K112" i="8" s="1"/>
  <c r="E64" i="12" s="1"/>
  <c r="Y68" i="3"/>
  <c r="L67" i="3"/>
  <c r="W55" i="3"/>
  <c r="W54" i="3" s="1"/>
  <c r="W22" i="3"/>
  <c r="W21" i="3" s="1"/>
  <c r="H96" i="8"/>
  <c r="U107" i="3"/>
  <c r="I118" i="8" s="1"/>
  <c r="E96" i="8"/>
  <c r="Y23" i="3"/>
  <c r="J15" i="3"/>
  <c r="W126" i="3"/>
  <c r="W125" i="3" s="1"/>
  <c r="U125" i="3"/>
  <c r="I121" i="8" s="1"/>
  <c r="H111" i="8"/>
  <c r="H110" i="8" s="1"/>
  <c r="H93" i="8"/>
  <c r="J124" i="3"/>
  <c r="W64" i="3"/>
  <c r="H105" i="8"/>
  <c r="H116" i="8"/>
  <c r="W101" i="3"/>
  <c r="W24" i="3"/>
  <c r="U187" i="2"/>
  <c r="I87" i="8" s="1"/>
  <c r="W188" i="2"/>
  <c r="W187" i="2" s="1"/>
  <c r="W185" i="2"/>
  <c r="W184" i="2" s="1"/>
  <c r="W177" i="2"/>
  <c r="W176" i="2" s="1"/>
  <c r="U176" i="2"/>
  <c r="I84" i="8" s="1"/>
  <c r="W174" i="2"/>
  <c r="W173" i="2" s="1"/>
  <c r="U173" i="2"/>
  <c r="I83" i="8" s="1"/>
  <c r="W171" i="2"/>
  <c r="W170" i="2" s="1"/>
  <c r="U170" i="2"/>
  <c r="I82" i="8" s="1"/>
  <c r="W167" i="2"/>
  <c r="W165" i="2" s="1"/>
  <c r="U165" i="2"/>
  <c r="Y165" i="2"/>
  <c r="AA166" i="2"/>
  <c r="AA165" i="2" s="1"/>
  <c r="L3" i="6"/>
  <c r="W127" i="2"/>
  <c r="Y124" i="2"/>
  <c r="K71" i="8" s="1"/>
  <c r="E75" i="10" s="1"/>
  <c r="AA125" i="2"/>
  <c r="Y120" i="2"/>
  <c r="AA121" i="2"/>
  <c r="AA120" i="2" s="1"/>
  <c r="S163" i="2"/>
  <c r="Y163" i="2" s="1"/>
  <c r="AA161" i="2"/>
  <c r="J160" i="2"/>
  <c r="E79" i="8" s="1"/>
  <c r="L160" i="2"/>
  <c r="H79" i="8" s="1"/>
  <c r="U90" i="2"/>
  <c r="W90" i="2" s="1"/>
  <c r="J85" i="2"/>
  <c r="E63" i="8" s="1"/>
  <c r="U89" i="2"/>
  <c r="W89" i="2" s="1"/>
  <c r="L85" i="2"/>
  <c r="H63" i="8" s="1"/>
  <c r="K163" i="8"/>
  <c r="W132" i="3"/>
  <c r="W129" i="3" s="1"/>
  <c r="U129" i="3"/>
  <c r="I122" i="8" s="1"/>
  <c r="K121" i="8"/>
  <c r="E79" i="12" s="1"/>
  <c r="Y115" i="2"/>
  <c r="J106" i="2"/>
  <c r="E67" i="8" s="1"/>
  <c r="L106" i="2"/>
  <c r="H67" i="8" s="1"/>
  <c r="L101" i="2"/>
  <c r="H66" i="8" s="1"/>
  <c r="S93" i="2"/>
  <c r="Y93" i="2" s="1"/>
  <c r="I616" i="18" s="1"/>
  <c r="U93" i="2"/>
  <c r="W93" i="2" s="1"/>
  <c r="J67" i="3"/>
  <c r="U73" i="3"/>
  <c r="I112" i="8" s="1"/>
  <c r="W68" i="3"/>
  <c r="U68" i="3"/>
  <c r="I111" i="8" s="1"/>
  <c r="U57" i="5"/>
  <c r="S159" i="2"/>
  <c r="U157" i="2"/>
  <c r="W157" i="2" s="1"/>
  <c r="L154" i="2"/>
  <c r="H78" i="8" s="1"/>
  <c r="U156" i="2"/>
  <c r="W156" i="2" s="1"/>
  <c r="J154" i="2"/>
  <c r="E78" i="8" s="1"/>
  <c r="U155" i="2"/>
  <c r="AA155" i="2"/>
  <c r="U153" i="2"/>
  <c r="W153" i="2" s="1"/>
  <c r="L148" i="2"/>
  <c r="H77" i="8" s="1"/>
  <c r="J148" i="2"/>
  <c r="E77" i="8" s="1"/>
  <c r="AA149" i="2"/>
  <c r="Y148" i="2"/>
  <c r="K77" i="8" s="1"/>
  <c r="E85" i="10" s="1"/>
  <c r="U149" i="2"/>
  <c r="W149" i="2" s="1"/>
  <c r="U150" i="2"/>
  <c r="W150" i="2" s="1"/>
  <c r="W151" i="2"/>
  <c r="W144" i="2"/>
  <c r="U143" i="2"/>
  <c r="W143" i="2" s="1"/>
  <c r="L140" i="2"/>
  <c r="H75" i="8" s="1"/>
  <c r="AA141" i="2"/>
  <c r="W141" i="2"/>
  <c r="J131" i="2"/>
  <c r="L131" i="2"/>
  <c r="H74" i="8" s="1"/>
  <c r="AA132" i="2"/>
  <c r="U132" i="2"/>
  <c r="U91" i="3"/>
  <c r="I114" i="8" s="1"/>
  <c r="W92" i="3"/>
  <c r="W91" i="3" s="1"/>
  <c r="K117" i="8"/>
  <c r="W107" i="3"/>
  <c r="E94" i="8"/>
  <c r="E93" i="8" s="1"/>
  <c r="J4" i="3"/>
  <c r="U86" i="3"/>
  <c r="I113" i="8" s="1"/>
  <c r="W87" i="3"/>
  <c r="W86" i="3" s="1"/>
  <c r="W73" i="3"/>
  <c r="Y11" i="3"/>
  <c r="K95" i="8" s="1"/>
  <c r="E35" i="12" s="1"/>
  <c r="AA14" i="3"/>
  <c r="AA6" i="3"/>
  <c r="U43" i="3"/>
  <c r="W41" i="3"/>
  <c r="W40" i="3" s="1"/>
  <c r="U77" i="5"/>
  <c r="W118" i="3"/>
  <c r="W117" i="3" s="1"/>
  <c r="U117" i="3"/>
  <c r="I119" i="8" s="1"/>
  <c r="E116" i="8"/>
  <c r="U101" i="3"/>
  <c r="I117" i="8" s="1"/>
  <c r="L100" i="3"/>
  <c r="J100" i="3"/>
  <c r="L45" i="3"/>
  <c r="W60" i="3"/>
  <c r="W59" i="3" s="1"/>
  <c r="U59" i="3"/>
  <c r="I108" i="8" s="1"/>
  <c r="U198" i="2"/>
  <c r="I90" i="8" s="1"/>
  <c r="W30" i="6"/>
  <c r="H30" i="6" s="1"/>
  <c r="W4" i="6"/>
  <c r="H4" i="6" s="1"/>
  <c r="U4" i="6"/>
  <c r="Y73" i="2"/>
  <c r="K61" i="8" s="1"/>
  <c r="E51" i="10" s="1"/>
  <c r="U75" i="2"/>
  <c r="W75" i="2" s="1"/>
  <c r="L73" i="2"/>
  <c r="H61" i="8" s="1"/>
  <c r="U71" i="2"/>
  <c r="W71" i="2" s="1"/>
  <c r="U72" i="2"/>
  <c r="W72" i="2" s="1"/>
  <c r="U70" i="2"/>
  <c r="W70" i="2" s="1"/>
  <c r="J68" i="2"/>
  <c r="E60" i="8" s="1"/>
  <c r="L68" i="2"/>
  <c r="H60" i="8" s="1"/>
  <c r="U65" i="2"/>
  <c r="W65" i="2" s="1"/>
  <c r="U64" i="2"/>
  <c r="W64" i="2" s="1"/>
  <c r="J60" i="2"/>
  <c r="E59" i="8" s="1"/>
  <c r="L60" i="2"/>
  <c r="H59" i="8" s="1"/>
  <c r="L56" i="2"/>
  <c r="H58" i="8" s="1"/>
  <c r="L52" i="2"/>
  <c r="H57" i="8" s="1"/>
  <c r="L49" i="2"/>
  <c r="H56" i="8" s="1"/>
  <c r="U49" i="2"/>
  <c r="I56" i="8" s="1"/>
  <c r="U45" i="2"/>
  <c r="W45" i="2" s="1"/>
  <c r="W26" i="4"/>
  <c r="H26" i="4" s="1"/>
  <c r="U26" i="4"/>
  <c r="L126" i="2"/>
  <c r="H72" i="8" s="1"/>
  <c r="H68" i="8" s="1"/>
  <c r="W17" i="5"/>
  <c r="H17" i="5" s="1"/>
  <c r="U17" i="5"/>
  <c r="J45" i="3"/>
  <c r="E105" i="8"/>
  <c r="W47" i="3"/>
  <c r="W46" i="3" s="1"/>
  <c r="U46" i="3"/>
  <c r="I106" i="8" s="1"/>
  <c r="W34" i="3"/>
  <c r="L33" i="3"/>
  <c r="E102" i="8"/>
  <c r="E101" i="8" s="1"/>
  <c r="L15" i="3"/>
  <c r="W17" i="3"/>
  <c r="W16" i="3" s="1"/>
  <c r="U16" i="3"/>
  <c r="I97" i="8" s="1"/>
  <c r="L4" i="3"/>
  <c r="W5" i="3"/>
  <c r="U109" i="5"/>
  <c r="W109" i="5"/>
  <c r="H109" i="5" s="1"/>
  <c r="W48" i="5"/>
  <c r="H48" i="5" s="1"/>
  <c r="U48" i="5"/>
  <c r="K144" i="8"/>
  <c r="U60" i="4"/>
  <c r="W60" i="4"/>
  <c r="H60" i="4" s="1"/>
  <c r="U37" i="4"/>
  <c r="W37" i="4"/>
  <c r="H37" i="4" s="1"/>
  <c r="U4" i="4"/>
  <c r="L124" i="3"/>
  <c r="W82" i="4"/>
  <c r="H82" i="4" s="1"/>
  <c r="W12" i="3"/>
  <c r="W11" i="3" s="1"/>
  <c r="U11" i="3"/>
  <c r="I95" i="8" s="1"/>
  <c r="Y85" i="2"/>
  <c r="U99" i="2"/>
  <c r="W99" i="2" s="1"/>
  <c r="W58" i="2"/>
  <c r="W46" i="2"/>
  <c r="W123" i="2"/>
  <c r="W122" i="2" s="1"/>
  <c r="J43" i="2"/>
  <c r="E55" i="8" s="1"/>
  <c r="U47" i="2"/>
  <c r="W47" i="2" s="1"/>
  <c r="J49" i="2"/>
  <c r="E56" i="8" s="1"/>
  <c r="J52" i="2"/>
  <c r="E57" i="8" s="1"/>
  <c r="U66" i="2"/>
  <c r="W66" i="2" s="1"/>
  <c r="U74" i="2"/>
  <c r="S96" i="2"/>
  <c r="Y96" i="2" s="1"/>
  <c r="U121" i="2"/>
  <c r="U54" i="2"/>
  <c r="W54" i="2" s="1"/>
  <c r="U94" i="2"/>
  <c r="W94" i="2" s="1"/>
  <c r="L77" i="2"/>
  <c r="H62" i="8" s="1"/>
  <c r="U86" i="2"/>
  <c r="U114" i="2"/>
  <c r="W114" i="2" s="1"/>
  <c r="U129" i="2"/>
  <c r="W129" i="2" s="1"/>
  <c r="U125" i="2"/>
  <c r="U67" i="2"/>
  <c r="W67" i="2" s="1"/>
  <c r="U76" i="2"/>
  <c r="W76" i="2" s="1"/>
  <c r="U81" i="2"/>
  <c r="W81" i="2" s="1"/>
  <c r="U87" i="2"/>
  <c r="W87" i="2" s="1"/>
  <c r="U97" i="2"/>
  <c r="W97" i="2" s="1"/>
  <c r="U118" i="2"/>
  <c r="W118" i="2" s="1"/>
  <c r="U128" i="2"/>
  <c r="W128" i="2" s="1"/>
  <c r="S127" i="2"/>
  <c r="Y127" i="2" s="1"/>
  <c r="S123" i="2"/>
  <c r="Y123" i="2" s="1"/>
  <c r="I641" i="18" s="1"/>
  <c r="U115" i="2"/>
  <c r="W115" i="2" s="1"/>
  <c r="S109" i="2"/>
  <c r="S117" i="2"/>
  <c r="S108" i="2"/>
  <c r="Y108" i="2" s="1"/>
  <c r="S116" i="2"/>
  <c r="U102" i="2"/>
  <c r="S103" i="2"/>
  <c r="Y103" i="2" s="1"/>
  <c r="I625" i="18" s="1"/>
  <c r="U104" i="2"/>
  <c r="W104" i="2" s="1"/>
  <c r="W61" i="2"/>
  <c r="S61" i="2"/>
  <c r="Y61" i="2" s="1"/>
  <c r="S62" i="2"/>
  <c r="Y62" i="2" s="1"/>
  <c r="U63" i="2"/>
  <c r="W63" i="2" s="1"/>
  <c r="Y56" i="2"/>
  <c r="K58" i="8" s="1"/>
  <c r="E48" i="10" s="1"/>
  <c r="W59" i="2"/>
  <c r="S55" i="2"/>
  <c r="Y55" i="2" s="1"/>
  <c r="I593" i="18" s="1"/>
  <c r="W44" i="2"/>
  <c r="S44" i="2"/>
  <c r="Y44" i="2" s="1"/>
  <c r="I586" i="18" s="1"/>
  <c r="Y39" i="2"/>
  <c r="K54" i="8" s="1"/>
  <c r="E44" i="10" s="1"/>
  <c r="U41" i="2"/>
  <c r="W41" i="2" s="1"/>
  <c r="W50" i="2"/>
  <c r="W49" i="2" s="1"/>
  <c r="Z49" i="2"/>
  <c r="L42" i="2"/>
  <c r="L41" i="2"/>
  <c r="L40" i="2"/>
  <c r="J42" i="2"/>
  <c r="J41" i="2"/>
  <c r="J40" i="2"/>
  <c r="K40" i="2"/>
  <c r="K41" i="2"/>
  <c r="K42" i="2"/>
  <c r="Y38" i="2"/>
  <c r="Y37" i="2"/>
  <c r="Y36" i="2"/>
  <c r="Y35" i="2"/>
  <c r="U38" i="2"/>
  <c r="W38" i="2" s="1"/>
  <c r="U37" i="2"/>
  <c r="W37" i="2" s="1"/>
  <c r="U36" i="2"/>
  <c r="W36" i="2" s="1"/>
  <c r="U35" i="2"/>
  <c r="L38" i="2"/>
  <c r="L37" i="2"/>
  <c r="L36" i="2"/>
  <c r="L35" i="2"/>
  <c r="J38" i="2"/>
  <c r="J37" i="2"/>
  <c r="J36" i="2"/>
  <c r="J35" i="2"/>
  <c r="R33" i="2"/>
  <c r="S33" i="2" s="1"/>
  <c r="Y33" i="2" s="1"/>
  <c r="R32" i="2"/>
  <c r="S32" i="2" s="1"/>
  <c r="Y32" i="2" s="1"/>
  <c r="R31" i="2"/>
  <c r="S31" i="2" s="1"/>
  <c r="Y31" i="2" s="1"/>
  <c r="R30" i="2"/>
  <c r="S30" i="2" s="1"/>
  <c r="Y30" i="2" s="1"/>
  <c r="I575" i="18" s="1"/>
  <c r="L33" i="2"/>
  <c r="L32" i="2"/>
  <c r="L31" i="2"/>
  <c r="L30" i="2"/>
  <c r="J33" i="2"/>
  <c r="J32" i="2"/>
  <c r="J31" i="2"/>
  <c r="J30" i="2"/>
  <c r="R28" i="2"/>
  <c r="S28" i="2" s="1"/>
  <c r="Y28" i="2" s="1"/>
  <c r="R27" i="2"/>
  <c r="S27" i="2" s="1"/>
  <c r="Y27" i="2" s="1"/>
  <c r="R26" i="2"/>
  <c r="S26" i="2" s="1"/>
  <c r="Y26" i="2" s="1"/>
  <c r="R25" i="2"/>
  <c r="S25" i="2" s="1"/>
  <c r="Y25" i="2" s="1"/>
  <c r="R24" i="2"/>
  <c r="S24" i="2" s="1"/>
  <c r="Y24" i="2" s="1"/>
  <c r="R23" i="2"/>
  <c r="S23" i="2" s="1"/>
  <c r="Y23" i="2" s="1"/>
  <c r="R22" i="2"/>
  <c r="S22" i="2" s="1"/>
  <c r="Y22" i="2" s="1"/>
  <c r="L28" i="2"/>
  <c r="L27" i="2"/>
  <c r="L26" i="2"/>
  <c r="L25" i="2"/>
  <c r="L24" i="2"/>
  <c r="L23" i="2"/>
  <c r="L22" i="2"/>
  <c r="J28" i="2"/>
  <c r="J27" i="2"/>
  <c r="J26" i="2"/>
  <c r="J25" i="2"/>
  <c r="J24" i="2"/>
  <c r="J23" i="2"/>
  <c r="J22" i="2"/>
  <c r="R16" i="2"/>
  <c r="R20" i="2"/>
  <c r="U20" i="2" s="1"/>
  <c r="W20" i="2" s="1"/>
  <c r="R19" i="2"/>
  <c r="S19" i="2" s="1"/>
  <c r="Y19" i="2" s="1"/>
  <c r="R17" i="2"/>
  <c r="R14" i="2"/>
  <c r="S14" i="2" s="1"/>
  <c r="Y14" i="2" s="1"/>
  <c r="L16" i="2"/>
  <c r="L20" i="2"/>
  <c r="L19" i="2"/>
  <c r="L18" i="2"/>
  <c r="J20" i="2"/>
  <c r="J19" i="2"/>
  <c r="J18" i="2"/>
  <c r="J16" i="2"/>
  <c r="T13" i="2"/>
  <c r="L14" i="2"/>
  <c r="L13" i="2"/>
  <c r="R13" i="2"/>
  <c r="S13" i="2" s="1"/>
  <c r="Y13" i="2" s="1"/>
  <c r="J14" i="2"/>
  <c r="J13" i="2"/>
  <c r="L6" i="2"/>
  <c r="L9" i="2"/>
  <c r="L10" i="2"/>
  <c r="L11" i="2"/>
  <c r="L7" i="2"/>
  <c r="K7" i="2"/>
  <c r="J6" i="2"/>
  <c r="I7" i="2"/>
  <c r="I6" i="1"/>
  <c r="J7" i="2"/>
  <c r="J10" i="2"/>
  <c r="J8" i="2"/>
  <c r="J9" i="2"/>
  <c r="J11" i="2"/>
  <c r="X7" i="2"/>
  <c r="T7" i="2"/>
  <c r="I605" i="18" l="1"/>
  <c r="AA70" i="2"/>
  <c r="I655" i="18"/>
  <c r="AA142" i="2"/>
  <c r="AA140" i="2" s="1"/>
  <c r="M75" i="8" s="1"/>
  <c r="D83" i="10" s="1"/>
  <c r="AA4" i="6"/>
  <c r="AA3" i="6" s="1"/>
  <c r="Y68" i="2"/>
  <c r="K60" i="8" s="1"/>
  <c r="E50" i="10" s="1"/>
  <c r="I604" i="18"/>
  <c r="AA69" i="2"/>
  <c r="AA97" i="2"/>
  <c r="AA137" i="2"/>
  <c r="I651" i="18"/>
  <c r="Y131" i="2"/>
  <c r="K74" i="8" s="1"/>
  <c r="AA139" i="2"/>
  <c r="I653" i="18"/>
  <c r="AA146" i="2"/>
  <c r="I658" i="18"/>
  <c r="AA134" i="2"/>
  <c r="I648" i="18"/>
  <c r="I590" i="18"/>
  <c r="W145" i="2"/>
  <c r="I624" i="18"/>
  <c r="AA102" i="2"/>
  <c r="Y26" i="4"/>
  <c r="K127" i="8"/>
  <c r="E7" i="13" s="1"/>
  <c r="K125" i="8"/>
  <c r="K124" i="8" s="1"/>
  <c r="E6" i="13" s="1"/>
  <c r="AA64" i="3"/>
  <c r="M109" i="8" s="1"/>
  <c r="D56" i="12" s="1"/>
  <c r="AA28" i="3"/>
  <c r="M100" i="8" s="1"/>
  <c r="D42" i="12" s="1"/>
  <c r="AA39" i="2"/>
  <c r="M54" i="8" s="1"/>
  <c r="D44" i="10" s="1"/>
  <c r="Y159" i="2"/>
  <c r="AA159" i="2" s="1"/>
  <c r="AA154" i="2" s="1"/>
  <c r="AA56" i="2"/>
  <c r="M58" i="8" s="1"/>
  <c r="D48" i="10" s="1"/>
  <c r="AA73" i="2"/>
  <c r="M61" i="8" s="1"/>
  <c r="D51" i="10" s="1"/>
  <c r="AA32" i="2"/>
  <c r="I577" i="18"/>
  <c r="AA24" i="2"/>
  <c r="I570" i="18"/>
  <c r="AA28" i="2"/>
  <c r="I574" i="18"/>
  <c r="AA23" i="2"/>
  <c r="I569" i="18"/>
  <c r="AA22" i="2"/>
  <c r="I568" i="18"/>
  <c r="AA31" i="2"/>
  <c r="I576" i="18"/>
  <c r="AA100" i="3"/>
  <c r="M116" i="8" s="1"/>
  <c r="O11" i="12" s="1"/>
  <c r="D69" i="12" s="1"/>
  <c r="Y67" i="3"/>
  <c r="AA5" i="3"/>
  <c r="M94" i="8" s="1"/>
  <c r="AA77" i="5"/>
  <c r="M184" i="8" s="1"/>
  <c r="O10" i="15" s="1"/>
  <c r="D86" i="15" s="1"/>
  <c r="AA163" i="2"/>
  <c r="I554" i="18"/>
  <c r="Y21" i="3"/>
  <c r="K98" i="8" s="1"/>
  <c r="E40" i="12" s="1"/>
  <c r="I210" i="18"/>
  <c r="AA85" i="2"/>
  <c r="M63" i="8" s="1"/>
  <c r="D53" i="10" s="1"/>
  <c r="K63" i="8"/>
  <c r="E53" i="10" s="1"/>
  <c r="AA118" i="2"/>
  <c r="I639" i="18"/>
  <c r="AA115" i="2"/>
  <c r="I636" i="18"/>
  <c r="AA108" i="2"/>
  <c r="I629" i="18"/>
  <c r="AA96" i="2"/>
  <c r="I619" i="18"/>
  <c r="M125" i="8"/>
  <c r="D48" i="13" s="1"/>
  <c r="AA62" i="2"/>
  <c r="I598" i="18"/>
  <c r="AA61" i="2"/>
  <c r="I597" i="18"/>
  <c r="AA38" i="2"/>
  <c r="I582" i="18"/>
  <c r="AA37" i="2"/>
  <c r="I581" i="18"/>
  <c r="AA36" i="2"/>
  <c r="I580" i="18"/>
  <c r="AA35" i="2"/>
  <c r="I579" i="18"/>
  <c r="AA33" i="2"/>
  <c r="I578" i="18"/>
  <c r="AA27" i="2"/>
  <c r="I573" i="18"/>
  <c r="AA26" i="2"/>
  <c r="I572" i="18"/>
  <c r="AA25" i="2"/>
  <c r="I571" i="18"/>
  <c r="AA19" i="2"/>
  <c r="I566" i="18"/>
  <c r="AA14" i="2"/>
  <c r="I562" i="18"/>
  <c r="AA13" i="2"/>
  <c r="I561" i="18"/>
  <c r="AA147" i="2"/>
  <c r="I659" i="18"/>
  <c r="AA82" i="4"/>
  <c r="M143" i="8" s="1"/>
  <c r="P11" i="13" s="1"/>
  <c r="D83" i="13" s="1"/>
  <c r="Y135" i="4"/>
  <c r="M205" i="8"/>
  <c r="D54" i="17" s="1"/>
  <c r="M203" i="8"/>
  <c r="M7" i="17" s="1"/>
  <c r="D52" i="17" s="1"/>
  <c r="Y126" i="2"/>
  <c r="K72" i="8" s="1"/>
  <c r="E76" i="10" s="1"/>
  <c r="I643" i="18"/>
  <c r="M185" i="8"/>
  <c r="D87" i="15" s="1"/>
  <c r="M163" i="8"/>
  <c r="D48" i="15" s="1"/>
  <c r="K162" i="8"/>
  <c r="E6" i="15" s="1"/>
  <c r="E48" i="15"/>
  <c r="E69" i="15"/>
  <c r="K147" i="8"/>
  <c r="E11" i="13" s="1"/>
  <c r="M145" i="8"/>
  <c r="D85" i="13" s="1"/>
  <c r="AA135" i="4"/>
  <c r="M153" i="8" s="1"/>
  <c r="K153" i="8"/>
  <c r="E104" i="13" s="1"/>
  <c r="M124" i="8"/>
  <c r="P7" i="13" s="1"/>
  <c r="D47" i="13" s="1"/>
  <c r="AA26" i="4"/>
  <c r="M127" i="8" s="1"/>
  <c r="P8" i="13" s="1"/>
  <c r="D55" i="13" s="1"/>
  <c r="M154" i="8"/>
  <c r="D105" i="13" s="1"/>
  <c r="AA124" i="3"/>
  <c r="M120" i="8" s="1"/>
  <c r="O12" i="12" s="1"/>
  <c r="D78" i="12" s="1"/>
  <c r="M119" i="8"/>
  <c r="D72" i="12" s="1"/>
  <c r="M121" i="8"/>
  <c r="D79" i="12" s="1"/>
  <c r="Y4" i="3"/>
  <c r="AA11" i="3"/>
  <c r="K122" i="8"/>
  <c r="E80" i="12" s="1"/>
  <c r="Y124" i="3"/>
  <c r="K101" i="8"/>
  <c r="E45" i="12" s="1"/>
  <c r="K111" i="8"/>
  <c r="E63" i="12" s="1"/>
  <c r="AA67" i="3"/>
  <c r="M110" i="8" s="1"/>
  <c r="O10" i="12" s="1"/>
  <c r="D61" i="12" s="1"/>
  <c r="M112" i="8"/>
  <c r="D64" i="12" s="1"/>
  <c r="AA33" i="3"/>
  <c r="M101" i="8" s="1"/>
  <c r="O8" i="12" s="1"/>
  <c r="D45" i="12" s="1"/>
  <c r="AA160" i="2"/>
  <c r="M79" i="8" s="1"/>
  <c r="Y160" i="2"/>
  <c r="K79" i="8" s="1"/>
  <c r="AA77" i="2"/>
  <c r="M62" i="8" s="1"/>
  <c r="D52" i="10" s="1"/>
  <c r="L119" i="2"/>
  <c r="AA93" i="2"/>
  <c r="K69" i="8"/>
  <c r="E73" i="10" s="1"/>
  <c r="AA148" i="2"/>
  <c r="M77" i="8" s="1"/>
  <c r="D85" i="10" s="1"/>
  <c r="AA124" i="2"/>
  <c r="M71" i="8" s="1"/>
  <c r="D75" i="10" s="1"/>
  <c r="AA49" i="2"/>
  <c r="M56" i="8" s="1"/>
  <c r="D46" i="10" s="1"/>
  <c r="U3" i="6"/>
  <c r="I198" i="8" s="1"/>
  <c r="M9" i="7" s="1"/>
  <c r="U160" i="2"/>
  <c r="I79" i="8" s="1"/>
  <c r="D80" i="12"/>
  <c r="I93" i="8"/>
  <c r="D89" i="12" s="1"/>
  <c r="W192" i="2"/>
  <c r="H192" i="2" s="1"/>
  <c r="J119" i="2"/>
  <c r="L29" i="2"/>
  <c r="H52" i="8" s="1"/>
  <c r="J34" i="2"/>
  <c r="E53" i="8" s="1"/>
  <c r="U34" i="2"/>
  <c r="I53" i="8" s="1"/>
  <c r="W126" i="2"/>
  <c r="Y145" i="2"/>
  <c r="K76" i="8" s="1"/>
  <c r="E84" i="10" s="1"/>
  <c r="W148" i="2"/>
  <c r="J12" i="2"/>
  <c r="E49" i="8" s="1"/>
  <c r="U56" i="2"/>
  <c r="I58" i="8" s="1"/>
  <c r="I88" i="8"/>
  <c r="D119" i="10" s="1"/>
  <c r="Y43" i="2"/>
  <c r="K55" i="8" s="1"/>
  <c r="E45" i="10" s="1"/>
  <c r="AA44" i="2"/>
  <c r="S17" i="2"/>
  <c r="W17" i="2"/>
  <c r="K143" i="8"/>
  <c r="E84" i="13"/>
  <c r="I96" i="8"/>
  <c r="D90" i="12" s="1"/>
  <c r="U40" i="3"/>
  <c r="I103" i="8" s="1"/>
  <c r="I104" i="8"/>
  <c r="I105" i="8"/>
  <c r="D92" i="12" s="1"/>
  <c r="S18" i="2"/>
  <c r="Y18" i="2" s="1"/>
  <c r="W18" i="2"/>
  <c r="Y29" i="2"/>
  <c r="K52" i="8" s="1"/>
  <c r="E42" i="10" s="1"/>
  <c r="AA30" i="2"/>
  <c r="U39" i="2"/>
  <c r="I54" i="8" s="1"/>
  <c r="E54" i="12"/>
  <c r="E70" i="12"/>
  <c r="U43" i="2"/>
  <c r="I55" i="8" s="1"/>
  <c r="D54" i="12"/>
  <c r="I120" i="8"/>
  <c r="D95" i="12" s="1"/>
  <c r="D63" i="12"/>
  <c r="E8" i="15"/>
  <c r="E68" i="15"/>
  <c r="AA23" i="3"/>
  <c r="Y52" i="2"/>
  <c r="K57" i="8" s="1"/>
  <c r="E47" i="10" s="1"/>
  <c r="AA55" i="2"/>
  <c r="H73" i="8"/>
  <c r="E74" i="8"/>
  <c r="E73" i="8" s="1"/>
  <c r="J130" i="2"/>
  <c r="H198" i="8"/>
  <c r="P9" i="7" s="1"/>
  <c r="U164" i="2"/>
  <c r="I81" i="8"/>
  <c r="I80" i="8" s="1"/>
  <c r="D120" i="10" s="1"/>
  <c r="Y117" i="2"/>
  <c r="I116" i="8"/>
  <c r="D94" i="12" s="1"/>
  <c r="I110" i="8"/>
  <c r="D93" i="12" s="1"/>
  <c r="D71" i="12"/>
  <c r="M89" i="8"/>
  <c r="D104" i="10" s="1"/>
  <c r="U3" i="5"/>
  <c r="I161" i="8" s="1"/>
  <c r="M155" i="8"/>
  <c r="U77" i="2"/>
  <c r="I62" i="8" s="1"/>
  <c r="U124" i="3"/>
  <c r="W124" i="3"/>
  <c r="H124" i="3" s="1"/>
  <c r="W33" i="3"/>
  <c r="H33" i="3" s="1"/>
  <c r="W164" i="2"/>
  <c r="H164" i="2" s="1"/>
  <c r="M81" i="8"/>
  <c r="K81" i="8"/>
  <c r="U126" i="2"/>
  <c r="I72" i="8" s="1"/>
  <c r="AA127" i="2"/>
  <c r="Y122" i="2"/>
  <c r="AA123" i="2"/>
  <c r="M69" i="8"/>
  <c r="D73" i="10" s="1"/>
  <c r="L3" i="3"/>
  <c r="H92" i="8" s="1"/>
  <c r="P6" i="7" s="1"/>
  <c r="Y116" i="2"/>
  <c r="U106" i="2"/>
  <c r="I67" i="8" s="1"/>
  <c r="AA103" i="2"/>
  <c r="U154" i="2"/>
  <c r="I78" i="8" s="1"/>
  <c r="W155" i="2"/>
  <c r="W154" i="2" s="1"/>
  <c r="U148" i="2"/>
  <c r="W140" i="2"/>
  <c r="U140" i="2"/>
  <c r="I75" i="8" s="1"/>
  <c r="L130" i="2"/>
  <c r="W132" i="2"/>
  <c r="W131" i="2" s="1"/>
  <c r="U131" i="2"/>
  <c r="I74" i="8" s="1"/>
  <c r="U67" i="3"/>
  <c r="W67" i="3"/>
  <c r="H67" i="3" s="1"/>
  <c r="K94" i="8"/>
  <c r="W100" i="3"/>
  <c r="H100" i="3" s="1"/>
  <c r="U100" i="3"/>
  <c r="J3" i="3"/>
  <c r="E92" i="8" s="1"/>
  <c r="E6" i="7" s="1"/>
  <c r="U192" i="2"/>
  <c r="W3" i="6"/>
  <c r="W68" i="2"/>
  <c r="U68" i="2"/>
  <c r="I60" i="8" s="1"/>
  <c r="U60" i="2"/>
  <c r="I59" i="8" s="1"/>
  <c r="W52" i="2"/>
  <c r="U52" i="2"/>
  <c r="I57" i="8" s="1"/>
  <c r="W40" i="2"/>
  <c r="W39" i="2" s="1"/>
  <c r="J29" i="2"/>
  <c r="E52" i="8" s="1"/>
  <c r="W24" i="2"/>
  <c r="U22" i="2"/>
  <c r="W22" i="2" s="1"/>
  <c r="U19" i="2"/>
  <c r="W19" i="2" s="1"/>
  <c r="W14" i="2"/>
  <c r="U13" i="2"/>
  <c r="U12" i="2" s="1"/>
  <c r="I49" i="8" s="1"/>
  <c r="J5" i="2"/>
  <c r="E48" i="8" s="1"/>
  <c r="W3" i="5"/>
  <c r="U3" i="4"/>
  <c r="I123" i="8" s="1"/>
  <c r="W3" i="4"/>
  <c r="U45" i="3"/>
  <c r="W45" i="3"/>
  <c r="H45" i="3" s="1"/>
  <c r="U15" i="3"/>
  <c r="W15" i="3"/>
  <c r="H15" i="3" s="1"/>
  <c r="U4" i="3"/>
  <c r="W4" i="3"/>
  <c r="H4" i="3" s="1"/>
  <c r="U120" i="2"/>
  <c r="I69" i="8" s="1"/>
  <c r="W121" i="2"/>
  <c r="W120" i="2" s="1"/>
  <c r="S20" i="2"/>
  <c r="Y20" i="2" s="1"/>
  <c r="L39" i="2"/>
  <c r="H54" i="8" s="1"/>
  <c r="W86" i="2"/>
  <c r="W85" i="2" s="1"/>
  <c r="U85" i="2"/>
  <c r="I63" i="8" s="1"/>
  <c r="U30" i="2"/>
  <c r="W77" i="2"/>
  <c r="Y21" i="2"/>
  <c r="K51" i="8" s="1"/>
  <c r="E41" i="10" s="1"/>
  <c r="U31" i="2"/>
  <c r="W31" i="2" s="1"/>
  <c r="Y34" i="2"/>
  <c r="K53" i="8" s="1"/>
  <c r="E43" i="10" s="1"/>
  <c r="W74" i="2"/>
  <c r="W73" i="2" s="1"/>
  <c r="U73" i="2"/>
  <c r="I61" i="8" s="1"/>
  <c r="J21" i="2"/>
  <c r="E51" i="8" s="1"/>
  <c r="L21" i="2"/>
  <c r="H51" i="8" s="1"/>
  <c r="W125" i="2"/>
  <c r="W124" i="2" s="1"/>
  <c r="U124" i="2"/>
  <c r="I71" i="8" s="1"/>
  <c r="W60" i="2"/>
  <c r="U25" i="2"/>
  <c r="W25" i="2" s="1"/>
  <c r="J39" i="2"/>
  <c r="E54" i="8" s="1"/>
  <c r="L12" i="2"/>
  <c r="H49" i="8" s="1"/>
  <c r="W56" i="2"/>
  <c r="U92" i="2"/>
  <c r="I65" i="8" s="1"/>
  <c r="W92" i="2"/>
  <c r="W106" i="2"/>
  <c r="W102" i="2"/>
  <c r="W101" i="2" s="1"/>
  <c r="U101" i="2"/>
  <c r="I66" i="8" s="1"/>
  <c r="W16" i="2"/>
  <c r="U23" i="2"/>
  <c r="W23" i="2" s="1"/>
  <c r="S16" i="2"/>
  <c r="K39" i="2"/>
  <c r="V7" i="2"/>
  <c r="U27" i="2"/>
  <c r="W27" i="2" s="1"/>
  <c r="W33" i="2"/>
  <c r="W43" i="2"/>
  <c r="L5" i="2"/>
  <c r="H48" i="8" s="1"/>
  <c r="U26" i="2"/>
  <c r="W26" i="2" s="1"/>
  <c r="W32" i="2"/>
  <c r="U28" i="2"/>
  <c r="W28" i="2" s="1"/>
  <c r="L34" i="2"/>
  <c r="H53" i="8" s="1"/>
  <c r="W35" i="2"/>
  <c r="W34" i="2" s="1"/>
  <c r="Y12" i="2"/>
  <c r="K49" i="8" s="1"/>
  <c r="E39" i="10" s="1"/>
  <c r="R7" i="2"/>
  <c r="R8" i="2"/>
  <c r="U8" i="2" s="1"/>
  <c r="W8" i="2" s="1"/>
  <c r="R9" i="2"/>
  <c r="U9" i="2" s="1"/>
  <c r="W9" i="2" s="1"/>
  <c r="R10" i="2"/>
  <c r="U10" i="2" s="1"/>
  <c r="W10" i="2" s="1"/>
  <c r="R11" i="2"/>
  <c r="R6" i="1"/>
  <c r="S6" i="1" s="1"/>
  <c r="R7" i="1"/>
  <c r="R8" i="1"/>
  <c r="G100" i="2"/>
  <c r="T175" i="1"/>
  <c r="R211" i="1"/>
  <c r="S211" i="1" s="1"/>
  <c r="Y211" i="1" s="1"/>
  <c r="R210" i="1"/>
  <c r="S210" i="1" s="1"/>
  <c r="Y210" i="1" s="1"/>
  <c r="R208" i="1"/>
  <c r="R207" i="1"/>
  <c r="S207" i="1" s="1"/>
  <c r="Y207" i="1" s="1"/>
  <c r="I496" i="18" s="1"/>
  <c r="R205" i="1"/>
  <c r="S205" i="1" s="1"/>
  <c r="Y205" i="1" s="1"/>
  <c r="R204" i="1"/>
  <c r="S204" i="1" s="1"/>
  <c r="Y204" i="1" s="1"/>
  <c r="I494" i="18" s="1"/>
  <c r="R202" i="1"/>
  <c r="S202" i="1" s="1"/>
  <c r="Y202" i="1" s="1"/>
  <c r="R201" i="1"/>
  <c r="S201" i="1" s="1"/>
  <c r="Y201" i="1" s="1"/>
  <c r="R200" i="1"/>
  <c r="S200" i="1" s="1"/>
  <c r="Y200" i="1" s="1"/>
  <c r="R198" i="1"/>
  <c r="S198" i="1" s="1"/>
  <c r="Y198" i="1" s="1"/>
  <c r="R197" i="1"/>
  <c r="U197" i="1" s="1"/>
  <c r="W197" i="1" s="1"/>
  <c r="R196" i="1"/>
  <c r="S196" i="1" s="1"/>
  <c r="Y196" i="1" s="1"/>
  <c r="I488" i="18" s="1"/>
  <c r="R194" i="1"/>
  <c r="S194" i="1" s="1"/>
  <c r="R193" i="1"/>
  <c r="U193" i="1" s="1"/>
  <c r="R191" i="1"/>
  <c r="U191" i="1" s="1"/>
  <c r="W191" i="1" s="1"/>
  <c r="R190" i="1"/>
  <c r="S190" i="1" s="1"/>
  <c r="Y190" i="1" s="1"/>
  <c r="R189" i="1"/>
  <c r="U189" i="1" s="1"/>
  <c r="W189" i="1" s="1"/>
  <c r="R188" i="1"/>
  <c r="S188" i="1" s="1"/>
  <c r="Y188" i="1" s="1"/>
  <c r="R187" i="1"/>
  <c r="S187" i="1" s="1"/>
  <c r="R185" i="1"/>
  <c r="S185" i="1" s="1"/>
  <c r="Y185" i="1" s="1"/>
  <c r="I380" i="18" s="1"/>
  <c r="R183" i="1"/>
  <c r="U183" i="1" s="1"/>
  <c r="W183" i="1" s="1"/>
  <c r="R182" i="1"/>
  <c r="S182" i="1" s="1"/>
  <c r="Y182" i="1" s="1"/>
  <c r="R181" i="1"/>
  <c r="U181" i="1" s="1"/>
  <c r="W181" i="1" s="1"/>
  <c r="Y180" i="1"/>
  <c r="R178" i="1"/>
  <c r="S178" i="1" s="1"/>
  <c r="Y178" i="1" s="1"/>
  <c r="R177" i="1"/>
  <c r="U177" i="1" s="1"/>
  <c r="W177" i="1" s="1"/>
  <c r="R176" i="1"/>
  <c r="S176" i="1" s="1"/>
  <c r="Y176" i="1" s="1"/>
  <c r="R174" i="1"/>
  <c r="S174" i="1" s="1"/>
  <c r="Y174" i="1" s="1"/>
  <c r="R173" i="1"/>
  <c r="S173" i="1" s="1"/>
  <c r="Y173" i="1" s="1"/>
  <c r="H45" i="8"/>
  <c r="L208" i="1"/>
  <c r="L207" i="1"/>
  <c r="J208" i="1"/>
  <c r="J207" i="1"/>
  <c r="L204" i="1"/>
  <c r="L205" i="1"/>
  <c r="J205" i="1"/>
  <c r="J204" i="1"/>
  <c r="L202" i="1"/>
  <c r="L201" i="1"/>
  <c r="L200" i="1"/>
  <c r="J202" i="1"/>
  <c r="J201" i="1"/>
  <c r="J200" i="1"/>
  <c r="L198" i="1"/>
  <c r="L197" i="1"/>
  <c r="L196" i="1"/>
  <c r="J198" i="1"/>
  <c r="J197" i="1"/>
  <c r="J196" i="1"/>
  <c r="J194" i="1"/>
  <c r="L194" i="1"/>
  <c r="L193" i="1"/>
  <c r="J193" i="1"/>
  <c r="L189" i="1"/>
  <c r="L191" i="1"/>
  <c r="L190" i="1"/>
  <c r="L188" i="1"/>
  <c r="L187" i="1"/>
  <c r="J191" i="1"/>
  <c r="J190" i="1"/>
  <c r="J189" i="1"/>
  <c r="J188" i="1"/>
  <c r="J187" i="1"/>
  <c r="L185" i="1"/>
  <c r="L184" i="1" s="1"/>
  <c r="H38" i="8" s="1"/>
  <c r="J185" i="1"/>
  <c r="J184" i="1" s="1"/>
  <c r="E38" i="8" s="1"/>
  <c r="L183" i="1"/>
  <c r="L182" i="1"/>
  <c r="L181" i="1"/>
  <c r="L180" i="1"/>
  <c r="J183" i="1"/>
  <c r="J182" i="1"/>
  <c r="J181" i="1"/>
  <c r="J180" i="1"/>
  <c r="L178" i="1"/>
  <c r="L177" i="1"/>
  <c r="L176" i="1"/>
  <c r="J178" i="1"/>
  <c r="J176" i="1"/>
  <c r="L174" i="1"/>
  <c r="L173" i="1"/>
  <c r="J177" i="1"/>
  <c r="J174" i="1"/>
  <c r="J173" i="1"/>
  <c r="Z166" i="1"/>
  <c r="L170" i="1"/>
  <c r="L169" i="1"/>
  <c r="L168" i="1"/>
  <c r="L167" i="1"/>
  <c r="K168" i="1"/>
  <c r="K169" i="1"/>
  <c r="K170" i="1"/>
  <c r="K167" i="1"/>
  <c r="J170" i="1"/>
  <c r="J169" i="1"/>
  <c r="J168" i="1"/>
  <c r="J167" i="1"/>
  <c r="L165" i="1"/>
  <c r="L164" i="1"/>
  <c r="L163" i="1"/>
  <c r="L162" i="1"/>
  <c r="L161" i="1"/>
  <c r="J164" i="1"/>
  <c r="J162" i="1"/>
  <c r="J163" i="1"/>
  <c r="J165" i="1"/>
  <c r="J161" i="1"/>
  <c r="L156" i="1"/>
  <c r="L154" i="1"/>
  <c r="L159" i="1"/>
  <c r="L157" i="1"/>
  <c r="L155" i="1"/>
  <c r="J159" i="1"/>
  <c r="J157" i="1"/>
  <c r="J156" i="1"/>
  <c r="J155" i="1"/>
  <c r="L152" i="1"/>
  <c r="L150" i="1"/>
  <c r="J152" i="1"/>
  <c r="J150" i="1"/>
  <c r="L147" i="1"/>
  <c r="L146" i="1"/>
  <c r="L145" i="1"/>
  <c r="L144" i="1"/>
  <c r="J147" i="1"/>
  <c r="J146" i="1"/>
  <c r="J145" i="1"/>
  <c r="J144" i="1"/>
  <c r="L142" i="1"/>
  <c r="L141" i="1"/>
  <c r="J142" i="1"/>
  <c r="J141" i="1"/>
  <c r="L139" i="1"/>
  <c r="L137" i="1"/>
  <c r="L135" i="1"/>
  <c r="L133" i="1"/>
  <c r="L132" i="1"/>
  <c r="J139" i="1"/>
  <c r="J137" i="1"/>
  <c r="J135" i="1"/>
  <c r="J133" i="1"/>
  <c r="J132" i="1"/>
  <c r="R165" i="1"/>
  <c r="U165" i="1" s="1"/>
  <c r="W165" i="1" s="1"/>
  <c r="R168" i="1"/>
  <c r="R170" i="1"/>
  <c r="R169" i="1"/>
  <c r="S169" i="1" s="1"/>
  <c r="Y169" i="1" s="1"/>
  <c r="R167" i="1"/>
  <c r="S167" i="1" s="1"/>
  <c r="Y167" i="1" s="1"/>
  <c r="R164" i="1"/>
  <c r="R163" i="1"/>
  <c r="S163" i="1" s="1"/>
  <c r="Y163" i="1" s="1"/>
  <c r="R162" i="1"/>
  <c r="S162" i="1" s="1"/>
  <c r="Y162" i="1" s="1"/>
  <c r="R161" i="1"/>
  <c r="S161" i="1" s="1"/>
  <c r="Y161" i="1" s="1"/>
  <c r="R159" i="1"/>
  <c r="S159" i="1" s="1"/>
  <c r="Y159" i="1" s="1"/>
  <c r="R158" i="1"/>
  <c r="S158" i="1" s="1"/>
  <c r="AA158" i="1" s="1"/>
  <c r="R157" i="1"/>
  <c r="S157" i="1" s="1"/>
  <c r="Y157" i="1" s="1"/>
  <c r="I464" i="18" s="1"/>
  <c r="R156" i="1"/>
  <c r="S156" i="1" s="1"/>
  <c r="Y156" i="1" s="1"/>
  <c r="R155" i="1"/>
  <c r="S155" i="1" s="1"/>
  <c r="Y155" i="1" s="1"/>
  <c r="R154" i="1"/>
  <c r="S154" i="1" s="1"/>
  <c r="Y154" i="1" s="1"/>
  <c r="R152" i="1"/>
  <c r="S152" i="1" s="1"/>
  <c r="Y152" i="1" s="1"/>
  <c r="R151" i="1"/>
  <c r="R150" i="1"/>
  <c r="S150" i="1" s="1"/>
  <c r="Y150" i="1" s="1"/>
  <c r="R149" i="1"/>
  <c r="R147" i="1"/>
  <c r="S147" i="1" s="1"/>
  <c r="Y147" i="1" s="1"/>
  <c r="R146" i="1"/>
  <c r="S146" i="1" s="1"/>
  <c r="Y146" i="1" s="1"/>
  <c r="R145" i="1"/>
  <c r="S145" i="1" s="1"/>
  <c r="Y145" i="1" s="1"/>
  <c r="R144" i="1"/>
  <c r="S144" i="1" s="1"/>
  <c r="Y144" i="1" s="1"/>
  <c r="R142" i="1"/>
  <c r="S142" i="1" s="1"/>
  <c r="Y142" i="1" s="1"/>
  <c r="R141" i="1"/>
  <c r="S141" i="1" s="1"/>
  <c r="Y141" i="1" s="1"/>
  <c r="R139" i="1"/>
  <c r="S139" i="1" s="1"/>
  <c r="Y139" i="1" s="1"/>
  <c r="R137" i="1"/>
  <c r="S137" i="1" s="1"/>
  <c r="Y137" i="1" s="1"/>
  <c r="R136" i="1"/>
  <c r="S136" i="1" s="1"/>
  <c r="R135" i="1"/>
  <c r="S135" i="1" s="1"/>
  <c r="Y135" i="1" s="1"/>
  <c r="R134" i="1"/>
  <c r="R133" i="1"/>
  <c r="R132" i="1"/>
  <c r="S132" i="1" s="1"/>
  <c r="R129" i="1"/>
  <c r="R128" i="1"/>
  <c r="U127" i="1"/>
  <c r="W127" i="1" s="1"/>
  <c r="R126" i="1"/>
  <c r="V124" i="1"/>
  <c r="J127" i="1"/>
  <c r="R124" i="1"/>
  <c r="S124" i="1" s="1"/>
  <c r="Y124" i="1" s="1"/>
  <c r="R123" i="1"/>
  <c r="S123" i="1" s="1"/>
  <c r="Y123" i="1" s="1"/>
  <c r="R122" i="1"/>
  <c r="S122" i="1" s="1"/>
  <c r="Y122" i="1" s="1"/>
  <c r="R121" i="1"/>
  <c r="S121" i="1" s="1"/>
  <c r="R120" i="1"/>
  <c r="S120" i="1" s="1"/>
  <c r="Y120" i="1" s="1"/>
  <c r="R119" i="1"/>
  <c r="S119" i="1" s="1"/>
  <c r="Y119" i="1" s="1"/>
  <c r="R118" i="1"/>
  <c r="S118" i="1" s="1"/>
  <c r="Y118" i="1" s="1"/>
  <c r="R117" i="1"/>
  <c r="S117" i="1" s="1"/>
  <c r="Y117" i="1" s="1"/>
  <c r="R116" i="1"/>
  <c r="S116" i="1" s="1"/>
  <c r="Y116" i="1" s="1"/>
  <c r="R115" i="1"/>
  <c r="S115" i="1" s="1"/>
  <c r="Y115" i="1" s="1"/>
  <c r="R114" i="1"/>
  <c r="S114" i="1" s="1"/>
  <c r="Y114" i="1" s="1"/>
  <c r="R113" i="1"/>
  <c r="S113" i="1" s="1"/>
  <c r="Y113" i="1" s="1"/>
  <c r="R112" i="1"/>
  <c r="S112" i="1" s="1"/>
  <c r="R111" i="1"/>
  <c r="R110" i="1"/>
  <c r="R109" i="1"/>
  <c r="S109" i="1" s="1"/>
  <c r="R108" i="1"/>
  <c r="S108" i="1" s="1"/>
  <c r="R107" i="1"/>
  <c r="S107" i="1" s="1"/>
  <c r="R106" i="1"/>
  <c r="S106" i="1" s="1"/>
  <c r="Y106" i="1" s="1"/>
  <c r="R104" i="1"/>
  <c r="U104" i="1" s="1"/>
  <c r="R103" i="1"/>
  <c r="S103" i="1" s="1"/>
  <c r="Y103" i="1" s="1"/>
  <c r="R101" i="1"/>
  <c r="S101" i="1" s="1"/>
  <c r="Y101" i="1" s="1"/>
  <c r="R100" i="1"/>
  <c r="U100" i="1" s="1"/>
  <c r="L120" i="1"/>
  <c r="L124" i="1"/>
  <c r="L123" i="1"/>
  <c r="L122" i="1"/>
  <c r="L119" i="1"/>
  <c r="L118" i="1"/>
  <c r="L117" i="1"/>
  <c r="L116" i="1"/>
  <c r="L115" i="1"/>
  <c r="L114" i="1"/>
  <c r="L113" i="1"/>
  <c r="L106" i="1"/>
  <c r="J113" i="1"/>
  <c r="J114" i="1"/>
  <c r="J115" i="1"/>
  <c r="J116" i="1"/>
  <c r="J117" i="1"/>
  <c r="J118" i="1"/>
  <c r="J119" i="1"/>
  <c r="J120" i="1"/>
  <c r="J122" i="1"/>
  <c r="J123" i="1"/>
  <c r="J124" i="1"/>
  <c r="J106" i="1"/>
  <c r="L103" i="1"/>
  <c r="L104" i="1"/>
  <c r="J104" i="1"/>
  <c r="J103" i="1"/>
  <c r="L101" i="1"/>
  <c r="J101" i="1"/>
  <c r="L100" i="1"/>
  <c r="J100" i="1"/>
  <c r="R94" i="1"/>
  <c r="R95" i="1"/>
  <c r="R96" i="1"/>
  <c r="U96" i="1" s="1"/>
  <c r="W96" i="1" s="1"/>
  <c r="R97" i="1"/>
  <c r="U97" i="1" s="1"/>
  <c r="W97" i="1" s="1"/>
  <c r="R98" i="1"/>
  <c r="U98" i="1" s="1"/>
  <c r="W98" i="1" s="1"/>
  <c r="S93" i="1"/>
  <c r="L94" i="1"/>
  <c r="L95" i="1"/>
  <c r="L96" i="1"/>
  <c r="L97" i="1"/>
  <c r="L98" i="1"/>
  <c r="L93" i="1"/>
  <c r="J94" i="1"/>
  <c r="J95" i="1"/>
  <c r="J96" i="1"/>
  <c r="J97" i="1"/>
  <c r="J98" i="1"/>
  <c r="J93" i="1"/>
  <c r="R89" i="1"/>
  <c r="U89" i="1" s="1"/>
  <c r="R90" i="1"/>
  <c r="U90" i="1" s="1"/>
  <c r="W90" i="1" s="1"/>
  <c r="R88" i="1"/>
  <c r="S88" i="1" s="1"/>
  <c r="L89" i="1"/>
  <c r="L90" i="1"/>
  <c r="J89" i="1"/>
  <c r="J90" i="1"/>
  <c r="L78" i="1"/>
  <c r="J81" i="1"/>
  <c r="J82" i="1"/>
  <c r="J83" i="1"/>
  <c r="J84" i="1"/>
  <c r="J85" i="1"/>
  <c r="J86" i="1"/>
  <c r="J78" i="1"/>
  <c r="J7" i="1"/>
  <c r="J67" i="1"/>
  <c r="J68" i="1"/>
  <c r="J70" i="1"/>
  <c r="J73" i="1"/>
  <c r="J74" i="1"/>
  <c r="J59" i="1"/>
  <c r="J60" i="1"/>
  <c r="J61" i="1"/>
  <c r="J56" i="1"/>
  <c r="R79" i="1"/>
  <c r="S79" i="1" s="1"/>
  <c r="R80" i="1"/>
  <c r="S80" i="1" s="1"/>
  <c r="R81" i="1"/>
  <c r="U81" i="1" s="1"/>
  <c r="W81" i="1" s="1"/>
  <c r="R82" i="1"/>
  <c r="U82" i="1" s="1"/>
  <c r="W82" i="1" s="1"/>
  <c r="R83" i="1"/>
  <c r="S83" i="1" s="1"/>
  <c r="Y83" i="1" s="1"/>
  <c r="R84" i="1"/>
  <c r="U84" i="1" s="1"/>
  <c r="W84" i="1" s="1"/>
  <c r="R85" i="1"/>
  <c r="S85" i="1" s="1"/>
  <c r="R86" i="1"/>
  <c r="U86" i="1" s="1"/>
  <c r="W86" i="1" s="1"/>
  <c r="R78" i="1"/>
  <c r="S78" i="1" s="1"/>
  <c r="Y78" i="1" s="1"/>
  <c r="L81" i="1"/>
  <c r="L82" i="1"/>
  <c r="L83" i="1"/>
  <c r="L84" i="1"/>
  <c r="L85" i="1"/>
  <c r="L86" i="1"/>
  <c r="AA131" i="2" l="1"/>
  <c r="AA68" i="2"/>
  <c r="M60" i="8" s="1"/>
  <c r="D50" i="10" s="1"/>
  <c r="M199" i="8"/>
  <c r="M6" i="17" s="1"/>
  <c r="D42" i="17" s="1"/>
  <c r="I482" i="18"/>
  <c r="AA188" i="1"/>
  <c r="I476" i="18"/>
  <c r="AA178" i="1"/>
  <c r="I493" i="18"/>
  <c r="AA202" i="1"/>
  <c r="I461" i="18"/>
  <c r="AA154" i="1"/>
  <c r="I466" i="18"/>
  <c r="AA159" i="1"/>
  <c r="I398" i="18"/>
  <c r="AA78" i="1"/>
  <c r="E55" i="13"/>
  <c r="M74" i="8"/>
  <c r="D82" i="10" s="1"/>
  <c r="AA145" i="2"/>
  <c r="M76" i="8" s="1"/>
  <c r="D84" i="10" s="1"/>
  <c r="AA45" i="3"/>
  <c r="M105" i="8" s="1"/>
  <c r="O9" i="12" s="1"/>
  <c r="D53" i="12" s="1"/>
  <c r="E47" i="13"/>
  <c r="E48" i="13"/>
  <c r="AA4" i="3"/>
  <c r="M93" i="8" s="1"/>
  <c r="O6" i="12" s="1"/>
  <c r="D33" i="12" s="1"/>
  <c r="AA60" i="2"/>
  <c r="M59" i="8" s="1"/>
  <c r="D49" i="10" s="1"/>
  <c r="I669" i="18"/>
  <c r="Y154" i="2"/>
  <c r="K78" i="8" s="1"/>
  <c r="E86" i="10" s="1"/>
  <c r="Y15" i="3"/>
  <c r="I463" i="18"/>
  <c r="AA156" i="1"/>
  <c r="AA210" i="1"/>
  <c r="I498" i="18"/>
  <c r="S168" i="1"/>
  <c r="Y168" i="1" s="1"/>
  <c r="AA168" i="1" s="1"/>
  <c r="U168" i="1"/>
  <c r="W168" i="1" s="1"/>
  <c r="S151" i="1"/>
  <c r="U151" i="1"/>
  <c r="W151" i="1" s="1"/>
  <c r="I473" i="18"/>
  <c r="AA174" i="1"/>
  <c r="S208" i="1"/>
  <c r="Y208" i="1" s="1"/>
  <c r="S111" i="1"/>
  <c r="U111" i="1"/>
  <c r="W111" i="1" s="1"/>
  <c r="S170" i="1"/>
  <c r="Y170" i="1" s="1"/>
  <c r="I379" i="18" s="1"/>
  <c r="U170" i="1"/>
  <c r="W170" i="1" s="1"/>
  <c r="AA211" i="1"/>
  <c r="I499" i="18"/>
  <c r="AA21" i="2"/>
  <c r="M51" i="8" s="1"/>
  <c r="D41" i="10" s="1"/>
  <c r="AA12" i="2"/>
  <c r="M49" i="8" s="1"/>
  <c r="D39" i="10" s="1"/>
  <c r="I492" i="18"/>
  <c r="Y187" i="1"/>
  <c r="I472" i="18"/>
  <c r="Y172" i="1"/>
  <c r="AA167" i="1"/>
  <c r="I376" i="18"/>
  <c r="S164" i="1"/>
  <c r="Y164" i="1" s="1"/>
  <c r="AA163" i="1"/>
  <c r="I469" i="18"/>
  <c r="AA162" i="1"/>
  <c r="I468" i="18"/>
  <c r="S134" i="1"/>
  <c r="U134" i="1"/>
  <c r="W134" i="1" s="1"/>
  <c r="E46" i="15"/>
  <c r="AA117" i="2"/>
  <c r="I638" i="18"/>
  <c r="AA116" i="2"/>
  <c r="I637" i="18"/>
  <c r="AA34" i="2"/>
  <c r="M53" i="8" s="1"/>
  <c r="D43" i="10" s="1"/>
  <c r="AA18" i="2"/>
  <c r="I565" i="18"/>
  <c r="AA20" i="2"/>
  <c r="I567" i="18"/>
  <c r="M198" i="8"/>
  <c r="M5" i="17" s="1"/>
  <c r="AA124" i="1"/>
  <c r="I438" i="18"/>
  <c r="AA123" i="1"/>
  <c r="I437" i="18"/>
  <c r="AA122" i="1"/>
  <c r="I436" i="18"/>
  <c r="AA120" i="1"/>
  <c r="I434" i="18"/>
  <c r="AA119" i="1"/>
  <c r="I433" i="18"/>
  <c r="AA118" i="1"/>
  <c r="I432" i="18"/>
  <c r="AA117" i="1"/>
  <c r="I431" i="18"/>
  <c r="AA116" i="1"/>
  <c r="I430" i="18"/>
  <c r="AA115" i="1"/>
  <c r="I429" i="18"/>
  <c r="AA114" i="1"/>
  <c r="I428" i="18"/>
  <c r="AA113" i="1"/>
  <c r="I427" i="18"/>
  <c r="AA106" i="1"/>
  <c r="I420" i="18"/>
  <c r="AA103" i="1"/>
  <c r="AA102" i="1" s="1"/>
  <c r="M23" i="8" s="1"/>
  <c r="D63" i="11" s="1"/>
  <c r="I418" i="18"/>
  <c r="AA101" i="1"/>
  <c r="I417" i="18"/>
  <c r="AA155" i="1"/>
  <c r="I462" i="18"/>
  <c r="AA83" i="1"/>
  <c r="I403" i="18"/>
  <c r="AA205" i="1"/>
  <c r="I495" i="18"/>
  <c r="AA200" i="1"/>
  <c r="I491" i="18"/>
  <c r="AA198" i="1"/>
  <c r="I490" i="18"/>
  <c r="AA190" i="1"/>
  <c r="I484" i="18"/>
  <c r="AA180" i="1"/>
  <c r="I477" i="18"/>
  <c r="AA182" i="1"/>
  <c r="I479" i="18"/>
  <c r="Y119" i="2"/>
  <c r="AA169" i="1"/>
  <c r="I378" i="18"/>
  <c r="AA161" i="1"/>
  <c r="I467" i="18"/>
  <c r="AA152" i="1"/>
  <c r="I460" i="18"/>
  <c r="AA150" i="1"/>
  <c r="I458" i="18"/>
  <c r="AA147" i="1"/>
  <c r="I456" i="18"/>
  <c r="AA145" i="1"/>
  <c r="I454" i="18"/>
  <c r="AA144" i="1"/>
  <c r="I453" i="18"/>
  <c r="AA146" i="1"/>
  <c r="I455" i="18"/>
  <c r="AA142" i="1"/>
  <c r="I452" i="18"/>
  <c r="AA141" i="1"/>
  <c r="I451" i="18"/>
  <c r="AA139" i="1"/>
  <c r="I450" i="18"/>
  <c r="AA137" i="1"/>
  <c r="I448" i="18"/>
  <c r="AA135" i="1"/>
  <c r="I446" i="18"/>
  <c r="AA132" i="1"/>
  <c r="I443" i="18"/>
  <c r="E95" i="13"/>
  <c r="E12" i="13"/>
  <c r="K110" i="8"/>
  <c r="E8" i="12"/>
  <c r="K120" i="8"/>
  <c r="E12" i="12" s="1"/>
  <c r="AA21" i="3"/>
  <c r="AA15" i="3" s="1"/>
  <c r="M96" i="8" s="1"/>
  <c r="O7" i="12" s="1"/>
  <c r="D38" i="12" s="1"/>
  <c r="M95" i="8"/>
  <c r="D35" i="12" s="1"/>
  <c r="AA29" i="2"/>
  <c r="M52" i="8" s="1"/>
  <c r="D42" i="10" s="1"/>
  <c r="AA43" i="2"/>
  <c r="M55" i="8" s="1"/>
  <c r="D45" i="10" s="1"/>
  <c r="AA122" i="2"/>
  <c r="M70" i="8" s="1"/>
  <c r="D74" i="10" s="1"/>
  <c r="AA101" i="2"/>
  <c r="M66" i="8" s="1"/>
  <c r="D59" i="10" s="1"/>
  <c r="AA126" i="2"/>
  <c r="M72" i="8" s="1"/>
  <c r="D76" i="10" s="1"/>
  <c r="AA130" i="2"/>
  <c r="M73" i="8" s="1"/>
  <c r="O10" i="10" s="1"/>
  <c r="D81" i="10" s="1"/>
  <c r="M78" i="8"/>
  <c r="D86" i="10" s="1"/>
  <c r="AA52" i="2"/>
  <c r="M57" i="8" s="1"/>
  <c r="D47" i="10" s="1"/>
  <c r="D62" i="17"/>
  <c r="U33" i="3"/>
  <c r="U3" i="3" s="1"/>
  <c r="I92" i="8" s="1"/>
  <c r="J172" i="1"/>
  <c r="E35" i="8" s="1"/>
  <c r="J199" i="1"/>
  <c r="E42" i="8" s="1"/>
  <c r="L203" i="1"/>
  <c r="H43" i="8" s="1"/>
  <c r="I101" i="8"/>
  <c r="D91" i="12" s="1"/>
  <c r="E83" i="13"/>
  <c r="E10" i="13"/>
  <c r="S89" i="1"/>
  <c r="Y89" i="1" s="1"/>
  <c r="I408" i="18" s="1"/>
  <c r="W13" i="2"/>
  <c r="W12" i="2" s="1"/>
  <c r="K93" i="8"/>
  <c r="E34" i="12"/>
  <c r="P13" i="13"/>
  <c r="D104" i="13" s="1"/>
  <c r="D106" i="13"/>
  <c r="L199" i="1"/>
  <c r="H42" i="8" s="1"/>
  <c r="D109" i="15"/>
  <c r="M8" i="7"/>
  <c r="I68" i="8"/>
  <c r="D117" i="10" s="1"/>
  <c r="D120" i="13"/>
  <c r="M7" i="7"/>
  <c r="I77" i="8"/>
  <c r="U145" i="2"/>
  <c r="I76" i="8" s="1"/>
  <c r="D93" i="10"/>
  <c r="I64" i="8"/>
  <c r="D116" i="10" s="1"/>
  <c r="E93" i="10"/>
  <c r="U103" i="1"/>
  <c r="W103" i="1" s="1"/>
  <c r="D34" i="12"/>
  <c r="K73" i="8"/>
  <c r="E82" i="10"/>
  <c r="J195" i="1"/>
  <c r="E41" i="8" s="1"/>
  <c r="J175" i="1"/>
  <c r="E36" i="8" s="1"/>
  <c r="S149" i="1"/>
  <c r="Y149" i="1" s="1"/>
  <c r="U149" i="1"/>
  <c r="W149" i="1" s="1"/>
  <c r="W169" i="1"/>
  <c r="S90" i="1"/>
  <c r="Y90" i="1" s="1"/>
  <c r="L172" i="1"/>
  <c r="H35" i="8" s="1"/>
  <c r="U208" i="1"/>
  <c r="W208" i="1" s="1"/>
  <c r="K70" i="8"/>
  <c r="J125" i="1"/>
  <c r="E25" i="8" s="1"/>
  <c r="U207" i="1"/>
  <c r="W207" i="1" s="1"/>
  <c r="U205" i="1"/>
  <c r="W205" i="1" s="1"/>
  <c r="J203" i="1"/>
  <c r="E43" i="8" s="1"/>
  <c r="L195" i="1"/>
  <c r="H41" i="8" s="1"/>
  <c r="L192" i="1"/>
  <c r="H40" i="8" s="1"/>
  <c r="J186" i="1"/>
  <c r="E39" i="8" s="1"/>
  <c r="L175" i="1"/>
  <c r="H36" i="8" s="1"/>
  <c r="U173" i="1"/>
  <c r="W173" i="1" s="1"/>
  <c r="S129" i="1"/>
  <c r="J166" i="1"/>
  <c r="E33" i="8" s="1"/>
  <c r="U159" i="1"/>
  <c r="W159" i="1" s="1"/>
  <c r="S181" i="1"/>
  <c r="Y181" i="1" s="1"/>
  <c r="L179" i="1"/>
  <c r="H37" i="8" s="1"/>
  <c r="U180" i="1"/>
  <c r="W78" i="1"/>
  <c r="L125" i="1"/>
  <c r="H25" i="8" s="1"/>
  <c r="U162" i="1"/>
  <c r="W162" i="1" s="1"/>
  <c r="J192" i="1"/>
  <c r="E40" i="8" s="1"/>
  <c r="L206" i="1"/>
  <c r="H44" i="8" s="1"/>
  <c r="J87" i="1"/>
  <c r="E19" i="8" s="1"/>
  <c r="W120" i="1"/>
  <c r="U150" i="1"/>
  <c r="W150" i="1" s="1"/>
  <c r="J179" i="1"/>
  <c r="E37" i="8" s="1"/>
  <c r="U185" i="1"/>
  <c r="W185" i="1" s="1"/>
  <c r="W184" i="1" s="1"/>
  <c r="S84" i="1"/>
  <c r="Y84" i="1" s="1"/>
  <c r="U123" i="1"/>
  <c r="W123" i="1" s="1"/>
  <c r="U152" i="1"/>
  <c r="W152" i="1" s="1"/>
  <c r="U187" i="1"/>
  <c r="AA207" i="1"/>
  <c r="AA201" i="1"/>
  <c r="AA196" i="1"/>
  <c r="AA185" i="1"/>
  <c r="Y184" i="1"/>
  <c r="K38" i="8" s="1"/>
  <c r="E86" i="11" s="1"/>
  <c r="AA173" i="1"/>
  <c r="W193" i="1"/>
  <c r="AA204" i="1"/>
  <c r="AA203" i="1" s="1"/>
  <c r="Y203" i="1"/>
  <c r="K43" i="8" s="1"/>
  <c r="E91" i="11" s="1"/>
  <c r="S81" i="1"/>
  <c r="S96" i="1"/>
  <c r="Y96" i="1" s="1"/>
  <c r="S110" i="1"/>
  <c r="U110" i="1"/>
  <c r="W110" i="1" s="1"/>
  <c r="U108" i="1"/>
  <c r="W108" i="1" s="1"/>
  <c r="J140" i="1"/>
  <c r="E28" i="8" s="1"/>
  <c r="U161" i="1"/>
  <c r="W161" i="1" s="1"/>
  <c r="L186" i="1"/>
  <c r="H39" i="8" s="1"/>
  <c r="J206" i="1"/>
  <c r="E44" i="8" s="1"/>
  <c r="S191" i="1"/>
  <c r="Y191" i="1" s="1"/>
  <c r="U174" i="1"/>
  <c r="W174" i="1" s="1"/>
  <c r="U176" i="1"/>
  <c r="U200" i="1"/>
  <c r="J102" i="1"/>
  <c r="E23" i="8" s="1"/>
  <c r="K166" i="1"/>
  <c r="J99" i="1"/>
  <c r="E22" i="8" s="1"/>
  <c r="S183" i="1"/>
  <c r="Y183" i="1" s="1"/>
  <c r="S197" i="1"/>
  <c r="Y197" i="1" s="1"/>
  <c r="U182" i="1"/>
  <c r="W182" i="1" s="1"/>
  <c r="U190" i="1"/>
  <c r="W190" i="1" s="1"/>
  <c r="U194" i="1"/>
  <c r="W194" i="1" s="1"/>
  <c r="U107" i="1"/>
  <c r="W107" i="1" s="1"/>
  <c r="E45" i="8"/>
  <c r="S189" i="1"/>
  <c r="Y189" i="1" s="1"/>
  <c r="S177" i="1"/>
  <c r="Y177" i="1" s="1"/>
  <c r="Y175" i="1" s="1"/>
  <c r="U198" i="1"/>
  <c r="W198" i="1" s="1"/>
  <c r="U147" i="1"/>
  <c r="W147" i="1" s="1"/>
  <c r="U157" i="1"/>
  <c r="W157" i="1" s="1"/>
  <c r="U201" i="1"/>
  <c r="W201" i="1" s="1"/>
  <c r="Y209" i="1"/>
  <c r="K45" i="8" s="1"/>
  <c r="E93" i="11" s="1"/>
  <c r="S104" i="1"/>
  <c r="Y104" i="1" s="1"/>
  <c r="U116" i="1"/>
  <c r="W116" i="1" s="1"/>
  <c r="L140" i="1"/>
  <c r="H28" i="8" s="1"/>
  <c r="U156" i="1"/>
  <c r="W156" i="1" s="1"/>
  <c r="U163" i="1"/>
  <c r="W163" i="1" s="1"/>
  <c r="S193" i="1"/>
  <c r="Y193" i="1" s="1"/>
  <c r="I486" i="18" s="1"/>
  <c r="U178" i="1"/>
  <c r="W178" i="1" s="1"/>
  <c r="U202" i="1"/>
  <c r="W202" i="1" s="1"/>
  <c r="U94" i="1"/>
  <c r="W94" i="1" s="1"/>
  <c r="S94" i="1"/>
  <c r="Y94" i="1" s="1"/>
  <c r="U188" i="1"/>
  <c r="W188" i="1" s="1"/>
  <c r="U196" i="1"/>
  <c r="W130" i="2"/>
  <c r="H130" i="2" s="1"/>
  <c r="L160" i="1"/>
  <c r="H32" i="8" s="1"/>
  <c r="L166" i="1"/>
  <c r="H33" i="8" s="1"/>
  <c r="U167" i="1"/>
  <c r="S165" i="1"/>
  <c r="Y165" i="1" s="1"/>
  <c r="W164" i="1"/>
  <c r="J160" i="1"/>
  <c r="E32" i="8" s="1"/>
  <c r="J153" i="1"/>
  <c r="E31" i="8" s="1"/>
  <c r="L153" i="1"/>
  <c r="H31" i="8" s="1"/>
  <c r="U144" i="1"/>
  <c r="W144" i="1" s="1"/>
  <c r="U146" i="1"/>
  <c r="W146" i="1" s="1"/>
  <c r="Y143" i="1"/>
  <c r="K29" i="8" s="1"/>
  <c r="E73" i="11" s="1"/>
  <c r="U145" i="1"/>
  <c r="W145" i="1" s="1"/>
  <c r="J143" i="1"/>
  <c r="E29" i="8" s="1"/>
  <c r="L143" i="1"/>
  <c r="H29" i="8" s="1"/>
  <c r="Y140" i="1"/>
  <c r="K28" i="8" s="1"/>
  <c r="E72" i="11" s="1"/>
  <c r="U141" i="1"/>
  <c r="U142" i="1"/>
  <c r="W142" i="1" s="1"/>
  <c r="U135" i="1"/>
  <c r="W135" i="1" s="1"/>
  <c r="U139" i="1"/>
  <c r="W139" i="1" s="1"/>
  <c r="S133" i="1"/>
  <c r="W133" i="1"/>
  <c r="U137" i="1"/>
  <c r="W137" i="1" s="1"/>
  <c r="Y153" i="1"/>
  <c r="U155" i="1"/>
  <c r="W155" i="1" s="1"/>
  <c r="U154" i="1"/>
  <c r="L87" i="1"/>
  <c r="H19" i="8" s="1"/>
  <c r="W89" i="1"/>
  <c r="W87" i="1" s="1"/>
  <c r="U87" i="1"/>
  <c r="I19" i="8" s="1"/>
  <c r="S86" i="1"/>
  <c r="Y86" i="1" s="1"/>
  <c r="I406" i="18" s="1"/>
  <c r="U85" i="1"/>
  <c r="W85" i="1" s="1"/>
  <c r="U83" i="1"/>
  <c r="W83" i="1" s="1"/>
  <c r="S82" i="1"/>
  <c r="Y82" i="1" s="1"/>
  <c r="U79" i="1"/>
  <c r="W79" i="1" s="1"/>
  <c r="U29" i="2"/>
  <c r="I52" i="8" s="1"/>
  <c r="U21" i="2"/>
  <c r="I51" i="8" s="1"/>
  <c r="U15" i="2"/>
  <c r="I50" i="8" s="1"/>
  <c r="S8" i="2"/>
  <c r="Y8" i="2" s="1"/>
  <c r="W3" i="3"/>
  <c r="U124" i="1"/>
  <c r="W124" i="1" s="1"/>
  <c r="U122" i="1"/>
  <c r="W122" i="1" s="1"/>
  <c r="U121" i="1"/>
  <c r="W121" i="1" s="1"/>
  <c r="U119" i="1"/>
  <c r="W119" i="1" s="1"/>
  <c r="U118" i="1"/>
  <c r="W118" i="1" s="1"/>
  <c r="U115" i="1"/>
  <c r="W115" i="1" s="1"/>
  <c r="U117" i="1"/>
  <c r="W117" i="1" s="1"/>
  <c r="U114" i="1"/>
  <c r="W114" i="1" s="1"/>
  <c r="U113" i="1"/>
  <c r="W113" i="1" s="1"/>
  <c r="U112" i="1"/>
  <c r="W112" i="1" s="1"/>
  <c r="U109" i="1"/>
  <c r="W109" i="1" s="1"/>
  <c r="U106" i="1"/>
  <c r="W104" i="1"/>
  <c r="U101" i="1"/>
  <c r="W101" i="1" s="1"/>
  <c r="L102" i="1"/>
  <c r="H23" i="8" s="1"/>
  <c r="L99" i="1"/>
  <c r="H22" i="8" s="1"/>
  <c r="S95" i="1"/>
  <c r="S97" i="1"/>
  <c r="Y97" i="1" s="1"/>
  <c r="S98" i="1"/>
  <c r="Y98" i="1" s="1"/>
  <c r="I415" i="18" s="1"/>
  <c r="L92" i="1"/>
  <c r="H21" i="8" s="1"/>
  <c r="J92" i="1"/>
  <c r="S9" i="2"/>
  <c r="Y9" i="2" s="1"/>
  <c r="W30" i="2"/>
  <c r="W29" i="2" s="1"/>
  <c r="Y6" i="2"/>
  <c r="W91" i="2"/>
  <c r="H91" i="2" s="1"/>
  <c r="W119" i="2"/>
  <c r="H119" i="2" s="1"/>
  <c r="W21" i="2"/>
  <c r="U119" i="2"/>
  <c r="U91" i="2"/>
  <c r="S11" i="2"/>
  <c r="Y11" i="2" s="1"/>
  <c r="U11" i="2"/>
  <c r="W11" i="2" s="1"/>
  <c r="W6" i="2"/>
  <c r="S10" i="2"/>
  <c r="Y10" i="2" s="1"/>
  <c r="W15" i="2"/>
  <c r="S7" i="2"/>
  <c r="Y7" i="2" s="1"/>
  <c r="U7" i="2"/>
  <c r="U125" i="1"/>
  <c r="I25" i="8" s="1"/>
  <c r="W125" i="1"/>
  <c r="S126" i="1"/>
  <c r="S128" i="1"/>
  <c r="S127" i="1"/>
  <c r="W100" i="1"/>
  <c r="S100" i="1"/>
  <c r="Y100" i="1" s="1"/>
  <c r="I416" i="18" s="1"/>
  <c r="R71" i="1"/>
  <c r="R72" i="1"/>
  <c r="S72" i="1" s="1"/>
  <c r="R73" i="1"/>
  <c r="W73" i="1" s="1"/>
  <c r="S74" i="1"/>
  <c r="Y74" i="1" s="1"/>
  <c r="R75" i="1"/>
  <c r="S75" i="1" s="1"/>
  <c r="R76" i="1"/>
  <c r="S76" i="1" s="1"/>
  <c r="R65" i="1"/>
  <c r="R66" i="1"/>
  <c r="U66" i="1" s="1"/>
  <c r="R67" i="1"/>
  <c r="U67" i="1" s="1"/>
  <c r="W67" i="1" s="1"/>
  <c r="R68" i="1"/>
  <c r="U68" i="1" s="1"/>
  <c r="W68" i="1" s="1"/>
  <c r="R69" i="1"/>
  <c r="R70" i="1"/>
  <c r="S70" i="1" s="1"/>
  <c r="Y70" i="1" s="1"/>
  <c r="R59" i="1"/>
  <c r="U59" i="1" s="1"/>
  <c r="W59" i="1" s="1"/>
  <c r="R60" i="1"/>
  <c r="U60" i="1" s="1"/>
  <c r="W60" i="1" s="1"/>
  <c r="R61" i="1"/>
  <c r="U61" i="1" s="1"/>
  <c r="W61" i="1" s="1"/>
  <c r="R62" i="1"/>
  <c r="U62" i="1" s="1"/>
  <c r="W62" i="1" s="1"/>
  <c r="R63" i="1"/>
  <c r="S63" i="1" s="1"/>
  <c r="R64" i="1"/>
  <c r="S64" i="1" s="1"/>
  <c r="R54" i="1"/>
  <c r="U54" i="1" s="1"/>
  <c r="W54" i="1" s="1"/>
  <c r="R55" i="1"/>
  <c r="W55" i="1" s="1"/>
  <c r="R56" i="1"/>
  <c r="U56" i="1" s="1"/>
  <c r="W56" i="1" s="1"/>
  <c r="R53" i="1"/>
  <c r="S53" i="1" s="1"/>
  <c r="Y53" i="1" s="1"/>
  <c r="W49" i="1"/>
  <c r="S49" i="1"/>
  <c r="R50" i="1"/>
  <c r="S50" i="1" s="1"/>
  <c r="Y50" i="1" s="1"/>
  <c r="AA50" i="1" s="1"/>
  <c r="R51" i="1"/>
  <c r="W51" i="1" s="1"/>
  <c r="R46" i="1"/>
  <c r="U46" i="1" s="1"/>
  <c r="W46" i="1" s="1"/>
  <c r="R47" i="1"/>
  <c r="S47" i="1" s="1"/>
  <c r="Y47" i="1" s="1"/>
  <c r="AA47" i="1" s="1"/>
  <c r="R48" i="1"/>
  <c r="S48" i="1" s="1"/>
  <c r="Y48" i="1" s="1"/>
  <c r="R45" i="1"/>
  <c r="S45" i="1" s="1"/>
  <c r="L67" i="1"/>
  <c r="L68" i="1"/>
  <c r="L70" i="1"/>
  <c r="L72" i="1"/>
  <c r="L73" i="1"/>
  <c r="L74" i="1"/>
  <c r="L59" i="1"/>
  <c r="L60" i="1"/>
  <c r="L61" i="1"/>
  <c r="L53" i="1"/>
  <c r="L54" i="1"/>
  <c r="L55" i="1"/>
  <c r="L56" i="1"/>
  <c r="J54" i="1"/>
  <c r="J55" i="1"/>
  <c r="J53" i="1"/>
  <c r="L47" i="1"/>
  <c r="L46" i="1"/>
  <c r="L48" i="1"/>
  <c r="L49" i="1"/>
  <c r="L50" i="1"/>
  <c r="J46" i="1"/>
  <c r="J47" i="1"/>
  <c r="J48" i="1"/>
  <c r="J50" i="1"/>
  <c r="R41" i="1"/>
  <c r="U41" i="1" s="1"/>
  <c r="W41" i="1" s="1"/>
  <c r="R42" i="1"/>
  <c r="U42" i="1" s="1"/>
  <c r="W42" i="1" s="1"/>
  <c r="R43" i="1"/>
  <c r="S43" i="1" s="1"/>
  <c r="Y43" i="1" s="1"/>
  <c r="R40" i="1"/>
  <c r="S40" i="1" s="1"/>
  <c r="Y40" i="1" s="1"/>
  <c r="L41" i="1"/>
  <c r="L42" i="1"/>
  <c r="L43" i="1"/>
  <c r="L40" i="1"/>
  <c r="J41" i="1"/>
  <c r="J42" i="1"/>
  <c r="J43" i="1"/>
  <c r="J40" i="1"/>
  <c r="L38" i="1"/>
  <c r="L37" i="1"/>
  <c r="J38" i="1"/>
  <c r="J37" i="1"/>
  <c r="R38" i="1"/>
  <c r="S38" i="1" s="1"/>
  <c r="Y38" i="1" s="1"/>
  <c r="R37" i="1"/>
  <c r="U37" i="1" s="1"/>
  <c r="R34" i="1"/>
  <c r="S34" i="1" s="1"/>
  <c r="Y34" i="1" s="1"/>
  <c r="R35" i="1"/>
  <c r="S35" i="1" s="1"/>
  <c r="Y35" i="1" s="1"/>
  <c r="R33" i="1"/>
  <c r="U33" i="1" s="1"/>
  <c r="R27" i="1"/>
  <c r="S27" i="1" s="1"/>
  <c r="Y27" i="1" s="1"/>
  <c r="L34" i="1"/>
  <c r="L35" i="1"/>
  <c r="J34" i="1"/>
  <c r="J35" i="1"/>
  <c r="L33" i="1"/>
  <c r="J33" i="1"/>
  <c r="E10" i="12" l="1"/>
  <c r="E61" i="12"/>
  <c r="I533" i="18"/>
  <c r="AA48" i="1"/>
  <c r="AA140" i="1"/>
  <c r="M28" i="8" s="1"/>
  <c r="D72" i="11" s="1"/>
  <c r="AA209" i="1"/>
  <c r="I537" i="18"/>
  <c r="AA53" i="1"/>
  <c r="M45" i="8"/>
  <c r="D93" i="11" s="1"/>
  <c r="AA153" i="1"/>
  <c r="M31" i="8" s="1"/>
  <c r="D75" i="11" s="1"/>
  <c r="Y186" i="1"/>
  <c r="Y77" i="1"/>
  <c r="AA106" i="2"/>
  <c r="M67" i="8" s="1"/>
  <c r="D60" i="10" s="1"/>
  <c r="Y130" i="2"/>
  <c r="AA172" i="1"/>
  <c r="M35" i="8" s="1"/>
  <c r="D83" i="11" s="1"/>
  <c r="AA208" i="1"/>
  <c r="I497" i="18"/>
  <c r="Y206" i="1"/>
  <c r="K44" i="8" s="1"/>
  <c r="E92" i="11" s="1"/>
  <c r="Y166" i="1"/>
  <c r="K33" i="8" s="1"/>
  <c r="AA90" i="1"/>
  <c r="I409" i="18"/>
  <c r="I377" i="18"/>
  <c r="I535" i="18"/>
  <c r="U166" i="1"/>
  <c r="I33" i="8" s="1"/>
  <c r="AA170" i="1"/>
  <c r="AA166" i="1" s="1"/>
  <c r="M33" i="8" s="1"/>
  <c r="AA187" i="1"/>
  <c r="AA40" i="1"/>
  <c r="I526" i="18"/>
  <c r="M43" i="8"/>
  <c r="D91" i="11" s="1"/>
  <c r="AA199" i="1"/>
  <c r="M42" i="8" s="1"/>
  <c r="D90" i="11" s="1"/>
  <c r="I457" i="18"/>
  <c r="AA143" i="1"/>
  <c r="M29" i="8" s="1"/>
  <c r="D73" i="11" s="1"/>
  <c r="AA8" i="2"/>
  <c r="I557" i="18"/>
  <c r="I481" i="18"/>
  <c r="I474" i="18"/>
  <c r="AA176" i="1"/>
  <c r="R9" i="7"/>
  <c r="AA164" i="1"/>
  <c r="I470" i="18"/>
  <c r="AA11" i="2"/>
  <c r="I560" i="18"/>
  <c r="AA9" i="2"/>
  <c r="I558" i="18"/>
  <c r="AA10" i="2"/>
  <c r="I559" i="18"/>
  <c r="AA7" i="2"/>
  <c r="I556" i="18"/>
  <c r="AA6" i="2"/>
  <c r="I555" i="18"/>
  <c r="AA43" i="1"/>
  <c r="I529" i="18"/>
  <c r="Y102" i="1"/>
  <c r="K23" i="8" s="1"/>
  <c r="E63" i="11" s="1"/>
  <c r="I419" i="18"/>
  <c r="AA97" i="1"/>
  <c r="I414" i="18"/>
  <c r="AA96" i="1"/>
  <c r="I413" i="18"/>
  <c r="AA94" i="1"/>
  <c r="I411" i="18"/>
  <c r="K31" i="8"/>
  <c r="E75" i="11" s="1"/>
  <c r="AA84" i="1"/>
  <c r="I404" i="18"/>
  <c r="AA82" i="1"/>
  <c r="I402" i="18"/>
  <c r="AA75" i="1"/>
  <c r="I395" i="18"/>
  <c r="AA70" i="1"/>
  <c r="I391" i="18"/>
  <c r="I532" i="18"/>
  <c r="AA197" i="1"/>
  <c r="AA195" i="1" s="1"/>
  <c r="M41" i="8" s="1"/>
  <c r="D89" i="11" s="1"/>
  <c r="I489" i="18"/>
  <c r="AA191" i="1"/>
  <c r="I485" i="18"/>
  <c r="AA189" i="1"/>
  <c r="I483" i="18"/>
  <c r="AA181" i="1"/>
  <c r="I478" i="18"/>
  <c r="AA183" i="1"/>
  <c r="I480" i="18"/>
  <c r="AA177" i="1"/>
  <c r="I475" i="18"/>
  <c r="AA27" i="1"/>
  <c r="I517" i="18"/>
  <c r="AA165" i="1"/>
  <c r="I471" i="18"/>
  <c r="AA38" i="1"/>
  <c r="I525" i="18"/>
  <c r="AA35" i="1"/>
  <c r="I523" i="18"/>
  <c r="AA34" i="1"/>
  <c r="I522" i="18"/>
  <c r="E78" i="12"/>
  <c r="AA3" i="3"/>
  <c r="M92" i="8" s="1"/>
  <c r="O5" i="12" s="1"/>
  <c r="M98" i="8"/>
  <c r="D40" i="12" s="1"/>
  <c r="I73" i="8"/>
  <c r="D118" i="10" s="1"/>
  <c r="AA119" i="2"/>
  <c r="M68" i="8" s="1"/>
  <c r="O9" i="10" s="1"/>
  <c r="D72" i="10" s="1"/>
  <c r="AA149" i="1"/>
  <c r="AA184" i="1"/>
  <c r="AA89" i="1"/>
  <c r="U130" i="2"/>
  <c r="S55" i="1"/>
  <c r="Y55" i="1" s="1"/>
  <c r="E81" i="10"/>
  <c r="E9" i="10"/>
  <c r="U102" i="1"/>
  <c r="I23" i="8" s="1"/>
  <c r="W102" i="1"/>
  <c r="D88" i="12"/>
  <c r="M6" i="7"/>
  <c r="E6" i="12"/>
  <c r="E33" i="12"/>
  <c r="K68" i="8"/>
  <c r="E74" i="10"/>
  <c r="U92" i="1"/>
  <c r="I21" i="8" s="1"/>
  <c r="W148" i="1"/>
  <c r="K35" i="8"/>
  <c r="E83" i="11" s="1"/>
  <c r="W160" i="1"/>
  <c r="U206" i="1"/>
  <c r="I44" i="8" s="1"/>
  <c r="J171" i="1"/>
  <c r="W206" i="1"/>
  <c r="Y127" i="1"/>
  <c r="I440" i="18" s="1"/>
  <c r="U192" i="1"/>
  <c r="I40" i="8" s="1"/>
  <c r="U186" i="1"/>
  <c r="I39" i="8" s="1"/>
  <c r="U184" i="1"/>
  <c r="I38" i="8" s="1"/>
  <c r="U179" i="1"/>
  <c r="I37" i="8" s="1"/>
  <c r="H34" i="8"/>
  <c r="U172" i="1"/>
  <c r="W172" i="1"/>
  <c r="E34" i="8"/>
  <c r="W187" i="1"/>
  <c r="W186" i="1" s="1"/>
  <c r="J32" i="1"/>
  <c r="E12" i="8" s="1"/>
  <c r="J39" i="1"/>
  <c r="E14" i="8" s="1"/>
  <c r="Y160" i="1"/>
  <c r="K32" i="8" s="1"/>
  <c r="E76" i="11" s="1"/>
  <c r="W180" i="1"/>
  <c r="W179" i="1" s="1"/>
  <c r="W143" i="1"/>
  <c r="U148" i="1"/>
  <c r="I30" i="8" s="1"/>
  <c r="E21" i="8"/>
  <c r="AA193" i="1"/>
  <c r="Y192" i="1"/>
  <c r="K40" i="8" s="1"/>
  <c r="E88" i="11" s="1"/>
  <c r="S41" i="1"/>
  <c r="Y41" i="1" s="1"/>
  <c r="W200" i="1"/>
  <c r="W199" i="1" s="1"/>
  <c r="U199" i="1"/>
  <c r="I42" i="8" s="1"/>
  <c r="W192" i="1"/>
  <c r="L171" i="1"/>
  <c r="J36" i="1"/>
  <c r="E13" i="8" s="1"/>
  <c r="Y99" i="1"/>
  <c r="K22" i="8" s="1"/>
  <c r="E62" i="11" s="1"/>
  <c r="AA100" i="1"/>
  <c r="U160" i="1"/>
  <c r="I32" i="8" s="1"/>
  <c r="U143" i="1"/>
  <c r="I29" i="8" s="1"/>
  <c r="Y195" i="1"/>
  <c r="K41" i="8" s="1"/>
  <c r="E89" i="11" s="1"/>
  <c r="U195" i="1"/>
  <c r="I41" i="8" s="1"/>
  <c r="W196" i="1"/>
  <c r="W195" i="1" s="1"/>
  <c r="W204" i="1"/>
  <c r="W203" i="1" s="1"/>
  <c r="U203" i="1"/>
  <c r="I43" i="8" s="1"/>
  <c r="Y179" i="1"/>
  <c r="K37" i="8" s="1"/>
  <c r="E85" i="11" s="1"/>
  <c r="U175" i="1"/>
  <c r="I36" i="8" s="1"/>
  <c r="W176" i="1"/>
  <c r="W175" i="1" s="1"/>
  <c r="AA86" i="1"/>
  <c r="W106" i="1"/>
  <c r="W105" i="1" s="1"/>
  <c r="U105" i="1"/>
  <c r="I24" i="8" s="1"/>
  <c r="W209" i="1"/>
  <c r="W167" i="1"/>
  <c r="W166" i="1" s="1"/>
  <c r="W141" i="1"/>
  <c r="W140" i="1" s="1"/>
  <c r="U140" i="1"/>
  <c r="I28" i="8" s="1"/>
  <c r="U131" i="1"/>
  <c r="W131" i="1"/>
  <c r="W154" i="1"/>
  <c r="W153" i="1" s="1"/>
  <c r="U153" i="1"/>
  <c r="I31" i="8" s="1"/>
  <c r="W77" i="1"/>
  <c r="U77" i="1"/>
  <c r="I18" i="8" s="1"/>
  <c r="S73" i="1"/>
  <c r="Y73" i="1" s="1"/>
  <c r="U70" i="1"/>
  <c r="W70" i="1" s="1"/>
  <c r="S67" i="1"/>
  <c r="Y67" i="1" s="1"/>
  <c r="S62" i="1"/>
  <c r="S54" i="1"/>
  <c r="Y54" i="1" s="1"/>
  <c r="U53" i="1"/>
  <c r="U52" i="1" s="1"/>
  <c r="I16" i="8" s="1"/>
  <c r="L52" i="1"/>
  <c r="H16" i="8" s="1"/>
  <c r="S51" i="1"/>
  <c r="U47" i="1"/>
  <c r="W47" i="1" s="1"/>
  <c r="S42" i="1"/>
  <c r="Y42" i="1" s="1"/>
  <c r="L39" i="1"/>
  <c r="H14" i="8" s="1"/>
  <c r="W7" i="2"/>
  <c r="W5" i="2" s="1"/>
  <c r="U5" i="2"/>
  <c r="I48" i="8" s="1"/>
  <c r="I47" i="8" s="1"/>
  <c r="D115" i="10" s="1"/>
  <c r="L32" i="1"/>
  <c r="H12" i="8" s="1"/>
  <c r="U99" i="1"/>
  <c r="I22" i="8" s="1"/>
  <c r="W99" i="1"/>
  <c r="W92" i="1"/>
  <c r="Y5" i="2"/>
  <c r="W37" i="1"/>
  <c r="S59" i="1"/>
  <c r="Y59" i="1" s="1"/>
  <c r="S66" i="1"/>
  <c r="Y66" i="1" s="1"/>
  <c r="AA66" i="1" s="1"/>
  <c r="S46" i="1"/>
  <c r="Y46" i="1" s="1"/>
  <c r="S33" i="1"/>
  <c r="Y33" i="1" s="1"/>
  <c r="I521" i="18" s="1"/>
  <c r="S37" i="1"/>
  <c r="Y37" i="1" s="1"/>
  <c r="I524" i="18" s="1"/>
  <c r="L36" i="1"/>
  <c r="H13" i="8" s="1"/>
  <c r="W34" i="1"/>
  <c r="W33" i="1"/>
  <c r="U45" i="1"/>
  <c r="U40" i="1"/>
  <c r="U48" i="1"/>
  <c r="W48" i="1" s="1"/>
  <c r="S61" i="1"/>
  <c r="Y61" i="1" s="1"/>
  <c r="S69" i="1"/>
  <c r="Y69" i="1" s="1"/>
  <c r="S65" i="1"/>
  <c r="U38" i="1"/>
  <c r="W38" i="1" s="1"/>
  <c r="U43" i="1"/>
  <c r="W43" i="1" s="1"/>
  <c r="Y45" i="1"/>
  <c r="S56" i="1"/>
  <c r="Y56" i="1" s="1"/>
  <c r="I540" i="18" s="1"/>
  <c r="S60" i="1"/>
  <c r="Y60" i="1" s="1"/>
  <c r="S68" i="1"/>
  <c r="S71" i="1"/>
  <c r="Y71" i="1" s="1"/>
  <c r="J52" i="1"/>
  <c r="E16" i="8" s="1"/>
  <c r="U50" i="1"/>
  <c r="W50" i="1" s="1"/>
  <c r="U35" i="1"/>
  <c r="W35" i="1" s="1"/>
  <c r="X27" i="1"/>
  <c r="W27" i="1"/>
  <c r="R28" i="1"/>
  <c r="U28" i="1" s="1"/>
  <c r="W28" i="1" s="1"/>
  <c r="R29" i="1"/>
  <c r="S29" i="1" s="1"/>
  <c r="Y29" i="1" s="1"/>
  <c r="R30" i="1"/>
  <c r="S30" i="1" s="1"/>
  <c r="Y30" i="1" s="1"/>
  <c r="L30" i="1"/>
  <c r="L28" i="1"/>
  <c r="L29" i="1"/>
  <c r="L27" i="1"/>
  <c r="L24" i="1"/>
  <c r="L22" i="1"/>
  <c r="L21" i="1"/>
  <c r="L18" i="1"/>
  <c r="L19" i="1"/>
  <c r="L20" i="1"/>
  <c r="L14" i="1"/>
  <c r="L12" i="1" s="1"/>
  <c r="H7" i="8" s="1"/>
  <c r="L11" i="1"/>
  <c r="L9" i="1"/>
  <c r="K7" i="1"/>
  <c r="J28" i="1"/>
  <c r="J29" i="1"/>
  <c r="J30" i="1"/>
  <c r="J27" i="1"/>
  <c r="R25" i="1"/>
  <c r="S25" i="1" s="1"/>
  <c r="R24" i="1"/>
  <c r="S24" i="1" s="1"/>
  <c r="Y24" i="1" s="1"/>
  <c r="I515" i="18" s="1"/>
  <c r="J24" i="1"/>
  <c r="R22" i="1"/>
  <c r="U22" i="1" s="1"/>
  <c r="W22" i="1" s="1"/>
  <c r="R21" i="1"/>
  <c r="S21" i="1" s="1"/>
  <c r="Y21" i="1" s="1"/>
  <c r="R20" i="1"/>
  <c r="S20" i="1" s="1"/>
  <c r="Y20" i="1" s="1"/>
  <c r="R19" i="1"/>
  <c r="S19" i="1" s="1"/>
  <c r="Y19" i="1" s="1"/>
  <c r="R18" i="1"/>
  <c r="U18" i="1" s="1"/>
  <c r="W18" i="1" s="1"/>
  <c r="R17" i="1"/>
  <c r="J18" i="1"/>
  <c r="J19" i="1"/>
  <c r="J20" i="1"/>
  <c r="J21" i="1"/>
  <c r="J22" i="1"/>
  <c r="R15" i="1"/>
  <c r="R13" i="1"/>
  <c r="S13" i="1" s="1"/>
  <c r="R14" i="1"/>
  <c r="S14" i="1" s="1"/>
  <c r="Y14" i="1" s="1"/>
  <c r="I507" i="18" s="1"/>
  <c r="J14" i="1"/>
  <c r="V6" i="1"/>
  <c r="U7" i="1"/>
  <c r="U8" i="1"/>
  <c r="W8" i="1" s="1"/>
  <c r="T9" i="1"/>
  <c r="V9" i="1" s="1"/>
  <c r="Y6" i="1"/>
  <c r="I500" i="18" s="1"/>
  <c r="X6" i="1"/>
  <c r="K14" i="1"/>
  <c r="K12" i="1" s="1"/>
  <c r="R11" i="1"/>
  <c r="S11" i="1" s="1"/>
  <c r="Y11" i="1" s="1"/>
  <c r="R9" i="1"/>
  <c r="S9" i="1" s="1"/>
  <c r="Y9" i="1" s="1"/>
  <c r="R10" i="1"/>
  <c r="S10" i="1" s="1"/>
  <c r="L8" i="1"/>
  <c r="K6" i="1"/>
  <c r="J8" i="1"/>
  <c r="J9" i="1"/>
  <c r="J11" i="1"/>
  <c r="I531" i="18" l="1"/>
  <c r="AA46" i="1"/>
  <c r="I538" i="18"/>
  <c r="AA54" i="1"/>
  <c r="AA206" i="1"/>
  <c r="M44" i="8" s="1"/>
  <c r="D92" i="11" s="1"/>
  <c r="AA160" i="1"/>
  <c r="M32" i="8" s="1"/>
  <c r="D76" i="11" s="1"/>
  <c r="AA186" i="1"/>
  <c r="M39" i="8" s="1"/>
  <c r="D87" i="11" s="1"/>
  <c r="AA175" i="1"/>
  <c r="M36" i="8" s="1"/>
  <c r="D84" i="11" s="1"/>
  <c r="AA87" i="1"/>
  <c r="M19" i="8" s="1"/>
  <c r="D56" i="11" s="1"/>
  <c r="AA9" i="1"/>
  <c r="I503" i="18"/>
  <c r="AA19" i="1"/>
  <c r="I511" i="18"/>
  <c r="AA20" i="1"/>
  <c r="I512" i="18"/>
  <c r="AA71" i="1"/>
  <c r="I392" i="18"/>
  <c r="AA69" i="1"/>
  <c r="I390" i="18"/>
  <c r="AA41" i="1"/>
  <c r="I527" i="18"/>
  <c r="AA179" i="1"/>
  <c r="M37" i="8" s="1"/>
  <c r="D85" i="11" s="1"/>
  <c r="AA5" i="2"/>
  <c r="M48" i="8" s="1"/>
  <c r="AA11" i="1"/>
  <c r="I505" i="18"/>
  <c r="AA21" i="1"/>
  <c r="I513" i="18"/>
  <c r="AA73" i="1"/>
  <c r="I394" i="18"/>
  <c r="Y68" i="1"/>
  <c r="AA67" i="1"/>
  <c r="I388" i="18"/>
  <c r="I387" i="18"/>
  <c r="AA61" i="1"/>
  <c r="I382" i="18"/>
  <c r="AA60" i="1"/>
  <c r="I381" i="18"/>
  <c r="I542" i="18"/>
  <c r="AA55" i="1"/>
  <c r="I539" i="18"/>
  <c r="I530" i="18"/>
  <c r="AA42" i="1"/>
  <c r="I528" i="18"/>
  <c r="K39" i="8"/>
  <c r="E87" i="11" s="1"/>
  <c r="AA30" i="1"/>
  <c r="I520" i="18"/>
  <c r="AA29" i="1"/>
  <c r="I519" i="18"/>
  <c r="R6" i="7"/>
  <c r="AA99" i="1"/>
  <c r="M22" i="8" s="1"/>
  <c r="D62" i="11" s="1"/>
  <c r="M38" i="8"/>
  <c r="D86" i="11" s="1"/>
  <c r="AA192" i="1"/>
  <c r="AA6" i="1"/>
  <c r="AA14" i="1"/>
  <c r="L5" i="1"/>
  <c r="H6" i="8" s="1"/>
  <c r="E72" i="10"/>
  <c r="E8" i="10"/>
  <c r="U91" i="1"/>
  <c r="I20" i="8"/>
  <c r="D100" i="11" s="1"/>
  <c r="I35" i="8"/>
  <c r="I34" i="8" s="1"/>
  <c r="D102" i="11" s="1"/>
  <c r="U171" i="1"/>
  <c r="W7" i="1"/>
  <c r="I27" i="8"/>
  <c r="I26" i="8" s="1"/>
  <c r="D101" i="11" s="1"/>
  <c r="U130" i="1"/>
  <c r="S17" i="1"/>
  <c r="Y17" i="1" s="1"/>
  <c r="I509" i="18" s="1"/>
  <c r="U17" i="1"/>
  <c r="W17" i="1" s="1"/>
  <c r="U20" i="1"/>
  <c r="W20" i="1" s="1"/>
  <c r="AA127" i="1"/>
  <c r="K36" i="8"/>
  <c r="Y36" i="1"/>
  <c r="K13" i="8" s="1"/>
  <c r="E50" i="11" s="1"/>
  <c r="AA37" i="1"/>
  <c r="AA56" i="1"/>
  <c r="W53" i="1"/>
  <c r="W52" i="1" s="1"/>
  <c r="W171" i="1"/>
  <c r="H171" i="1" s="1"/>
  <c r="J16" i="1"/>
  <c r="W91" i="1"/>
  <c r="H91" i="1" s="1"/>
  <c r="L23" i="1"/>
  <c r="H9" i="8" s="1"/>
  <c r="Y32" i="1"/>
  <c r="K12" i="8" s="1"/>
  <c r="E49" i="11" s="1"/>
  <c r="AA33" i="1"/>
  <c r="AA32" i="1" s="1"/>
  <c r="Y23" i="1"/>
  <c r="K9" i="8" s="1"/>
  <c r="E36" i="11" s="1"/>
  <c r="AA24" i="1"/>
  <c r="AA45" i="1"/>
  <c r="U24" i="1"/>
  <c r="Y39" i="1"/>
  <c r="K14" i="8" s="1"/>
  <c r="E51" i="11" s="1"/>
  <c r="U36" i="1"/>
  <c r="I13" i="8" s="1"/>
  <c r="W36" i="1"/>
  <c r="W130" i="1"/>
  <c r="H130" i="1" s="1"/>
  <c r="J5" i="1"/>
  <c r="E6" i="8" s="1"/>
  <c r="W4" i="2"/>
  <c r="U4" i="2"/>
  <c r="U3" i="2" s="1"/>
  <c r="I46" i="8" s="1"/>
  <c r="K48" i="8"/>
  <c r="E38" i="10" s="1"/>
  <c r="J26" i="1"/>
  <c r="U32" i="1"/>
  <c r="I12" i="8" s="1"/>
  <c r="S22" i="1"/>
  <c r="Y22" i="1" s="1"/>
  <c r="J23" i="1"/>
  <c r="E9" i="8" s="1"/>
  <c r="S28" i="1"/>
  <c r="Y28" i="1" s="1"/>
  <c r="I518" i="18" s="1"/>
  <c r="J12" i="1"/>
  <c r="E7" i="8" s="1"/>
  <c r="U21" i="1"/>
  <c r="W21" i="1" s="1"/>
  <c r="L26" i="1"/>
  <c r="H10" i="8" s="1"/>
  <c r="W45" i="1"/>
  <c r="W44" i="1" s="1"/>
  <c r="U44" i="1"/>
  <c r="I15" i="8" s="1"/>
  <c r="S18" i="1"/>
  <c r="Y18" i="1" s="1"/>
  <c r="S15" i="1"/>
  <c r="Y15" i="1" s="1"/>
  <c r="U19" i="1"/>
  <c r="W19" i="1" s="1"/>
  <c r="W30" i="1"/>
  <c r="W32" i="1"/>
  <c r="U29" i="1"/>
  <c r="W29" i="1" s="1"/>
  <c r="U14" i="1"/>
  <c r="W58" i="1"/>
  <c r="W57" i="1" s="1"/>
  <c r="U57" i="1"/>
  <c r="I17" i="8" s="1"/>
  <c r="U39" i="1"/>
  <c r="I14" i="8" s="1"/>
  <c r="W40" i="1"/>
  <c r="W39" i="1" s="1"/>
  <c r="L16" i="1"/>
  <c r="H8" i="8" s="1"/>
  <c r="U11" i="1"/>
  <c r="W11" i="1" s="1"/>
  <c r="U9" i="1"/>
  <c r="W10" i="1"/>
  <c r="S8" i="1"/>
  <c r="Y8" i="1" s="1"/>
  <c r="S7" i="1"/>
  <c r="Y7" i="1" s="1"/>
  <c r="AA52" i="1" l="1"/>
  <c r="AA171" i="1"/>
  <c r="M34" i="8" s="1"/>
  <c r="S10" i="11" s="1"/>
  <c r="D82" i="11" s="1"/>
  <c r="AA39" i="1"/>
  <c r="M14" i="8" s="1"/>
  <c r="D51" i="11" s="1"/>
  <c r="M16" i="8"/>
  <c r="D53" i="11" s="1"/>
  <c r="AA18" i="1"/>
  <c r="I510" i="18"/>
  <c r="AA22" i="1"/>
  <c r="I514" i="18"/>
  <c r="I389" i="18"/>
  <c r="AA68" i="1"/>
  <c r="AA15" i="1"/>
  <c r="AA12" i="1" s="1"/>
  <c r="M7" i="8" s="1"/>
  <c r="D34" i="11" s="1"/>
  <c r="I508" i="18"/>
  <c r="AA8" i="1"/>
  <c r="I502" i="18"/>
  <c r="Y5" i="1"/>
  <c r="I501" i="18"/>
  <c r="AA23" i="1"/>
  <c r="M9" i="8" s="1"/>
  <c r="D36" i="11" s="1"/>
  <c r="AA125" i="1"/>
  <c r="M25" i="8" s="1"/>
  <c r="D65" i="11" s="1"/>
  <c r="AA17" i="1"/>
  <c r="Y16" i="1"/>
  <c r="K8" i="8" s="1"/>
  <c r="E35" i="11" s="1"/>
  <c r="AA36" i="1"/>
  <c r="M13" i="8" s="1"/>
  <c r="D50" i="11" s="1"/>
  <c r="M40" i="8"/>
  <c r="D88" i="11" s="1"/>
  <c r="Y12" i="1"/>
  <c r="K7" i="8" s="1"/>
  <c r="E34" i="11" s="1"/>
  <c r="E84" i="11"/>
  <c r="D114" i="10"/>
  <c r="M5" i="7"/>
  <c r="D38" i="10"/>
  <c r="I11" i="8"/>
  <c r="D99" i="11" s="1"/>
  <c r="U5" i="1"/>
  <c r="I6" i="8" s="1"/>
  <c r="H4" i="2"/>
  <c r="W3" i="2" s="1"/>
  <c r="H5" i="8"/>
  <c r="W9" i="1"/>
  <c r="W5" i="1" s="1"/>
  <c r="E8" i="8"/>
  <c r="J4" i="1"/>
  <c r="W24" i="1"/>
  <c r="W23" i="1" s="1"/>
  <c r="U23" i="1"/>
  <c r="I9" i="8" s="1"/>
  <c r="AA7" i="1"/>
  <c r="AA5" i="1" s="1"/>
  <c r="W14" i="1"/>
  <c r="W12" i="1" s="1"/>
  <c r="U12" i="1"/>
  <c r="I7" i="8" s="1"/>
  <c r="Y26" i="1"/>
  <c r="K10" i="8" s="1"/>
  <c r="E37" i="11" s="1"/>
  <c r="AA28" i="1"/>
  <c r="M12" i="8"/>
  <c r="W26" i="1"/>
  <c r="E10" i="8"/>
  <c r="U26" i="1"/>
  <c r="I10" i="8" s="1"/>
  <c r="U31" i="1"/>
  <c r="W31" i="1"/>
  <c r="H31" i="1" s="1"/>
  <c r="L4" i="1"/>
  <c r="W16" i="1"/>
  <c r="U16" i="1"/>
  <c r="I8" i="8" s="1"/>
  <c r="AA16" i="1" l="1"/>
  <c r="M8" i="8" s="1"/>
  <c r="D35" i="11" s="1"/>
  <c r="AA26" i="1"/>
  <c r="K6" i="8"/>
  <c r="E33" i="11" s="1"/>
  <c r="Y4" i="1"/>
  <c r="D49" i="11"/>
  <c r="I5" i="8"/>
  <c r="D98" i="11" s="1"/>
  <c r="W4" i="1"/>
  <c r="H4" i="1" s="1"/>
  <c r="W3" i="1" s="1"/>
  <c r="E5" i="8"/>
  <c r="M6" i="8"/>
  <c r="U4" i="1"/>
  <c r="U3" i="1" s="1"/>
  <c r="I4" i="8" s="1"/>
  <c r="F100" i="2"/>
  <c r="X97" i="2"/>
  <c r="Z97" i="2" s="1"/>
  <c r="V97" i="2"/>
  <c r="K97" i="2"/>
  <c r="I97" i="2"/>
  <c r="V96" i="2"/>
  <c r="AA4" i="1" l="1"/>
  <c r="M5" i="8" s="1"/>
  <c r="S6" i="11" s="1"/>
  <c r="D32" i="11" s="1"/>
  <c r="M10" i="8"/>
  <c r="D37" i="11" s="1"/>
  <c r="K5" i="8"/>
  <c r="E6" i="11" s="1"/>
  <c r="D33" i="11"/>
  <c r="I3" i="8"/>
  <c r="M3" i="7" s="1"/>
  <c r="M4" i="7"/>
  <c r="D97" i="11"/>
  <c r="J100" i="2"/>
  <c r="J92" i="2" s="1"/>
  <c r="L100" i="2"/>
  <c r="L92" i="2" s="1"/>
  <c r="C63" i="13"/>
  <c r="T52" i="4"/>
  <c r="V52" i="4" s="1"/>
  <c r="V50" i="4" s="1"/>
  <c r="K52" i="4"/>
  <c r="K50" i="4" s="1"/>
  <c r="I52" i="4"/>
  <c r="I50" i="4" s="1"/>
  <c r="E32" i="11" l="1"/>
  <c r="E12" i="9"/>
  <c r="L91" i="2"/>
  <c r="H65" i="8"/>
  <c r="H64" i="8" s="1"/>
  <c r="J91" i="2"/>
  <c r="E65" i="8"/>
  <c r="E64" i="8" s="1"/>
  <c r="T50" i="4"/>
  <c r="T97" i="3"/>
  <c r="X89" i="2" l="1"/>
  <c r="T49" i="4" l="1"/>
  <c r="V49" i="4" s="1"/>
  <c r="I142" i="4" l="1"/>
  <c r="K31" i="4"/>
  <c r="K27" i="4" s="1"/>
  <c r="I31" i="4"/>
  <c r="I27" i="4" s="1"/>
  <c r="X169" i="2" l="1"/>
  <c r="T171" i="2"/>
  <c r="F17" i="1" l="1"/>
  <c r="K17" i="1" l="1"/>
  <c r="X17" i="1"/>
  <c r="X103" i="1"/>
  <c r="X102" i="1" s="1"/>
  <c r="T103" i="1"/>
  <c r="I101" i="1"/>
  <c r="X100" i="1"/>
  <c r="Z100" i="1" s="1"/>
  <c r="Z17" i="1" l="1"/>
  <c r="T173" i="2"/>
  <c r="X11" i="1" l="1"/>
  <c r="Z11" i="1" s="1"/>
  <c r="T11" i="1"/>
  <c r="V11" i="1" s="1"/>
  <c r="K11" i="1"/>
  <c r="I11" i="1"/>
  <c r="X47" i="3" l="1"/>
  <c r="Z47" i="3" s="1"/>
  <c r="V47" i="3"/>
  <c r="K47" i="3"/>
  <c r="I47" i="3"/>
  <c r="C35" i="12"/>
  <c r="K9" i="3"/>
  <c r="X14" i="3"/>
  <c r="Z14" i="3" s="1"/>
  <c r="T14" i="3"/>
  <c r="V14" i="3" s="1"/>
  <c r="K14" i="3"/>
  <c r="I14" i="3"/>
  <c r="X13" i="3"/>
  <c r="Z13" i="3" s="1"/>
  <c r="T13" i="3"/>
  <c r="V13" i="3" s="1"/>
  <c r="K13" i="3"/>
  <c r="I13" i="3"/>
  <c r="X12" i="3"/>
  <c r="T12" i="3"/>
  <c r="V12" i="3" s="1"/>
  <c r="K12" i="3"/>
  <c r="I12" i="3"/>
  <c r="T10" i="3"/>
  <c r="C101" i="15"/>
  <c r="X141" i="5"/>
  <c r="Z141" i="5" s="1"/>
  <c r="T141" i="5"/>
  <c r="V141" i="5" s="1"/>
  <c r="K141" i="5"/>
  <c r="I141" i="5"/>
  <c r="X140" i="5"/>
  <c r="T140" i="5"/>
  <c r="V140" i="5" s="1"/>
  <c r="K140" i="5"/>
  <c r="I140" i="5"/>
  <c r="K138" i="5"/>
  <c r="K50" i="5"/>
  <c r="K51" i="5"/>
  <c r="I11" i="3" l="1"/>
  <c r="K11" i="3"/>
  <c r="V139" i="5"/>
  <c r="I139" i="5"/>
  <c r="Z140" i="5"/>
  <c r="Z139" i="5" s="1"/>
  <c r="X139" i="5"/>
  <c r="V11" i="3"/>
  <c r="Z12" i="3"/>
  <c r="Z11" i="3" s="1"/>
  <c r="X11" i="3"/>
  <c r="K139" i="5"/>
  <c r="T139" i="5"/>
  <c r="T11" i="3"/>
  <c r="I176" i="1"/>
  <c r="V132" i="2" l="1"/>
  <c r="K49" i="4" l="1"/>
  <c r="I49" i="4"/>
  <c r="X88" i="2" l="1"/>
  <c r="T130" i="3"/>
  <c r="T35" i="2" l="1"/>
  <c r="X38" i="2"/>
  <c r="X30" i="2"/>
  <c r="V95" i="5" l="1"/>
  <c r="X87" i="5"/>
  <c r="T87" i="5"/>
  <c r="V87" i="5" s="1"/>
  <c r="K87" i="5"/>
  <c r="I87" i="5"/>
  <c r="Z87" i="5" l="1"/>
  <c r="V63" i="2"/>
  <c r="X63" i="2"/>
  <c r="Z63" i="2" s="1"/>
  <c r="X53" i="2"/>
  <c r="V54" i="2"/>
  <c r="X54" i="2"/>
  <c r="Z54" i="2" s="1"/>
  <c r="X55" i="2"/>
  <c r="Z55" i="2" s="1"/>
  <c r="V53" i="2"/>
  <c r="X48" i="2"/>
  <c r="X42" i="2"/>
  <c r="Z42" i="2" s="1"/>
  <c r="T42" i="2"/>
  <c r="V42" i="2" s="1"/>
  <c r="Z38" i="2"/>
  <c r="T38" i="2"/>
  <c r="V38" i="2" s="1"/>
  <c r="X37" i="2"/>
  <c r="Z37" i="2" s="1"/>
  <c r="T37" i="2"/>
  <c r="V37" i="2" s="1"/>
  <c r="I37" i="2"/>
  <c r="K37" i="2"/>
  <c r="I38" i="2"/>
  <c r="K38" i="2"/>
  <c r="X52" i="2" l="1"/>
  <c r="Z53" i="2"/>
  <c r="T23" i="6"/>
  <c r="T22" i="6" s="1"/>
  <c r="X23" i="6"/>
  <c r="K23" i="6"/>
  <c r="K22" i="6" s="1"/>
  <c r="I23" i="6"/>
  <c r="I22" i="6" s="1"/>
  <c r="Z23" i="6" l="1"/>
  <c r="Z22" i="6" s="1"/>
  <c r="X22" i="6"/>
  <c r="V23" i="6"/>
  <c r="V22" i="6" s="1"/>
  <c r="Y22" i="6" l="1"/>
  <c r="K202" i="8" s="1"/>
  <c r="E44" i="17" s="1"/>
  <c r="T111" i="1"/>
  <c r="V111" i="1" s="1"/>
  <c r="V101" i="1"/>
  <c r="V100" i="1"/>
  <c r="X93" i="1"/>
  <c r="Y93" i="1" s="1"/>
  <c r="I410" i="18" s="1"/>
  <c r="V99" i="1" l="1"/>
  <c r="Z93" i="1"/>
  <c r="C66" i="12"/>
  <c r="AA93" i="1" l="1"/>
  <c r="K90" i="3"/>
  <c r="K87" i="3"/>
  <c r="X97" i="3"/>
  <c r="X96" i="3" s="1"/>
  <c r="V97" i="3"/>
  <c r="V96" i="3" s="1"/>
  <c r="K97" i="3"/>
  <c r="K96" i="3" s="1"/>
  <c r="I97" i="3"/>
  <c r="I96" i="3" s="1"/>
  <c r="Z97" i="3" l="1"/>
  <c r="Z96" i="3" s="1"/>
  <c r="T96" i="3"/>
  <c r="X199" i="2"/>
  <c r="T79" i="5" l="1"/>
  <c r="T111" i="4" l="1"/>
  <c r="V111" i="4" s="1"/>
  <c r="T120" i="4"/>
  <c r="V120" i="4" s="1"/>
  <c r="X114" i="5" l="1"/>
  <c r="Z114" i="5" s="1"/>
  <c r="V114" i="5"/>
  <c r="T6" i="4"/>
  <c r="V6" i="4" s="1"/>
  <c r="V210" i="1" l="1"/>
  <c r="T136" i="2" l="1"/>
  <c r="V136" i="2" s="1"/>
  <c r="T135" i="2"/>
  <c r="V135" i="2" s="1"/>
  <c r="X135" i="2"/>
  <c r="Z135" i="2" s="1"/>
  <c r="I135" i="2"/>
  <c r="K135" i="2"/>
  <c r="X136" i="2"/>
  <c r="Z136" i="2" s="1"/>
  <c r="V74" i="2" l="1"/>
  <c r="T72" i="2"/>
  <c r="X59" i="2"/>
  <c r="Z59" i="2" s="1"/>
  <c r="T59" i="2"/>
  <c r="V59" i="2" s="1"/>
  <c r="X31" i="2"/>
  <c r="Z30" i="2"/>
  <c r="V30" i="2"/>
  <c r="X33" i="2"/>
  <c r="Z33" i="2" s="1"/>
  <c r="T33" i="2"/>
  <c r="V33" i="2" s="1"/>
  <c r="X32" i="2"/>
  <c r="Z32" i="2" s="1"/>
  <c r="V32" i="2"/>
  <c r="K24" i="2"/>
  <c r="X51" i="3" l="1"/>
  <c r="Z51" i="3" s="1"/>
  <c r="V51" i="3"/>
  <c r="K51" i="3"/>
  <c r="I51" i="3"/>
  <c r="X49" i="3"/>
  <c r="Z49" i="3" s="1"/>
  <c r="V49" i="3"/>
  <c r="I49" i="3"/>
  <c r="K49" i="3"/>
  <c r="X48" i="3"/>
  <c r="Z48" i="3" s="1"/>
  <c r="V48" i="3"/>
  <c r="K48" i="3"/>
  <c r="I48" i="3"/>
  <c r="T31" i="3"/>
  <c r="K31" i="3"/>
  <c r="K28" i="3" s="1"/>
  <c r="I31" i="3"/>
  <c r="I28" i="3" s="1"/>
  <c r="Z19" i="3"/>
  <c r="V19" i="3"/>
  <c r="K19" i="3"/>
  <c r="I19" i="3"/>
  <c r="X10" i="3"/>
  <c r="Z10" i="3" s="1"/>
  <c r="V10" i="3"/>
  <c r="K10" i="3"/>
  <c r="I10" i="3"/>
  <c r="X8" i="3"/>
  <c r="Z8" i="3" s="1"/>
  <c r="T8" i="3"/>
  <c r="V8" i="3" s="1"/>
  <c r="K8" i="3"/>
  <c r="I8" i="3"/>
  <c r="V31" i="3" l="1"/>
  <c r="V28" i="3" s="1"/>
  <c r="T28" i="3"/>
  <c r="T72" i="4"/>
  <c r="V72" i="4" s="1"/>
  <c r="V69" i="4" s="1"/>
  <c r="K72" i="4"/>
  <c r="I72" i="4"/>
  <c r="G70" i="4"/>
  <c r="T153" i="4" l="1"/>
  <c r="V153" i="4" s="1"/>
  <c r="K153" i="4"/>
  <c r="I153" i="4"/>
  <c r="X21" i="5"/>
  <c r="Z21" i="5" s="1"/>
  <c r="T21" i="5"/>
  <c r="V21" i="5" s="1"/>
  <c r="K21" i="5"/>
  <c r="I21" i="5"/>
  <c r="T56" i="4"/>
  <c r="V56" i="4" s="1"/>
  <c r="K56" i="4"/>
  <c r="I56" i="4"/>
  <c r="I55" i="4"/>
  <c r="K55" i="4"/>
  <c r="X46" i="5" l="1"/>
  <c r="I116" i="4"/>
  <c r="I113" i="4"/>
  <c r="I114" i="4"/>
  <c r="I115" i="4"/>
  <c r="I118" i="4"/>
  <c r="X61" i="2" l="1"/>
  <c r="X64" i="2"/>
  <c r="Z64" i="2" s="1"/>
  <c r="T64" i="2"/>
  <c r="V64" i="2" s="1"/>
  <c r="Z48" i="2"/>
  <c r="V48" i="2"/>
  <c r="K48" i="2"/>
  <c r="I48" i="2"/>
  <c r="K13" i="2"/>
  <c r="T108" i="1" l="1"/>
  <c r="X89" i="3" l="1"/>
  <c r="X43" i="1" l="1"/>
  <c r="F62" i="1" l="1"/>
  <c r="K62" i="1" l="1"/>
  <c r="J62" i="1"/>
  <c r="J57" i="1" s="1"/>
  <c r="E17" i="8" s="1"/>
  <c r="L62" i="1"/>
  <c r="L57" i="1" s="1"/>
  <c r="H17" i="8" s="1"/>
  <c r="Y62" i="1"/>
  <c r="Y57" i="1" s="1"/>
  <c r="V123" i="2"/>
  <c r="I383" i="18" l="1"/>
  <c r="K17" i="8"/>
  <c r="E54" i="11" s="1"/>
  <c r="AA62" i="1"/>
  <c r="C57" i="13"/>
  <c r="AA57" i="1" l="1"/>
  <c r="M17" i="8" s="1"/>
  <c r="D54" i="11" s="1"/>
  <c r="F76" i="4"/>
  <c r="J76" i="4" l="1"/>
  <c r="J73" i="4" s="1"/>
  <c r="L76" i="4"/>
  <c r="L73" i="4" s="1"/>
  <c r="Y76" i="4"/>
  <c r="I163" i="18" s="1"/>
  <c r="X76" i="4"/>
  <c r="I104" i="4"/>
  <c r="H140" i="8" l="1"/>
  <c r="H136" i="8" s="1"/>
  <c r="L60" i="4"/>
  <c r="Z76" i="4"/>
  <c r="Z73" i="4" s="1"/>
  <c r="Z60" i="4" s="1"/>
  <c r="X73" i="4"/>
  <c r="X60" i="4" s="1"/>
  <c r="AA76" i="4"/>
  <c r="AA73" i="4" s="1"/>
  <c r="AA60" i="4" s="1"/>
  <c r="M136" i="8" s="1"/>
  <c r="Y73" i="4"/>
  <c r="E140" i="8"/>
  <c r="E136" i="8" s="1"/>
  <c r="J60" i="4"/>
  <c r="C53" i="17"/>
  <c r="C54" i="17"/>
  <c r="C55" i="17"/>
  <c r="C43" i="17"/>
  <c r="C45" i="17"/>
  <c r="L171" i="8"/>
  <c r="C100" i="15"/>
  <c r="C96" i="15"/>
  <c r="C97" i="15"/>
  <c r="C98" i="15"/>
  <c r="C99" i="15"/>
  <c r="C91" i="15"/>
  <c r="C88" i="15"/>
  <c r="C89" i="15"/>
  <c r="C90" i="15"/>
  <c r="C75" i="15"/>
  <c r="C76" i="15"/>
  <c r="C77" i="15"/>
  <c r="C78" i="15"/>
  <c r="C79" i="15"/>
  <c r="C87" i="15"/>
  <c r="C69" i="15"/>
  <c r="C64" i="15"/>
  <c r="C57" i="15"/>
  <c r="C58" i="15"/>
  <c r="C59" i="15"/>
  <c r="C60" i="15"/>
  <c r="C62" i="15"/>
  <c r="C47" i="15"/>
  <c r="C49" i="15"/>
  <c r="C105" i="13"/>
  <c r="C106" i="13"/>
  <c r="C107" i="13"/>
  <c r="C108" i="13"/>
  <c r="C98" i="13"/>
  <c r="C99" i="13"/>
  <c r="C96" i="13"/>
  <c r="C97" i="13"/>
  <c r="C84" i="13"/>
  <c r="C85" i="13"/>
  <c r="C86" i="13"/>
  <c r="C72" i="13"/>
  <c r="C73" i="13"/>
  <c r="C74" i="13"/>
  <c r="C75" i="13"/>
  <c r="C76" i="13"/>
  <c r="C77" i="13"/>
  <c r="C61" i="13"/>
  <c r="C62" i="13"/>
  <c r="C64" i="13"/>
  <c r="C65" i="13"/>
  <c r="C56" i="13"/>
  <c r="C48" i="13"/>
  <c r="C49" i="13"/>
  <c r="C79" i="12"/>
  <c r="C80" i="12"/>
  <c r="C70" i="12"/>
  <c r="C71" i="12"/>
  <c r="C72" i="12"/>
  <c r="C62" i="12"/>
  <c r="C54" i="12"/>
  <c r="C55" i="12"/>
  <c r="C57" i="12"/>
  <c r="C46" i="12"/>
  <c r="C47" i="12"/>
  <c r="C48" i="12"/>
  <c r="C40" i="12"/>
  <c r="C41" i="12"/>
  <c r="C42" i="12"/>
  <c r="C39" i="12"/>
  <c r="C34" i="12"/>
  <c r="C104" i="10"/>
  <c r="C105" i="10"/>
  <c r="C106" i="10"/>
  <c r="C93" i="10"/>
  <c r="C94" i="10"/>
  <c r="C95" i="10"/>
  <c r="C96" i="10"/>
  <c r="C97" i="10"/>
  <c r="C98" i="10"/>
  <c r="C99" i="10"/>
  <c r="C82" i="10"/>
  <c r="C83" i="10"/>
  <c r="C84" i="10"/>
  <c r="C85" i="10"/>
  <c r="C86" i="10"/>
  <c r="C73" i="10"/>
  <c r="C74" i="10"/>
  <c r="C75" i="10"/>
  <c r="C76" i="10"/>
  <c r="C58" i="10"/>
  <c r="C59" i="10"/>
  <c r="C60" i="10"/>
  <c r="C39" i="10"/>
  <c r="C40" i="10"/>
  <c r="C41" i="10"/>
  <c r="C42" i="10"/>
  <c r="C43" i="10"/>
  <c r="C44" i="10"/>
  <c r="C45" i="10"/>
  <c r="C47" i="10"/>
  <c r="C48" i="10"/>
  <c r="C49" i="10"/>
  <c r="C50" i="10"/>
  <c r="C51" i="10"/>
  <c r="C52" i="10"/>
  <c r="C53" i="10"/>
  <c r="C38" i="10"/>
  <c r="C93" i="11"/>
  <c r="C92" i="11"/>
  <c r="C91" i="11"/>
  <c r="C90" i="11"/>
  <c r="C89" i="11"/>
  <c r="C88" i="11"/>
  <c r="C87" i="11"/>
  <c r="C86" i="11"/>
  <c r="C85" i="11"/>
  <c r="C84" i="11"/>
  <c r="C83" i="11"/>
  <c r="C76" i="11"/>
  <c r="C75" i="11"/>
  <c r="C74" i="11"/>
  <c r="C73" i="11"/>
  <c r="C72" i="11"/>
  <c r="C71" i="11"/>
  <c r="C65" i="11"/>
  <c r="C64" i="11"/>
  <c r="C63" i="11"/>
  <c r="C62" i="11"/>
  <c r="K140" i="8" l="1"/>
  <c r="Y60" i="4"/>
  <c r="M140" i="8"/>
  <c r="V169" i="2"/>
  <c r="Z169" i="2"/>
  <c r="I169" i="2"/>
  <c r="K169" i="2"/>
  <c r="D75" i="13" l="1"/>
  <c r="P10" i="13"/>
  <c r="D71" i="13" s="1"/>
  <c r="E75" i="13"/>
  <c r="K136" i="8"/>
  <c r="I90" i="1"/>
  <c r="K90" i="1"/>
  <c r="T90" i="1"/>
  <c r="V90" i="1" s="1"/>
  <c r="X90" i="1"/>
  <c r="Z90" i="1" s="1"/>
  <c r="F51" i="1"/>
  <c r="E9" i="13" l="1"/>
  <c r="E71" i="13"/>
  <c r="J51" i="1"/>
  <c r="J44" i="1" s="1"/>
  <c r="L51" i="1"/>
  <c r="L44" i="1" s="1"/>
  <c r="H15" i="8" s="1"/>
  <c r="X8" i="1"/>
  <c r="T8" i="1"/>
  <c r="V8" i="1" s="1"/>
  <c r="T10" i="5"/>
  <c r="T11" i="5"/>
  <c r="K13" i="5"/>
  <c r="T131" i="4"/>
  <c r="V131" i="4" s="1"/>
  <c r="G143" i="4"/>
  <c r="E15" i="8" l="1"/>
  <c r="Z6" i="1"/>
  <c r="T87" i="3"/>
  <c r="V87" i="3" s="1"/>
  <c r="X87" i="3"/>
  <c r="Z87" i="3" l="1"/>
  <c r="F39" i="4"/>
  <c r="F200" i="2"/>
  <c r="L200" i="2" l="1"/>
  <c r="L198" i="2" s="1"/>
  <c r="J200" i="2"/>
  <c r="J198" i="2" s="1"/>
  <c r="Y200" i="2"/>
  <c r="I695" i="18" s="1"/>
  <c r="L39" i="4"/>
  <c r="L38" i="4" s="1"/>
  <c r="J39" i="4"/>
  <c r="J38" i="4" s="1"/>
  <c r="Y39" i="4"/>
  <c r="X39" i="4"/>
  <c r="K200" i="2"/>
  <c r="X200" i="2"/>
  <c r="X7" i="1"/>
  <c r="T147" i="1"/>
  <c r="V147" i="1" s="1"/>
  <c r="X147" i="1"/>
  <c r="Z147" i="1" s="1"/>
  <c r="I147" i="1"/>
  <c r="K147" i="1"/>
  <c r="T132" i="1"/>
  <c r="F134" i="1"/>
  <c r="X173" i="1"/>
  <c r="X172" i="1" s="1"/>
  <c r="K173" i="1"/>
  <c r="I173" i="1"/>
  <c r="K180" i="1"/>
  <c r="I183" i="1"/>
  <c r="I135" i="18" l="1"/>
  <c r="E131" i="8"/>
  <c r="E130" i="8" s="1"/>
  <c r="J37" i="4"/>
  <c r="J3" i="4" s="1"/>
  <c r="E123" i="8" s="1"/>
  <c r="Z39" i="4"/>
  <c r="Z38" i="4" s="1"/>
  <c r="Z37" i="4" s="1"/>
  <c r="Z3" i="4" s="1"/>
  <c r="X38" i="4"/>
  <c r="Y38" i="4" s="1"/>
  <c r="J134" i="1"/>
  <c r="J131" i="1" s="1"/>
  <c r="L134" i="1"/>
  <c r="L131" i="1" s="1"/>
  <c r="Y134" i="1"/>
  <c r="H131" i="8"/>
  <c r="H130" i="8" s="1"/>
  <c r="L37" i="4"/>
  <c r="L3" i="4" s="1"/>
  <c r="H123" i="8" s="1"/>
  <c r="E90" i="8"/>
  <c r="E88" i="8" s="1"/>
  <c r="J192" i="2"/>
  <c r="AA39" i="4"/>
  <c r="AA38" i="4" s="1"/>
  <c r="AA37" i="4" s="1"/>
  <c r="AA3" i="4" s="1"/>
  <c r="AA200" i="2"/>
  <c r="AA198" i="2" s="1"/>
  <c r="AA192" i="2" s="1"/>
  <c r="M88" i="8" s="1"/>
  <c r="Y198" i="2"/>
  <c r="H90" i="8"/>
  <c r="H88" i="8" s="1"/>
  <c r="L192" i="2"/>
  <c r="G61" i="1"/>
  <c r="G60" i="1"/>
  <c r="F79" i="1"/>
  <c r="X79" i="1"/>
  <c r="T79" i="1"/>
  <c r="V79" i="1" s="1"/>
  <c r="T68" i="1"/>
  <c r="V68" i="1" s="1"/>
  <c r="X68" i="1"/>
  <c r="Z68" i="1" s="1"/>
  <c r="T67" i="1"/>
  <c r="V67" i="1" s="1"/>
  <c r="X67" i="1"/>
  <c r="Z67" i="1" s="1"/>
  <c r="X66" i="1"/>
  <c r="Z66" i="1" s="1"/>
  <c r="T66" i="1"/>
  <c r="V66" i="1" s="1"/>
  <c r="AA134" i="1" l="1"/>
  <c r="I445" i="18"/>
  <c r="M130" i="8"/>
  <c r="M123" i="8"/>
  <c r="X37" i="4"/>
  <c r="X3" i="4" s="1"/>
  <c r="K90" i="8"/>
  <c r="M90" i="8"/>
  <c r="E27" i="8"/>
  <c r="H27" i="8"/>
  <c r="L79" i="1"/>
  <c r="L77" i="1" s="1"/>
  <c r="H18" i="8" s="1"/>
  <c r="H11" i="8" s="1"/>
  <c r="J79" i="1"/>
  <c r="J77" i="1" s="1"/>
  <c r="M131" i="8"/>
  <c r="E7" i="7"/>
  <c r="K131" i="8"/>
  <c r="Y37" i="4"/>
  <c r="Y3" i="4" s="1"/>
  <c r="P7" i="7"/>
  <c r="Z79" i="1"/>
  <c r="V39" i="3"/>
  <c r="X31" i="3"/>
  <c r="X28" i="3" s="1"/>
  <c r="I399" i="18" l="1"/>
  <c r="K123" i="8"/>
  <c r="R7" i="7"/>
  <c r="P6" i="13"/>
  <c r="AA79" i="1"/>
  <c r="AA77" i="1" s="1"/>
  <c r="O12" i="10"/>
  <c r="D103" i="10" s="1"/>
  <c r="D105" i="10"/>
  <c r="P9" i="13"/>
  <c r="D60" i="13" s="1"/>
  <c r="D61" i="13"/>
  <c r="E18" i="8"/>
  <c r="E11" i="8" s="1"/>
  <c r="J31" i="1"/>
  <c r="E61" i="13"/>
  <c r="K130" i="8"/>
  <c r="E105" i="10"/>
  <c r="Z31" i="3"/>
  <c r="F178" i="2"/>
  <c r="T178" i="2"/>
  <c r="X171" i="2"/>
  <c r="X188" i="2"/>
  <c r="V188" i="2"/>
  <c r="E5" i="13" l="1"/>
  <c r="K7" i="7"/>
  <c r="G7" i="7" s="1"/>
  <c r="N7" i="7" s="1"/>
  <c r="Z188" i="2"/>
  <c r="E60" i="13"/>
  <c r="E8" i="13"/>
  <c r="K18" i="8"/>
  <c r="M18" i="8"/>
  <c r="L178" i="2"/>
  <c r="L176" i="2" s="1"/>
  <c r="J178" i="2"/>
  <c r="J176" i="2" s="1"/>
  <c r="Y178" i="2"/>
  <c r="I679" i="18" s="1"/>
  <c r="Z171" i="2"/>
  <c r="V95" i="2"/>
  <c r="X95" i="2"/>
  <c r="H84" i="8" l="1"/>
  <c r="H80" i="8" s="1"/>
  <c r="L164" i="2"/>
  <c r="Z95" i="2"/>
  <c r="E84" i="8"/>
  <c r="E80" i="8" s="1"/>
  <c r="J164" i="2"/>
  <c r="E55" i="11"/>
  <c r="D55" i="11"/>
  <c r="AA178" i="2"/>
  <c r="AA176" i="2" s="1"/>
  <c r="AA164" i="2" s="1"/>
  <c r="M80" i="8" s="1"/>
  <c r="Y176" i="2"/>
  <c r="I30" i="2"/>
  <c r="F17" i="2"/>
  <c r="K84" i="8" l="1"/>
  <c r="Y164" i="2"/>
  <c r="M84" i="8"/>
  <c r="L17" i="2"/>
  <c r="L15" i="2" s="1"/>
  <c r="H50" i="8" s="1"/>
  <c r="H47" i="8" s="1"/>
  <c r="J17" i="2"/>
  <c r="J15" i="2" s="1"/>
  <c r="K17" i="2"/>
  <c r="I17" i="2"/>
  <c r="T7" i="6"/>
  <c r="Z4" i="7"/>
  <c r="I137" i="5"/>
  <c r="K137" i="5"/>
  <c r="I138" i="5"/>
  <c r="X126" i="5"/>
  <c r="Z126" i="5" s="1"/>
  <c r="V126" i="5"/>
  <c r="L158" i="8"/>
  <c r="L128" i="8"/>
  <c r="D96" i="10" l="1"/>
  <c r="O11" i="10"/>
  <c r="D92" i="10" s="1"/>
  <c r="E96" i="10"/>
  <c r="K80" i="8"/>
  <c r="J4" i="2"/>
  <c r="J3" i="2" s="1"/>
  <c r="E46" i="8" s="1"/>
  <c r="E50" i="8"/>
  <c r="E47" i="8" s="1"/>
  <c r="L4" i="2"/>
  <c r="L3" i="2" s="1"/>
  <c r="H46" i="8" s="1"/>
  <c r="X17" i="3"/>
  <c r="Z17" i="3" s="1"/>
  <c r="E92" i="10" l="1"/>
  <c r="E10" i="10"/>
  <c r="P5" i="7"/>
  <c r="E5" i="7"/>
  <c r="L79" i="8"/>
  <c r="X96" i="2"/>
  <c r="L56" i="8"/>
  <c r="Z96" i="2" l="1"/>
  <c r="Z27" i="1"/>
  <c r="X24" i="1"/>
  <c r="Z24" i="1" s="1"/>
  <c r="I27" i="1"/>
  <c r="K27" i="1" l="1"/>
  <c r="I34" i="4" l="1"/>
  <c r="K6" i="4"/>
  <c r="F121" i="1" l="1"/>
  <c r="X120" i="1"/>
  <c r="Z120" i="1" s="1"/>
  <c r="T119" i="1"/>
  <c r="F107" i="1"/>
  <c r="K106" i="1"/>
  <c r="K95" i="1"/>
  <c r="L107" i="1" l="1"/>
  <c r="J107" i="1"/>
  <c r="Y107" i="1"/>
  <c r="I421" i="18" s="1"/>
  <c r="L121" i="1"/>
  <c r="J121" i="1"/>
  <c r="Y121" i="1"/>
  <c r="T7" i="1"/>
  <c r="I7" i="1"/>
  <c r="AA121" i="1" l="1"/>
  <c r="I435" i="18"/>
  <c r="AA107" i="1"/>
  <c r="V7" i="1"/>
  <c r="V5" i="1" s="1"/>
  <c r="T5" i="1"/>
  <c r="Z7" i="1"/>
  <c r="C5" i="11" l="1"/>
  <c r="C97" i="11" l="1"/>
  <c r="Q5" i="11"/>
  <c r="X132" i="3"/>
  <c r="Z132" i="3" s="1"/>
  <c r="T132" i="3"/>
  <c r="V132" i="3" s="1"/>
  <c r="K132" i="3"/>
  <c r="I132" i="3"/>
  <c r="X131" i="3"/>
  <c r="Z131" i="3" s="1"/>
  <c r="T131" i="3"/>
  <c r="V131" i="3" s="1"/>
  <c r="I131" i="3"/>
  <c r="X130" i="3"/>
  <c r="I130" i="3"/>
  <c r="X126" i="3"/>
  <c r="T126" i="3"/>
  <c r="T125" i="3" s="1"/>
  <c r="K126" i="3"/>
  <c r="I126" i="3"/>
  <c r="I125" i="3" s="1"/>
  <c r="X119" i="3"/>
  <c r="Z119" i="3" s="1"/>
  <c r="T119" i="3"/>
  <c r="V119" i="3" s="1"/>
  <c r="K119" i="3"/>
  <c r="I119" i="3"/>
  <c r="X114" i="3"/>
  <c r="Z114" i="3" s="1"/>
  <c r="T114" i="3"/>
  <c r="V114" i="3" s="1"/>
  <c r="K114" i="3"/>
  <c r="I114" i="3"/>
  <c r="X111" i="3"/>
  <c r="Z111" i="3" s="1"/>
  <c r="T111" i="3"/>
  <c r="V111" i="3" s="1"/>
  <c r="K111" i="3"/>
  <c r="I111" i="3"/>
  <c r="X109" i="3"/>
  <c r="V109" i="3"/>
  <c r="K109" i="3"/>
  <c r="I109" i="3"/>
  <c r="X106" i="3"/>
  <c r="Z106" i="3" s="1"/>
  <c r="T106" i="3"/>
  <c r="V106" i="3" s="1"/>
  <c r="K106" i="3"/>
  <c r="I106" i="3"/>
  <c r="X105" i="3"/>
  <c r="Z105" i="3" s="1"/>
  <c r="T105" i="3"/>
  <c r="V105" i="3" s="1"/>
  <c r="K105" i="3"/>
  <c r="I105" i="3"/>
  <c r="X104" i="3"/>
  <c r="Z104" i="3" s="1"/>
  <c r="T104" i="3"/>
  <c r="V104" i="3" s="1"/>
  <c r="K104" i="3"/>
  <c r="I104" i="3"/>
  <c r="X103" i="3"/>
  <c r="Z103" i="3" s="1"/>
  <c r="K103" i="3"/>
  <c r="I103" i="3"/>
  <c r="X102" i="3"/>
  <c r="Z102" i="3" s="1"/>
  <c r="T102" i="3"/>
  <c r="K102" i="3"/>
  <c r="I102" i="3"/>
  <c r="X90" i="3"/>
  <c r="Z90" i="3" s="1"/>
  <c r="V90" i="3"/>
  <c r="I90" i="3"/>
  <c r="Z89" i="3"/>
  <c r="V89" i="3"/>
  <c r="K89" i="3"/>
  <c r="I89" i="3"/>
  <c r="X88" i="3"/>
  <c r="T88" i="3"/>
  <c r="V88" i="3" s="1"/>
  <c r="K88" i="3"/>
  <c r="I88" i="3"/>
  <c r="I87" i="3"/>
  <c r="X62" i="3"/>
  <c r="Z62" i="3" s="1"/>
  <c r="V62" i="3"/>
  <c r="K62" i="3"/>
  <c r="I62" i="3"/>
  <c r="X60" i="3"/>
  <c r="Z60" i="3" s="1"/>
  <c r="V60" i="3"/>
  <c r="K60" i="3"/>
  <c r="I60" i="3"/>
  <c r="X56" i="3"/>
  <c r="K56" i="3"/>
  <c r="I56" i="3"/>
  <c r="X52" i="3"/>
  <c r="Z52" i="3" s="1"/>
  <c r="T52" i="3"/>
  <c r="K52" i="3"/>
  <c r="I52" i="3"/>
  <c r="I46" i="3" s="1"/>
  <c r="X44" i="3"/>
  <c r="T43" i="3"/>
  <c r="K44" i="3"/>
  <c r="K43" i="3" s="1"/>
  <c r="G104" i="8" s="1"/>
  <c r="I44" i="3"/>
  <c r="I43" i="3" s="1"/>
  <c r="D104" i="8" s="1"/>
  <c r="X41" i="3"/>
  <c r="X40" i="3" s="1"/>
  <c r="V41" i="3"/>
  <c r="K41" i="3"/>
  <c r="I41" i="3"/>
  <c r="I40" i="3" s="1"/>
  <c r="X39" i="3"/>
  <c r="Z39" i="3" s="1"/>
  <c r="K39" i="3"/>
  <c r="I39" i="3"/>
  <c r="X38" i="3"/>
  <c r="Z38" i="3" s="1"/>
  <c r="T38" i="3"/>
  <c r="V38" i="3" s="1"/>
  <c r="K38" i="3"/>
  <c r="I38" i="3"/>
  <c r="X37" i="3"/>
  <c r="Z37" i="3" s="1"/>
  <c r="T37" i="3"/>
  <c r="V37" i="3" s="1"/>
  <c r="K37" i="3"/>
  <c r="I37" i="3"/>
  <c r="X25" i="3"/>
  <c r="X24" i="3" s="1"/>
  <c r="K25" i="3"/>
  <c r="I25" i="3"/>
  <c r="X23" i="3"/>
  <c r="Z23" i="3" s="1"/>
  <c r="V23" i="3"/>
  <c r="K23" i="3"/>
  <c r="I23" i="3"/>
  <c r="X22" i="3"/>
  <c r="K22" i="3"/>
  <c r="I22" i="3"/>
  <c r="X20" i="3"/>
  <c r="Z20" i="3" s="1"/>
  <c r="T20" i="3"/>
  <c r="V20" i="3" s="1"/>
  <c r="K20" i="3"/>
  <c r="I20" i="3"/>
  <c r="X18" i="3"/>
  <c r="Z18" i="3" s="1"/>
  <c r="T18" i="3"/>
  <c r="V18" i="3" s="1"/>
  <c r="K18" i="3"/>
  <c r="I18" i="3"/>
  <c r="T17" i="3"/>
  <c r="K17" i="3"/>
  <c r="I17" i="3"/>
  <c r="X9" i="3"/>
  <c r="Z9" i="3" s="1"/>
  <c r="T9" i="3"/>
  <c r="V9" i="3" s="1"/>
  <c r="I9" i="3"/>
  <c r="X7" i="3"/>
  <c r="Z7" i="3" s="1"/>
  <c r="T7" i="3"/>
  <c r="V7" i="3" s="1"/>
  <c r="K7" i="3"/>
  <c r="I7" i="3"/>
  <c r="X6" i="3"/>
  <c r="Z6" i="3" s="1"/>
  <c r="K6" i="3"/>
  <c r="I6" i="3"/>
  <c r="T157" i="4"/>
  <c r="V157" i="4" s="1"/>
  <c r="K157" i="4"/>
  <c r="I157" i="4"/>
  <c r="T156" i="4"/>
  <c r="V156" i="4" s="1"/>
  <c r="K156" i="4"/>
  <c r="I156" i="4"/>
  <c r="T154" i="4"/>
  <c r="V154" i="4" s="1"/>
  <c r="K154" i="4"/>
  <c r="I154" i="4"/>
  <c r="T152" i="4"/>
  <c r="V152" i="4" s="1"/>
  <c r="K152" i="4"/>
  <c r="I152" i="4"/>
  <c r="T151" i="4"/>
  <c r="V151" i="4" s="1"/>
  <c r="K151" i="4"/>
  <c r="I151" i="4"/>
  <c r="T148" i="4"/>
  <c r="V148" i="4" s="1"/>
  <c r="K148" i="4"/>
  <c r="I148" i="4"/>
  <c r="T147" i="4"/>
  <c r="V147" i="4" s="1"/>
  <c r="K147" i="4"/>
  <c r="I147" i="4"/>
  <c r="T146" i="4"/>
  <c r="V146" i="4" s="1"/>
  <c r="K146" i="4"/>
  <c r="I146" i="4"/>
  <c r="T143" i="4"/>
  <c r="V143" i="4" s="1"/>
  <c r="K143" i="4"/>
  <c r="I143" i="4"/>
  <c r="K142" i="4"/>
  <c r="T141" i="4"/>
  <c r="V141" i="4" s="1"/>
  <c r="K141" i="4"/>
  <c r="I141" i="4"/>
  <c r="K137" i="4"/>
  <c r="I137" i="4"/>
  <c r="T134" i="4"/>
  <c r="V134" i="4" s="1"/>
  <c r="K134" i="4"/>
  <c r="I134" i="4"/>
  <c r="T133" i="4"/>
  <c r="V133" i="4" s="1"/>
  <c r="K133" i="4"/>
  <c r="I133" i="4"/>
  <c r="K131" i="4"/>
  <c r="I131" i="4"/>
  <c r="K128" i="4"/>
  <c r="I128" i="4"/>
  <c r="K127" i="4"/>
  <c r="I127" i="4"/>
  <c r="T125" i="4"/>
  <c r="V125" i="4" s="1"/>
  <c r="K125" i="4"/>
  <c r="T122" i="4"/>
  <c r="V122" i="4" s="1"/>
  <c r="K122" i="4"/>
  <c r="I122" i="4"/>
  <c r="K120" i="4"/>
  <c r="I120" i="4"/>
  <c r="T118" i="4"/>
  <c r="V118" i="4" s="1"/>
  <c r="K118" i="4"/>
  <c r="T116" i="4"/>
  <c r="V116" i="4" s="1"/>
  <c r="K116" i="4"/>
  <c r="K115" i="4"/>
  <c r="T114" i="4"/>
  <c r="V114" i="4" s="1"/>
  <c r="K114" i="4"/>
  <c r="T113" i="4"/>
  <c r="V113" i="4" s="1"/>
  <c r="K113" i="4"/>
  <c r="K111" i="4"/>
  <c r="I111" i="4"/>
  <c r="K110" i="4"/>
  <c r="I110" i="4"/>
  <c r="T108" i="4"/>
  <c r="V108" i="4" s="1"/>
  <c r="K108" i="4"/>
  <c r="I108" i="4"/>
  <c r="T107" i="4"/>
  <c r="V107" i="4" s="1"/>
  <c r="K107" i="4"/>
  <c r="I107" i="4"/>
  <c r="T106" i="4"/>
  <c r="V106" i="4" s="1"/>
  <c r="I106" i="4"/>
  <c r="K104" i="4"/>
  <c r="K102" i="4"/>
  <c r="I102" i="4"/>
  <c r="K101" i="4"/>
  <c r="I101" i="4"/>
  <c r="G148" i="8"/>
  <c r="D148" i="8"/>
  <c r="K96" i="4"/>
  <c r="K95" i="4" s="1"/>
  <c r="G146" i="8" s="1"/>
  <c r="I96" i="4"/>
  <c r="I95" i="4" s="1"/>
  <c r="D146" i="8" s="1"/>
  <c r="T94" i="4"/>
  <c r="V94" i="4" s="1"/>
  <c r="K94" i="4"/>
  <c r="I94" i="4"/>
  <c r="T92" i="4"/>
  <c r="V92" i="4" s="1"/>
  <c r="K92" i="4"/>
  <c r="I92" i="4"/>
  <c r="T90" i="4"/>
  <c r="V90" i="4" s="1"/>
  <c r="K90" i="4"/>
  <c r="I90" i="4"/>
  <c r="T86" i="4"/>
  <c r="V86" i="4" s="1"/>
  <c r="K86" i="4"/>
  <c r="I86" i="4"/>
  <c r="T85" i="4"/>
  <c r="V85" i="4" s="1"/>
  <c r="K85" i="4"/>
  <c r="I85" i="4"/>
  <c r="K81" i="4"/>
  <c r="I81" i="4"/>
  <c r="T80" i="4"/>
  <c r="V80" i="4" s="1"/>
  <c r="V79" i="4" s="1"/>
  <c r="K80" i="4"/>
  <c r="I80" i="4"/>
  <c r="T78" i="4"/>
  <c r="K78" i="4"/>
  <c r="K77" i="4" s="1"/>
  <c r="G141" i="8" s="1"/>
  <c r="I78" i="4"/>
  <c r="I77" i="4" s="1"/>
  <c r="D141" i="8" s="1"/>
  <c r="T76" i="4"/>
  <c r="V76" i="4" s="1"/>
  <c r="K76" i="4"/>
  <c r="I76" i="4"/>
  <c r="T75" i="4"/>
  <c r="V75" i="4" s="1"/>
  <c r="K75" i="4"/>
  <c r="I75" i="4"/>
  <c r="K74" i="4"/>
  <c r="I74" i="4"/>
  <c r="K71" i="4"/>
  <c r="I71" i="4"/>
  <c r="T69" i="4"/>
  <c r="K70" i="4"/>
  <c r="I70" i="4"/>
  <c r="K68" i="4"/>
  <c r="I68" i="4"/>
  <c r="T67" i="4"/>
  <c r="V67" i="4" s="1"/>
  <c r="K67" i="4"/>
  <c r="I67" i="4"/>
  <c r="T66" i="4"/>
  <c r="V66" i="4" s="1"/>
  <c r="K66" i="4"/>
  <c r="I66" i="4"/>
  <c r="K65" i="4"/>
  <c r="I65" i="4"/>
  <c r="T62" i="4"/>
  <c r="K62" i="4"/>
  <c r="K61" i="4" s="1"/>
  <c r="I62" i="4"/>
  <c r="I61" i="4" s="1"/>
  <c r="T59" i="4"/>
  <c r="K59" i="4"/>
  <c r="I59" i="4"/>
  <c r="L134" i="8"/>
  <c r="T54" i="4"/>
  <c r="V54" i="4" s="1"/>
  <c r="V53" i="4" s="1"/>
  <c r="K54" i="4"/>
  <c r="I54" i="4"/>
  <c r="T48" i="4"/>
  <c r="V48" i="4" s="1"/>
  <c r="K48" i="4"/>
  <c r="I48" i="4"/>
  <c r="T47" i="4"/>
  <c r="V47" i="4" s="1"/>
  <c r="K47" i="4"/>
  <c r="I47" i="4"/>
  <c r="T45" i="4"/>
  <c r="V45" i="4" s="1"/>
  <c r="K45" i="4"/>
  <c r="I45" i="4"/>
  <c r="T40" i="4"/>
  <c r="V40" i="4" s="1"/>
  <c r="K40" i="4"/>
  <c r="I40" i="4"/>
  <c r="T39" i="4"/>
  <c r="V39" i="4" s="1"/>
  <c r="K39" i="4"/>
  <c r="I39" i="4"/>
  <c r="K36" i="4"/>
  <c r="I36" i="4"/>
  <c r="I33" i="4" s="1"/>
  <c r="I26" i="4" s="1"/>
  <c r="K34" i="4"/>
  <c r="K25" i="4"/>
  <c r="I25" i="4"/>
  <c r="K23" i="4"/>
  <c r="I23" i="4"/>
  <c r="T18" i="4"/>
  <c r="V18" i="4" s="1"/>
  <c r="K18" i="4"/>
  <c r="I18" i="4"/>
  <c r="T17" i="4"/>
  <c r="V17" i="4" s="1"/>
  <c r="K17" i="4"/>
  <c r="I17" i="4"/>
  <c r="T16" i="4"/>
  <c r="V16" i="4" s="1"/>
  <c r="K16" i="4"/>
  <c r="I16" i="4"/>
  <c r="T15" i="4"/>
  <c r="V15" i="4" s="1"/>
  <c r="K15" i="4"/>
  <c r="I15" i="4"/>
  <c r="T14" i="4"/>
  <c r="V14" i="4" s="1"/>
  <c r="K14" i="4"/>
  <c r="I14" i="4"/>
  <c r="T13" i="4"/>
  <c r="V13" i="4" s="1"/>
  <c r="K13" i="4"/>
  <c r="I13" i="4"/>
  <c r="T7" i="4"/>
  <c r="V7" i="4" s="1"/>
  <c r="K7" i="4"/>
  <c r="I7" i="4"/>
  <c r="I6" i="4"/>
  <c r="X138" i="5"/>
  <c r="Z138" i="5" s="1"/>
  <c r="T138" i="5"/>
  <c r="V138" i="5" s="1"/>
  <c r="X137" i="5"/>
  <c r="T137" i="5"/>
  <c r="V137" i="5" s="1"/>
  <c r="X133" i="5"/>
  <c r="Z133" i="5" s="1"/>
  <c r="V133" i="5"/>
  <c r="K133" i="5"/>
  <c r="I133" i="5"/>
  <c r="X132" i="5"/>
  <c r="Z132" i="5" s="1"/>
  <c r="T132" i="5"/>
  <c r="K132" i="5"/>
  <c r="I132" i="5"/>
  <c r="T129" i="5"/>
  <c r="V129" i="5" s="1"/>
  <c r="F129" i="5"/>
  <c r="X127" i="5"/>
  <c r="Z127" i="5" s="1"/>
  <c r="T127" i="5"/>
  <c r="V127" i="5" s="1"/>
  <c r="K127" i="5"/>
  <c r="I127" i="5"/>
  <c r="K126" i="5"/>
  <c r="I126" i="5"/>
  <c r="X125" i="5"/>
  <c r="T125" i="5"/>
  <c r="V125" i="5" s="1"/>
  <c r="K125" i="5"/>
  <c r="I125" i="5"/>
  <c r="X124" i="5"/>
  <c r="Z124" i="5" s="1"/>
  <c r="K124" i="5"/>
  <c r="I124" i="5"/>
  <c r="X122" i="5"/>
  <c r="Z122" i="5" s="1"/>
  <c r="T122" i="5"/>
  <c r="V122" i="5" s="1"/>
  <c r="K122" i="5"/>
  <c r="I122" i="5"/>
  <c r="X121" i="5"/>
  <c r="Z121" i="5" s="1"/>
  <c r="T121" i="5"/>
  <c r="V121" i="5" s="1"/>
  <c r="K121" i="5"/>
  <c r="I121" i="5"/>
  <c r="X120" i="5"/>
  <c r="Z120" i="5" s="1"/>
  <c r="T120" i="5"/>
  <c r="V120" i="5" s="1"/>
  <c r="K120" i="5"/>
  <c r="I120" i="5"/>
  <c r="X119" i="5"/>
  <c r="Z119" i="5" s="1"/>
  <c r="T119" i="5"/>
  <c r="V119" i="5" s="1"/>
  <c r="K119" i="5"/>
  <c r="X118" i="5"/>
  <c r="Z118" i="5" s="1"/>
  <c r="T118" i="5"/>
  <c r="V118" i="5" s="1"/>
  <c r="K118" i="5"/>
  <c r="I118" i="5"/>
  <c r="X117" i="5"/>
  <c r="Z117" i="5" s="1"/>
  <c r="T117" i="5"/>
  <c r="K117" i="5"/>
  <c r="I117" i="5"/>
  <c r="K114" i="5"/>
  <c r="I114" i="5"/>
  <c r="X113" i="5"/>
  <c r="V113" i="5"/>
  <c r="V110" i="5" s="1"/>
  <c r="K113" i="5"/>
  <c r="I113" i="5"/>
  <c r="X108" i="5"/>
  <c r="Z108" i="5" s="1"/>
  <c r="T108" i="5"/>
  <c r="V108" i="5" s="1"/>
  <c r="K108" i="5"/>
  <c r="I108" i="5"/>
  <c r="X107" i="5"/>
  <c r="Z107" i="5" s="1"/>
  <c r="T107" i="5"/>
  <c r="V107" i="5" s="1"/>
  <c r="K107" i="5"/>
  <c r="I107" i="5"/>
  <c r="X106" i="5"/>
  <c r="T106" i="5"/>
  <c r="V106" i="5" s="1"/>
  <c r="K106" i="5"/>
  <c r="I106" i="5"/>
  <c r="X104" i="5"/>
  <c r="Z104" i="5" s="1"/>
  <c r="T104" i="5"/>
  <c r="V104" i="5" s="1"/>
  <c r="K104" i="5"/>
  <c r="I104" i="5"/>
  <c r="X103" i="5"/>
  <c r="Z103" i="5" s="1"/>
  <c r="T103" i="5"/>
  <c r="V103" i="5" s="1"/>
  <c r="K103" i="5"/>
  <c r="I103" i="5"/>
  <c r="X102" i="5"/>
  <c r="Z102" i="5" s="1"/>
  <c r="V102" i="5"/>
  <c r="K102" i="5"/>
  <c r="I102" i="5"/>
  <c r="X97" i="5"/>
  <c r="Z97" i="5" s="1"/>
  <c r="T97" i="5"/>
  <c r="V97" i="5" s="1"/>
  <c r="K97" i="5"/>
  <c r="I97" i="5"/>
  <c r="X96" i="5"/>
  <c r="Z96" i="5" s="1"/>
  <c r="T96" i="5"/>
  <c r="V96" i="5" s="1"/>
  <c r="K96" i="5"/>
  <c r="I96" i="5"/>
  <c r="X95" i="5"/>
  <c r="Z95" i="5" s="1"/>
  <c r="K95" i="5"/>
  <c r="I95" i="5"/>
  <c r="G187" i="8"/>
  <c r="D187" i="8"/>
  <c r="X90" i="5"/>
  <c r="X85" i="5" s="1"/>
  <c r="Y85" i="5" s="1"/>
  <c r="V90" i="5"/>
  <c r="V85" i="5" s="1"/>
  <c r="K90" i="5"/>
  <c r="K85" i="5" s="1"/>
  <c r="I90" i="5"/>
  <c r="I85" i="5" s="1"/>
  <c r="X84" i="5"/>
  <c r="Z84" i="5" s="1"/>
  <c r="T84" i="5"/>
  <c r="V84" i="5" s="1"/>
  <c r="K84" i="5"/>
  <c r="I84" i="5"/>
  <c r="X83" i="5"/>
  <c r="Z83" i="5" s="1"/>
  <c r="T83" i="5"/>
  <c r="K83" i="5"/>
  <c r="I83" i="5"/>
  <c r="X82" i="5"/>
  <c r="Z82" i="5" s="1"/>
  <c r="V82" i="5"/>
  <c r="K82" i="5"/>
  <c r="I82" i="5"/>
  <c r="X81" i="5"/>
  <c r="Z81" i="5" s="1"/>
  <c r="T81" i="5"/>
  <c r="K81" i="5"/>
  <c r="I81" i="5"/>
  <c r="X80" i="5"/>
  <c r="Z80" i="5" s="1"/>
  <c r="V80" i="5"/>
  <c r="K80" i="5"/>
  <c r="I80" i="5"/>
  <c r="X79" i="5"/>
  <c r="V79" i="5"/>
  <c r="K79" i="5"/>
  <c r="I79" i="5"/>
  <c r="X76" i="5"/>
  <c r="Z76" i="5" s="1"/>
  <c r="T76" i="5"/>
  <c r="V76" i="5" s="1"/>
  <c r="K76" i="5"/>
  <c r="I76" i="5"/>
  <c r="X75" i="5"/>
  <c r="Z75" i="5" s="1"/>
  <c r="T75" i="5"/>
  <c r="K75" i="5"/>
  <c r="I75" i="5"/>
  <c r="X73" i="5"/>
  <c r="Z73" i="5" s="1"/>
  <c r="T73" i="5"/>
  <c r="V73" i="5" s="1"/>
  <c r="K73" i="5"/>
  <c r="I73" i="5"/>
  <c r="X70" i="5"/>
  <c r="Z70" i="5" s="1"/>
  <c r="T70" i="5"/>
  <c r="V70" i="5" s="1"/>
  <c r="K70" i="5"/>
  <c r="I70" i="5"/>
  <c r="X69" i="5"/>
  <c r="T69" i="5"/>
  <c r="V69" i="5" s="1"/>
  <c r="K69" i="5"/>
  <c r="I69" i="5"/>
  <c r="X67" i="5"/>
  <c r="T67" i="5"/>
  <c r="T66" i="5" s="1"/>
  <c r="K67" i="5"/>
  <c r="K66" i="5" s="1"/>
  <c r="G181" i="8" s="1"/>
  <c r="I67" i="5"/>
  <c r="I66" i="5" s="1"/>
  <c r="D181" i="8" s="1"/>
  <c r="X65" i="5"/>
  <c r="Z65" i="5" s="1"/>
  <c r="T65" i="5"/>
  <c r="V65" i="5" s="1"/>
  <c r="K65" i="5"/>
  <c r="I65" i="5"/>
  <c r="X64" i="5"/>
  <c r="Z64" i="5" s="1"/>
  <c r="T64" i="5"/>
  <c r="V64" i="5" s="1"/>
  <c r="K64" i="5"/>
  <c r="I64" i="5"/>
  <c r="X63" i="5"/>
  <c r="Z63" i="5" s="1"/>
  <c r="V63" i="5"/>
  <c r="K63" i="5"/>
  <c r="I63" i="5"/>
  <c r="X62" i="5"/>
  <c r="Z62" i="5" s="1"/>
  <c r="K62" i="5"/>
  <c r="I62" i="5"/>
  <c r="X60" i="5"/>
  <c r="Z60" i="5" s="1"/>
  <c r="T60" i="5"/>
  <c r="V60" i="5" s="1"/>
  <c r="K60" i="5"/>
  <c r="I60" i="5"/>
  <c r="X59" i="5"/>
  <c r="Z59" i="5" s="1"/>
  <c r="K59" i="5"/>
  <c r="I59" i="5"/>
  <c r="G177" i="8"/>
  <c r="D177" i="8"/>
  <c r="X54" i="5"/>
  <c r="Z54" i="5" s="1"/>
  <c r="T54" i="5"/>
  <c r="V54" i="5" s="1"/>
  <c r="K54" i="5"/>
  <c r="I54" i="5"/>
  <c r="X53" i="5"/>
  <c r="Z53" i="5" s="1"/>
  <c r="V53" i="5"/>
  <c r="K53" i="5"/>
  <c r="I53" i="5"/>
  <c r="X52" i="5"/>
  <c r="Z52" i="5" s="1"/>
  <c r="V52" i="5"/>
  <c r="K52" i="5"/>
  <c r="I52" i="5"/>
  <c r="X51" i="5"/>
  <c r="Z51" i="5" s="1"/>
  <c r="T51" i="5"/>
  <c r="V51" i="5" s="1"/>
  <c r="I51" i="5"/>
  <c r="X50" i="5"/>
  <c r="V50" i="5"/>
  <c r="I50" i="5"/>
  <c r="Z46" i="5"/>
  <c r="V46" i="5"/>
  <c r="K46" i="5"/>
  <c r="I46" i="5"/>
  <c r="X45" i="5"/>
  <c r="Z45" i="5" s="1"/>
  <c r="T45" i="5"/>
  <c r="V45" i="5" s="1"/>
  <c r="K45" i="5"/>
  <c r="I45" i="5"/>
  <c r="X38" i="5"/>
  <c r="Z38" i="5" s="1"/>
  <c r="T38" i="5"/>
  <c r="V38" i="5" s="1"/>
  <c r="K38" i="5"/>
  <c r="I38" i="5"/>
  <c r="X37" i="5"/>
  <c r="Z37" i="5" s="1"/>
  <c r="T37" i="5"/>
  <c r="V37" i="5" s="1"/>
  <c r="K37" i="5"/>
  <c r="I37" i="5"/>
  <c r="X31" i="5"/>
  <c r="T30" i="5"/>
  <c r="K31" i="5"/>
  <c r="K30" i="5" s="1"/>
  <c r="G170" i="8" s="1"/>
  <c r="I31" i="5"/>
  <c r="I30" i="5" s="1"/>
  <c r="D170" i="8" s="1"/>
  <c r="X28" i="5"/>
  <c r="Z28" i="5" s="1"/>
  <c r="T28" i="5"/>
  <c r="V28" i="5" s="1"/>
  <c r="K28" i="5"/>
  <c r="I28" i="5"/>
  <c r="X27" i="5"/>
  <c r="Z27" i="5" s="1"/>
  <c r="T27" i="5"/>
  <c r="V27" i="5" s="1"/>
  <c r="K27" i="5"/>
  <c r="I27" i="5"/>
  <c r="X25" i="5"/>
  <c r="Z25" i="5" s="1"/>
  <c r="T25" i="5"/>
  <c r="V25" i="5" s="1"/>
  <c r="K25" i="5"/>
  <c r="I25" i="5"/>
  <c r="X24" i="5"/>
  <c r="Z24" i="5" s="1"/>
  <c r="T24" i="5"/>
  <c r="K24" i="5"/>
  <c r="I24" i="5"/>
  <c r="X22" i="5"/>
  <c r="Z22" i="5" s="1"/>
  <c r="T22" i="5"/>
  <c r="V22" i="5" s="1"/>
  <c r="K22" i="5"/>
  <c r="I22" i="5"/>
  <c r="X19" i="5"/>
  <c r="V19" i="5"/>
  <c r="K19" i="5"/>
  <c r="I19" i="5"/>
  <c r="X16" i="5"/>
  <c r="Z16" i="5" s="1"/>
  <c r="T16" i="5"/>
  <c r="V16" i="5" s="1"/>
  <c r="K16" i="5"/>
  <c r="I16" i="5"/>
  <c r="X15" i="5"/>
  <c r="Z15" i="5" s="1"/>
  <c r="T15" i="5"/>
  <c r="V15" i="5" s="1"/>
  <c r="K15" i="5"/>
  <c r="I15" i="5"/>
  <c r="Z14" i="5"/>
  <c r="T14" i="5"/>
  <c r="V14" i="5" s="1"/>
  <c r="K14" i="5"/>
  <c r="I14" i="5"/>
  <c r="X13" i="5"/>
  <c r="Z13" i="5" s="1"/>
  <c r="T13" i="5"/>
  <c r="I13" i="5"/>
  <c r="X11" i="5"/>
  <c r="Z11" i="5" s="1"/>
  <c r="V11" i="5"/>
  <c r="K11" i="5"/>
  <c r="I11" i="5"/>
  <c r="X10" i="5"/>
  <c r="T9" i="5"/>
  <c r="K10" i="5"/>
  <c r="I10" i="5"/>
  <c r="K186" i="8" l="1"/>
  <c r="K58" i="5"/>
  <c r="I36" i="5"/>
  <c r="D172" i="8" s="1"/>
  <c r="V105" i="4"/>
  <c r="V46" i="4"/>
  <c r="V91" i="4"/>
  <c r="V121" i="4"/>
  <c r="K5" i="3"/>
  <c r="K4" i="3" s="1"/>
  <c r="Z113" i="5"/>
  <c r="Z110" i="5" s="1"/>
  <c r="L192" i="8" s="1"/>
  <c r="X110" i="5"/>
  <c r="I129" i="5"/>
  <c r="I123" i="5" s="1"/>
  <c r="L129" i="5"/>
  <c r="L123" i="5" s="1"/>
  <c r="J129" i="5"/>
  <c r="J123" i="5" s="1"/>
  <c r="V64" i="4"/>
  <c r="Z137" i="5"/>
  <c r="Z134" i="5" s="1"/>
  <c r="L196" i="8" s="1"/>
  <c r="X134" i="5"/>
  <c r="Y134" i="5" s="1"/>
  <c r="Z50" i="5"/>
  <c r="Z49" i="5" s="1"/>
  <c r="Z48" i="5" s="1"/>
  <c r="X49" i="5"/>
  <c r="X48" i="5" s="1"/>
  <c r="V83" i="4"/>
  <c r="Z19" i="5"/>
  <c r="Z18" i="5" s="1"/>
  <c r="L167" i="8" s="1"/>
  <c r="X18" i="5"/>
  <c r="Z26" i="5"/>
  <c r="L169" i="8" s="1"/>
  <c r="Z125" i="5"/>
  <c r="I362" i="18"/>
  <c r="V38" i="4"/>
  <c r="Z10" i="5"/>
  <c r="Z9" i="5" s="1"/>
  <c r="L164" i="8" s="1"/>
  <c r="X9" i="5"/>
  <c r="V134" i="5"/>
  <c r="I5" i="4"/>
  <c r="V73" i="4"/>
  <c r="V144" i="4"/>
  <c r="T77" i="4"/>
  <c r="V78" i="4"/>
  <c r="V77" i="4" s="1"/>
  <c r="V5" i="4"/>
  <c r="V4" i="4" s="1"/>
  <c r="D137" i="8"/>
  <c r="T57" i="4"/>
  <c r="V59" i="4"/>
  <c r="V57" i="4" s="1"/>
  <c r="V109" i="4"/>
  <c r="V140" i="4"/>
  <c r="V150" i="4"/>
  <c r="T61" i="4"/>
  <c r="V62" i="4"/>
  <c r="V61" i="4" s="1"/>
  <c r="Z130" i="3"/>
  <c r="Z129" i="3" s="1"/>
  <c r="L122" i="8" s="1"/>
  <c r="X129" i="3"/>
  <c r="J122" i="8" s="1"/>
  <c r="F122" i="8" s="1"/>
  <c r="V59" i="3"/>
  <c r="K99" i="8"/>
  <c r="T16" i="3"/>
  <c r="Z109" i="3"/>
  <c r="Z107" i="3" s="1"/>
  <c r="L118" i="8" s="1"/>
  <c r="X107" i="3"/>
  <c r="Z22" i="3"/>
  <c r="Z21" i="3" s="1"/>
  <c r="X21" i="3"/>
  <c r="K34" i="3"/>
  <c r="K43" i="5"/>
  <c r="G174" i="8" s="1"/>
  <c r="Z79" i="5"/>
  <c r="Z78" i="5" s="1"/>
  <c r="X78" i="5"/>
  <c r="T78" i="5"/>
  <c r="I110" i="5"/>
  <c r="Z126" i="3"/>
  <c r="Z125" i="3" s="1"/>
  <c r="L121" i="8" s="1"/>
  <c r="X125" i="3"/>
  <c r="J121" i="8" s="1"/>
  <c r="F121" i="8" s="1"/>
  <c r="V52" i="3"/>
  <c r="V46" i="3" s="1"/>
  <c r="T46" i="3"/>
  <c r="Z41" i="3"/>
  <c r="Z40" i="3" s="1"/>
  <c r="L103" i="8" s="1"/>
  <c r="J103" i="8"/>
  <c r="F103" i="8" s="1"/>
  <c r="Z25" i="3"/>
  <c r="Z24" i="3" s="1"/>
  <c r="L99" i="8" s="1"/>
  <c r="Z56" i="3"/>
  <c r="Z54" i="3" s="1"/>
  <c r="L107" i="8" s="1"/>
  <c r="X54" i="3"/>
  <c r="J125" i="8"/>
  <c r="F125" i="8" s="1"/>
  <c r="I121" i="4"/>
  <c r="D152" i="8" s="1"/>
  <c r="L156" i="8"/>
  <c r="J156" i="8"/>
  <c r="F156" i="8" s="1"/>
  <c r="I144" i="4"/>
  <c r="D156" i="8" s="1"/>
  <c r="T79" i="4"/>
  <c r="L142" i="8"/>
  <c r="I18" i="5"/>
  <c r="Z90" i="5"/>
  <c r="Z85" i="5" s="1"/>
  <c r="J186" i="8"/>
  <c r="F186" i="8" s="1"/>
  <c r="L151" i="8"/>
  <c r="J151" i="8"/>
  <c r="F151" i="8" s="1"/>
  <c r="Z88" i="3"/>
  <c r="Z86" i="3" s="1"/>
  <c r="Z67" i="3" s="1"/>
  <c r="X86" i="3"/>
  <c r="X67" i="3" s="1"/>
  <c r="V86" i="3"/>
  <c r="V67" i="3" s="1"/>
  <c r="V83" i="5"/>
  <c r="V102" i="3"/>
  <c r="T101" i="3"/>
  <c r="T109" i="4"/>
  <c r="V17" i="3"/>
  <c r="V16" i="3" s="1"/>
  <c r="I69" i="4"/>
  <c r="D139" i="8" s="1"/>
  <c r="Z23" i="5"/>
  <c r="L168" i="8" s="1"/>
  <c r="D129" i="8"/>
  <c r="T136" i="4"/>
  <c r="V49" i="5"/>
  <c r="I9" i="5"/>
  <c r="D160" i="8"/>
  <c r="L154" i="8"/>
  <c r="V6" i="3"/>
  <c r="V5" i="3" s="1"/>
  <c r="V4" i="3" s="1"/>
  <c r="T5" i="3"/>
  <c r="T4" i="3" s="1"/>
  <c r="L157" i="8"/>
  <c r="L150" i="8"/>
  <c r="L149" i="8"/>
  <c r="L133" i="8"/>
  <c r="L152" i="8"/>
  <c r="J148" i="8"/>
  <c r="F148" i="8" s="1"/>
  <c r="L148" i="8"/>
  <c r="L132" i="8"/>
  <c r="J137" i="8"/>
  <c r="F137" i="8" s="1"/>
  <c r="L145" i="8"/>
  <c r="J141" i="8"/>
  <c r="F141" i="8" s="1"/>
  <c r="L141" i="8"/>
  <c r="L129" i="8"/>
  <c r="L140" i="8"/>
  <c r="L138" i="8"/>
  <c r="Z12" i="5"/>
  <c r="J146" i="8"/>
  <c r="F146" i="8" s="1"/>
  <c r="L146" i="8"/>
  <c r="I12" i="5"/>
  <c r="Z58" i="5"/>
  <c r="Z94" i="5"/>
  <c r="L188" i="8" s="1"/>
  <c r="Z99" i="5"/>
  <c r="L189" i="8" s="1"/>
  <c r="L197" i="8"/>
  <c r="K26" i="5"/>
  <c r="X30" i="5"/>
  <c r="J170" i="8" s="1"/>
  <c r="F170" i="8" s="1"/>
  <c r="Z31" i="5"/>
  <c r="Z30" i="5" s="1"/>
  <c r="L170" i="8" s="1"/>
  <c r="Z74" i="5"/>
  <c r="L183" i="8" s="1"/>
  <c r="J187" i="8"/>
  <c r="F187" i="8" s="1"/>
  <c r="L187" i="8"/>
  <c r="X105" i="5"/>
  <c r="J190" i="8" s="1"/>
  <c r="F190" i="8" s="1"/>
  <c r="Z106" i="5"/>
  <c r="Z105" i="5" s="1"/>
  <c r="L190" i="8" s="1"/>
  <c r="Z131" i="5"/>
  <c r="L195" i="8" s="1"/>
  <c r="L173" i="8"/>
  <c r="Z43" i="5"/>
  <c r="L174" i="8" s="1"/>
  <c r="J177" i="8"/>
  <c r="F177" i="8" s="1"/>
  <c r="L177" i="8"/>
  <c r="I94" i="5"/>
  <c r="D188" i="8" s="1"/>
  <c r="I86" i="3"/>
  <c r="I67" i="3" s="1"/>
  <c r="D114" i="8"/>
  <c r="G111" i="8"/>
  <c r="Z117" i="3"/>
  <c r="L119" i="8" s="1"/>
  <c r="Z5" i="3"/>
  <c r="Z4" i="3" s="1"/>
  <c r="Z28" i="3"/>
  <c r="L100" i="8" s="1"/>
  <c r="Z34" i="3"/>
  <c r="L102" i="8" s="1"/>
  <c r="L111" i="8"/>
  <c r="L112" i="8"/>
  <c r="Z101" i="3"/>
  <c r="L117" i="8" s="1"/>
  <c r="L114" i="8"/>
  <c r="L115" i="8"/>
  <c r="Z16" i="3"/>
  <c r="K46" i="3"/>
  <c r="X43" i="3"/>
  <c r="J104" i="8" s="1"/>
  <c r="F104" i="8" s="1"/>
  <c r="Z44" i="3"/>
  <c r="Z43" i="3" s="1"/>
  <c r="L104" i="8" s="1"/>
  <c r="Z46" i="3"/>
  <c r="L106" i="8" s="1"/>
  <c r="Z59" i="3"/>
  <c r="L108" i="8" s="1"/>
  <c r="Z36" i="5"/>
  <c r="L172" i="8" s="1"/>
  <c r="X68" i="5"/>
  <c r="J182" i="8" s="1"/>
  <c r="F182" i="8" s="1"/>
  <c r="Z69" i="5"/>
  <c r="Z68" i="5" s="1"/>
  <c r="L182" i="8" s="1"/>
  <c r="X66" i="5"/>
  <c r="J181" i="8" s="1"/>
  <c r="F181" i="8" s="1"/>
  <c r="Z67" i="5"/>
  <c r="Z66" i="5" s="1"/>
  <c r="L181" i="8" s="1"/>
  <c r="Z61" i="5"/>
  <c r="L180" i="8" s="1"/>
  <c r="X58" i="5"/>
  <c r="V124" i="5"/>
  <c r="V123" i="5" s="1"/>
  <c r="T123" i="5"/>
  <c r="L144" i="8"/>
  <c r="L135" i="8"/>
  <c r="L126" i="8"/>
  <c r="L109" i="8"/>
  <c r="Z116" i="5"/>
  <c r="L193" i="8" s="1"/>
  <c r="T94" i="5"/>
  <c r="K18" i="5"/>
  <c r="K23" i="5"/>
  <c r="G168" i="8" s="1"/>
  <c r="D173" i="8"/>
  <c r="X61" i="5"/>
  <c r="J180" i="8" s="1"/>
  <c r="F180" i="8" s="1"/>
  <c r="K9" i="5"/>
  <c r="I23" i="5"/>
  <c r="D168" i="8" s="1"/>
  <c r="T26" i="5"/>
  <c r="T23" i="5"/>
  <c r="X74" i="5"/>
  <c r="J183" i="8" s="1"/>
  <c r="F183" i="8" s="1"/>
  <c r="K105" i="5"/>
  <c r="G190" i="8" s="1"/>
  <c r="K78" i="5"/>
  <c r="V94" i="5"/>
  <c r="D163" i="8"/>
  <c r="G173" i="8"/>
  <c r="I58" i="5"/>
  <c r="D197" i="8"/>
  <c r="K12" i="5"/>
  <c r="J171" i="8"/>
  <c r="F171" i="8" s="1"/>
  <c r="J173" i="8"/>
  <c r="F173" i="8" s="1"/>
  <c r="X43" i="5"/>
  <c r="K61" i="5"/>
  <c r="G180" i="8" s="1"/>
  <c r="K94" i="5"/>
  <c r="G188" i="8" s="1"/>
  <c r="G197" i="8"/>
  <c r="D186" i="8"/>
  <c r="I105" i="5"/>
  <c r="D190" i="8" s="1"/>
  <c r="I140" i="4"/>
  <c r="D155" i="8" s="1"/>
  <c r="K5" i="4"/>
  <c r="T22" i="4"/>
  <c r="T38" i="4"/>
  <c r="T5" i="4"/>
  <c r="T134" i="5"/>
  <c r="K134" i="5"/>
  <c r="G196" i="8" s="1"/>
  <c r="I134" i="5"/>
  <c r="D196" i="8" s="1"/>
  <c r="K131" i="5"/>
  <c r="G195" i="8" s="1"/>
  <c r="I131" i="5"/>
  <c r="D195" i="8" s="1"/>
  <c r="X116" i="5"/>
  <c r="T33" i="4"/>
  <c r="T26" i="4" s="1"/>
  <c r="T36" i="5"/>
  <c r="T49" i="5"/>
  <c r="T48" i="5" s="1"/>
  <c r="V24" i="5"/>
  <c r="V23" i="5" s="1"/>
  <c r="I49" i="5"/>
  <c r="I48" i="5" s="1"/>
  <c r="V68" i="5"/>
  <c r="I99" i="5"/>
  <c r="D189" i="8" s="1"/>
  <c r="K129" i="5"/>
  <c r="K123" i="5" s="1"/>
  <c r="X23" i="5"/>
  <c r="J168" i="8" s="1"/>
  <c r="F168" i="8" s="1"/>
  <c r="K36" i="5"/>
  <c r="G172" i="8" s="1"/>
  <c r="K49" i="5"/>
  <c r="K48" i="5" s="1"/>
  <c r="K99" i="5"/>
  <c r="G189" i="8" s="1"/>
  <c r="V105" i="5"/>
  <c r="I116" i="5"/>
  <c r="D193" i="8" s="1"/>
  <c r="K110" i="5"/>
  <c r="V26" i="5"/>
  <c r="D171" i="8"/>
  <c r="V36" i="5"/>
  <c r="T99" i="5"/>
  <c r="K116" i="5"/>
  <c r="G193" i="8" s="1"/>
  <c r="X129" i="5"/>
  <c r="I366" i="18" s="1"/>
  <c r="J197" i="8"/>
  <c r="F197" i="8" s="1"/>
  <c r="J163" i="8"/>
  <c r="F163" i="8" s="1"/>
  <c r="X26" i="5"/>
  <c r="J169" i="8" s="1"/>
  <c r="F169" i="8" s="1"/>
  <c r="G171" i="8"/>
  <c r="X36" i="5"/>
  <c r="J172" i="8" s="1"/>
  <c r="F172" i="8" s="1"/>
  <c r="K68" i="5"/>
  <c r="G182" i="8" s="1"/>
  <c r="I74" i="5"/>
  <c r="D183" i="8" s="1"/>
  <c r="T110" i="5"/>
  <c r="T116" i="5"/>
  <c r="T131" i="5"/>
  <c r="T18" i="5"/>
  <c r="T68" i="5"/>
  <c r="I78" i="5"/>
  <c r="X131" i="5"/>
  <c r="J195" i="8" s="1"/>
  <c r="F195" i="8" s="1"/>
  <c r="J135" i="8"/>
  <c r="F135" i="8" s="1"/>
  <c r="K22" i="4"/>
  <c r="I105" i="4"/>
  <c r="D150" i="8" s="1"/>
  <c r="K38" i="4"/>
  <c r="T95" i="4"/>
  <c r="G133" i="8"/>
  <c r="G137" i="8"/>
  <c r="T91" i="4"/>
  <c r="I64" i="4"/>
  <c r="I79" i="4"/>
  <c r="K46" i="4"/>
  <c r="G132" i="8" s="1"/>
  <c r="I136" i="4"/>
  <c r="K33" i="4"/>
  <c r="K26" i="4" s="1"/>
  <c r="T53" i="4"/>
  <c r="I73" i="4"/>
  <c r="D140" i="8" s="1"/>
  <c r="J133" i="8"/>
  <c r="F133" i="8" s="1"/>
  <c r="K69" i="4"/>
  <c r="G139" i="8" s="1"/>
  <c r="J145" i="8"/>
  <c r="F145" i="8" s="1"/>
  <c r="K100" i="4"/>
  <c r="D133" i="8"/>
  <c r="T100" i="4"/>
  <c r="K64" i="4"/>
  <c r="G138" i="8" s="1"/>
  <c r="K109" i="4"/>
  <c r="T140" i="4"/>
  <c r="J128" i="8"/>
  <c r="F128" i="8" s="1"/>
  <c r="T46" i="4"/>
  <c r="I57" i="4"/>
  <c r="J140" i="8"/>
  <c r="F140" i="8" s="1"/>
  <c r="I91" i="4"/>
  <c r="D145" i="8" s="1"/>
  <c r="I46" i="4"/>
  <c r="K79" i="4"/>
  <c r="T150" i="4"/>
  <c r="I150" i="4"/>
  <c r="D157" i="8" s="1"/>
  <c r="K105" i="4"/>
  <c r="G150" i="8" s="1"/>
  <c r="I100" i="4"/>
  <c r="J132" i="8"/>
  <c r="F132" i="8" s="1"/>
  <c r="J138" i="8"/>
  <c r="F138" i="8" s="1"/>
  <c r="K140" i="4"/>
  <c r="G155" i="8" s="1"/>
  <c r="I22" i="4"/>
  <c r="K53" i="4"/>
  <c r="G134" i="8" s="1"/>
  <c r="I53" i="4"/>
  <c r="D134" i="8" s="1"/>
  <c r="J139" i="8"/>
  <c r="F139" i="8" s="1"/>
  <c r="J150" i="8"/>
  <c r="F150" i="8" s="1"/>
  <c r="J157" i="8"/>
  <c r="F157" i="8" s="1"/>
  <c r="D103" i="8"/>
  <c r="T34" i="3"/>
  <c r="I54" i="3"/>
  <c r="D107" i="8" s="1"/>
  <c r="I21" i="3"/>
  <c r="D98" i="8" s="1"/>
  <c r="K54" i="3"/>
  <c r="G107" i="8" s="1"/>
  <c r="T40" i="3"/>
  <c r="T24" i="3"/>
  <c r="G114" i="8"/>
  <c r="X59" i="3"/>
  <c r="J109" i="8"/>
  <c r="F109" i="8" s="1"/>
  <c r="X16" i="3"/>
  <c r="X15" i="3" s="1"/>
  <c r="G112" i="8"/>
  <c r="K21" i="3"/>
  <c r="G98" i="8" s="1"/>
  <c r="D100" i="8"/>
  <c r="V40" i="3"/>
  <c r="J112" i="8"/>
  <c r="F112" i="8" s="1"/>
  <c r="D115" i="8"/>
  <c r="J115" i="8"/>
  <c r="K125" i="3"/>
  <c r="K129" i="3"/>
  <c r="G122" i="8" s="1"/>
  <c r="K86" i="3"/>
  <c r="K67" i="3" s="1"/>
  <c r="T117" i="3"/>
  <c r="T129" i="3"/>
  <c r="K101" i="3"/>
  <c r="V103" i="3"/>
  <c r="I107" i="3"/>
  <c r="D118" i="8" s="1"/>
  <c r="I16" i="3"/>
  <c r="K16" i="3"/>
  <c r="X34" i="3"/>
  <c r="K59" i="3"/>
  <c r="G108" i="8" s="1"/>
  <c r="G115" i="8"/>
  <c r="I129" i="3"/>
  <c r="D122" i="8" s="1"/>
  <c r="T59" i="3"/>
  <c r="K40" i="3"/>
  <c r="G103" i="8" s="1"/>
  <c r="D95" i="8"/>
  <c r="I34" i="3"/>
  <c r="I33" i="3" s="1"/>
  <c r="J114" i="8"/>
  <c r="F114" i="8" s="1"/>
  <c r="X117" i="3"/>
  <c r="J119" i="8" s="1"/>
  <c r="F119" i="8" s="1"/>
  <c r="I5" i="3"/>
  <c r="I4" i="3" s="1"/>
  <c r="I24" i="3"/>
  <c r="D99" i="8" s="1"/>
  <c r="X46" i="3"/>
  <c r="X45" i="3" s="1"/>
  <c r="J111" i="8"/>
  <c r="F111" i="8" s="1"/>
  <c r="I101" i="3"/>
  <c r="K107" i="3"/>
  <c r="G118" i="8" s="1"/>
  <c r="I117" i="3"/>
  <c r="D119" i="8" s="1"/>
  <c r="X5" i="3"/>
  <c r="X4" i="3" s="1"/>
  <c r="K24" i="3"/>
  <c r="G99" i="8" s="1"/>
  <c r="I59" i="3"/>
  <c r="D108" i="8" s="1"/>
  <c r="D112" i="8"/>
  <c r="X101" i="3"/>
  <c r="K117" i="3"/>
  <c r="G119" i="8" s="1"/>
  <c r="V126" i="3"/>
  <c r="V125" i="3" s="1"/>
  <c r="V107" i="3"/>
  <c r="V117" i="3"/>
  <c r="T86" i="3"/>
  <c r="T67" i="3" s="1"/>
  <c r="T107" i="3"/>
  <c r="V44" i="3"/>
  <c r="V43" i="3" s="1"/>
  <c r="T54" i="3"/>
  <c r="V130" i="3"/>
  <c r="V129" i="3" s="1"/>
  <c r="V22" i="3"/>
  <c r="V21" i="3" s="1"/>
  <c r="V34" i="3"/>
  <c r="V25" i="3"/>
  <c r="V24" i="3" s="1"/>
  <c r="K57" i="4"/>
  <c r="T83" i="4"/>
  <c r="K91" i="4"/>
  <c r="G145" i="8" s="1"/>
  <c r="K121" i="4"/>
  <c r="G152" i="8" s="1"/>
  <c r="J134" i="8"/>
  <c r="F134" i="8" s="1"/>
  <c r="T121" i="4"/>
  <c r="I38" i="4"/>
  <c r="K136" i="4"/>
  <c r="K73" i="4"/>
  <c r="G140" i="8" s="1"/>
  <c r="I83" i="4"/>
  <c r="T105" i="4"/>
  <c r="I109" i="4"/>
  <c r="J152" i="8"/>
  <c r="K144" i="4"/>
  <c r="G156" i="8" s="1"/>
  <c r="K150" i="4"/>
  <c r="G157" i="8" s="1"/>
  <c r="T73" i="4"/>
  <c r="K83" i="4"/>
  <c r="T144" i="4"/>
  <c r="V10" i="5"/>
  <c r="V9" i="5" s="1"/>
  <c r="V62" i="5"/>
  <c r="V61" i="5" s="1"/>
  <c r="T61" i="5"/>
  <c r="V99" i="5"/>
  <c r="V132" i="5"/>
  <c r="V131" i="5" s="1"/>
  <c r="I26" i="5"/>
  <c r="I43" i="5"/>
  <c r="D174" i="8" s="1"/>
  <c r="I68" i="5"/>
  <c r="D182" i="8" s="1"/>
  <c r="X99" i="5"/>
  <c r="J189" i="8" s="1"/>
  <c r="F189" i="8" s="1"/>
  <c r="T12" i="5"/>
  <c r="T4" i="5" s="1"/>
  <c r="V18" i="5"/>
  <c r="K74" i="5"/>
  <c r="G183" i="8" s="1"/>
  <c r="V81" i="5"/>
  <c r="V13" i="5"/>
  <c r="V12" i="5" s="1"/>
  <c r="V31" i="5"/>
  <c r="V30" i="5" s="1"/>
  <c r="T43" i="5"/>
  <c r="V43" i="5"/>
  <c r="T74" i="5"/>
  <c r="G186" i="8"/>
  <c r="X12" i="5"/>
  <c r="T85" i="5"/>
  <c r="X94" i="5"/>
  <c r="T58" i="5"/>
  <c r="I61" i="5"/>
  <c r="D180" i="8" s="1"/>
  <c r="T105" i="5"/>
  <c r="V59" i="5"/>
  <c r="V58" i="5" s="1"/>
  <c r="V75" i="5"/>
  <c r="V74" i="5" s="1"/>
  <c r="V117" i="5"/>
  <c r="V116" i="5" s="1"/>
  <c r="V67" i="5"/>
  <c r="V66" i="5" s="1"/>
  <c r="J108" i="8" l="1"/>
  <c r="F108" i="8" s="1"/>
  <c r="Y59" i="3"/>
  <c r="K108" i="8" s="1"/>
  <c r="J118" i="8"/>
  <c r="F118" i="8" s="1"/>
  <c r="Y107" i="3"/>
  <c r="J174" i="8"/>
  <c r="F174" i="8" s="1"/>
  <c r="Y43" i="5"/>
  <c r="J196" i="8"/>
  <c r="F196" i="8" s="1"/>
  <c r="K196" i="8"/>
  <c r="E100" i="15" s="1"/>
  <c r="E88" i="15"/>
  <c r="J188" i="8"/>
  <c r="F188" i="8" s="1"/>
  <c r="Y94" i="5"/>
  <c r="Y77" i="5" s="1"/>
  <c r="Y68" i="5"/>
  <c r="X17" i="5"/>
  <c r="J164" i="8"/>
  <c r="F164" i="8" s="1"/>
  <c r="X4" i="5"/>
  <c r="Y4" i="5" s="1"/>
  <c r="Z4" i="5"/>
  <c r="I17" i="5"/>
  <c r="V37" i="4"/>
  <c r="F37" i="4" s="1"/>
  <c r="V82" i="4"/>
  <c r="F82" i="4" s="1"/>
  <c r="V97" i="4"/>
  <c r="F97" i="4" s="1"/>
  <c r="I97" i="4"/>
  <c r="D159" i="8"/>
  <c r="K96" i="8"/>
  <c r="E41" i="12"/>
  <c r="V48" i="5"/>
  <c r="F48" i="5" s="1"/>
  <c r="I60" i="4"/>
  <c r="Z129" i="5"/>
  <c r="Z123" i="5" s="1"/>
  <c r="L194" i="8" s="1"/>
  <c r="L191" i="8" s="1"/>
  <c r="AA129" i="5"/>
  <c r="E194" i="8"/>
  <c r="E191" i="8" s="1"/>
  <c r="J109" i="5"/>
  <c r="J3" i="5" s="1"/>
  <c r="E161" i="8" s="1"/>
  <c r="I109" i="5"/>
  <c r="H194" i="8"/>
  <c r="H191" i="8" s="1"/>
  <c r="L109" i="5"/>
  <c r="L3" i="5" s="1"/>
  <c r="H161" i="8" s="1"/>
  <c r="P8" i="7" s="1"/>
  <c r="I77" i="5"/>
  <c r="X77" i="5"/>
  <c r="V57" i="5"/>
  <c r="F57" i="5" s="1"/>
  <c r="T109" i="5"/>
  <c r="I57" i="5"/>
  <c r="T17" i="5"/>
  <c r="AA125" i="5"/>
  <c r="T97" i="4"/>
  <c r="V135" i="4"/>
  <c r="F135" i="4" s="1"/>
  <c r="I135" i="4"/>
  <c r="V60" i="4"/>
  <c r="I124" i="3"/>
  <c r="V101" i="3"/>
  <c r="V100" i="3" s="1"/>
  <c r="F100" i="3" s="1"/>
  <c r="K45" i="3"/>
  <c r="I100" i="3"/>
  <c r="G165" i="8"/>
  <c r="K4" i="5"/>
  <c r="D165" i="8"/>
  <c r="I4" i="5"/>
  <c r="G169" i="8"/>
  <c r="K17" i="5"/>
  <c r="V45" i="3"/>
  <c r="F45" i="3" s="1"/>
  <c r="X33" i="3"/>
  <c r="K124" i="3"/>
  <c r="I15" i="3"/>
  <c r="T45" i="3"/>
  <c r="K100" i="3"/>
  <c r="V4" i="5"/>
  <c r="F4" i="5" s="1"/>
  <c r="K109" i="5"/>
  <c r="L176" i="8"/>
  <c r="V109" i="5"/>
  <c r="F109" i="5" s="1"/>
  <c r="Z57" i="5"/>
  <c r="T37" i="4"/>
  <c r="L131" i="8"/>
  <c r="K37" i="4"/>
  <c r="I37" i="4"/>
  <c r="J117" i="8"/>
  <c r="F117" i="8" s="1"/>
  <c r="X100" i="3"/>
  <c r="J102" i="8"/>
  <c r="F102" i="8" s="1"/>
  <c r="V15" i="3"/>
  <c r="F15" i="3" s="1"/>
  <c r="I45" i="3"/>
  <c r="L186" i="8"/>
  <c r="Z77" i="5"/>
  <c r="I82" i="4"/>
  <c r="D125" i="8"/>
  <c r="I4" i="4"/>
  <c r="J106" i="8"/>
  <c r="F106" i="8" s="1"/>
  <c r="D132" i="8"/>
  <c r="L113" i="8"/>
  <c r="D138" i="8"/>
  <c r="D164" i="8"/>
  <c r="T77" i="5"/>
  <c r="V78" i="5"/>
  <c r="V77" i="5" s="1"/>
  <c r="F77" i="5" s="1"/>
  <c r="K33" i="3"/>
  <c r="K15" i="3"/>
  <c r="L94" i="8"/>
  <c r="J94" i="8"/>
  <c r="F94" i="8" s="1"/>
  <c r="J144" i="8"/>
  <c r="F144" i="8" s="1"/>
  <c r="J165" i="8"/>
  <c r="F165" i="8" s="1"/>
  <c r="L165" i="8"/>
  <c r="L98" i="8"/>
  <c r="Z15" i="3"/>
  <c r="T64" i="4"/>
  <c r="G97" i="8"/>
  <c r="D97" i="8"/>
  <c r="D106" i="8"/>
  <c r="G106" i="8"/>
  <c r="J97" i="8"/>
  <c r="F97" i="8" s="1"/>
  <c r="G94" i="8"/>
  <c r="J107" i="8"/>
  <c r="F107" i="8" s="1"/>
  <c r="G113" i="8"/>
  <c r="G110" i="8" s="1"/>
  <c r="N10" i="12" s="1"/>
  <c r="D113" i="8"/>
  <c r="J113" i="8"/>
  <c r="G167" i="8"/>
  <c r="D167" i="8"/>
  <c r="G192" i="8"/>
  <c r="K77" i="5"/>
  <c r="D192" i="8"/>
  <c r="J192" i="8"/>
  <c r="F192" i="8" s="1"/>
  <c r="J167" i="8"/>
  <c r="F167" i="8" s="1"/>
  <c r="D149" i="8"/>
  <c r="T135" i="4"/>
  <c r="G125" i="8"/>
  <c r="K4" i="4"/>
  <c r="G129" i="8"/>
  <c r="G131" i="8"/>
  <c r="J154" i="8"/>
  <c r="F154" i="8" s="1"/>
  <c r="K135" i="4"/>
  <c r="G149" i="8"/>
  <c r="K97" i="4"/>
  <c r="D131" i="8"/>
  <c r="J131" i="8"/>
  <c r="L127" i="8"/>
  <c r="J149" i="8"/>
  <c r="F149" i="8" s="1"/>
  <c r="D158" i="8"/>
  <c r="G163" i="8"/>
  <c r="J160" i="8"/>
  <c r="F160" i="8" s="1"/>
  <c r="L137" i="8"/>
  <c r="V33" i="3"/>
  <c r="F33" i="3" s="1"/>
  <c r="L179" i="8"/>
  <c r="L163" i="8"/>
  <c r="L139" i="8"/>
  <c r="F4" i="4"/>
  <c r="Z124" i="3"/>
  <c r="G128" i="8"/>
  <c r="D128" i="8"/>
  <c r="L155" i="8"/>
  <c r="L153" i="8" s="1"/>
  <c r="L125" i="8"/>
  <c r="L160" i="8"/>
  <c r="L159" i="8" s="1"/>
  <c r="L147" i="8"/>
  <c r="G160" i="8"/>
  <c r="G158" i="8"/>
  <c r="J155" i="8"/>
  <c r="F155" i="8" s="1"/>
  <c r="D154" i="8"/>
  <c r="G154" i="8"/>
  <c r="L95" i="8"/>
  <c r="L143" i="8"/>
  <c r="X123" i="5"/>
  <c r="L166" i="8"/>
  <c r="G185" i="8"/>
  <c r="G184" i="8" s="1"/>
  <c r="N10" i="15" s="1"/>
  <c r="D185" i="8"/>
  <c r="D176" i="8"/>
  <c r="G176" i="8"/>
  <c r="G175" i="8" s="1"/>
  <c r="N8" i="15" s="1"/>
  <c r="Z17" i="5"/>
  <c r="L185" i="8"/>
  <c r="L101" i="8"/>
  <c r="F67" i="3"/>
  <c r="D111" i="8"/>
  <c r="G109" i="8"/>
  <c r="G117" i="8"/>
  <c r="G102" i="8"/>
  <c r="L97" i="8"/>
  <c r="F4" i="3"/>
  <c r="Z45" i="3"/>
  <c r="G95" i="8"/>
  <c r="D102" i="8"/>
  <c r="L105" i="8"/>
  <c r="Z100" i="3"/>
  <c r="D94" i="8"/>
  <c r="L116" i="8"/>
  <c r="D117" i="8"/>
  <c r="Z33" i="3"/>
  <c r="G164" i="8"/>
  <c r="L120" i="8"/>
  <c r="J99" i="8"/>
  <c r="F99" i="8" s="1"/>
  <c r="D169" i="8"/>
  <c r="T57" i="5"/>
  <c r="X57" i="5"/>
  <c r="J179" i="8"/>
  <c r="F179" i="8" s="1"/>
  <c r="D179" i="8"/>
  <c r="G179" i="8"/>
  <c r="K57" i="5"/>
  <c r="D194" i="8"/>
  <c r="G194" i="8"/>
  <c r="G151" i="8"/>
  <c r="D151" i="8"/>
  <c r="D144" i="8"/>
  <c r="G144" i="8"/>
  <c r="K82" i="4"/>
  <c r="J142" i="8"/>
  <c r="F142" i="8" s="1"/>
  <c r="G142" i="8"/>
  <c r="K60" i="4"/>
  <c r="D142" i="8"/>
  <c r="D135" i="8"/>
  <c r="G135" i="8"/>
  <c r="D126" i="8"/>
  <c r="T4" i="4"/>
  <c r="G126" i="8"/>
  <c r="D121" i="8"/>
  <c r="G121" i="8"/>
  <c r="D109" i="8"/>
  <c r="J120" i="8"/>
  <c r="F120" i="8" s="1"/>
  <c r="J193" i="8"/>
  <c r="F193" i="8" s="1"/>
  <c r="J176" i="8"/>
  <c r="F176" i="8" s="1"/>
  <c r="J185" i="8"/>
  <c r="F185" i="8" s="1"/>
  <c r="G100" i="8"/>
  <c r="J129" i="8"/>
  <c r="F26" i="4"/>
  <c r="T33" i="3"/>
  <c r="T15" i="3"/>
  <c r="F167" i="4"/>
  <c r="T82" i="4"/>
  <c r="J126" i="8"/>
  <c r="F126" i="8" s="1"/>
  <c r="T124" i="3"/>
  <c r="J100" i="8"/>
  <c r="F100" i="8" s="1"/>
  <c r="T100" i="3"/>
  <c r="X124" i="3"/>
  <c r="J98" i="8"/>
  <c r="F98" i="8" s="1"/>
  <c r="V124" i="3"/>
  <c r="F124" i="3" s="1"/>
  <c r="V17" i="5"/>
  <c r="F17" i="5" s="1"/>
  <c r="B203" i="8"/>
  <c r="B199" i="8"/>
  <c r="B198" i="8"/>
  <c r="C5" i="17" s="1"/>
  <c r="K5" i="17" s="1"/>
  <c r="C62" i="17" s="1"/>
  <c r="B191" i="8"/>
  <c r="B184" i="8"/>
  <c r="B178" i="8"/>
  <c r="B175" i="8"/>
  <c r="B166" i="8"/>
  <c r="B162" i="8"/>
  <c r="B161" i="8"/>
  <c r="C5" i="15" s="1"/>
  <c r="M5" i="15" s="1"/>
  <c r="C109" i="15" s="1"/>
  <c r="B159" i="8"/>
  <c r="C13" i="13" s="1"/>
  <c r="B153" i="8"/>
  <c r="B147" i="8"/>
  <c r="B143" i="8"/>
  <c r="B136" i="8"/>
  <c r="B130" i="8"/>
  <c r="B127" i="8"/>
  <c r="B124" i="8"/>
  <c r="B123" i="8"/>
  <c r="C5" i="13" s="1"/>
  <c r="N6" i="13" s="1"/>
  <c r="C120" i="13" s="1"/>
  <c r="B120" i="8"/>
  <c r="B116" i="8"/>
  <c r="B110" i="8"/>
  <c r="B105" i="8"/>
  <c r="B101" i="8"/>
  <c r="B96" i="8"/>
  <c r="B93" i="8"/>
  <c r="B92" i="8"/>
  <c r="C5" i="12" s="1"/>
  <c r="M5" i="12" s="1"/>
  <c r="C88" i="12" s="1"/>
  <c r="B88" i="8"/>
  <c r="B80" i="8"/>
  <c r="B73" i="8"/>
  <c r="B68" i="8"/>
  <c r="B64" i="8"/>
  <c r="B47" i="8"/>
  <c r="C6" i="10" s="1"/>
  <c r="B46" i="8"/>
  <c r="C5" i="10" s="1"/>
  <c r="B34" i="8"/>
  <c r="B26" i="8"/>
  <c r="C9" i="11" s="1"/>
  <c r="B21" i="8"/>
  <c r="C61" i="11" s="1"/>
  <c r="B20" i="8"/>
  <c r="C8" i="11" s="1"/>
  <c r="B19" i="8"/>
  <c r="C56" i="11" s="1"/>
  <c r="B18" i="8"/>
  <c r="C55" i="11" s="1"/>
  <c r="B17" i="8"/>
  <c r="C54" i="11" s="1"/>
  <c r="B16" i="8"/>
  <c r="C53" i="11" s="1"/>
  <c r="B15" i="8"/>
  <c r="C52" i="11" s="1"/>
  <c r="B14" i="8"/>
  <c r="C51" i="11" s="1"/>
  <c r="B13" i="8"/>
  <c r="C50" i="11" s="1"/>
  <c r="B12" i="8"/>
  <c r="C49" i="11" s="1"/>
  <c r="B11" i="8"/>
  <c r="C7" i="11" s="1"/>
  <c r="B10" i="8"/>
  <c r="C37" i="11" s="1"/>
  <c r="B9" i="8"/>
  <c r="C36" i="11" s="1"/>
  <c r="B8" i="8"/>
  <c r="C35" i="11" s="1"/>
  <c r="B7" i="8"/>
  <c r="C34" i="11" s="1"/>
  <c r="B6" i="8"/>
  <c r="C33" i="11" s="1"/>
  <c r="B5" i="8"/>
  <c r="E57" i="12" l="1"/>
  <c r="K105" i="8"/>
  <c r="K118" i="8"/>
  <c r="Y100" i="3"/>
  <c r="Y45" i="3"/>
  <c r="K174" i="8"/>
  <c r="Y17" i="5"/>
  <c r="K188" i="8"/>
  <c r="K182" i="8"/>
  <c r="Y57" i="5"/>
  <c r="AA123" i="5"/>
  <c r="AA109" i="5" s="1"/>
  <c r="I3" i="5"/>
  <c r="D161" i="8" s="1"/>
  <c r="X3" i="3"/>
  <c r="J92" i="8" s="1"/>
  <c r="F92" i="8" s="1"/>
  <c r="E8" i="7"/>
  <c r="Y123" i="5"/>
  <c r="K194" i="8" s="1"/>
  <c r="J130" i="8"/>
  <c r="F130" i="8" s="1"/>
  <c r="F131" i="8"/>
  <c r="J127" i="8"/>
  <c r="F127" i="8" s="1"/>
  <c r="D7" i="13" s="1"/>
  <c r="F129" i="8"/>
  <c r="F113" i="8"/>
  <c r="D101" i="8"/>
  <c r="D184" i="8"/>
  <c r="T3" i="5"/>
  <c r="D120" i="8"/>
  <c r="D12" i="12" s="1"/>
  <c r="D178" i="8"/>
  <c r="E38" i="12"/>
  <c r="E7" i="12"/>
  <c r="D143" i="8"/>
  <c r="D116" i="8"/>
  <c r="D127" i="8"/>
  <c r="Z109" i="5"/>
  <c r="Z3" i="5" s="1"/>
  <c r="L161" i="8" s="1"/>
  <c r="G166" i="8"/>
  <c r="N7" i="15" s="1"/>
  <c r="I3" i="4"/>
  <c r="D123" i="8" s="1"/>
  <c r="D162" i="8"/>
  <c r="K3" i="5"/>
  <c r="G161" i="8" s="1"/>
  <c r="L110" i="8"/>
  <c r="J153" i="8"/>
  <c r="F153" i="8" s="1"/>
  <c r="D175" i="8"/>
  <c r="K3" i="4"/>
  <c r="G123" i="8" s="1"/>
  <c r="V3" i="3"/>
  <c r="G191" i="8"/>
  <c r="N11" i="15" s="1"/>
  <c r="V3" i="5"/>
  <c r="L175" i="8"/>
  <c r="D191" i="8"/>
  <c r="D130" i="8"/>
  <c r="D124" i="8"/>
  <c r="L130" i="8"/>
  <c r="G127" i="8"/>
  <c r="O8" i="13" s="1"/>
  <c r="D136" i="8"/>
  <c r="G130" i="8"/>
  <c r="O9" i="13" s="1"/>
  <c r="J101" i="8"/>
  <c r="F101" i="8" s="1"/>
  <c r="D8" i="12" s="1"/>
  <c r="D93" i="8"/>
  <c r="G93" i="8"/>
  <c r="N6" i="12" s="1"/>
  <c r="J194" i="8"/>
  <c r="X109" i="5"/>
  <c r="X3" i="5" s="1"/>
  <c r="G162" i="8"/>
  <c r="N6" i="15" s="1"/>
  <c r="J123" i="8"/>
  <c r="F123" i="8" s="1"/>
  <c r="L96" i="8"/>
  <c r="G96" i="8"/>
  <c r="N7" i="12" s="1"/>
  <c r="J110" i="8"/>
  <c r="J96" i="8"/>
  <c r="F96" i="8" s="1"/>
  <c r="D96" i="8"/>
  <c r="D110" i="8"/>
  <c r="C7" i="17"/>
  <c r="K7" i="17" s="1"/>
  <c r="C64" i="17" s="1"/>
  <c r="C52" i="17"/>
  <c r="C42" i="17"/>
  <c r="C6" i="17"/>
  <c r="K6" i="17" s="1"/>
  <c r="C63" i="17" s="1"/>
  <c r="L162" i="8"/>
  <c r="J162" i="8"/>
  <c r="F162" i="8" s="1"/>
  <c r="C7" i="10"/>
  <c r="M8" i="10" s="1"/>
  <c r="C116" i="10" s="1"/>
  <c r="C57" i="10"/>
  <c r="C9" i="10"/>
  <c r="M10" i="10" s="1"/>
  <c r="C118" i="10" s="1"/>
  <c r="C81" i="10"/>
  <c r="C92" i="10"/>
  <c r="C10" i="10"/>
  <c r="M11" i="10" s="1"/>
  <c r="C120" i="10" s="1"/>
  <c r="M6" i="10"/>
  <c r="C114" i="10"/>
  <c r="C8" i="10"/>
  <c r="M9" i="10" s="1"/>
  <c r="C117" i="10" s="1"/>
  <c r="C72" i="10"/>
  <c r="C11" i="10"/>
  <c r="C103" i="10"/>
  <c r="D105" i="8"/>
  <c r="C12" i="12"/>
  <c r="M12" i="12" s="1"/>
  <c r="C95" i="12" s="1"/>
  <c r="C78" i="12"/>
  <c r="C6" i="12"/>
  <c r="M6" i="12" s="1"/>
  <c r="C89" i="12" s="1"/>
  <c r="C33" i="12"/>
  <c r="C7" i="12"/>
  <c r="M7" i="12" s="1"/>
  <c r="C90" i="12" s="1"/>
  <c r="C38" i="12"/>
  <c r="C9" i="12"/>
  <c r="M9" i="12" s="1"/>
  <c r="C92" i="12" s="1"/>
  <c r="C53" i="12"/>
  <c r="C11" i="12"/>
  <c r="M11" i="12" s="1"/>
  <c r="C94" i="12" s="1"/>
  <c r="C69" i="12"/>
  <c r="C8" i="12"/>
  <c r="M8" i="12" s="1"/>
  <c r="C91" i="12" s="1"/>
  <c r="C45" i="12"/>
  <c r="C10" i="12"/>
  <c r="M10" i="12" s="1"/>
  <c r="C93" i="12" s="1"/>
  <c r="C61" i="12"/>
  <c r="G105" i="8"/>
  <c r="N9" i="12" s="1"/>
  <c r="J105" i="8"/>
  <c r="F105" i="8" s="1"/>
  <c r="C9" i="15"/>
  <c r="M9" i="15" s="1"/>
  <c r="C113" i="15" s="1"/>
  <c r="C74" i="15"/>
  <c r="C11" i="15"/>
  <c r="M11" i="15" s="1"/>
  <c r="C115" i="15" s="1"/>
  <c r="C95" i="15"/>
  <c r="D166" i="8"/>
  <c r="L184" i="8"/>
  <c r="C7" i="15"/>
  <c r="M7" i="15" s="1"/>
  <c r="C111" i="15" s="1"/>
  <c r="C56" i="15"/>
  <c r="L178" i="8"/>
  <c r="J166" i="8"/>
  <c r="F166" i="8" s="1"/>
  <c r="C8" i="15"/>
  <c r="M8" i="15" s="1"/>
  <c r="C112" i="15" s="1"/>
  <c r="C68" i="15"/>
  <c r="J175" i="8"/>
  <c r="F175" i="8" s="1"/>
  <c r="C10" i="15"/>
  <c r="M10" i="15" s="1"/>
  <c r="C114" i="15" s="1"/>
  <c r="C86" i="15"/>
  <c r="M6" i="15"/>
  <c r="C110" i="15" s="1"/>
  <c r="C46" i="15"/>
  <c r="C99" i="11"/>
  <c r="Q7" i="11"/>
  <c r="C48" i="11" s="1"/>
  <c r="C100" i="11"/>
  <c r="Q8" i="11"/>
  <c r="C60" i="11" s="1"/>
  <c r="C6" i="11"/>
  <c r="C32" i="11"/>
  <c r="C101" i="11"/>
  <c r="Q9" i="11"/>
  <c r="C70" i="11" s="1"/>
  <c r="C82" i="11"/>
  <c r="C10" i="11"/>
  <c r="J147" i="8"/>
  <c r="F147" i="8" s="1"/>
  <c r="G153" i="8"/>
  <c r="O13" i="13" s="1"/>
  <c r="D153" i="8"/>
  <c r="C8" i="13"/>
  <c r="N9" i="13" s="1"/>
  <c r="C123" i="13" s="1"/>
  <c r="C60" i="13"/>
  <c r="L123" i="8"/>
  <c r="C9" i="13"/>
  <c r="N10" i="13" s="1"/>
  <c r="C124" i="13" s="1"/>
  <c r="C71" i="13"/>
  <c r="C83" i="13"/>
  <c r="C10" i="13"/>
  <c r="N11" i="13" s="1"/>
  <c r="C125" i="13" s="1"/>
  <c r="C95" i="13"/>
  <c r="C11" i="13"/>
  <c r="N12" i="13" s="1"/>
  <c r="C126" i="13" s="1"/>
  <c r="C104" i="13"/>
  <c r="C12" i="13"/>
  <c r="N13" i="13" s="1"/>
  <c r="C127" i="13" s="1"/>
  <c r="L124" i="8"/>
  <c r="G147" i="8"/>
  <c r="O12" i="13" s="1"/>
  <c r="D147" i="8"/>
  <c r="C6" i="13"/>
  <c r="N7" i="13" s="1"/>
  <c r="C121" i="13" s="1"/>
  <c r="C47" i="13"/>
  <c r="C55" i="13"/>
  <c r="C7" i="13"/>
  <c r="N8" i="13" s="1"/>
  <c r="C122" i="13" s="1"/>
  <c r="L136" i="8"/>
  <c r="L93" i="8"/>
  <c r="Z3" i="3"/>
  <c r="L92" i="8" s="1"/>
  <c r="T3" i="3"/>
  <c r="F60" i="4"/>
  <c r="V3" i="4" s="1"/>
  <c r="J95" i="8"/>
  <c r="F95" i="8" s="1"/>
  <c r="K3" i="3"/>
  <c r="G92" i="8" s="1"/>
  <c r="I3" i="3"/>
  <c r="B9" i="7"/>
  <c r="B8" i="7"/>
  <c r="B7" i="7"/>
  <c r="B6" i="7"/>
  <c r="B5" i="7"/>
  <c r="B4" i="7"/>
  <c r="X49" i="6"/>
  <c r="Z49" i="6" s="1"/>
  <c r="T49" i="6"/>
  <c r="V49" i="6" s="1"/>
  <c r="K49" i="6"/>
  <c r="I49" i="6"/>
  <c r="X44" i="6"/>
  <c r="Z44" i="6" s="1"/>
  <c r="T44" i="6"/>
  <c r="V44" i="6" s="1"/>
  <c r="K44" i="6"/>
  <c r="I44" i="6"/>
  <c r="X39" i="6"/>
  <c r="Z39" i="6" s="1"/>
  <c r="T39" i="6"/>
  <c r="V39" i="6" s="1"/>
  <c r="K39" i="6"/>
  <c r="I39" i="6"/>
  <c r="X35" i="6"/>
  <c r="Z35" i="6" s="1"/>
  <c r="T35" i="6"/>
  <c r="V35" i="6" s="1"/>
  <c r="K35" i="6"/>
  <c r="I35" i="6"/>
  <c r="X33" i="6"/>
  <c r="T33" i="6"/>
  <c r="V33" i="6" s="1"/>
  <c r="K33" i="6"/>
  <c r="I33" i="6"/>
  <c r="X18" i="6"/>
  <c r="Z18" i="6" s="1"/>
  <c r="T18" i="6"/>
  <c r="K18" i="6"/>
  <c r="I18" i="6"/>
  <c r="X17" i="6"/>
  <c r="Z17" i="6" s="1"/>
  <c r="T17" i="6"/>
  <c r="V17" i="6" s="1"/>
  <c r="K17" i="6"/>
  <c r="I17" i="6"/>
  <c r="X13" i="6"/>
  <c r="Z13" i="6" s="1"/>
  <c r="T13" i="6"/>
  <c r="V13" i="6" s="1"/>
  <c r="K13" i="6"/>
  <c r="I13" i="6"/>
  <c r="X11" i="6"/>
  <c r="Z11" i="6" s="1"/>
  <c r="T11" i="6"/>
  <c r="V11" i="6" s="1"/>
  <c r="K11" i="6"/>
  <c r="I11" i="6"/>
  <c r="X8" i="6"/>
  <c r="Z8" i="6" s="1"/>
  <c r="T8" i="6"/>
  <c r="V8" i="6" s="1"/>
  <c r="K8" i="6"/>
  <c r="I8" i="6"/>
  <c r="X7" i="6"/>
  <c r="V7" i="6"/>
  <c r="K7" i="6"/>
  <c r="I7" i="6"/>
  <c r="X205" i="2"/>
  <c r="Z205" i="2" s="1"/>
  <c r="V205" i="2"/>
  <c r="K205" i="2"/>
  <c r="I205" i="2"/>
  <c r="X204" i="2"/>
  <c r="Z204" i="2" s="1"/>
  <c r="V204" i="2"/>
  <c r="K204" i="2"/>
  <c r="I204" i="2"/>
  <c r="X202" i="2"/>
  <c r="Z202" i="2" s="1"/>
  <c r="V202" i="2"/>
  <c r="K202" i="2"/>
  <c r="I202" i="2"/>
  <c r="X201" i="2"/>
  <c r="T201" i="2"/>
  <c r="V201" i="2" s="1"/>
  <c r="K201" i="2"/>
  <c r="I201" i="2"/>
  <c r="Z200" i="2"/>
  <c r="T200" i="2"/>
  <c r="V200" i="2" s="1"/>
  <c r="I200" i="2"/>
  <c r="Z199" i="2"/>
  <c r="V199" i="2"/>
  <c r="K199" i="2"/>
  <c r="I199" i="2"/>
  <c r="X197" i="2"/>
  <c r="Z197" i="2" s="1"/>
  <c r="T197" i="2"/>
  <c r="V197" i="2" s="1"/>
  <c r="K197" i="2"/>
  <c r="I197" i="2"/>
  <c r="X195" i="2"/>
  <c r="Z195" i="2" s="1"/>
  <c r="V195" i="2"/>
  <c r="K195" i="2"/>
  <c r="I195" i="2"/>
  <c r="X194" i="2"/>
  <c r="X191" i="2"/>
  <c r="Z191" i="2" s="1"/>
  <c r="V191" i="2"/>
  <c r="K191" i="2"/>
  <c r="I191" i="2"/>
  <c r="X190" i="2"/>
  <c r="Z190" i="2" s="1"/>
  <c r="V190" i="2"/>
  <c r="K190" i="2"/>
  <c r="I190" i="2"/>
  <c r="X189" i="2"/>
  <c r="V189" i="2"/>
  <c r="K189" i="2"/>
  <c r="I189" i="2"/>
  <c r="K188" i="2"/>
  <c r="I188" i="2"/>
  <c r="X186" i="2"/>
  <c r="Z186" i="2" s="1"/>
  <c r="K186" i="2"/>
  <c r="I186" i="2"/>
  <c r="X185" i="2"/>
  <c r="V185" i="2"/>
  <c r="K185" i="2"/>
  <c r="I185" i="2"/>
  <c r="X183" i="2"/>
  <c r="X182" i="2" s="1"/>
  <c r="K183" i="2"/>
  <c r="K182" i="2" s="1"/>
  <c r="G85" i="8" s="1"/>
  <c r="I183" i="2"/>
  <c r="I182" i="2" s="1"/>
  <c r="D85" i="8" s="1"/>
  <c r="X181" i="2"/>
  <c r="Z181" i="2" s="1"/>
  <c r="T181" i="2"/>
  <c r="V181" i="2" s="1"/>
  <c r="K181" i="2"/>
  <c r="I181" i="2"/>
  <c r="X180" i="2"/>
  <c r="Z180" i="2" s="1"/>
  <c r="V180" i="2"/>
  <c r="K180" i="2"/>
  <c r="I180" i="2"/>
  <c r="X178" i="2"/>
  <c r="Z178" i="2" s="1"/>
  <c r="V178" i="2"/>
  <c r="K178" i="2"/>
  <c r="I178" i="2"/>
  <c r="X177" i="2"/>
  <c r="Z177" i="2" s="1"/>
  <c r="V177" i="2"/>
  <c r="K177" i="2"/>
  <c r="I177" i="2"/>
  <c r="X175" i="2"/>
  <c r="Z175" i="2" s="1"/>
  <c r="V175" i="2"/>
  <c r="K175" i="2"/>
  <c r="I175" i="2"/>
  <c r="X174" i="2"/>
  <c r="V174" i="2"/>
  <c r="K174" i="2"/>
  <c r="I174" i="2"/>
  <c r="X172" i="2"/>
  <c r="X170" i="2" s="1"/>
  <c r="V172" i="2"/>
  <c r="K172" i="2"/>
  <c r="I172" i="2"/>
  <c r="K171" i="2"/>
  <c r="I171" i="2"/>
  <c r="X168" i="2"/>
  <c r="Z168" i="2" s="1"/>
  <c r="T168" i="2"/>
  <c r="V168" i="2" s="1"/>
  <c r="K168" i="2"/>
  <c r="I168" i="2"/>
  <c r="X167" i="2"/>
  <c r="Z167" i="2" s="1"/>
  <c r="T167" i="2"/>
  <c r="V167" i="2" s="1"/>
  <c r="K167" i="2"/>
  <c r="I167" i="2"/>
  <c r="X166" i="2"/>
  <c r="T166" i="2"/>
  <c r="K166" i="2"/>
  <c r="I166" i="2"/>
  <c r="X158" i="2"/>
  <c r="Z158" i="2" s="1"/>
  <c r="T158" i="2"/>
  <c r="V158" i="2" s="1"/>
  <c r="K158" i="2"/>
  <c r="I158" i="2"/>
  <c r="X157" i="2"/>
  <c r="Z157" i="2" s="1"/>
  <c r="T157" i="2"/>
  <c r="V157" i="2" s="1"/>
  <c r="K157" i="2"/>
  <c r="I157" i="2"/>
  <c r="X156" i="2"/>
  <c r="Z156" i="2" s="1"/>
  <c r="T156" i="2"/>
  <c r="V156" i="2" s="1"/>
  <c r="K156" i="2"/>
  <c r="I156" i="2"/>
  <c r="X155" i="2"/>
  <c r="V155" i="2"/>
  <c r="K155" i="2"/>
  <c r="I155" i="2"/>
  <c r="X151" i="2"/>
  <c r="Z151" i="2" s="1"/>
  <c r="T151" i="2"/>
  <c r="V151" i="2" s="1"/>
  <c r="K151" i="2"/>
  <c r="I151" i="2"/>
  <c r="X150" i="2"/>
  <c r="Z150" i="2" s="1"/>
  <c r="T150" i="2"/>
  <c r="V150" i="2" s="1"/>
  <c r="K150" i="2"/>
  <c r="I150" i="2"/>
  <c r="X149" i="2"/>
  <c r="Z149" i="2" s="1"/>
  <c r="V149" i="2"/>
  <c r="K149" i="2"/>
  <c r="I149" i="2"/>
  <c r="X147" i="2"/>
  <c r="Z147" i="2" s="1"/>
  <c r="V147" i="2"/>
  <c r="K147" i="2"/>
  <c r="I147" i="2"/>
  <c r="X146" i="2"/>
  <c r="Z146" i="2" s="1"/>
  <c r="V146" i="2"/>
  <c r="K146" i="2"/>
  <c r="I146" i="2"/>
  <c r="X144" i="2"/>
  <c r="Z144" i="2" s="1"/>
  <c r="T144" i="2"/>
  <c r="V144" i="2" s="1"/>
  <c r="K144" i="2"/>
  <c r="I144" i="2"/>
  <c r="X143" i="2"/>
  <c r="Z143" i="2" s="1"/>
  <c r="V143" i="2"/>
  <c r="K143" i="2"/>
  <c r="I143" i="2"/>
  <c r="X142" i="2"/>
  <c r="Z142" i="2" s="1"/>
  <c r="V142" i="2"/>
  <c r="K142" i="2"/>
  <c r="I142" i="2"/>
  <c r="X141" i="2"/>
  <c r="V141" i="2"/>
  <c r="K141" i="2"/>
  <c r="I141" i="2"/>
  <c r="X139" i="2"/>
  <c r="Z139" i="2" s="1"/>
  <c r="V139" i="2"/>
  <c r="K139" i="2"/>
  <c r="I139" i="2"/>
  <c r="X137" i="2"/>
  <c r="Z137" i="2" s="1"/>
  <c r="T137" i="2"/>
  <c r="V137" i="2" s="1"/>
  <c r="K137" i="2"/>
  <c r="I137" i="2"/>
  <c r="K136" i="2"/>
  <c r="I136" i="2"/>
  <c r="X134" i="2"/>
  <c r="Z134" i="2" s="1"/>
  <c r="V134" i="2"/>
  <c r="K134" i="2"/>
  <c r="I134" i="2"/>
  <c r="X133" i="2"/>
  <c r="Z133" i="2" s="1"/>
  <c r="T133" i="2"/>
  <c r="V133" i="2" s="1"/>
  <c r="K133" i="2"/>
  <c r="I133" i="2"/>
  <c r="X132" i="2"/>
  <c r="Z132" i="2" s="1"/>
  <c r="K132" i="2"/>
  <c r="I132" i="2"/>
  <c r="X129" i="2"/>
  <c r="Z129" i="2" s="1"/>
  <c r="T129" i="2"/>
  <c r="V129" i="2" s="1"/>
  <c r="K129" i="2"/>
  <c r="I129" i="2"/>
  <c r="X127" i="2"/>
  <c r="Z127" i="2" s="1"/>
  <c r="T127" i="2"/>
  <c r="K127" i="2"/>
  <c r="I127" i="2"/>
  <c r="X125" i="2"/>
  <c r="Z125" i="2" s="1"/>
  <c r="Z124" i="2" s="1"/>
  <c r="L71" i="8" s="1"/>
  <c r="T125" i="2"/>
  <c r="T124" i="2" s="1"/>
  <c r="K125" i="2"/>
  <c r="K124" i="2" s="1"/>
  <c r="G71" i="8" s="1"/>
  <c r="I125" i="2"/>
  <c r="I124" i="2" s="1"/>
  <c r="D71" i="8" s="1"/>
  <c r="X123" i="2"/>
  <c r="K123" i="2"/>
  <c r="K122" i="2" s="1"/>
  <c r="G70" i="8" s="1"/>
  <c r="I123" i="2"/>
  <c r="I122" i="2" s="1"/>
  <c r="D70" i="8" s="1"/>
  <c r="X121" i="2"/>
  <c r="X120" i="2" s="1"/>
  <c r="T121" i="2"/>
  <c r="T120" i="2" s="1"/>
  <c r="K121" i="2"/>
  <c r="K120" i="2" s="1"/>
  <c r="I121" i="2"/>
  <c r="I120" i="2" s="1"/>
  <c r="X108" i="2"/>
  <c r="Z108" i="2" s="1"/>
  <c r="T108" i="2"/>
  <c r="V108" i="2" s="1"/>
  <c r="K108" i="2"/>
  <c r="I108" i="2"/>
  <c r="X107" i="2"/>
  <c r="T107" i="2"/>
  <c r="K107" i="2"/>
  <c r="I107" i="2"/>
  <c r="X104" i="2"/>
  <c r="Z104" i="2" s="1"/>
  <c r="T104" i="2"/>
  <c r="V104" i="2" s="1"/>
  <c r="K104" i="2"/>
  <c r="I104" i="2"/>
  <c r="X103" i="2"/>
  <c r="Z103" i="2" s="1"/>
  <c r="T103" i="2"/>
  <c r="V103" i="2" s="1"/>
  <c r="K103" i="2"/>
  <c r="I103" i="2"/>
  <c r="X102" i="2"/>
  <c r="Z102" i="2" s="1"/>
  <c r="V102" i="2"/>
  <c r="K102" i="2"/>
  <c r="I102" i="2"/>
  <c r="M100" i="2"/>
  <c r="S100" i="2" s="1"/>
  <c r="Y100" i="2" s="1"/>
  <c r="K100" i="2"/>
  <c r="K96" i="2"/>
  <c r="I96" i="2"/>
  <c r="K95" i="2"/>
  <c r="I95" i="2"/>
  <c r="Z93" i="2"/>
  <c r="X90" i="2"/>
  <c r="Z90" i="2" s="1"/>
  <c r="T90" i="2"/>
  <c r="V90" i="2" s="1"/>
  <c r="K90" i="2"/>
  <c r="I90" i="2"/>
  <c r="Z89" i="2"/>
  <c r="V89" i="2"/>
  <c r="K89" i="2"/>
  <c r="I89" i="2"/>
  <c r="Z88" i="2"/>
  <c r="V88" i="2"/>
  <c r="K88" i="2"/>
  <c r="I88" i="2"/>
  <c r="X87" i="2"/>
  <c r="Z87" i="2" s="1"/>
  <c r="T87" i="2"/>
  <c r="V87" i="2" s="1"/>
  <c r="K87" i="2"/>
  <c r="I87" i="2"/>
  <c r="X86" i="2"/>
  <c r="Z86" i="2" s="1"/>
  <c r="V86" i="2"/>
  <c r="K86" i="2"/>
  <c r="I86" i="2"/>
  <c r="X81" i="2"/>
  <c r="Z81" i="2" s="1"/>
  <c r="T81" i="2"/>
  <c r="V81" i="2" s="1"/>
  <c r="K81" i="2"/>
  <c r="I81" i="2"/>
  <c r="X79" i="2"/>
  <c r="Z79" i="2" s="1"/>
  <c r="Z77" i="2" s="1"/>
  <c r="T79" i="2"/>
  <c r="V79" i="2" s="1"/>
  <c r="K79" i="2"/>
  <c r="I79" i="2"/>
  <c r="X76" i="2"/>
  <c r="Z76" i="2" s="1"/>
  <c r="T76" i="2"/>
  <c r="V76" i="2" s="1"/>
  <c r="K76" i="2"/>
  <c r="I76" i="2"/>
  <c r="X75" i="2"/>
  <c r="Z75" i="2" s="1"/>
  <c r="T75" i="2"/>
  <c r="V75" i="2" s="1"/>
  <c r="K75" i="2"/>
  <c r="I75" i="2"/>
  <c r="X74" i="2"/>
  <c r="K74" i="2"/>
  <c r="I74" i="2"/>
  <c r="X72" i="2"/>
  <c r="Z72" i="2" s="1"/>
  <c r="V72" i="2"/>
  <c r="K72" i="2"/>
  <c r="I72" i="2"/>
  <c r="X71" i="2"/>
  <c r="Z71" i="2" s="1"/>
  <c r="V71" i="2"/>
  <c r="K71" i="2"/>
  <c r="I71" i="2"/>
  <c r="X70" i="2"/>
  <c r="Z70" i="2" s="1"/>
  <c r="T70" i="2"/>
  <c r="V70" i="2" s="1"/>
  <c r="K70" i="2"/>
  <c r="I70" i="2"/>
  <c r="X69" i="2"/>
  <c r="Z69" i="2" s="1"/>
  <c r="T69" i="2"/>
  <c r="V69" i="2" s="1"/>
  <c r="K69" i="2"/>
  <c r="I69" i="2"/>
  <c r="X66" i="2"/>
  <c r="Z66" i="2" s="1"/>
  <c r="T66" i="2"/>
  <c r="V66" i="2" s="1"/>
  <c r="K66" i="2"/>
  <c r="I66" i="2"/>
  <c r="K64" i="2"/>
  <c r="I64" i="2"/>
  <c r="K63" i="2"/>
  <c r="I63" i="2"/>
  <c r="X62" i="2"/>
  <c r="Z62" i="2" s="1"/>
  <c r="T62" i="2"/>
  <c r="V62" i="2" s="1"/>
  <c r="K62" i="2"/>
  <c r="I62" i="2"/>
  <c r="Z61" i="2"/>
  <c r="T61" i="2"/>
  <c r="V61" i="2" s="1"/>
  <c r="K61" i="2"/>
  <c r="I61" i="2"/>
  <c r="K59" i="2"/>
  <c r="I59" i="2"/>
  <c r="X58" i="2"/>
  <c r="Z58" i="2" s="1"/>
  <c r="T58" i="2"/>
  <c r="V58" i="2" s="1"/>
  <c r="K58" i="2"/>
  <c r="I58" i="2"/>
  <c r="X57" i="2"/>
  <c r="T57" i="2"/>
  <c r="K57" i="2"/>
  <c r="I57" i="2"/>
  <c r="T55" i="2"/>
  <c r="V55" i="2" s="1"/>
  <c r="V52" i="2" s="1"/>
  <c r="K55" i="2"/>
  <c r="I55" i="2"/>
  <c r="K54" i="2"/>
  <c r="I54" i="2"/>
  <c r="K53" i="2"/>
  <c r="I53" i="2"/>
  <c r="J56" i="8"/>
  <c r="F56" i="8" s="1"/>
  <c r="X47" i="2"/>
  <c r="Z47" i="2" s="1"/>
  <c r="T47" i="2"/>
  <c r="V47" i="2" s="1"/>
  <c r="K47" i="2"/>
  <c r="I47" i="2"/>
  <c r="X46" i="2"/>
  <c r="Z46" i="2" s="1"/>
  <c r="T46" i="2"/>
  <c r="V46" i="2" s="1"/>
  <c r="K46" i="2"/>
  <c r="I46" i="2"/>
  <c r="X45" i="2"/>
  <c r="Z45" i="2" s="1"/>
  <c r="T45" i="2"/>
  <c r="V45" i="2" s="1"/>
  <c r="K45" i="2"/>
  <c r="I45" i="2"/>
  <c r="X44" i="2"/>
  <c r="Z44" i="2" s="1"/>
  <c r="K44" i="2"/>
  <c r="I44" i="2"/>
  <c r="I42" i="2"/>
  <c r="X41" i="2"/>
  <c r="Z41" i="2" s="1"/>
  <c r="T41" i="2"/>
  <c r="V41" i="2" s="1"/>
  <c r="I41" i="2"/>
  <c r="X40" i="2"/>
  <c r="V40" i="2"/>
  <c r="I40" i="2"/>
  <c r="X36" i="2"/>
  <c r="Z36" i="2" s="1"/>
  <c r="T36" i="2"/>
  <c r="V36" i="2" s="1"/>
  <c r="K36" i="2"/>
  <c r="I36" i="2"/>
  <c r="X35" i="2"/>
  <c r="V35" i="2"/>
  <c r="K35" i="2"/>
  <c r="I35" i="2"/>
  <c r="K33" i="2"/>
  <c r="I33" i="2"/>
  <c r="K32" i="2"/>
  <c r="I32" i="2"/>
  <c r="V31" i="2"/>
  <c r="K31" i="2"/>
  <c r="I31" i="2"/>
  <c r="K30" i="2"/>
  <c r="X28" i="2"/>
  <c r="Z28" i="2" s="1"/>
  <c r="V28" i="2"/>
  <c r="K28" i="2"/>
  <c r="I28" i="2"/>
  <c r="X27" i="2"/>
  <c r="Z27" i="2" s="1"/>
  <c r="V27" i="2"/>
  <c r="K27" i="2"/>
  <c r="I27" i="2"/>
  <c r="X26" i="2"/>
  <c r="Z26" i="2" s="1"/>
  <c r="V26" i="2"/>
  <c r="K26" i="2"/>
  <c r="I26" i="2"/>
  <c r="X25" i="2"/>
  <c r="Z25" i="2" s="1"/>
  <c r="T25" i="2"/>
  <c r="V25" i="2" s="1"/>
  <c r="K25" i="2"/>
  <c r="I25" i="2"/>
  <c r="X24" i="2"/>
  <c r="Z24" i="2" s="1"/>
  <c r="V24" i="2"/>
  <c r="I24" i="2"/>
  <c r="X23" i="2"/>
  <c r="Z23" i="2" s="1"/>
  <c r="V23" i="2"/>
  <c r="K23" i="2"/>
  <c r="I23" i="2"/>
  <c r="Z22" i="2"/>
  <c r="V22" i="2"/>
  <c r="K22" i="2"/>
  <c r="I22" i="2"/>
  <c r="X20" i="2"/>
  <c r="Z20" i="2" s="1"/>
  <c r="V20" i="2"/>
  <c r="K20" i="2"/>
  <c r="I20" i="2"/>
  <c r="X19" i="2"/>
  <c r="Z19" i="2" s="1"/>
  <c r="V19" i="2"/>
  <c r="K19" i="2"/>
  <c r="I19" i="2"/>
  <c r="X18" i="2"/>
  <c r="Z18" i="2" s="1"/>
  <c r="T18" i="2"/>
  <c r="V18" i="2" s="1"/>
  <c r="K18" i="2"/>
  <c r="I18" i="2"/>
  <c r="X17" i="2"/>
  <c r="Y17" i="2" s="1"/>
  <c r="Y15" i="2" s="1"/>
  <c r="T17" i="2"/>
  <c r="X14" i="2"/>
  <c r="Z14" i="2" s="1"/>
  <c r="T14" i="2"/>
  <c r="K14" i="2"/>
  <c r="K12" i="2" s="1"/>
  <c r="I14" i="2"/>
  <c r="X13" i="2"/>
  <c r="V13" i="2"/>
  <c r="I13" i="2"/>
  <c r="X11" i="2"/>
  <c r="Z11" i="2" s="1"/>
  <c r="T11" i="2"/>
  <c r="V11" i="2" s="1"/>
  <c r="K11" i="2"/>
  <c r="I11" i="2"/>
  <c r="X10" i="2"/>
  <c r="Z10" i="2" s="1"/>
  <c r="V10" i="2"/>
  <c r="K10" i="2"/>
  <c r="I10" i="2"/>
  <c r="X9" i="2"/>
  <c r="Z9" i="2" s="1"/>
  <c r="T9" i="2"/>
  <c r="V9" i="2" s="1"/>
  <c r="K9" i="2"/>
  <c r="I9" i="2"/>
  <c r="X8" i="2"/>
  <c r="Z8" i="2" s="1"/>
  <c r="T8" i="2"/>
  <c r="K8" i="2"/>
  <c r="I8" i="2"/>
  <c r="X211" i="1"/>
  <c r="Z211" i="1" s="1"/>
  <c r="V211" i="1"/>
  <c r="V209" i="1" s="1"/>
  <c r="K211" i="1"/>
  <c r="I211" i="1"/>
  <c r="X210" i="1"/>
  <c r="K210" i="1"/>
  <c r="I210" i="1"/>
  <c r="X208" i="1"/>
  <c r="Z208" i="1" s="1"/>
  <c r="T208" i="1"/>
  <c r="K208" i="1"/>
  <c r="I208" i="1"/>
  <c r="X207" i="1"/>
  <c r="T207" i="1"/>
  <c r="V207" i="1" s="1"/>
  <c r="K207" i="1"/>
  <c r="I207" i="1"/>
  <c r="X205" i="1"/>
  <c r="Z205" i="1" s="1"/>
  <c r="T205" i="1"/>
  <c r="V205" i="1" s="1"/>
  <c r="K205" i="1"/>
  <c r="I205" i="1"/>
  <c r="X204" i="1"/>
  <c r="T204" i="1"/>
  <c r="V204" i="1" s="1"/>
  <c r="K204" i="1"/>
  <c r="I204" i="1"/>
  <c r="X201" i="1"/>
  <c r="Z201" i="1" s="1"/>
  <c r="T201" i="1"/>
  <c r="V201" i="1" s="1"/>
  <c r="K201" i="1"/>
  <c r="I201" i="1"/>
  <c r="X200" i="1"/>
  <c r="Z200" i="1" s="1"/>
  <c r="K200" i="1"/>
  <c r="I200" i="1"/>
  <c r="X198" i="1"/>
  <c r="Z198" i="1" s="1"/>
  <c r="K198" i="1"/>
  <c r="I198" i="1"/>
  <c r="X197" i="1"/>
  <c r="Z197" i="1" s="1"/>
  <c r="T197" i="1"/>
  <c r="V197" i="1" s="1"/>
  <c r="K197" i="1"/>
  <c r="I197" i="1"/>
  <c r="X196" i="1"/>
  <c r="Z196" i="1" s="1"/>
  <c r="T196" i="1"/>
  <c r="V196" i="1" s="1"/>
  <c r="K196" i="1"/>
  <c r="I196" i="1"/>
  <c r="T193" i="1"/>
  <c r="K193" i="1"/>
  <c r="I193" i="1"/>
  <c r="X191" i="1"/>
  <c r="Z191" i="1" s="1"/>
  <c r="V191" i="1"/>
  <c r="K191" i="1"/>
  <c r="I191" i="1"/>
  <c r="X190" i="1"/>
  <c r="Z190" i="1" s="1"/>
  <c r="V190" i="1"/>
  <c r="K190" i="1"/>
  <c r="I190" i="1"/>
  <c r="X189" i="1"/>
  <c r="Z189" i="1" s="1"/>
  <c r="V189" i="1"/>
  <c r="K189" i="1"/>
  <c r="I189" i="1"/>
  <c r="X187" i="1"/>
  <c r="Z187" i="1" s="1"/>
  <c r="K187" i="1"/>
  <c r="I187" i="1"/>
  <c r="X185" i="1"/>
  <c r="X184" i="1" s="1"/>
  <c r="T185" i="1"/>
  <c r="T184" i="1" s="1"/>
  <c r="K185" i="1"/>
  <c r="K184" i="1" s="1"/>
  <c r="G38" i="8" s="1"/>
  <c r="I185" i="1"/>
  <c r="I184" i="1" s="1"/>
  <c r="D38" i="8" s="1"/>
  <c r="X183" i="1"/>
  <c r="Z183" i="1" s="1"/>
  <c r="T183" i="1"/>
  <c r="V183" i="1" s="1"/>
  <c r="K183" i="1"/>
  <c r="X182" i="1"/>
  <c r="Z182" i="1" s="1"/>
  <c r="T182" i="1"/>
  <c r="V182" i="1" s="1"/>
  <c r="K182" i="1"/>
  <c r="I182" i="1"/>
  <c r="X181" i="1"/>
  <c r="Z181" i="1" s="1"/>
  <c r="T181" i="1"/>
  <c r="V181" i="1" s="1"/>
  <c r="K181" i="1"/>
  <c r="I181" i="1"/>
  <c r="X180" i="1"/>
  <c r="T180" i="1"/>
  <c r="V180" i="1" s="1"/>
  <c r="I180" i="1"/>
  <c r="X177" i="1"/>
  <c r="V177" i="1"/>
  <c r="K177" i="1"/>
  <c r="I177" i="1"/>
  <c r="X176" i="1"/>
  <c r="Z176" i="1" s="1"/>
  <c r="K176" i="1"/>
  <c r="K172" i="1"/>
  <c r="Z173" i="1"/>
  <c r="X165" i="1"/>
  <c r="Z165" i="1" s="1"/>
  <c r="T165" i="1"/>
  <c r="V165" i="1" s="1"/>
  <c r="K165" i="1"/>
  <c r="I165" i="1"/>
  <c r="X164" i="1"/>
  <c r="Z164" i="1" s="1"/>
  <c r="T164" i="1"/>
  <c r="V164" i="1" s="1"/>
  <c r="K164" i="1"/>
  <c r="I164" i="1"/>
  <c r="X163" i="1"/>
  <c r="Z163" i="1" s="1"/>
  <c r="T163" i="1"/>
  <c r="V163" i="1" s="1"/>
  <c r="K163" i="1"/>
  <c r="I163" i="1"/>
  <c r="X162" i="1"/>
  <c r="Z162" i="1" s="1"/>
  <c r="V162" i="1"/>
  <c r="K162" i="1"/>
  <c r="I162" i="1"/>
  <c r="X161" i="1"/>
  <c r="Z161" i="1" s="1"/>
  <c r="K161" i="1"/>
  <c r="I161" i="1"/>
  <c r="X158" i="1"/>
  <c r="Z158" i="1" s="1"/>
  <c r="T158" i="1"/>
  <c r="V158" i="1" s="1"/>
  <c r="K158" i="1"/>
  <c r="I158" i="1"/>
  <c r="X155" i="1"/>
  <c r="Z155" i="1" s="1"/>
  <c r="V155" i="1"/>
  <c r="K155" i="1"/>
  <c r="I155" i="1"/>
  <c r="T151" i="1"/>
  <c r="V151" i="1" s="1"/>
  <c r="F151" i="1"/>
  <c r="X151" i="1" s="1"/>
  <c r="Y151" i="1" s="1"/>
  <c r="X150" i="1"/>
  <c r="Z150" i="1" s="1"/>
  <c r="V150" i="1"/>
  <c r="K150" i="1"/>
  <c r="I150" i="1"/>
  <c r="X149" i="1"/>
  <c r="T149" i="1"/>
  <c r="V149" i="1" s="1"/>
  <c r="K149" i="1"/>
  <c r="I149" i="1"/>
  <c r="X146" i="1"/>
  <c r="Z146" i="1" s="1"/>
  <c r="T146" i="1"/>
  <c r="V146" i="1" s="1"/>
  <c r="K146" i="1"/>
  <c r="I146" i="1"/>
  <c r="X145" i="1"/>
  <c r="Z145" i="1" s="1"/>
  <c r="T145" i="1"/>
  <c r="V145" i="1" s="1"/>
  <c r="K145" i="1"/>
  <c r="I145" i="1"/>
  <c r="X144" i="1"/>
  <c r="T144" i="1"/>
  <c r="K144" i="1"/>
  <c r="I144" i="1"/>
  <c r="X142" i="1"/>
  <c r="Z142" i="1" s="1"/>
  <c r="T142" i="1"/>
  <c r="V142" i="1" s="1"/>
  <c r="K142" i="1"/>
  <c r="I142" i="1"/>
  <c r="X141" i="1"/>
  <c r="Z141" i="1" s="1"/>
  <c r="V141" i="1"/>
  <c r="K141" i="1"/>
  <c r="I141" i="1"/>
  <c r="X139" i="1"/>
  <c r="Z139" i="1" s="1"/>
  <c r="T139" i="1"/>
  <c r="V139" i="1" s="1"/>
  <c r="K139" i="1"/>
  <c r="I139" i="1"/>
  <c r="X137" i="1"/>
  <c r="Z137" i="1" s="1"/>
  <c r="V137" i="1"/>
  <c r="K137" i="1"/>
  <c r="I137" i="1"/>
  <c r="X135" i="1"/>
  <c r="Z135" i="1" s="1"/>
  <c r="T135" i="1"/>
  <c r="V135" i="1" s="1"/>
  <c r="K135" i="1"/>
  <c r="I135" i="1"/>
  <c r="X134" i="1"/>
  <c r="Z134" i="1" s="1"/>
  <c r="T134" i="1"/>
  <c r="V134" i="1" s="1"/>
  <c r="K134" i="1"/>
  <c r="I134" i="1"/>
  <c r="X133" i="1"/>
  <c r="Y133" i="1" s="1"/>
  <c r="I444" i="18" s="1"/>
  <c r="T133" i="1"/>
  <c r="V133" i="1" s="1"/>
  <c r="K133" i="1"/>
  <c r="I133" i="1"/>
  <c r="Z132" i="1"/>
  <c r="V132" i="1"/>
  <c r="K132" i="1"/>
  <c r="I132" i="1"/>
  <c r="X127" i="1"/>
  <c r="T127" i="1"/>
  <c r="K127" i="1"/>
  <c r="I127" i="1"/>
  <c r="K124" i="1"/>
  <c r="I124" i="1"/>
  <c r="T123" i="1"/>
  <c r="V123" i="1" s="1"/>
  <c r="X123" i="1"/>
  <c r="Z123" i="1" s="1"/>
  <c r="K123" i="1"/>
  <c r="I123" i="1"/>
  <c r="X122" i="1"/>
  <c r="Z122" i="1" s="1"/>
  <c r="T122" i="1"/>
  <c r="V122" i="1" s="1"/>
  <c r="K122" i="1"/>
  <c r="I122" i="1"/>
  <c r="X121" i="1"/>
  <c r="Z121" i="1" s="1"/>
  <c r="T121" i="1"/>
  <c r="V121" i="1" s="1"/>
  <c r="K121" i="1"/>
  <c r="I121" i="1"/>
  <c r="V120" i="1"/>
  <c r="K120" i="1"/>
  <c r="I120" i="1"/>
  <c r="K119" i="1"/>
  <c r="I119" i="1"/>
  <c r="X118" i="1"/>
  <c r="Z118" i="1" s="1"/>
  <c r="T118" i="1"/>
  <c r="V118" i="1" s="1"/>
  <c r="K118" i="1"/>
  <c r="I118" i="1"/>
  <c r="X117" i="1"/>
  <c r="Z117" i="1" s="1"/>
  <c r="T117" i="1"/>
  <c r="V117" i="1" s="1"/>
  <c r="K117" i="1"/>
  <c r="I117" i="1"/>
  <c r="T116" i="1"/>
  <c r="V116" i="1" s="1"/>
  <c r="K116" i="1"/>
  <c r="I116" i="1"/>
  <c r="K115" i="1"/>
  <c r="I115" i="1"/>
  <c r="V114" i="1"/>
  <c r="K114" i="1"/>
  <c r="I114" i="1"/>
  <c r="X113" i="1"/>
  <c r="Z113" i="1" s="1"/>
  <c r="T113" i="1"/>
  <c r="V113" i="1" s="1"/>
  <c r="K113" i="1"/>
  <c r="I113" i="1"/>
  <c r="T112" i="1"/>
  <c r="V112" i="1" s="1"/>
  <c r="F112" i="1"/>
  <c r="F111" i="1"/>
  <c r="V110" i="1"/>
  <c r="F110" i="1"/>
  <c r="F109" i="1"/>
  <c r="V108" i="1"/>
  <c r="F108" i="1"/>
  <c r="X107" i="1"/>
  <c r="Z107" i="1" s="1"/>
  <c r="T107" i="1"/>
  <c r="V107" i="1" s="1"/>
  <c r="K107" i="1"/>
  <c r="I107" i="1"/>
  <c r="X106" i="1"/>
  <c r="T106" i="1"/>
  <c r="I106" i="1"/>
  <c r="Z103" i="1"/>
  <c r="K103" i="1"/>
  <c r="K102" i="1" s="1"/>
  <c r="I103" i="1"/>
  <c r="I102" i="1" s="1"/>
  <c r="D23" i="8" s="1"/>
  <c r="X101" i="1"/>
  <c r="X99" i="1" s="1"/>
  <c r="K101" i="1"/>
  <c r="K100" i="1"/>
  <c r="I100" i="1"/>
  <c r="X97" i="1"/>
  <c r="Z97" i="1" s="1"/>
  <c r="T97" i="1"/>
  <c r="V97" i="1" s="1"/>
  <c r="K97" i="1"/>
  <c r="I97" i="1"/>
  <c r="X96" i="1"/>
  <c r="Z96" i="1" s="1"/>
  <c r="T96" i="1"/>
  <c r="V96" i="1" s="1"/>
  <c r="K96" i="1"/>
  <c r="I96" i="1"/>
  <c r="X95" i="1"/>
  <c r="Y95" i="1" s="1"/>
  <c r="I412" i="18" s="1"/>
  <c r="T95" i="1"/>
  <c r="V95" i="1" s="1"/>
  <c r="I95" i="1"/>
  <c r="X94" i="1"/>
  <c r="Z94" i="1" s="1"/>
  <c r="V94" i="1"/>
  <c r="K94" i="1"/>
  <c r="I94" i="1"/>
  <c r="K93" i="1"/>
  <c r="I93" i="1"/>
  <c r="X89" i="1"/>
  <c r="Z89" i="1" s="1"/>
  <c r="T89" i="1"/>
  <c r="V89" i="1" s="1"/>
  <c r="K89" i="1"/>
  <c r="I89" i="1"/>
  <c r="X86" i="1"/>
  <c r="Z86" i="1" s="1"/>
  <c r="T86" i="1"/>
  <c r="V86" i="1" s="1"/>
  <c r="K86" i="1"/>
  <c r="I86" i="1"/>
  <c r="X84" i="1"/>
  <c r="Z84" i="1" s="1"/>
  <c r="T84" i="1"/>
  <c r="V84" i="1" s="1"/>
  <c r="K84" i="1"/>
  <c r="I84" i="1"/>
  <c r="X83" i="1"/>
  <c r="Z83" i="1" s="1"/>
  <c r="T83" i="1"/>
  <c r="V83" i="1" s="1"/>
  <c r="K83" i="1"/>
  <c r="I83" i="1"/>
  <c r="X82" i="1"/>
  <c r="T82" i="1"/>
  <c r="V82" i="1" s="1"/>
  <c r="K82" i="1"/>
  <c r="I82" i="1"/>
  <c r="K79" i="1"/>
  <c r="I79" i="1"/>
  <c r="X73" i="1"/>
  <c r="Z73" i="1" s="1"/>
  <c r="T73" i="1"/>
  <c r="V73" i="1" s="1"/>
  <c r="K73" i="1"/>
  <c r="I73" i="1"/>
  <c r="X71" i="1"/>
  <c r="Z71" i="1" s="1"/>
  <c r="T71" i="1"/>
  <c r="V71" i="1" s="1"/>
  <c r="K71" i="1"/>
  <c r="I71" i="1"/>
  <c r="X70" i="1"/>
  <c r="Z70" i="1" s="1"/>
  <c r="T70" i="1"/>
  <c r="V70" i="1" s="1"/>
  <c r="K70" i="1"/>
  <c r="I70" i="1"/>
  <c r="X69" i="1"/>
  <c r="Z69" i="1" s="1"/>
  <c r="T69" i="1"/>
  <c r="V69" i="1" s="1"/>
  <c r="K69" i="1"/>
  <c r="I69" i="1"/>
  <c r="K68" i="1"/>
  <c r="I68" i="1"/>
  <c r="K67" i="1"/>
  <c r="I67" i="1"/>
  <c r="K66" i="1"/>
  <c r="I66" i="1"/>
  <c r="X62" i="1"/>
  <c r="Z62" i="1" s="1"/>
  <c r="T62" i="1"/>
  <c r="V62" i="1" s="1"/>
  <c r="I62" i="1"/>
  <c r="X61" i="1"/>
  <c r="Z61" i="1" s="1"/>
  <c r="T61" i="1"/>
  <c r="V61" i="1" s="1"/>
  <c r="K61" i="1"/>
  <c r="I61" i="1"/>
  <c r="X60" i="1"/>
  <c r="Z60" i="1" s="1"/>
  <c r="T60" i="1"/>
  <c r="V60" i="1" s="1"/>
  <c r="K60" i="1"/>
  <c r="I60" i="1"/>
  <c r="X59" i="1"/>
  <c r="T59" i="1"/>
  <c r="V59" i="1" s="1"/>
  <c r="K59" i="1"/>
  <c r="I59" i="1"/>
  <c r="X56" i="1"/>
  <c r="Z56" i="1" s="1"/>
  <c r="T56" i="1"/>
  <c r="V56" i="1" s="1"/>
  <c r="K56" i="1"/>
  <c r="I56" i="1"/>
  <c r="X55" i="1"/>
  <c r="V55" i="1"/>
  <c r="K55" i="1"/>
  <c r="I55" i="1"/>
  <c r="X51" i="1"/>
  <c r="T51" i="1"/>
  <c r="V51" i="1" s="1"/>
  <c r="K51" i="1"/>
  <c r="I51" i="1"/>
  <c r="X47" i="1"/>
  <c r="Z47" i="1" s="1"/>
  <c r="T47" i="1"/>
  <c r="V47" i="1" s="1"/>
  <c r="K47" i="1"/>
  <c r="I47" i="1"/>
  <c r="X45" i="1"/>
  <c r="T45" i="1"/>
  <c r="V45" i="1" s="1"/>
  <c r="K45" i="1"/>
  <c r="I45" i="1"/>
  <c r="Z43" i="1"/>
  <c r="V43" i="1"/>
  <c r="K43" i="1"/>
  <c r="I43" i="1"/>
  <c r="X42" i="1"/>
  <c r="Z42" i="1" s="1"/>
  <c r="T42" i="1"/>
  <c r="V42" i="1" s="1"/>
  <c r="K42" i="1"/>
  <c r="I42" i="1"/>
  <c r="X41" i="1"/>
  <c r="Z41" i="1" s="1"/>
  <c r="V41" i="1"/>
  <c r="K41" i="1"/>
  <c r="I41" i="1"/>
  <c r="X40" i="1"/>
  <c r="T40" i="1"/>
  <c r="K40" i="1"/>
  <c r="I40" i="1"/>
  <c r="X38" i="1"/>
  <c r="Z38" i="1" s="1"/>
  <c r="T38" i="1"/>
  <c r="K38" i="1"/>
  <c r="I38" i="1"/>
  <c r="X37" i="1"/>
  <c r="V37" i="1"/>
  <c r="K37" i="1"/>
  <c r="I37" i="1"/>
  <c r="X35" i="1"/>
  <c r="Z35" i="1" s="1"/>
  <c r="T35" i="1"/>
  <c r="K35" i="1"/>
  <c r="I35" i="1"/>
  <c r="X34" i="1"/>
  <c r="Z34" i="1" s="1"/>
  <c r="V34" i="1"/>
  <c r="K34" i="1"/>
  <c r="X33" i="1"/>
  <c r="K33" i="1"/>
  <c r="I33" i="1"/>
  <c r="X30" i="1"/>
  <c r="Z30" i="1" s="1"/>
  <c r="T30" i="1"/>
  <c r="V30" i="1" s="1"/>
  <c r="K30" i="1"/>
  <c r="I30" i="1"/>
  <c r="X29" i="1"/>
  <c r="Z29" i="1" s="1"/>
  <c r="T29" i="1"/>
  <c r="V29" i="1" s="1"/>
  <c r="K29" i="1"/>
  <c r="I29" i="1"/>
  <c r="X28" i="1"/>
  <c r="V28" i="1"/>
  <c r="K28" i="1"/>
  <c r="I28" i="1"/>
  <c r="Z25" i="1"/>
  <c r="Z23" i="1" s="1"/>
  <c r="L9" i="8" s="1"/>
  <c r="K25" i="1"/>
  <c r="I25" i="1"/>
  <c r="T24" i="1"/>
  <c r="V24" i="1" s="1"/>
  <c r="K24" i="1"/>
  <c r="I24" i="1"/>
  <c r="X22" i="1"/>
  <c r="Z22" i="1" s="1"/>
  <c r="V22" i="1"/>
  <c r="K22" i="1"/>
  <c r="I22" i="1"/>
  <c r="X21" i="1"/>
  <c r="Z21" i="1" s="1"/>
  <c r="T21" i="1"/>
  <c r="V21" i="1" s="1"/>
  <c r="K21" i="1"/>
  <c r="I21" i="1"/>
  <c r="X20" i="1"/>
  <c r="Z20" i="1" s="1"/>
  <c r="T20" i="1"/>
  <c r="V20" i="1" s="1"/>
  <c r="K20" i="1"/>
  <c r="I20" i="1"/>
  <c r="X19" i="1"/>
  <c r="V19" i="1"/>
  <c r="K19" i="1"/>
  <c r="I19" i="1"/>
  <c r="Z18" i="1"/>
  <c r="T18" i="1"/>
  <c r="V18" i="1" s="1"/>
  <c r="K18" i="1"/>
  <c r="I18" i="1"/>
  <c r="I17" i="1"/>
  <c r="X15" i="1"/>
  <c r="T15" i="1"/>
  <c r="I15" i="1"/>
  <c r="Z14" i="1"/>
  <c r="T14" i="1"/>
  <c r="V14" i="1" s="1"/>
  <c r="V12" i="1" s="1"/>
  <c r="I14" i="1"/>
  <c r="X9" i="1"/>
  <c r="X5" i="1" s="1"/>
  <c r="K9" i="1"/>
  <c r="I9" i="1"/>
  <c r="Z8" i="1"/>
  <c r="K8" i="1"/>
  <c r="I8" i="1"/>
  <c r="Z51" i="1" l="1"/>
  <c r="Y51" i="1"/>
  <c r="I459" i="18"/>
  <c r="Y148" i="1"/>
  <c r="I564" i="18"/>
  <c r="X77" i="1"/>
  <c r="Z194" i="2"/>
  <c r="X193" i="2"/>
  <c r="Y193" i="2" s="1"/>
  <c r="Y106" i="2"/>
  <c r="K67" i="8" s="1"/>
  <c r="E60" i="10" s="1"/>
  <c r="Y3" i="3"/>
  <c r="K92" i="8" s="1"/>
  <c r="E5" i="12" s="1"/>
  <c r="E71" i="12"/>
  <c r="K116" i="8"/>
  <c r="E53" i="12"/>
  <c r="E9" i="12"/>
  <c r="E89" i="15"/>
  <c r="K184" i="8"/>
  <c r="E64" i="15"/>
  <c r="K166" i="8"/>
  <c r="Y92" i="2"/>
  <c r="I623" i="18"/>
  <c r="X5" i="6"/>
  <c r="Z33" i="6"/>
  <c r="Z31" i="6" s="1"/>
  <c r="L204" i="8" s="1"/>
  <c r="AA3" i="5"/>
  <c r="M161" i="8" s="1"/>
  <c r="R8" i="7" s="1"/>
  <c r="M191" i="8"/>
  <c r="J161" i="8"/>
  <c r="F161" i="8" s="1"/>
  <c r="D5" i="15" s="1"/>
  <c r="E78" i="15"/>
  <c r="K178" i="8"/>
  <c r="X44" i="1"/>
  <c r="Y44" i="1" s="1"/>
  <c r="Z19" i="1"/>
  <c r="Z16" i="1" s="1"/>
  <c r="L8" i="8" s="1"/>
  <c r="X16" i="1"/>
  <c r="J8" i="8" s="1"/>
  <c r="F8" i="8" s="1"/>
  <c r="I5" i="6"/>
  <c r="M194" i="8"/>
  <c r="D98" i="15" s="1"/>
  <c r="K203" i="2"/>
  <c r="G91" i="8" s="1"/>
  <c r="I14" i="6"/>
  <c r="K14" i="6"/>
  <c r="Y109" i="5"/>
  <c r="Y3" i="5" s="1"/>
  <c r="K161" i="8" s="1"/>
  <c r="E5" i="15" s="1"/>
  <c r="J191" i="8"/>
  <c r="F191" i="8" s="1"/>
  <c r="D11" i="15" s="1"/>
  <c r="F194" i="8"/>
  <c r="X12" i="2"/>
  <c r="V173" i="2"/>
  <c r="V131" i="2"/>
  <c r="F110" i="8"/>
  <c r="D10" i="12" s="1"/>
  <c r="F7" i="7"/>
  <c r="D5" i="13"/>
  <c r="O7" i="7"/>
  <c r="O6" i="13"/>
  <c r="K110" i="1"/>
  <c r="L110" i="1"/>
  <c r="J110" i="1"/>
  <c r="Y110" i="1"/>
  <c r="L112" i="1"/>
  <c r="J112" i="1"/>
  <c r="Y112" i="1"/>
  <c r="E98" i="15"/>
  <c r="K191" i="8"/>
  <c r="O6" i="7"/>
  <c r="N5" i="12"/>
  <c r="L151" i="1"/>
  <c r="L148" i="1" s="1"/>
  <c r="J151" i="1"/>
  <c r="J148" i="1" s="1"/>
  <c r="Z141" i="2"/>
  <c r="Z140" i="2" s="1"/>
  <c r="L75" i="8" s="1"/>
  <c r="X140" i="2"/>
  <c r="J75" i="8" s="1"/>
  <c r="F75" i="8" s="1"/>
  <c r="K198" i="2"/>
  <c r="G90" i="8" s="1"/>
  <c r="J111" i="1"/>
  <c r="L111" i="1"/>
  <c r="Y111" i="1"/>
  <c r="Z201" i="2"/>
  <c r="Z198" i="2" s="1"/>
  <c r="L90" i="8" s="1"/>
  <c r="X198" i="2"/>
  <c r="J90" i="8" s="1"/>
  <c r="F90" i="8" s="1"/>
  <c r="O8" i="7"/>
  <c r="N5" i="15"/>
  <c r="J108" i="1"/>
  <c r="L108" i="1"/>
  <c r="Y108" i="1"/>
  <c r="I422" i="18" s="1"/>
  <c r="X184" i="2"/>
  <c r="J86" i="8" s="1"/>
  <c r="F86" i="8" s="1"/>
  <c r="V187" i="2"/>
  <c r="Z189" i="2"/>
  <c r="Z187" i="2" s="1"/>
  <c r="L87" i="8" s="1"/>
  <c r="X187" i="2"/>
  <c r="J87" i="8" s="1"/>
  <c r="F87" i="8" s="1"/>
  <c r="L109" i="1"/>
  <c r="J109" i="1"/>
  <c r="Y109" i="1"/>
  <c r="AA17" i="2"/>
  <c r="AA15" i="2" s="1"/>
  <c r="AA4" i="2" s="1"/>
  <c r="D7" i="15"/>
  <c r="D8" i="13"/>
  <c r="D12" i="13"/>
  <c r="D9" i="12"/>
  <c r="D8" i="15"/>
  <c r="D11" i="13"/>
  <c r="D7" i="12"/>
  <c r="D6" i="15"/>
  <c r="I23" i="1"/>
  <c r="D9" i="8" s="1"/>
  <c r="AA100" i="2"/>
  <c r="AA92" i="2" s="1"/>
  <c r="AA91" i="2" s="1"/>
  <c r="M64" i="8" s="1"/>
  <c r="X52" i="1"/>
  <c r="Y52" i="1" s="1"/>
  <c r="I5" i="1"/>
  <c r="V44" i="1"/>
  <c r="V203" i="1"/>
  <c r="Z204" i="1"/>
  <c r="Z203" i="1" s="1"/>
  <c r="L43" i="8" s="1"/>
  <c r="X203" i="1"/>
  <c r="I92" i="1"/>
  <c r="D21" i="8" s="1"/>
  <c r="X32" i="1"/>
  <c r="Z127" i="1"/>
  <c r="Z125" i="1" s="1"/>
  <c r="X125" i="1"/>
  <c r="Y125" i="1" s="1"/>
  <c r="K25" i="8" s="1"/>
  <c r="E65" i="11" s="1"/>
  <c r="Z133" i="1"/>
  <c r="Z131" i="1" s="1"/>
  <c r="L27" i="8" s="1"/>
  <c r="Z95" i="1"/>
  <c r="Z92" i="1" s="1"/>
  <c r="L21" i="8" s="1"/>
  <c r="Z155" i="2"/>
  <c r="Z154" i="2" s="1"/>
  <c r="L78" i="8" s="1"/>
  <c r="X154" i="2"/>
  <c r="J78" i="8" s="1"/>
  <c r="F78" i="8" s="1"/>
  <c r="J93" i="8"/>
  <c r="F93" i="8" s="1"/>
  <c r="D6" i="12" s="1"/>
  <c r="K5" i="2"/>
  <c r="K34" i="2"/>
  <c r="G53" i="8" s="1"/>
  <c r="V107" i="2"/>
  <c r="V106" i="2" s="1"/>
  <c r="T106" i="2"/>
  <c r="V8" i="2"/>
  <c r="V5" i="2" s="1"/>
  <c r="T5" i="2"/>
  <c r="V14" i="2"/>
  <c r="V12" i="2" s="1"/>
  <c r="Z174" i="2"/>
  <c r="Z173" i="2" s="1"/>
  <c r="L83" i="8" s="1"/>
  <c r="X173" i="2"/>
  <c r="J83" i="8" s="1"/>
  <c r="F83" i="8" s="1"/>
  <c r="Z17" i="2"/>
  <c r="Z15" i="2" s="1"/>
  <c r="L50" i="8" s="1"/>
  <c r="X15" i="2"/>
  <c r="V17" i="2"/>
  <c r="V15" i="2" s="1"/>
  <c r="T15" i="2"/>
  <c r="T12" i="2" s="1"/>
  <c r="K39" i="1"/>
  <c r="K44" i="1"/>
  <c r="G15" i="8" s="1"/>
  <c r="I44" i="1"/>
  <c r="D15" i="8" s="1"/>
  <c r="K99" i="1"/>
  <c r="G22" i="8" s="1"/>
  <c r="I16" i="1"/>
  <c r="D8" i="8" s="1"/>
  <c r="X26" i="1"/>
  <c r="J10" i="8" s="1"/>
  <c r="F10" i="8" s="1"/>
  <c r="I57" i="1"/>
  <c r="D17" i="8" s="1"/>
  <c r="X36" i="1"/>
  <c r="J13" i="8" s="1"/>
  <c r="F13" i="8" s="1"/>
  <c r="Z45" i="1"/>
  <c r="Z44" i="1" s="1"/>
  <c r="L15" i="8" s="1"/>
  <c r="I32" i="1"/>
  <c r="K32" i="1"/>
  <c r="G12" i="8" s="1"/>
  <c r="V57" i="1"/>
  <c r="K108" i="1"/>
  <c r="X108" i="1"/>
  <c r="Z108" i="1" s="1"/>
  <c r="X131" i="1"/>
  <c r="Z140" i="1"/>
  <c r="L28" i="8" s="1"/>
  <c r="Z106" i="1"/>
  <c r="V106" i="1"/>
  <c r="V35" i="1"/>
  <c r="T32" i="1"/>
  <c r="I111" i="1"/>
  <c r="X111" i="1"/>
  <c r="Z111" i="1" s="1"/>
  <c r="K109" i="1"/>
  <c r="X109" i="1"/>
  <c r="Z109" i="1" s="1"/>
  <c r="X110" i="1"/>
  <c r="Z110" i="1" s="1"/>
  <c r="Z59" i="1"/>
  <c r="Z57" i="1" s="1"/>
  <c r="L17" i="8" s="1"/>
  <c r="X57" i="1"/>
  <c r="J17" i="8" s="1"/>
  <c r="F17" i="8" s="1"/>
  <c r="I112" i="1"/>
  <c r="K112" i="1"/>
  <c r="Z35" i="2"/>
  <c r="Z34" i="2" s="1"/>
  <c r="L53" i="8" s="1"/>
  <c r="X34" i="2"/>
  <c r="J53" i="8" s="1"/>
  <c r="F53" i="8" s="1"/>
  <c r="I131" i="1"/>
  <c r="T60" i="4"/>
  <c r="T3" i="4" s="1"/>
  <c r="V92" i="1"/>
  <c r="J22" i="8"/>
  <c r="F22" i="8" s="1"/>
  <c r="Z101" i="1"/>
  <c r="Z102" i="1"/>
  <c r="L23" i="8" s="1"/>
  <c r="Z149" i="1"/>
  <c r="I148" i="2"/>
  <c r="D77" i="8" s="1"/>
  <c r="I21" i="2"/>
  <c r="D51" i="8" s="1"/>
  <c r="D92" i="8"/>
  <c r="D5" i="12" s="1"/>
  <c r="Z107" i="2"/>
  <c r="Z106" i="2" s="1"/>
  <c r="L67" i="8" s="1"/>
  <c r="I100" i="2"/>
  <c r="I92" i="2" s="1"/>
  <c r="J49" i="8"/>
  <c r="F49" i="8" s="1"/>
  <c r="V186" i="2"/>
  <c r="V184" i="2" s="1"/>
  <c r="I198" i="2"/>
  <c r="I43" i="2"/>
  <c r="D55" i="8" s="1"/>
  <c r="V166" i="2"/>
  <c r="V165" i="2" s="1"/>
  <c r="T165" i="2"/>
  <c r="F8" i="7"/>
  <c r="Q10" i="11"/>
  <c r="C102" i="11"/>
  <c r="Q6" i="11"/>
  <c r="C98" i="11"/>
  <c r="M12" i="10"/>
  <c r="C119" i="10" s="1"/>
  <c r="M7" i="10"/>
  <c r="I140" i="1"/>
  <c r="D28" i="8" s="1"/>
  <c r="K203" i="1"/>
  <c r="G43" i="8" s="1"/>
  <c r="Z55" i="1"/>
  <c r="Z52" i="1" s="1"/>
  <c r="L16" i="8" s="1"/>
  <c r="K184" i="2"/>
  <c r="G86" i="8" s="1"/>
  <c r="Z101" i="2"/>
  <c r="L66" i="8" s="1"/>
  <c r="D56" i="8"/>
  <c r="Z131" i="2"/>
  <c r="L74" i="8" s="1"/>
  <c r="I140" i="2"/>
  <c r="D75" i="8" s="1"/>
  <c r="Z166" i="2"/>
  <c r="X165" i="2"/>
  <c r="J81" i="8" s="1"/>
  <c r="F81" i="8" s="1"/>
  <c r="T52" i="2"/>
  <c r="J57" i="8"/>
  <c r="F57" i="8" s="1"/>
  <c r="J67" i="8"/>
  <c r="F67" i="8" s="1"/>
  <c r="Z172" i="2"/>
  <c r="J82" i="8"/>
  <c r="F82" i="8" s="1"/>
  <c r="I173" i="2"/>
  <c r="D83" i="8" s="1"/>
  <c r="T56" i="2"/>
  <c r="I170" i="2"/>
  <c r="D82" i="8" s="1"/>
  <c r="K173" i="2"/>
  <c r="G83" i="8" s="1"/>
  <c r="Z57" i="2"/>
  <c r="Z56" i="2" s="1"/>
  <c r="L58" i="8" s="1"/>
  <c r="X56" i="2"/>
  <c r="K170" i="2"/>
  <c r="G82" i="8" s="1"/>
  <c r="I73" i="2"/>
  <c r="D61" i="8" s="1"/>
  <c r="I154" i="2"/>
  <c r="D78" i="8" s="1"/>
  <c r="V154" i="2"/>
  <c r="Z148" i="2"/>
  <c r="L77" i="8" s="1"/>
  <c r="I145" i="2"/>
  <c r="D76" i="8" s="1"/>
  <c r="X145" i="2"/>
  <c r="J76" i="8" s="1"/>
  <c r="F76" i="8" s="1"/>
  <c r="Z145" i="2"/>
  <c r="L76" i="8" s="1"/>
  <c r="K145" i="2"/>
  <c r="G76" i="8" s="1"/>
  <c r="K5" i="6"/>
  <c r="X124" i="2"/>
  <c r="J71" i="8" s="1"/>
  <c r="F71" i="8" s="1"/>
  <c r="Z203" i="2"/>
  <c r="L91" i="8" s="1"/>
  <c r="I203" i="2"/>
  <c r="D91" i="8" s="1"/>
  <c r="Z193" i="2"/>
  <c r="T193" i="2"/>
  <c r="Z40" i="1"/>
  <c r="Z39" i="1" s="1"/>
  <c r="X39" i="1"/>
  <c r="Z82" i="1"/>
  <c r="Z77" i="1" s="1"/>
  <c r="L18" i="8" s="1"/>
  <c r="J18" i="8"/>
  <c r="F18" i="8" s="1"/>
  <c r="K143" i="1"/>
  <c r="G29" i="8" s="1"/>
  <c r="V161" i="1"/>
  <c r="V160" i="1" s="1"/>
  <c r="T160" i="1"/>
  <c r="X23" i="1"/>
  <c r="J9" i="8" s="1"/>
  <c r="F9" i="8" s="1"/>
  <c r="D7" i="8"/>
  <c r="K26" i="1"/>
  <c r="G10" i="8" s="1"/>
  <c r="Z144" i="1"/>
  <c r="Z143" i="1" s="1"/>
  <c r="L29" i="8" s="1"/>
  <c r="X143" i="1"/>
  <c r="J29" i="8" s="1"/>
  <c r="F29" i="8" s="1"/>
  <c r="V144" i="1"/>
  <c r="T143" i="1"/>
  <c r="I143" i="1"/>
  <c r="D29" i="8" s="1"/>
  <c r="I36" i="1"/>
  <c r="D13" i="8" s="1"/>
  <c r="V173" i="1"/>
  <c r="V172" i="1" s="1"/>
  <c r="T172" i="1"/>
  <c r="I206" i="1"/>
  <c r="D44" i="8" s="1"/>
  <c r="K206" i="1"/>
  <c r="G44" i="8" s="1"/>
  <c r="Z195" i="1"/>
  <c r="L41" i="8" s="1"/>
  <c r="K195" i="1"/>
  <c r="G41" i="8" s="1"/>
  <c r="I192" i="1"/>
  <c r="D40" i="8" s="1"/>
  <c r="K87" i="1"/>
  <c r="G19" i="8" s="1"/>
  <c r="L33" i="8"/>
  <c r="I77" i="1"/>
  <c r="D18" i="8" s="1"/>
  <c r="Z87" i="1"/>
  <c r="L19" i="8" s="1"/>
  <c r="I99" i="1"/>
  <c r="D22" i="8" s="1"/>
  <c r="D33" i="8"/>
  <c r="K36" i="1"/>
  <c r="G13" i="8" s="1"/>
  <c r="K140" i="1"/>
  <c r="G28" i="8" s="1"/>
  <c r="T186" i="1"/>
  <c r="I52" i="1"/>
  <c r="D16" i="8" s="1"/>
  <c r="T36" i="1"/>
  <c r="I110" i="1"/>
  <c r="Z186" i="1"/>
  <c r="L39" i="8" s="1"/>
  <c r="K16" i="1"/>
  <c r="G8" i="8" s="1"/>
  <c r="I26" i="1"/>
  <c r="D10" i="8" s="1"/>
  <c r="K125" i="1"/>
  <c r="G25" i="8" s="1"/>
  <c r="Z160" i="1"/>
  <c r="L32" i="8" s="1"/>
  <c r="I195" i="1"/>
  <c r="D41" i="8" s="1"/>
  <c r="Z33" i="1"/>
  <c r="Z32" i="1" s="1"/>
  <c r="L12" i="8" s="1"/>
  <c r="K186" i="1"/>
  <c r="G39" i="8" s="1"/>
  <c r="I109" i="1"/>
  <c r="K111" i="1"/>
  <c r="J35" i="8"/>
  <c r="F35" i="8" s="1"/>
  <c r="X175" i="1"/>
  <c r="J36" i="8" s="1"/>
  <c r="F36" i="8" s="1"/>
  <c r="Z177" i="1"/>
  <c r="Z175" i="1" s="1"/>
  <c r="L36" i="8" s="1"/>
  <c r="I203" i="1"/>
  <c r="D43" i="8" s="1"/>
  <c r="Z28" i="1"/>
  <c r="Z26" i="1" s="1"/>
  <c r="L10" i="8" s="1"/>
  <c r="X153" i="1"/>
  <c r="J31" i="8" s="1"/>
  <c r="F31" i="8" s="1"/>
  <c r="Z153" i="1"/>
  <c r="L31" i="8" s="1"/>
  <c r="I175" i="1"/>
  <c r="D36" i="8" s="1"/>
  <c r="T199" i="1"/>
  <c r="X206" i="1"/>
  <c r="J44" i="8" s="1"/>
  <c r="F44" i="8" s="1"/>
  <c r="Z207" i="1"/>
  <c r="Z206" i="1" s="1"/>
  <c r="L44" i="8" s="1"/>
  <c r="Z37" i="1"/>
  <c r="Z36" i="1" s="1"/>
  <c r="L13" i="8" s="1"/>
  <c r="I186" i="1"/>
  <c r="D39" i="8" s="1"/>
  <c r="K179" i="1"/>
  <c r="G37" i="8" s="1"/>
  <c r="I199" i="1"/>
  <c r="D42" i="8" s="1"/>
  <c r="I160" i="1"/>
  <c r="D32" i="8" s="1"/>
  <c r="X179" i="1"/>
  <c r="J37" i="8" s="1"/>
  <c r="F37" i="8" s="1"/>
  <c r="Z180" i="1"/>
  <c r="Z179" i="1" s="1"/>
  <c r="L37" i="8" s="1"/>
  <c r="X87" i="1"/>
  <c r="Y87" i="1" s="1"/>
  <c r="K19" i="8" s="1"/>
  <c r="E56" i="11" s="1"/>
  <c r="K175" i="1"/>
  <c r="G36" i="8" s="1"/>
  <c r="K192" i="1"/>
  <c r="G40" i="8" s="1"/>
  <c r="Z199" i="1"/>
  <c r="L42" i="8" s="1"/>
  <c r="V27" i="1"/>
  <c r="V26" i="1" s="1"/>
  <c r="T26" i="1"/>
  <c r="X192" i="1"/>
  <c r="J40" i="8" s="1"/>
  <c r="F40" i="8" s="1"/>
  <c r="Z193" i="1"/>
  <c r="Z192" i="1" s="1"/>
  <c r="L40" i="8" s="1"/>
  <c r="K5" i="1"/>
  <c r="T125" i="1"/>
  <c r="V127" i="1"/>
  <c r="V125" i="1" s="1"/>
  <c r="J38" i="8"/>
  <c r="F38" i="8" s="1"/>
  <c r="Z185" i="1"/>
  <c r="Z184" i="1" s="1"/>
  <c r="L38" i="8" s="1"/>
  <c r="T192" i="1"/>
  <c r="K57" i="1"/>
  <c r="G17" i="8" s="1"/>
  <c r="T52" i="1"/>
  <c r="J7" i="8"/>
  <c r="Z15" i="1"/>
  <c r="Z12" i="1" s="1"/>
  <c r="L7" i="8" s="1"/>
  <c r="V183" i="2"/>
  <c r="V182" i="2" s="1"/>
  <c r="Z47" i="6"/>
  <c r="L206" i="8" s="1"/>
  <c r="Z40" i="6"/>
  <c r="L205" i="8" s="1"/>
  <c r="Z14" i="6"/>
  <c r="Z7" i="6"/>
  <c r="Z5" i="6" s="1"/>
  <c r="Z4" i="6" s="1"/>
  <c r="L202" i="8"/>
  <c r="K187" i="2"/>
  <c r="G87" i="8" s="1"/>
  <c r="I184" i="2"/>
  <c r="D86" i="8" s="1"/>
  <c r="Z185" i="2"/>
  <c r="Z184" i="2" s="1"/>
  <c r="L86" i="8" s="1"/>
  <c r="J85" i="8"/>
  <c r="F85" i="8" s="1"/>
  <c r="Z183" i="2"/>
  <c r="Z182" i="2" s="1"/>
  <c r="L85" i="8" s="1"/>
  <c r="T182" i="2"/>
  <c r="Z176" i="2"/>
  <c r="I176" i="2"/>
  <c r="D84" i="8" s="1"/>
  <c r="K176" i="2"/>
  <c r="G84" i="8" s="1"/>
  <c r="V176" i="2"/>
  <c r="T23" i="1"/>
  <c r="Z9" i="1"/>
  <c r="Z5" i="1" s="1"/>
  <c r="J6" i="8"/>
  <c r="F6" i="8" s="1"/>
  <c r="L62" i="8"/>
  <c r="K77" i="2"/>
  <c r="G62" i="8" s="1"/>
  <c r="I77" i="2"/>
  <c r="D62" i="8" s="1"/>
  <c r="K209" i="1"/>
  <c r="G45" i="8" s="1"/>
  <c r="X209" i="1"/>
  <c r="J45" i="8" s="1"/>
  <c r="F45" i="8" s="1"/>
  <c r="Z210" i="1"/>
  <c r="Z209" i="1" s="1"/>
  <c r="D79" i="8"/>
  <c r="I153" i="1"/>
  <c r="D31" i="8" s="1"/>
  <c r="K153" i="1"/>
  <c r="G31" i="8" s="1"/>
  <c r="I85" i="2"/>
  <c r="D63" i="8" s="1"/>
  <c r="Z85" i="2"/>
  <c r="L63" i="8" s="1"/>
  <c r="I125" i="1"/>
  <c r="D25" i="8" s="1"/>
  <c r="Z126" i="2"/>
  <c r="L72" i="8" s="1"/>
  <c r="K126" i="2"/>
  <c r="G72" i="8" s="1"/>
  <c r="V125" i="2"/>
  <c r="V124" i="2" s="1"/>
  <c r="X122" i="2"/>
  <c r="J70" i="8" s="1"/>
  <c r="F70" i="8" s="1"/>
  <c r="Z123" i="2"/>
  <c r="Z122" i="2" s="1"/>
  <c r="L70" i="8" s="1"/>
  <c r="J69" i="8"/>
  <c r="F69" i="8" s="1"/>
  <c r="Z121" i="2"/>
  <c r="Z120" i="2" s="1"/>
  <c r="G69" i="8"/>
  <c r="D69" i="8"/>
  <c r="X73" i="2"/>
  <c r="J61" i="8" s="1"/>
  <c r="F61" i="8" s="1"/>
  <c r="Z74" i="2"/>
  <c r="Z73" i="2" s="1"/>
  <c r="L61" i="8" s="1"/>
  <c r="K73" i="2"/>
  <c r="G61" i="8" s="1"/>
  <c r="Z68" i="2"/>
  <c r="L60" i="8" s="1"/>
  <c r="V68" i="2"/>
  <c r="Z60" i="2"/>
  <c r="L59" i="8" s="1"/>
  <c r="I60" i="2"/>
  <c r="D59" i="8" s="1"/>
  <c r="K60" i="2"/>
  <c r="G59" i="8" s="1"/>
  <c r="K52" i="2"/>
  <c r="G57" i="8" s="1"/>
  <c r="Z52" i="2"/>
  <c r="L57" i="8" s="1"/>
  <c r="G56" i="8"/>
  <c r="Z43" i="2"/>
  <c r="L55" i="8" s="1"/>
  <c r="K43" i="2"/>
  <c r="G55" i="8" s="1"/>
  <c r="X39" i="2"/>
  <c r="J54" i="8" s="1"/>
  <c r="F54" i="8" s="1"/>
  <c r="Z40" i="2"/>
  <c r="Z39" i="2" s="1"/>
  <c r="L54" i="8" s="1"/>
  <c r="I34" i="2"/>
  <c r="D53" i="8" s="1"/>
  <c r="X29" i="2"/>
  <c r="J52" i="8" s="1"/>
  <c r="F52" i="8" s="1"/>
  <c r="Z31" i="2"/>
  <c r="Z29" i="2" s="1"/>
  <c r="I29" i="2"/>
  <c r="D52" i="8" s="1"/>
  <c r="K29" i="2"/>
  <c r="G52" i="8" s="1"/>
  <c r="K21" i="2"/>
  <c r="G51" i="8" s="1"/>
  <c r="Z21" i="2"/>
  <c r="L51" i="8" s="1"/>
  <c r="X21" i="2"/>
  <c r="J51" i="8" s="1"/>
  <c r="F51" i="8" s="1"/>
  <c r="Z13" i="2"/>
  <c r="Z12" i="2" s="1"/>
  <c r="L49" i="8" s="1"/>
  <c r="G49" i="8"/>
  <c r="Z7" i="2"/>
  <c r="Z5" i="2" s="1"/>
  <c r="X5" i="2"/>
  <c r="G23" i="8"/>
  <c r="V103" i="1"/>
  <c r="V102" i="1" s="1"/>
  <c r="T99" i="1"/>
  <c r="K92" i="1"/>
  <c r="G21" i="8" s="1"/>
  <c r="I5" i="2"/>
  <c r="I165" i="2"/>
  <c r="D81" i="8" s="1"/>
  <c r="V203" i="2"/>
  <c r="I56" i="2"/>
  <c r="D58" i="8" s="1"/>
  <c r="T68" i="2"/>
  <c r="K131" i="2"/>
  <c r="T148" i="2"/>
  <c r="K92" i="2"/>
  <c r="V121" i="2"/>
  <c r="V120" i="2" s="1"/>
  <c r="K85" i="2"/>
  <c r="G63" i="8" s="1"/>
  <c r="I187" i="2"/>
  <c r="D87" i="8" s="1"/>
  <c r="K56" i="2"/>
  <c r="G58" i="8" s="1"/>
  <c r="X68" i="2"/>
  <c r="J60" i="8" s="1"/>
  <c r="F60" i="8" s="1"/>
  <c r="I131" i="2"/>
  <c r="T176" i="2"/>
  <c r="I39" i="2"/>
  <c r="D54" i="8" s="1"/>
  <c r="X77" i="2"/>
  <c r="J62" i="8" s="1"/>
  <c r="F62" i="8" s="1"/>
  <c r="X85" i="2"/>
  <c r="J63" i="8" s="1"/>
  <c r="F63" i="8" s="1"/>
  <c r="V39" i="2"/>
  <c r="V57" i="2"/>
  <c r="V56" i="2" s="1"/>
  <c r="X101" i="2"/>
  <c r="I126" i="2"/>
  <c r="D72" i="8" s="1"/>
  <c r="K148" i="2"/>
  <c r="G77" i="8" s="1"/>
  <c r="K31" i="6"/>
  <c r="G204" i="8" s="1"/>
  <c r="K40" i="6"/>
  <c r="X40" i="6"/>
  <c r="J205" i="8" s="1"/>
  <c r="F205" i="8" s="1"/>
  <c r="T47" i="6"/>
  <c r="G202" i="8"/>
  <c r="K47" i="6"/>
  <c r="G206" i="8" s="1"/>
  <c r="X14" i="6"/>
  <c r="J201" i="8" s="1"/>
  <c r="F201" i="8" s="1"/>
  <c r="I40" i="6"/>
  <c r="G159" i="8"/>
  <c r="X186" i="1"/>
  <c r="J39" i="8" s="1"/>
  <c r="F39" i="8" s="1"/>
  <c r="X199" i="1"/>
  <c r="X92" i="1"/>
  <c r="V140" i="1"/>
  <c r="V179" i="1"/>
  <c r="X140" i="1"/>
  <c r="J28" i="8" s="1"/>
  <c r="F28" i="8" s="1"/>
  <c r="J33" i="8"/>
  <c r="F33" i="8" s="1"/>
  <c r="T195" i="1"/>
  <c r="T12" i="1"/>
  <c r="X195" i="1"/>
  <c r="J41" i="8" s="1"/>
  <c r="F41" i="8" s="1"/>
  <c r="T148" i="1"/>
  <c r="T209" i="1"/>
  <c r="K23" i="1"/>
  <c r="G9" i="8" s="1"/>
  <c r="V148" i="1"/>
  <c r="V131" i="1"/>
  <c r="V101" i="2"/>
  <c r="X115" i="1"/>
  <c r="Z115" i="1" s="1"/>
  <c r="T115" i="1"/>
  <c r="V115" i="1" s="1"/>
  <c r="V153" i="1"/>
  <c r="K77" i="1"/>
  <c r="G18" i="8" s="1"/>
  <c r="T77" i="1"/>
  <c r="V77" i="1"/>
  <c r="V109" i="1"/>
  <c r="K131" i="1"/>
  <c r="K151" i="1"/>
  <c r="K148" i="1" s="1"/>
  <c r="G30" i="8" s="1"/>
  <c r="I151" i="1"/>
  <c r="I148" i="1" s="1"/>
  <c r="D30" i="8" s="1"/>
  <c r="V176" i="1"/>
  <c r="V175" i="1" s="1"/>
  <c r="V185" i="1"/>
  <c r="V184" i="1" s="1"/>
  <c r="V198" i="1"/>
  <c r="V195" i="1" s="1"/>
  <c r="V208" i="1"/>
  <c r="V206" i="1" s="1"/>
  <c r="T206" i="1"/>
  <c r="I106" i="2"/>
  <c r="D67" i="8" s="1"/>
  <c r="V148" i="2"/>
  <c r="T5" i="6"/>
  <c r="V5" i="6"/>
  <c r="X112" i="1"/>
  <c r="Z112" i="1" s="1"/>
  <c r="X119" i="1"/>
  <c r="Z119" i="1" s="1"/>
  <c r="V119" i="1"/>
  <c r="T153" i="1"/>
  <c r="X100" i="2"/>
  <c r="X92" i="2" s="1"/>
  <c r="T100" i="2"/>
  <c r="V100" i="2" s="1"/>
  <c r="V127" i="2"/>
  <c r="V126" i="2" s="1"/>
  <c r="T126" i="2"/>
  <c r="V38" i="1"/>
  <c r="V36" i="1" s="1"/>
  <c r="T44" i="1"/>
  <c r="I108" i="1"/>
  <c r="K160" i="1"/>
  <c r="G32" i="8" s="1"/>
  <c r="V193" i="1"/>
  <c r="V192" i="1" s="1"/>
  <c r="I12" i="2"/>
  <c r="D49" i="8" s="1"/>
  <c r="V44" i="2"/>
  <c r="V43" i="2" s="1"/>
  <c r="T43" i="2"/>
  <c r="V145" i="2"/>
  <c r="V198" i="2"/>
  <c r="G7" i="8"/>
  <c r="V87" i="1"/>
  <c r="T87" i="1"/>
  <c r="T140" i="1"/>
  <c r="I179" i="1"/>
  <c r="D37" i="8" s="1"/>
  <c r="V140" i="2"/>
  <c r="V31" i="6"/>
  <c r="T31" i="6"/>
  <c r="T57" i="1"/>
  <c r="X116" i="1"/>
  <c r="Z116" i="1" s="1"/>
  <c r="X124" i="1"/>
  <c r="Z124" i="1" s="1"/>
  <c r="I172" i="1"/>
  <c r="T179" i="1"/>
  <c r="I15" i="2"/>
  <c r="D50" i="8" s="1"/>
  <c r="V60" i="2"/>
  <c r="T73" i="2"/>
  <c r="V18" i="6"/>
  <c r="V14" i="6" s="1"/>
  <c r="T14" i="6"/>
  <c r="T40" i="6"/>
  <c r="V40" i="6"/>
  <c r="V52" i="1"/>
  <c r="V200" i="1"/>
  <c r="V199" i="1" s="1"/>
  <c r="T131" i="2"/>
  <c r="V25" i="1"/>
  <c r="V23" i="1" s="1"/>
  <c r="V40" i="1"/>
  <c r="V39" i="1" s="1"/>
  <c r="T39" i="1"/>
  <c r="V187" i="1"/>
  <c r="V186" i="1" s="1"/>
  <c r="V194" i="2"/>
  <c r="V193" i="2" s="1"/>
  <c r="T60" i="2"/>
  <c r="K106" i="2"/>
  <c r="G67" i="8" s="1"/>
  <c r="T16" i="1"/>
  <c r="V33" i="1"/>
  <c r="T92" i="1"/>
  <c r="T29" i="2"/>
  <c r="V29" i="2"/>
  <c r="T101" i="2"/>
  <c r="X126" i="2"/>
  <c r="K140" i="2"/>
  <c r="G75" i="8" s="1"/>
  <c r="V16" i="1"/>
  <c r="X114" i="1"/>
  <c r="Z114" i="1" s="1"/>
  <c r="T203" i="1"/>
  <c r="X43" i="2"/>
  <c r="K68" i="2"/>
  <c r="G60" i="8" s="1"/>
  <c r="T154" i="2"/>
  <c r="T203" i="2"/>
  <c r="K52" i="1"/>
  <c r="G16" i="8" s="1"/>
  <c r="T131" i="1"/>
  <c r="X160" i="1"/>
  <c r="J32" i="8" s="1"/>
  <c r="F32" i="8" s="1"/>
  <c r="I209" i="1"/>
  <c r="D45" i="8" s="1"/>
  <c r="K15" i="2"/>
  <c r="G50" i="8" s="1"/>
  <c r="V34" i="2"/>
  <c r="T39" i="2"/>
  <c r="X60" i="2"/>
  <c r="Y60" i="2" s="1"/>
  <c r="V73" i="2"/>
  <c r="X148" i="2"/>
  <c r="J77" i="8" s="1"/>
  <c r="F77" i="8" s="1"/>
  <c r="I101" i="2"/>
  <c r="D66" i="8" s="1"/>
  <c r="J79" i="8"/>
  <c r="F79" i="8" s="1"/>
  <c r="I52" i="2"/>
  <c r="D57" i="8" s="1"/>
  <c r="I68" i="2"/>
  <c r="D60" i="8" s="1"/>
  <c r="T77" i="2"/>
  <c r="V77" i="2"/>
  <c r="K101" i="2"/>
  <c r="G66" i="8" s="1"/>
  <c r="X131" i="2"/>
  <c r="K165" i="2"/>
  <c r="G81" i="8" s="1"/>
  <c r="V171" i="2"/>
  <c r="V170" i="2" s="1"/>
  <c r="T85" i="2"/>
  <c r="V122" i="2"/>
  <c r="T122" i="2"/>
  <c r="K194" i="2"/>
  <c r="K193" i="2" s="1"/>
  <c r="I39" i="1"/>
  <c r="I87" i="1"/>
  <c r="D19" i="8" s="1"/>
  <c r="K199" i="1"/>
  <c r="G42" i="8" s="1"/>
  <c r="V21" i="2"/>
  <c r="T34" i="2"/>
  <c r="V85" i="2"/>
  <c r="T140" i="2"/>
  <c r="K154" i="2"/>
  <c r="I194" i="2"/>
  <c r="I193" i="2" s="1"/>
  <c r="T198" i="2"/>
  <c r="X203" i="2"/>
  <c r="J91" i="8" s="1"/>
  <c r="F91" i="8" s="1"/>
  <c r="T21" i="2"/>
  <c r="G54" i="8"/>
  <c r="X176" i="2"/>
  <c r="J84" i="8" s="1"/>
  <c r="F84" i="8" s="1"/>
  <c r="J202" i="8"/>
  <c r="F202" i="8" s="1"/>
  <c r="I31" i="6"/>
  <c r="I47" i="6"/>
  <c r="D206" i="8" s="1"/>
  <c r="V47" i="6"/>
  <c r="D202" i="8"/>
  <c r="X31" i="6"/>
  <c r="X47" i="6"/>
  <c r="J206" i="8" s="1"/>
  <c r="F206" i="8" s="1"/>
  <c r="AA51" i="1" l="1"/>
  <c r="AA44" i="1" s="1"/>
  <c r="I536" i="18"/>
  <c r="Y31" i="6"/>
  <c r="Y30" i="6" s="1"/>
  <c r="Y5" i="6"/>
  <c r="Y4" i="6" s="1"/>
  <c r="J42" i="8"/>
  <c r="F42" i="8" s="1"/>
  <c r="Y199" i="1"/>
  <c r="J16" i="8"/>
  <c r="F16" i="8" s="1"/>
  <c r="K16" i="8"/>
  <c r="E53" i="11" s="1"/>
  <c r="K15" i="8"/>
  <c r="J12" i="8"/>
  <c r="F12" i="8" s="1"/>
  <c r="X31" i="1"/>
  <c r="J59" i="8"/>
  <c r="F59" i="8" s="1"/>
  <c r="K59" i="8"/>
  <c r="E49" i="10" s="1"/>
  <c r="J66" i="8"/>
  <c r="F66" i="8" s="1"/>
  <c r="Y101" i="2"/>
  <c r="K66" i="8" s="1"/>
  <c r="E59" i="10" s="1"/>
  <c r="K89" i="8"/>
  <c r="Y192" i="2"/>
  <c r="J50" i="8"/>
  <c r="F50" i="8" s="1"/>
  <c r="Y4" i="2"/>
  <c r="K6" i="7"/>
  <c r="G6" i="7" s="1"/>
  <c r="N6" i="7" s="1"/>
  <c r="E69" i="12"/>
  <c r="E11" i="12"/>
  <c r="E86" i="15"/>
  <c r="E10" i="15"/>
  <c r="E7" i="15"/>
  <c r="E56" i="15"/>
  <c r="AA112" i="1"/>
  <c r="I426" i="18"/>
  <c r="AA111" i="1"/>
  <c r="I425" i="18"/>
  <c r="AA110" i="1"/>
  <c r="I424" i="18"/>
  <c r="AA109" i="1"/>
  <c r="I423" i="18"/>
  <c r="O5" i="15"/>
  <c r="K204" i="8"/>
  <c r="K200" i="8"/>
  <c r="E9" i="15"/>
  <c r="E74" i="15"/>
  <c r="X130" i="2"/>
  <c r="M47" i="8"/>
  <c r="AA3" i="2"/>
  <c r="Z4" i="1"/>
  <c r="O11" i="15"/>
  <c r="D95" i="15" s="1"/>
  <c r="I4" i="6"/>
  <c r="K8" i="7"/>
  <c r="G8" i="7" s="1"/>
  <c r="N8" i="7" s="1"/>
  <c r="J105" i="1"/>
  <c r="J91" i="1" s="1"/>
  <c r="T192" i="2"/>
  <c r="L105" i="1"/>
  <c r="H24" i="8" s="1"/>
  <c r="H20" i="8" s="1"/>
  <c r="Z170" i="2"/>
  <c r="L82" i="8" s="1"/>
  <c r="M50" i="8"/>
  <c r="K192" i="2"/>
  <c r="E95" i="15"/>
  <c r="E11" i="15"/>
  <c r="D204" i="8"/>
  <c r="I30" i="6"/>
  <c r="H30" i="8"/>
  <c r="H26" i="8" s="1"/>
  <c r="L130" i="1"/>
  <c r="V192" i="2"/>
  <c r="F192" i="2" s="1"/>
  <c r="X192" i="2"/>
  <c r="T30" i="6"/>
  <c r="AA108" i="1"/>
  <c r="Y105" i="1"/>
  <c r="K24" i="8" s="1"/>
  <c r="E64" i="11" s="1"/>
  <c r="E30" i="8"/>
  <c r="E26" i="8" s="1"/>
  <c r="J130" i="1"/>
  <c r="M65" i="8"/>
  <c r="K65" i="8"/>
  <c r="D90" i="8"/>
  <c r="I192" i="2"/>
  <c r="I130" i="1"/>
  <c r="X148" i="1"/>
  <c r="X130" i="1" s="1"/>
  <c r="J21" i="8"/>
  <c r="F21" i="8" s="1"/>
  <c r="AA133" i="1"/>
  <c r="AA131" i="1" s="1"/>
  <c r="Y131" i="1"/>
  <c r="Y130" i="1" s="1"/>
  <c r="AA95" i="1"/>
  <c r="AA92" i="1" s="1"/>
  <c r="Y92" i="1"/>
  <c r="V32" i="1"/>
  <c r="V31" i="1" s="1"/>
  <c r="F31" i="1" s="1"/>
  <c r="K130" i="1"/>
  <c r="Z99" i="1"/>
  <c r="L22" i="8" s="1"/>
  <c r="G78" i="8"/>
  <c r="K130" i="2"/>
  <c r="G80" i="8"/>
  <c r="N11" i="10" s="1"/>
  <c r="D12" i="8"/>
  <c r="I31" i="1"/>
  <c r="K119" i="2"/>
  <c r="X4" i="2"/>
  <c r="I4" i="2"/>
  <c r="X4" i="1"/>
  <c r="V4" i="1"/>
  <c r="F4" i="1" s="1"/>
  <c r="T105" i="1"/>
  <c r="X105" i="1"/>
  <c r="X91" i="1" s="1"/>
  <c r="T4" i="1"/>
  <c r="F6" i="7"/>
  <c r="D200" i="8"/>
  <c r="V4" i="6"/>
  <c r="F4" i="6" s="1"/>
  <c r="T4" i="6"/>
  <c r="L200" i="8"/>
  <c r="G200" i="8"/>
  <c r="K4" i="6"/>
  <c r="X4" i="6"/>
  <c r="G68" i="8"/>
  <c r="N9" i="10" s="1"/>
  <c r="I130" i="2"/>
  <c r="I164" i="2"/>
  <c r="D74" i="8"/>
  <c r="G74" i="8"/>
  <c r="L73" i="8"/>
  <c r="J74" i="8"/>
  <c r="F74" i="8" s="1"/>
  <c r="G48" i="8"/>
  <c r="G47" i="8" s="1"/>
  <c r="N7" i="10" s="1"/>
  <c r="K4" i="2"/>
  <c r="D27" i="8"/>
  <c r="T130" i="1"/>
  <c r="G27" i="8"/>
  <c r="J27" i="8"/>
  <c r="F27" i="8" s="1"/>
  <c r="C37" i="10"/>
  <c r="C115" i="10"/>
  <c r="K4" i="1"/>
  <c r="D6" i="8"/>
  <c r="I4" i="1"/>
  <c r="G6" i="8"/>
  <c r="G5" i="8" s="1"/>
  <c r="R6" i="11" s="1"/>
  <c r="J19" i="8"/>
  <c r="F19" i="8" s="1"/>
  <c r="L89" i="8"/>
  <c r="L88" i="8" s="1"/>
  <c r="Z192" i="2"/>
  <c r="Z165" i="2"/>
  <c r="L81" i="8" s="1"/>
  <c r="L52" i="8"/>
  <c r="T145" i="2"/>
  <c r="Z130" i="2"/>
  <c r="J89" i="8"/>
  <c r="F89" i="8" s="1"/>
  <c r="D89" i="8"/>
  <c r="G89" i="8"/>
  <c r="G88" i="8" s="1"/>
  <c r="N12" i="10" s="1"/>
  <c r="J14" i="8"/>
  <c r="F14" i="8" s="1"/>
  <c r="L6" i="8"/>
  <c r="Z31" i="1"/>
  <c r="V143" i="1"/>
  <c r="L14" i="8"/>
  <c r="Z172" i="1"/>
  <c r="L203" i="8"/>
  <c r="Z105" i="1"/>
  <c r="L24" i="8" s="1"/>
  <c r="V105" i="1"/>
  <c r="K105" i="1"/>
  <c r="G24" i="8" s="1"/>
  <c r="G20" i="8" s="1"/>
  <c r="Z151" i="1"/>
  <c r="Z148" i="1" s="1"/>
  <c r="Z130" i="1" s="1"/>
  <c r="I105" i="1"/>
  <c r="D24" i="8" s="1"/>
  <c r="X171" i="1"/>
  <c r="J43" i="8"/>
  <c r="F43" i="8" s="1"/>
  <c r="J15" i="8"/>
  <c r="F15" i="8" s="1"/>
  <c r="L84" i="8"/>
  <c r="K164" i="2"/>
  <c r="L201" i="8"/>
  <c r="Z30" i="6"/>
  <c r="Z3" i="6" s="1"/>
  <c r="D80" i="8"/>
  <c r="T170" i="2"/>
  <c r="D14" i="8"/>
  <c r="K31" i="1"/>
  <c r="G14" i="8"/>
  <c r="G11" i="8" s="1"/>
  <c r="R7" i="11" s="1"/>
  <c r="J5" i="8"/>
  <c r="F5" i="8" s="1"/>
  <c r="L45" i="8"/>
  <c r="G79" i="8"/>
  <c r="X91" i="2"/>
  <c r="Z100" i="2"/>
  <c r="Z92" i="2" s="1"/>
  <c r="Z91" i="2" s="1"/>
  <c r="G65" i="8"/>
  <c r="G64" i="8" s="1"/>
  <c r="N8" i="10" s="1"/>
  <c r="K91" i="2"/>
  <c r="D65" i="8"/>
  <c r="I91" i="2"/>
  <c r="I119" i="2"/>
  <c r="D68" i="8"/>
  <c r="L69" i="8"/>
  <c r="L68" i="8" s="1"/>
  <c r="Z119" i="2"/>
  <c r="D205" i="8"/>
  <c r="V30" i="6"/>
  <c r="F30" i="6" s="1"/>
  <c r="G205" i="8"/>
  <c r="K30" i="6"/>
  <c r="D201" i="8"/>
  <c r="G201" i="8"/>
  <c r="J48" i="8"/>
  <c r="F48" i="8" s="1"/>
  <c r="Z4" i="2"/>
  <c r="L48" i="8"/>
  <c r="D48" i="8"/>
  <c r="D35" i="8"/>
  <c r="I171" i="1"/>
  <c r="K171" i="1"/>
  <c r="G35" i="8"/>
  <c r="G33" i="8"/>
  <c r="J23" i="8"/>
  <c r="F23" i="8" s="1"/>
  <c r="J80" i="8"/>
  <c r="F80" i="8" s="1"/>
  <c r="J58" i="8"/>
  <c r="F58" i="8" s="1"/>
  <c r="T119" i="2"/>
  <c r="X119" i="2"/>
  <c r="J72" i="8"/>
  <c r="F72" i="8" s="1"/>
  <c r="T92" i="2"/>
  <c r="V119" i="2"/>
  <c r="F119" i="2" s="1"/>
  <c r="J55" i="8"/>
  <c r="F55" i="8" s="1"/>
  <c r="J200" i="8"/>
  <c r="J159" i="8"/>
  <c r="F159" i="8" s="1"/>
  <c r="X30" i="6"/>
  <c r="J204" i="8"/>
  <c r="F204" i="8" s="1"/>
  <c r="T31" i="1"/>
  <c r="V171" i="1"/>
  <c r="F171" i="1" s="1"/>
  <c r="T171" i="1"/>
  <c r="V164" i="2"/>
  <c r="F164" i="2" s="1"/>
  <c r="X164" i="2"/>
  <c r="T102" i="1"/>
  <c r="V92" i="2"/>
  <c r="V91" i="2" s="1"/>
  <c r="M15" i="8" l="1"/>
  <c r="D52" i="11" s="1"/>
  <c r="AA31" i="1"/>
  <c r="M11" i="8" s="1"/>
  <c r="S7" i="11" s="1"/>
  <c r="Y31" i="1"/>
  <c r="E52" i="11"/>
  <c r="K11" i="8"/>
  <c r="K42" i="8"/>
  <c r="Y171" i="1"/>
  <c r="K50" i="8"/>
  <c r="K47" i="8" s="1"/>
  <c r="E104" i="10"/>
  <c r="K88" i="8"/>
  <c r="Y91" i="2"/>
  <c r="Y3" i="2" s="1"/>
  <c r="K46" i="8" s="1"/>
  <c r="K5" i="7" s="1"/>
  <c r="Y3" i="6"/>
  <c r="K198" i="8" s="1"/>
  <c r="E53" i="17"/>
  <c r="K203" i="8"/>
  <c r="K199" i="8"/>
  <c r="E42" i="17" s="1"/>
  <c r="E43" i="17"/>
  <c r="J3" i="1"/>
  <c r="E4" i="8" s="1"/>
  <c r="E3" i="8" s="1"/>
  <c r="L91" i="1"/>
  <c r="L3" i="1" s="1"/>
  <c r="H4" i="8" s="1"/>
  <c r="P4" i="7" s="1"/>
  <c r="AA105" i="1"/>
  <c r="AA91" i="1" s="1"/>
  <c r="I3" i="6"/>
  <c r="D198" i="8" s="1"/>
  <c r="E24" i="8"/>
  <c r="E20" i="8" s="1"/>
  <c r="J199" i="8"/>
  <c r="F199" i="8" s="1"/>
  <c r="D6" i="17" s="1"/>
  <c r="F200" i="8"/>
  <c r="M46" i="8"/>
  <c r="R5" i="7" s="1"/>
  <c r="Y91" i="1"/>
  <c r="D20" i="8"/>
  <c r="D73" i="8"/>
  <c r="K64" i="8"/>
  <c r="E58" i="10"/>
  <c r="D26" i="8"/>
  <c r="O8" i="10"/>
  <c r="D57" i="10" s="1"/>
  <c r="D58" i="10"/>
  <c r="R8" i="11"/>
  <c r="D5" i="8"/>
  <c r="D40" i="10"/>
  <c r="O7" i="10"/>
  <c r="D37" i="10" s="1"/>
  <c r="D203" i="8"/>
  <c r="D64" i="8"/>
  <c r="D6" i="11"/>
  <c r="D10" i="10"/>
  <c r="G26" i="8"/>
  <c r="R9" i="11" s="1"/>
  <c r="D88" i="8"/>
  <c r="J47" i="8"/>
  <c r="F47" i="8" s="1"/>
  <c r="V130" i="1"/>
  <c r="F130" i="1" s="1"/>
  <c r="K27" i="8"/>
  <c r="M27" i="8"/>
  <c r="D71" i="11" s="1"/>
  <c r="K21" i="8"/>
  <c r="AA151" i="1"/>
  <c r="M21" i="8"/>
  <c r="D47" i="8"/>
  <c r="G203" i="8"/>
  <c r="L7" i="17" s="1"/>
  <c r="D11" i="8"/>
  <c r="V4" i="2"/>
  <c r="F4" i="2" s="1"/>
  <c r="K3" i="2"/>
  <c r="G46" i="8" s="1"/>
  <c r="N6" i="10" s="1"/>
  <c r="X3" i="2"/>
  <c r="J46" i="8" s="1"/>
  <c r="F46" i="8" s="1"/>
  <c r="T4" i="2"/>
  <c r="D199" i="8"/>
  <c r="L199" i="8"/>
  <c r="T3" i="6"/>
  <c r="T91" i="1"/>
  <c r="T3" i="1" s="1"/>
  <c r="D34" i="8"/>
  <c r="V91" i="1"/>
  <c r="F91" i="1" s="1"/>
  <c r="Z91" i="1"/>
  <c r="G34" i="8"/>
  <c r="R10" i="11" s="1"/>
  <c r="J203" i="8"/>
  <c r="F203" i="8" s="1"/>
  <c r="D7" i="17" s="1"/>
  <c r="G199" i="8"/>
  <c r="L6" i="17" s="1"/>
  <c r="V130" i="2"/>
  <c r="F130" i="2" s="1"/>
  <c r="T130" i="2"/>
  <c r="T164" i="2"/>
  <c r="G73" i="8"/>
  <c r="N10" i="10" s="1"/>
  <c r="J73" i="8"/>
  <c r="F73" i="8" s="1"/>
  <c r="J88" i="8"/>
  <c r="F88" i="8" s="1"/>
  <c r="J68" i="8"/>
  <c r="F68" i="8" s="1"/>
  <c r="D8" i="10" s="1"/>
  <c r="J34" i="8"/>
  <c r="F34" i="8" s="1"/>
  <c r="L5" i="8"/>
  <c r="L11" i="8"/>
  <c r="D48" i="11" s="1"/>
  <c r="L198" i="8"/>
  <c r="J11" i="8"/>
  <c r="F11" i="8" s="1"/>
  <c r="Z164" i="2"/>
  <c r="Z3" i="2" s="1"/>
  <c r="L46" i="8" s="1"/>
  <c r="L47" i="8"/>
  <c r="L80" i="8"/>
  <c r="J65" i="8"/>
  <c r="F65" i="8" s="1"/>
  <c r="L65" i="8"/>
  <c r="L35" i="8"/>
  <c r="Z171" i="1"/>
  <c r="K91" i="1"/>
  <c r="K3" i="1" s="1"/>
  <c r="G4" i="8" s="1"/>
  <c r="J30" i="8"/>
  <c r="F30" i="8" s="1"/>
  <c r="I91" i="1"/>
  <c r="I3" i="1" s="1"/>
  <c r="L30" i="8"/>
  <c r="I3" i="2"/>
  <c r="D46" i="8" s="1"/>
  <c r="T91" i="2"/>
  <c r="X3" i="6"/>
  <c r="J198" i="8" s="1"/>
  <c r="F198" i="8" s="1"/>
  <c r="D5" i="17" s="1"/>
  <c r="K3" i="6"/>
  <c r="G198" i="8" s="1"/>
  <c r="L5" i="17" s="1"/>
  <c r="V3" i="6"/>
  <c r="L25" i="8"/>
  <c r="X3" i="1"/>
  <c r="J25" i="8"/>
  <c r="F25" i="8" s="1"/>
  <c r="F91" i="2"/>
  <c r="J24" i="8"/>
  <c r="G5" i="7" l="1"/>
  <c r="N5" i="7" s="1"/>
  <c r="E40" i="10"/>
  <c r="E90" i="11"/>
  <c r="K34" i="8"/>
  <c r="E48" i="11"/>
  <c r="E7" i="11"/>
  <c r="E5" i="10"/>
  <c r="E103" i="10"/>
  <c r="E11" i="10"/>
  <c r="E7" i="17"/>
  <c r="E52" i="17"/>
  <c r="K9" i="7"/>
  <c r="G9" i="7" s="1"/>
  <c r="N9" i="7" s="1"/>
  <c r="E5" i="17"/>
  <c r="E6" i="17"/>
  <c r="K30" i="8"/>
  <c r="E74" i="11" s="1"/>
  <c r="Z3" i="1"/>
  <c r="L4" i="8" s="1"/>
  <c r="F24" i="8"/>
  <c r="M24" i="8"/>
  <c r="D64" i="11" s="1"/>
  <c r="Y3" i="1"/>
  <c r="K4" i="8" s="1"/>
  <c r="E5" i="11" s="1"/>
  <c r="M20" i="8"/>
  <c r="S8" i="11" s="1"/>
  <c r="D60" i="11" s="1"/>
  <c r="AA148" i="1"/>
  <c r="AA130" i="1" s="1"/>
  <c r="M26" i="8" s="1"/>
  <c r="S9" i="11" s="1"/>
  <c r="D70" i="11" s="1"/>
  <c r="R5" i="11"/>
  <c r="H3" i="8"/>
  <c r="P3" i="7" s="1"/>
  <c r="D5" i="10"/>
  <c r="O6" i="10"/>
  <c r="D9" i="10"/>
  <c r="E4" i="7"/>
  <c r="E3" i="7"/>
  <c r="H29" i="9" s="1"/>
  <c r="H32" i="9" s="1"/>
  <c r="K20" i="8"/>
  <c r="E61" i="11"/>
  <c r="E57" i="10"/>
  <c r="E7" i="10"/>
  <c r="D61" i="11"/>
  <c r="E71" i="11"/>
  <c r="E37" i="10"/>
  <c r="E6" i="10"/>
  <c r="D6" i="10"/>
  <c r="D10" i="11"/>
  <c r="D7" i="11"/>
  <c r="D11" i="10"/>
  <c r="O5" i="7"/>
  <c r="G3" i="8"/>
  <c r="O3" i="7" s="1"/>
  <c r="V3" i="1"/>
  <c r="J26" i="8"/>
  <c r="F26" i="8" s="1"/>
  <c r="D9" i="11" s="1"/>
  <c r="T3" i="2"/>
  <c r="V3" i="2"/>
  <c r="F9" i="7"/>
  <c r="O9" i="7"/>
  <c r="O4" i="7"/>
  <c r="J64" i="8"/>
  <c r="F64" i="8" s="1"/>
  <c r="D7" i="10" s="1"/>
  <c r="L26" i="8"/>
  <c r="L64" i="8"/>
  <c r="L34" i="8"/>
  <c r="L20" i="8"/>
  <c r="D4" i="8"/>
  <c r="F5" i="7"/>
  <c r="J20" i="8"/>
  <c r="F20" i="8" s="1"/>
  <c r="D8" i="11" s="1"/>
  <c r="E82" i="11" l="1"/>
  <c r="E10" i="11"/>
  <c r="K26" i="8"/>
  <c r="E70" i="11" s="1"/>
  <c r="AA3" i="1"/>
  <c r="M4" i="8" s="1"/>
  <c r="M3" i="8" s="1"/>
  <c r="M30" i="8"/>
  <c r="D74" i="11" s="1"/>
  <c r="E60" i="11"/>
  <c r="E8" i="11"/>
  <c r="K3" i="8"/>
  <c r="K4" i="7"/>
  <c r="G4" i="7" s="1"/>
  <c r="N4" i="7" s="1"/>
  <c r="D3" i="8"/>
  <c r="L3" i="8"/>
  <c r="F4" i="7"/>
  <c r="J4" i="8"/>
  <c r="F4" i="8" s="1"/>
  <c r="D5" i="11" s="1"/>
  <c r="G116" i="8"/>
  <c r="N11" i="12" s="1"/>
  <c r="E9" i="11" l="1"/>
  <c r="R4" i="7"/>
  <c r="R3" i="7"/>
  <c r="S5" i="11"/>
  <c r="F3" i="7"/>
  <c r="K3" i="7"/>
  <c r="G17" i="9"/>
  <c r="M34" i="9" s="1"/>
  <c r="J3" i="8"/>
  <c r="F3" i="8" s="1"/>
  <c r="G3" i="7" l="1"/>
  <c r="N3" i="7" s="1"/>
  <c r="H37" i="9"/>
  <c r="H41" i="9" s="1"/>
  <c r="G29" i="9"/>
  <c r="J116" i="8"/>
  <c r="F116" i="8" s="1"/>
  <c r="D11" i="12" s="1"/>
  <c r="I29" i="9" l="1"/>
  <c r="F23" i="9" s="1"/>
  <c r="H34" i="9"/>
  <c r="H39" i="9" s="1"/>
  <c r="J143" i="8"/>
  <c r="F143" i="8" s="1"/>
  <c r="D10" i="13" s="1"/>
  <c r="G143" i="8"/>
  <c r="O11" i="13" s="1"/>
  <c r="J184" i="8" l="1"/>
  <c r="F184" i="8" s="1"/>
  <c r="D10" i="15" s="1"/>
  <c r="G178" i="8" l="1"/>
  <c r="N9" i="15" s="1"/>
  <c r="G101" i="8"/>
  <c r="N8" i="12" s="1"/>
  <c r="J178" i="8" l="1"/>
  <c r="F178" i="8" s="1"/>
  <c r="D9" i="15" s="1"/>
  <c r="J136" i="8"/>
  <c r="F136" i="8" s="1"/>
  <c r="D9" i="13" s="1"/>
  <c r="G136" i="8"/>
  <c r="O10" i="13" s="1"/>
  <c r="G120" i="8" l="1"/>
  <c r="N12" i="12" s="1"/>
  <c r="G124" i="8" l="1"/>
  <c r="O7" i="13" s="1"/>
  <c r="J124" i="8" l="1"/>
  <c r="F124" i="8" s="1"/>
  <c r="D6" i="13" s="1"/>
</calcChain>
</file>

<file path=xl/sharedStrings.xml><?xml version="1.0" encoding="utf-8"?>
<sst xmlns="http://schemas.openxmlformats.org/spreadsheetml/2006/main" count="15475" uniqueCount="2456">
  <si>
    <t>LINEA ESTRATEGICA/COMPONENTE IMPULSOR/ PROGRAMA/ PRODUCTO (INDICADOR)/ META PRODUCTO</t>
  </si>
  <si>
    <t>RESPONSABLE(S)</t>
  </si>
  <si>
    <t>VALORACIÓN PONDERACIÓN % (PROPUESTA)</t>
  </si>
  <si>
    <t>META PRODUCTO (PRODUCTO NUMERICO CUATRIENIO)</t>
  </si>
  <si>
    <t>PROGRAMADO NUMERICO META PRODUCTO 2024</t>
  </si>
  <si>
    <t>PROGRAMADO NUMERICO META PRODUCTO 2025</t>
  </si>
  <si>
    <t>ESPERADO PORCENTUAL META PRODUCTO CUATRIENIO EN LA VIGENCIA 2024</t>
  </si>
  <si>
    <t>ESPERADO PORCENTUAL META PRODUCTO CUATRIENIO EN LA VIGENCIA 2025</t>
  </si>
  <si>
    <t>ESPERADO PORCENTUAL META PRODUCTO CUATRIENIO EN LA VIGENCIA 2024 (PONDERADOR)</t>
  </si>
  <si>
    <t>ESPERADO PORCENTUAL META PRODUCTO CUATRIENIO EN LA VIGENCIA 2025 (PONDERADOR)</t>
  </si>
  <si>
    <t>AVANCE  NUMERICO META PRODUCTO  CORTE DICIEMBRE 2024</t>
  </si>
  <si>
    <t>AVANCE  NUMERICO META PRODUCTO  CORTE MARZO 2025</t>
  </si>
  <si>
    <t>AVANCE  NUMERICO META PRODUCTO  CORTE JUNIO 2025</t>
  </si>
  <si>
    <t>AVANCE  NUMERICO META PRODUCTO  CORTE SEPTIEMBRE 2025</t>
  </si>
  <si>
    <t>AVANCE  NUMERICO META PRODUCTO  CORTE DCIIEMBRE 2025</t>
  </si>
  <si>
    <t>ACUMULADO PARCIAL 2025</t>
  </si>
  <si>
    <t>ACUMULADO PARCIAL 2025 MAS ACUMULADO TOTAL 2024</t>
  </si>
  <si>
    <t>LOGRO  (%) META PRODUCTO RESPECTO AL PROGRAMADO 2024 CORTE DICIEMBRE</t>
  </si>
  <si>
    <t>LOGRO  (%) META PRODUCTO RESPECTO AL PROGRAMADO 2025 CORTE JUNIO</t>
  </si>
  <si>
    <t>LOGRO  (%) META PRODUCTO RESPECTO AL PROGRAMADO DICIEMBRE 2024 (PONDERADOR)</t>
  </si>
  <si>
    <t>LOGRO  (%) META PRODUCTO RESPECTO AL PROGRAMADO MARZO 2025 (PONDERADOR)</t>
  </si>
  <si>
    <t>LOGRO  (%) META PRODUCTO RESPECTO AL PROGRAMADO CUATRIENIO  ACUMULADO DICIEMBRE  2024</t>
  </si>
  <si>
    <t>LOGRO  (%) META PRODUCTO RESPECTO AL PROGRAMADO CUATRIENIO  ACUMULADO JUNIO 2025</t>
  </si>
  <si>
    <t>LOGRO  (%) META PRODUCTO RESPECTO AL PROGRAMADO CUATRIENIO PARCIAL DICIEMBRE 2024 (PONDERADOR)</t>
  </si>
  <si>
    <t>LOGRO  (%) META PRODUCTO RESPECTO AL PROGRAMADO CUATRIENIO PARCIAL JUNIO 2025 (PONDERADOR)</t>
  </si>
  <si>
    <t>OBSERVACIONES DICIEMBRE 2025</t>
  </si>
  <si>
    <t>OBSERVACIONES MARZO 2025</t>
  </si>
  <si>
    <t>OBSERVACIONES 10  JUNIO 2025</t>
  </si>
  <si>
    <t>OBSERVACIONES 30 JUNIO 2025</t>
  </si>
  <si>
    <t xml:space="preserve"> SEGURIDAD HUMANA
</t>
  </si>
  <si>
    <t xml:space="preserve"> Seguridad Ciudadana y Orden Público 
</t>
  </si>
  <si>
    <t xml:space="preserve"> PLAN ESTRATÉGICO DE SEGURIDAD INTEGRAL TITAN 24</t>
  </si>
  <si>
    <t>Este avance del Programa a reportar en 2025 será el valor máximo entre el promedio de metas programadas en 2024 y el promedio de metas programadas en 2025 el cual fue  (38,2%)</t>
  </si>
  <si>
    <t>Comandos Élites de la Policía Nacional para la seguridad y protección ciudadana equipados</t>
  </si>
  <si>
    <t>Equipar tres (3) Comandos Élites de la Policía Nacional para la seguridad y protección ciudadana</t>
  </si>
  <si>
    <t>DISTRISEGURIDAD - SECRETARÍA DEL INTERIOR Y CONVIVENCIA CIUDADANA</t>
  </si>
  <si>
    <t>META CUMPLIDA</t>
  </si>
  <si>
    <t>META CUMPLIDA. PERO REVISAR PORQUE LA PROGRAMARON PARA EL 2025</t>
  </si>
  <si>
    <t>REVISADO JUNIO 10</t>
  </si>
  <si>
    <t xml:space="preserve">REVISADO 30  JUNIO </t>
  </si>
  <si>
    <t xml:space="preserve">Equipos para la seguridad y la convivencia conformados
</t>
  </si>
  <si>
    <t xml:space="preserve">Conformar un (1) Equipo Interdisciplinario para articulación y coordinación de estrategias de seguridad y un (1) Equipo Operativo de Gestores de Convivencia
</t>
  </si>
  <si>
    <t xml:space="preserve"> SECRETARÍA DEL INTERIOR Y CONVIVENCIA CIUDADANA - DISTRISEGURIDAD </t>
  </si>
  <si>
    <t>REVISADO DIC 2024</t>
  </si>
  <si>
    <t>REVISADO MARZO 2025</t>
  </si>
  <si>
    <t>Organismos de Seguridad dotados y
con servicios en el marco del PISCC 2024-2027</t>
  </si>
  <si>
    <t>Dotar y proveer de servicios a cinco (5) organismos de seguridad en el marco del PISCC 2024-2027</t>
  </si>
  <si>
    <t>SECRETARÍA DEL INTERIOR Y CONVIVENCIA CIUDADANA</t>
  </si>
  <si>
    <t>REVISAR CON ENLACE YA QUE EL PROGRAMADO CUATRIENIO DEBE SER 20 Y EN EL PLAN DE ACCIÓN  EL PRROGRAMADO CUATRIENIO ES SOLO 5</t>
  </si>
  <si>
    <t>Centro de Procesamiento de Información Institucional y análisis situacional para el Seguimiento del Delito conformado</t>
  </si>
  <si>
    <t>Conformar un (1) Centro de Procesamiento de Información Institucional y análisis situacional para el Seguimiento del Delito</t>
  </si>
  <si>
    <t>Política Pública de Seguridad Humana Integral formulada</t>
  </si>
  <si>
    <t>Formular una (1) Política Pública de Seguridad Humana Integral</t>
  </si>
  <si>
    <t>REVISAR CUANDO SE PROGRAME Y REPORTE PARA EL 2025</t>
  </si>
  <si>
    <t>Operativos anuales de protección, defensa, recuperación de bienes de uso público marino costero desarrollados</t>
  </si>
  <si>
    <t>Desarrollar diez (10) operativos anuales de protección, defensa, recuperación de bienes de uso público marino costero en el Distrito a través del ECOBLOQUE</t>
  </si>
  <si>
    <t xml:space="preserve">SECRETARÍA DEL INTERIOR Y CONVIVENCIA CIUDADANA
DISTRISEGURIDAD
ESTABLECIMIENTO PÚBLICO AMBIENTAL (FRANCISCO CASTILLO)
OFICINA ASESORA PARA LA GESTIÓN DEL RIESGO DE DESASTRES
GERENCIA DE ESPACIO PÚBLICO Y MOVILIDAD
</t>
  </si>
  <si>
    <t>META N0 PROGRAMDA EN LAS DOS VIGENCIAS 2024 - 2025</t>
  </si>
  <si>
    <t>EL CUERPO DE BOMBEROS AVANZA</t>
  </si>
  <si>
    <t>SE COLOCA ACUMULADO CUATRIENIO MANUAL HASTA  QUE SE REPORTE AVANCE DE LA PRIMERA Y SEGUNDA META PRODUCTO.</t>
  </si>
  <si>
    <t>Estaciones de bomberos nuevas construidas</t>
  </si>
  <si>
    <t>Construir una (1) Estación de Bomberos regional nueva</t>
  </si>
  <si>
    <t>Estaciones de bomberos adecuadas</t>
  </si>
  <si>
    <t>Adecuar una (1) Estación de Bomberos</t>
  </si>
  <si>
    <t>Número de máquinas extintoras del Cuerpo de Bomberos para la atención de emergencias</t>
  </si>
  <si>
    <t>Incrementar a ocho (8) el número de máquinas extintoras del Cuerpo de Bomberos para la atención de emergencias</t>
  </si>
  <si>
    <t>SEGURIDAD YA CON DOTACIÓN A LOS ORGANISMOS DE SEGURIDAD, SOCORRO, JUSTICIA Y CONVIVENCIA Y TECNOLOGÍA PARA LA PREVENCIÓN</t>
  </si>
  <si>
    <t>Cámaras de seguridad mantenidas</t>
  </si>
  <si>
    <t>Mantener ochocientas setenta y nueve (879) cámaras</t>
  </si>
  <si>
    <t>DISTRISEGURIDAD</t>
  </si>
  <si>
    <t>SE AJUSTA EL ACUMULADO CUATRIENIO EN MARZO 2025 YA QUE SE CORRIGIÓ LA META CUATRIENIO A  879.</t>
  </si>
  <si>
    <t>REVISAR CON ENLACE</t>
  </si>
  <si>
    <t>Cámaras de seguridad instaladas</t>
  </si>
  <si>
    <t>Instalar ochocientas cuarenta y nueve (849) cámaras nuevas</t>
  </si>
  <si>
    <t>Sistemas de información para la seguidad implementados</t>
  </si>
  <si>
    <t xml:space="preserve">Implementar cuatrocientos cuarenta  (440) sistemas de información para la seguridad (alarmas comunitarias, drones, totem) 
</t>
  </si>
  <si>
    <t>Equipos de seguridad adquiridos</t>
  </si>
  <si>
    <t xml:space="preserve">Adquirir ciento veinte  (120) equipos de comunicación para la seguridad (tipo radio, equipos celulares) 
</t>
  </si>
  <si>
    <t>Infraestructura para la promoción a la cultura de la legalidad y a la convivencia construida</t>
  </si>
  <si>
    <t xml:space="preserve">Construir cuatro (4) infraestructuras para la promoción de la cultura de la legalidad y la convivencia CAIs, subestaciones, estaciones, centro de inteligencia) 
</t>
  </si>
  <si>
    <t>Vehículos para la seguridad y convivencia entregados</t>
  </si>
  <si>
    <t>Entregar doscientos sesenta y ocho (268) vehículos para la seguridad (moto, camioneta, automóvil, camión, cuatrimotos, jet sky)</t>
  </si>
  <si>
    <t xml:space="preserve"> SEGURIDAD YA EN LAS PLAYAS DE CARTAGENA</t>
  </si>
  <si>
    <t>Organismos de atención de emergencias en las playas equipados</t>
  </si>
  <si>
    <t>Equipar a cuatro (4) organismos de atención de emergencias en playas</t>
  </si>
  <si>
    <t>DISTRISEGURIDAD - SECRETARÍA DE TURISMO</t>
  </si>
  <si>
    <t>Infraestructura para seguridad y socorro en playas tipo Garitas</t>
  </si>
  <si>
    <t>Construir veinte (20) garitas nuevas para la seguridad en playas</t>
  </si>
  <si>
    <t>META CUMPLIDA. PERO REVISAR PORQUE SE PROGRAMARON 5 PARA LA VIGENCIA 2025</t>
  </si>
  <si>
    <t xml:space="preserve"> EDUCACIÓN, CULTURA Y SEGURIDAD VIAL PARA AVANZAR</t>
  </si>
  <si>
    <t>Numero de actores viales capacitados  en educación y cultura para la seguridad vial</t>
  </si>
  <si>
    <t>Formar a cien mil (100.000) actores viales en educación y cultura para la seguridad vial</t>
  </si>
  <si>
    <t>DATT</t>
  </si>
  <si>
    <t>Número de mujeres formadas y vinculadas como gestoras de educación, cultura y seguridad vial</t>
  </si>
  <si>
    <t>Formar y vincular a cuatrocientas (400) mujeres como gestoras de educación, cultura y seguridad vial</t>
  </si>
  <si>
    <t>Plan Local de Seguridad Vial actualizado e implementado</t>
  </si>
  <si>
    <t>Actualizar e implementar en su totalidad un (1) Plan Local de Seguridad Vial</t>
  </si>
  <si>
    <t>Número de instituciones educativas vinculadas al programa de Rutas Educativas Seguras</t>
  </si>
  <si>
    <t>Vincular a ciento ochenta (180) Instituciones Educativas al programa Rutas Educativas Seguras</t>
  </si>
  <si>
    <t xml:space="preserve">Construccion de paz, Derechos Humanos y Convivencia
</t>
  </si>
  <si>
    <t xml:space="preserve"> UNA VIDA LIBRE DE VIOLENCIA PARA LAS MUJERES</t>
  </si>
  <si>
    <t>Número de mujeres víctimas de VBG o en riesgo de padecerla atendidas en servicios de orientación psicosocial y jurídica</t>
  </si>
  <si>
    <t>Atender a cinco mil (5.000) mujeres víctimas de violencia basada en género o en riesgo de padecerla con servicios de orientación psicosocial y jurídica</t>
  </si>
  <si>
    <t>SECRETARÍA DE PARTICIPACIÓN Y DESARROLLO SOCIAL</t>
  </si>
  <si>
    <t>Número de mujeres víctimas de violencia, sus hijos e hijas y familia dependiente protegidas en la casa refugio</t>
  </si>
  <si>
    <t>Proteger doscientas (200) mujeres víctimas de violencia, sus hijos e hijas y familia dependiente en la casa refugio</t>
  </si>
  <si>
    <t>Número de campañas sobre nuevas masculinidades como estrategia de prevención y erradicación contra estereotipos nocivos de género ejecutadas</t>
  </si>
  <si>
    <t>Ejecutar cuatro (4) campañas sobre nuevas masculinidades como estrategia de prevención y erradicación contra estereotipos nocivos de género</t>
  </si>
  <si>
    <t xml:space="preserve"> DERECHO A LA PAZ Y CONVIVENCIA CON EQUIDAD DE GÉNERO</t>
  </si>
  <si>
    <t>Mujeres víctimas del conflicto armado como constructoras de paz desde la prevención de las violencias basadas en género</t>
  </si>
  <si>
    <t>Vincular a doscientas (200) mujeres víctimas del conflicto armado como constructoras de paz en estrategias de prevención de las violencias basadas en género</t>
  </si>
  <si>
    <t>Número de acciones afirmativas ejecutadas para la asistencia y la atención de mujeres víctimas del conflicto armado</t>
  </si>
  <si>
    <t>Ejecutar una (1) acción afirmativa anual para la asistencia y la atención de mujeres víctimas del conflicto armado</t>
  </si>
  <si>
    <t>CARTAGENA AVANZA EN CONVIVENCIA</t>
  </si>
  <si>
    <t>Centro de traslado para la protección inmediata de las mujeres víctimas de cualquier forma de violencias creado y en funcionamiento en el Distrito</t>
  </si>
  <si>
    <t>Crear y poner en funcionamiento un (1) Centro de Traslado por Protección-CTP en el Distrito</t>
  </si>
  <si>
    <t>Entornos urbanos para la convivencia recuperados y mantenidos</t>
  </si>
  <si>
    <t>Recuperar y mantener veinte (20) entornos urbanos para la convivencia en el Distrito</t>
  </si>
  <si>
    <t>Escuelas de formación para la convivencia ciudadana creadas</t>
  </si>
  <si>
    <t>Crear doce (12) escuelas de formación para la convivencia ciudadana en el Distrito</t>
  </si>
  <si>
    <t>Iniciativas para la promoción de la convivencia implementadas</t>
  </si>
  <si>
    <t>Implementar ocho (8) iniciativas para la promoción de la convivencia</t>
  </si>
  <si>
    <t xml:space="preserve"> AVANZANDO EN EL FORTALECIMIENTO DE CASAS DE JUSTICIA, COMISARÍAS DE FAMILIA E INSPECCIONES DE POLICÍA</t>
  </si>
  <si>
    <t>Número de Comisarías de Familia en operación en el Distrito</t>
  </si>
  <si>
    <t>Incrementar a ocho (8) el número de Comisarías de Familia operando en el Distrito</t>
  </si>
  <si>
    <t>Número de Comisarías de Familia móviles creadas y en operación en el Distrito</t>
  </si>
  <si>
    <t>Crear y poner en funcionamiento una (1) Comisaría de Familia móvil en el Distrito</t>
  </si>
  <si>
    <t>SE INCLUYE EL AVANCE CUANDO EMPIECEN A REPORTAR EN LOS SIGUIENTES TRIMESTRES DEL 2025, YA QUE PARA MARZO 2025 NO HAY REPORTE</t>
  </si>
  <si>
    <t>Número de mujeres vinculadas con la estrategia “Trasmallo de Mujeres Violetas por la Paz”</t>
  </si>
  <si>
    <t>Vincular a mil doscientos (1.200) mujeres con la estrategia “Trasmallo de Mujeres Violetas por la Paz”</t>
  </si>
  <si>
    <t>REVISADO 30  JUNIO . PARA EL REPORTE DE SEPTIEMBRE SE AJUSTA EL PROGRAMADO A CERO PARA LA VIGENCIA</t>
  </si>
  <si>
    <t>Sistemas de información local implementados para los operadores de justicia</t>
  </si>
  <si>
    <t>Implementar un (1) sistema de información local de las Comisarías de Familia del Distrito y un (1) sistema de información local de las Inspecciones de Policía</t>
  </si>
  <si>
    <t>REVISAR EL PROGRAMADO NUMERICO PARA EL 2025, YA QUE SEGÚN EL PLAN DE ACCIÓN SE´RIA 0,5. ADEMAS DE INCLUIR EL REPORTE DE ACUMULADO CUANDO REPORTEN EN LOS SIGUIENTES TRIMESTRESDE 2025</t>
  </si>
  <si>
    <t>HASTA EL MOMENTO NO SE HA RECIBIDO DESPROGRAMACIÓN DE LA META. POR LO TANTO AL FINAL DE LA VIGENCIA SINO REPORTA, ES CERO.</t>
  </si>
  <si>
    <t>Número de Casas de Justicia en operación en el Distrito</t>
  </si>
  <si>
    <t>Incrementar a cinco (5) el número de Casas de Justicia en operación en el Distrito</t>
  </si>
  <si>
    <t>Centros de Conciliación en Equidad y/o Derecho creados en las Casas de Justicia</t>
  </si>
  <si>
    <t>Crear cinco (5) Centros de Conciliación en Equidad y/o Derecho en las Casas de Justicia del Distrito</t>
  </si>
  <si>
    <t>Inspecciones de Policía dotadas técnica y operativamente</t>
  </si>
  <si>
    <t>Dotar treinta y tres (33) Inspecciones de Policía técnica, tecnológica y operativamente.</t>
  </si>
  <si>
    <t xml:space="preserve"> ATENCIÓN INTEGRAL A JÓVENES EN SITUACIÓN DE RIESGO SOCIAL</t>
  </si>
  <si>
    <t>Adolescentes y jóvenes vinculados con la estrategia “Laboratorios de Paz” para la prevención del reclutamiento, uso y utilización por parte de los GDO</t>
  </si>
  <si>
    <t>Vincular a dos mil quinientos (2.500) jóvenes a la estrategia “Laboratorios De Paz” para la prevención del reclutamiento por parte de los GDO</t>
  </si>
  <si>
    <t>Jornadas de mediación y desarme con grupos juveniles inmersos en dinámicas de violencia desarrolladas</t>
  </si>
  <si>
    <t>Desarrollar cuatro (4) jornadas de mediación y desarme con grupos juveniles inmersos en dinámicas de violencias</t>
  </si>
  <si>
    <t>Adolescentes y jóvenes vinculados a la estrategia “Proyectos de Vida Libres de Violencia” para la prevención del reclutamiento, uso y utilización por parte de los GDO</t>
  </si>
  <si>
    <t>Vincular a dos mil quinientos (2.500) adolescentes y jóvenes a la estrategia “Proyectos de Vida Libres de Violencia” para la prevención del reclutamiento, uso y utilización por parte de los GDO</t>
  </si>
  <si>
    <t>Estrategias de atención a adolescentes y jóvenes egresados del Sistema de Responsabilidad Penal Adolescentes implementadas</t>
  </si>
  <si>
    <t>Implementar cuatro (4) estrategias de atención a adolescentes y jóvenes egresados del Sistema de Responsabilidad Penal Adolescente</t>
  </si>
  <si>
    <t>ASISTENCIA, ATENCIÓN Y REPARACIÓN EFECTIVA E INTEGRAL A LAS VÍCTIMAS DEL CONFLICTO ARMADO</t>
  </si>
  <si>
    <t>Unidades productivas entregadas a personas víctimas del conflicto</t>
  </si>
  <si>
    <t>Entregar mil (1.000) unidades productivas a personas víctimas del conflicto</t>
  </si>
  <si>
    <t>Personas víctimas del conflicto que acceden a programas de atención psicosocial y salud mental</t>
  </si>
  <si>
    <t>Vincular a mil (1.000) personas víctimas del conflicto a programas de atención psicosocial y salud mental</t>
  </si>
  <si>
    <t>Personas víctimas con ayuda humanitaria inmediata</t>
  </si>
  <si>
    <t xml:space="preserve">Atender a la totalidad de personas víctimas que cumplan con los requisitos de ley para acceder a la medida de ayuda humanitaria inmediata 
</t>
  </si>
  <si>
    <t>Personas víctimas con ayuda inmediata mediante albergue</t>
  </si>
  <si>
    <t xml:space="preserve">Atender a la totalidad de personas víctimas que cumplan con los requisitos de ley para acceder a la medida de ayuda humanitaria inmediata mediante albergue 
</t>
  </si>
  <si>
    <t>Representante s de la mesa de víctimas en el Distrito con incentivos técnicos y logísticos para su participación.</t>
  </si>
  <si>
    <t>Mantener los incentivos técnicos y logísticos de participación a la totalidad de los representantes de la población víctima en la Mesa Distrital de Víctimas de Cartagena.</t>
  </si>
  <si>
    <t>Museo de Memoria Histórica onstruido y dotado</t>
  </si>
  <si>
    <t>Construir y dotar un (1) Museo de Memoria Histórica</t>
  </si>
  <si>
    <t>Monumento histórico construido en cumplimientoalauto A I068 de la JEP</t>
  </si>
  <si>
    <t>Construir un (1) monumento histórico en cumplimiento del auto AI 068 de la Jurisdicción Especial para la Paz</t>
  </si>
  <si>
    <t>Plan de retorno y reubicaciones de Villas de Aranjuez concertado e implementado</t>
  </si>
  <si>
    <t>Concertar e implementar un (1) Plan de Retorno y reubicación de Villas de Aranjuez</t>
  </si>
  <si>
    <t>Plan Distrital de prevención y protección de violaciones graves a los derechos humanos y derecho internacional humanitario implementado</t>
  </si>
  <si>
    <t>Implementar un (1) Plan Distrital de prevención y protección de violaciones graves a los derechos humanos y derecho internacional humanitario</t>
  </si>
  <si>
    <t>Plan de acción territorial - PAT actualizado , aprobado e implementado</t>
  </si>
  <si>
    <t>Actualizar, aprobar e implementar un (1) Plan de Acción Territorial -PAT</t>
  </si>
  <si>
    <t>Plan de Contingencia formulado</t>
  </si>
  <si>
    <t>formular 1 plan de Contingencia para la atención inmediata de víctima en el distrito de cartagena</t>
  </si>
  <si>
    <t>Plan integral de reparación colectiva de la liga de mujeres desplazadas concertado e implementado</t>
  </si>
  <si>
    <t>Implementar un (1) Plan Integral de Reparación Colectiva de la Liga de Mujeres Desplazadas</t>
  </si>
  <si>
    <t>Consejo de Paz , Reconciliación , Convivencia y DDHH en el Distrito de Cartagena con plan de acción implementado</t>
  </si>
  <si>
    <t>Implementar el plan de acción de un (1) Consejo de Paz, Reconciliación, Convivencia y DDHH en el Distrito</t>
  </si>
  <si>
    <t>Iniciativas de memoria histórica apoyadas</t>
  </si>
  <si>
    <t>Asistir ocho (8) iniciativas de memoria histórica</t>
  </si>
  <si>
    <t>Acciones de difusión de las recomendaciones de la Comisión para el esclarecimiento de la verdad , la convivencia y la no repetición implementadas</t>
  </si>
  <si>
    <t>Implementar cuatro (4) acciones de difusión de las recomendacio nes de la Comisión para el Esclarecimiento de la Verdad, la Convivencia y la no repetición</t>
  </si>
  <si>
    <t>Acciones de articulación con la Unidad de Búsqueda de Personas dadas por DesaparecidasUBPD implementadas</t>
  </si>
  <si>
    <t>Implementar ocho (8) acciones de articulación con la Unidad de Búsqueda de Personas dadas por Desaparecidas -UBPD para impulsar la búsqueda de personas dadas por desaparecidas en el marco del conflicto armado</t>
  </si>
  <si>
    <t>Medidas de satisfacción y memoria histórica ejecutadas</t>
  </si>
  <si>
    <t>Ejecutar dos (2) medidas de memoria histórica para población víctima</t>
  </si>
  <si>
    <t>Sede propia para la Mesa Distrital de Víctimas garantizada</t>
  </si>
  <si>
    <t>Garantizar una (1) Sede de mesa de propia para la mesa de Distrital de Victimas</t>
  </si>
  <si>
    <t>Estrategia de oferta de atención interinstitucional del Distrito en el Centro Regional de Atención a Víctimas implementada</t>
  </si>
  <si>
    <t>Implementar una (1) estrategia de oferta de atención interinstitucional del Distrito en el Centro Regional de Atención a Víctimas</t>
  </si>
  <si>
    <t>DERECHOS HUMANOS PARA LA VIDA DIGNA</t>
  </si>
  <si>
    <t>Estrategias de promoción de la garantía de derechos implementadas</t>
  </si>
  <si>
    <t>Implementar ocho (8) estrategias de promoción de la garantía de derechos</t>
  </si>
  <si>
    <t>Solicitudes de medidas de protección preventiva atendidas</t>
  </si>
  <si>
    <t>Atender la totalidad de las solicitudes de medidas de protección preventiva</t>
  </si>
  <si>
    <t>Grupos de gestores y gestoras de Derechos Humanos creados</t>
  </si>
  <si>
    <t>Crear nueve (9) grupos de gestores y gestoras de Derechos Humanos</t>
  </si>
  <si>
    <t>Casa de acogida para víctimas y sobrevivientes de la trata de personas y mendicidad forzada creada y en funcionamiento</t>
  </si>
  <si>
    <t>Crear y poner en funcionamiento una (1) casa de acogida para víctimas y sobrevivientes de la trata de personas y mendicidad forzada</t>
  </si>
  <si>
    <t>Número de estrategias implementadas para la prevención de casos de víctimas de trata de personas</t>
  </si>
  <si>
    <t>Implementar cuatro (4) estrategias de prevención de casos de víctimas de trata de personas en coordinación con los comités territoriales de lucha contra la trata de personas</t>
  </si>
  <si>
    <t>Instancias institucionales creadas para la atención y garantía del derecho de libertad religiosa en el Distrito</t>
  </si>
  <si>
    <t>Mantener una (1) instancia institucional para atención y garantía del derecho de libertad religiosa en el Distrito</t>
  </si>
  <si>
    <t>Población víctima y sobreviviente de la trata de personas atendida</t>
  </si>
  <si>
    <t>Atender a la totalidad de víctimas sobrevivientes de explotación sexual y de mendicidad forzada</t>
  </si>
  <si>
    <t>Personas en proceso de reintegración y reincorporación vinculadas para la reinserción social y comunitaria y de participación</t>
  </si>
  <si>
    <t>Vincular a ochenta y seis (86) personas en proceso de reintegración y reincorporación a beneficios para la reinserción social y comunitaria y de participación</t>
  </si>
  <si>
    <t>Ruta de protección preventiva para líderes amenazados en el Distrito implementada</t>
  </si>
  <si>
    <t>Implementar una (1) ruta de protección preventiva para líderes amenazados en el Distrito</t>
  </si>
  <si>
    <t>SISTEMA PENITENCIARIO Y CARCELARIO EN EL MARCO DE LOS DERECHOS HUMANOS</t>
  </si>
  <si>
    <t>Establecimiento de reclusión distrital para personas privadas de la libertad femeninas y masculinas operando en un inmueble del Distrito</t>
  </si>
  <si>
    <t>Poner en operación un (1) establecimiento de reclusión distrital para personas privadas de la libertad femeninas y masculinas en un inmueble del Distrito</t>
  </si>
  <si>
    <t>Personas privadas de la libertad vinculadas a programas psicosociales</t>
  </si>
  <si>
    <t>Vincular a ciento cincuenta (150) personas privadas de la libertad a programas psicosociales</t>
  </si>
  <si>
    <t>Convenio con el INPEC suscrito anualmente</t>
  </si>
  <si>
    <t>Suscribir anualmente (1) convenio con el INPEC</t>
  </si>
  <si>
    <t xml:space="preserve"> Salud Pública y Aseguramiento
</t>
  </si>
  <si>
    <t xml:space="preserve"> SALUD CON COBERTURA, ACCESIBILIDAD, CALIDAD E INCLUSIÓN</t>
  </si>
  <si>
    <t>Número de usuarios con continuidad de la afiliación al régimen subsidiado en salud en el Distrito de Cartagena</t>
  </si>
  <si>
    <t>Mantener la continuidad anual de la afiliación a seiscientas setenta y nueve mil quinientas cincuenta y cinco (679.555) personas que están afiliados al régimen subsidiado en salud</t>
  </si>
  <si>
    <t>DEPARTAMENTO ADMINISTRATIVO DISTRITAL DE SALUD DADIS</t>
  </si>
  <si>
    <t>REVISADO MARZO 2025. EL RESULTADO ACUMULADO SE AJUSTA CADA TRIMESTRE</t>
  </si>
  <si>
    <t>Número de personas nuevas afiliadas al sistema general de seguridad social en salud</t>
  </si>
  <si>
    <t>Afiliar a veinte mil (20.000) personas nuevas al Sistema General de Seguridad Social en Salud (con o sin SISBEN)</t>
  </si>
  <si>
    <t>Número de servicios de salud habilitados para atender Población No Asegurada</t>
  </si>
  <si>
    <t>Mantener habilitados ciento cuarenta y dos (142) servicios de salud anualmente para la red integrada de salud del Distrito</t>
  </si>
  <si>
    <t>Numero de equipos básicos de salud que operan en el Distrito monitoreados y evaluados</t>
  </si>
  <si>
    <t>Monitorear y evaluar a sesenta y dos (62) Equipos Básicos de Salud que operan en el Distrito</t>
  </si>
  <si>
    <t xml:space="preserve">REVISADO MARZO 2025. </t>
  </si>
  <si>
    <t>Número de prestadores de servicios de salud con asistencia técnica de inspección, vigilancia y control para mejoramiento de la calidad de la atención en salud en IPS oncológicas, pediátricas y maternas</t>
  </si>
  <si>
    <t>Inspeccionar, vigilar y controlar a sesenta (60) prestadores de salud para mejoramiento de la calidad de la atención en salud en IPS oncológicas, pediátricas y maternas</t>
  </si>
  <si>
    <t>Centros de salud nuevos construidos para la protección y el aseguramiento en salud en el Distrito de Cartagena</t>
  </si>
  <si>
    <t>Construir dos (2) nuevos centros de salud en el distrito de Cartagena para la protección y el aseguramiento en salud</t>
  </si>
  <si>
    <t>SECRETARÍA DE INFRAESTRUCTURA - DEPARTAMENTO ADMINISTRATIVO DISTRITAL DE SALUD DADIS</t>
  </si>
  <si>
    <t xml:space="preserve"> DERECHOS EN SALUD Y PROMOCIÓN SOCIAL</t>
  </si>
  <si>
    <t>Número de personas con valoración clínica multidisciplinaria simultánea elaborada con resultado de condición de discapacidad</t>
  </si>
  <si>
    <t>Elaborar valoraciones clínicas multidisciplinaria del procedimiento de certificación de discapacidad y Registro de Localización y Certificación de Personas con Discapacidad a diez mil (10.000) personas del Distrito</t>
  </si>
  <si>
    <t xml:space="preserve">Número de personas pertenecientes a los grupos poblaciones vulnerables participantes en estrategias de promoción de la participación social en salud
</t>
  </si>
  <si>
    <t>Vincular a treinta mil (30.000) personas en estrategias de promoción de la participación social en salud con paridad de género (pertenecientes a los grupos poblaciones vulnerables</t>
  </si>
  <si>
    <t xml:space="preserve"> FORTALECIMIENTO DEL CENTRO REGULADOR DE URGENCIAS, EMERGENCIAS Y DESASTRES EN EL DISTRITO DE CARTAGENA - CRUED</t>
  </si>
  <si>
    <t xml:space="preserve">Número de IPS asistidas con servicios del Plan de Emergencia Hospitalaria y desarrollo de capacidades en las competencias frente a las adaptaciones de posibles efectos de la variabilidad y el cambio climático 
</t>
  </si>
  <si>
    <t>Asistir anualmente a veintinueve (29) IPS con servicios del Plan de Emergencia Hospitalaria y desarrollo de capacidades en las competencias frente a las adaptaciones de posibles efectos de la variabilidad y el cambio climático</t>
  </si>
  <si>
    <t>Centro Regulador De Urgencias construido y dotado con tecnología de punta</t>
  </si>
  <si>
    <t>Construir y dotar un (1) Centro Regulador de Urgencias y Emergencias con tecnología de punta</t>
  </si>
  <si>
    <t xml:space="preserve"> SALUD PÚBLICA</t>
  </si>
  <si>
    <t>Número de procesos de gestión de la salud pública en el marco de la ruta integral para la promoción y mantenimiento de la salud implementados</t>
  </si>
  <si>
    <t>Implementar cuatro (4) procesos de gestión de la salud pública en el marco de la ruta integral para la promoción y mantenimiento de la salud</t>
  </si>
  <si>
    <t>Número de establecimientos farmacéuticos y similares  vigilados y controlados con enfoque de riesgo</t>
  </si>
  <si>
    <t>Vigilar y controlar anualmente con enfoque de riesgo a setecientos (700) establecimientos farmacéuticos y similares</t>
  </si>
  <si>
    <t>Número de tomas de muestras de agua elaboradas y visitas a objetos de interés de la calidad del agua para consumo humano y de diversión</t>
  </si>
  <si>
    <t>Realizar anualmente dos mil cien (2.100) tomas de muestras de agua y visitas a objetos de interés de Inspección, Vigilancia y Control Sanitario (IVCS) de la calidad del agua para consumo humano y de diversión</t>
  </si>
  <si>
    <t>Número de establecimientos de interés sanitario diferentes a establecimientos de medicamentos y alimentos, incluyendo motonaves y aeronaves vigilados y controlados</t>
  </si>
  <si>
    <t>Vigilar y controlar anualmente a siete mil seiscientos (7.600) establecimientos de interés sanitario diferentes a establecimientos de medicamentos y alimentos, incluyendo motonaves y aeronaves</t>
  </si>
  <si>
    <t xml:space="preserve">Número de animales vacunados contra la rabia
</t>
  </si>
  <si>
    <t>Vacunar anualmente noventa mil (90.000) animales contra la rabia</t>
  </si>
  <si>
    <t>Número de grupos de eventos de interés en salud pública con acciones de vigilancia en salud pública y vigilancia comunitaria elaboradas</t>
  </si>
  <si>
    <t>Elaborar anualmente acciones de vigilancia en salud pública y vigilancia comunitaria a diecisiete (17) grupos de eventos de interés en salud pública</t>
  </si>
  <si>
    <t>Número de entidades con acciones de salud pública en enfermedades cardiovasculares, huérfanas, diabetes mellitus, cáncer, salud visual, auditiva y salud bucal desarrolladas en diferentes entornos</t>
  </si>
  <si>
    <t>Desarrollar anualmente acciones de salud pública a doscientas cincuenta (250) entidades en enfermedades cardiovasculares, huérfanas, diabetes mellitus, cáncer, salud visual, auditiva y salud bucal en diferentes entornos</t>
  </si>
  <si>
    <t>Número de productos de la Política Distrital de Salud Mental y Política Nacional para la Prevención y Atención del Consumo de Sustancias Psicoactivas implementados</t>
  </si>
  <si>
    <t>Implementar los diecisiete (17) productos de la Política de Salud Mental y la Política Nacional para la Prevención y Atención del Consumo de Sustancias Psicoactivas</t>
  </si>
  <si>
    <t>Número de entidades de salud con acciones en Rutas Integrales de Atención en Salud relacionadas con las alteraciones nutricionales y promoción de las Guías Alimentarias Basadas en Alimentos</t>
  </si>
  <si>
    <t>Desarrollar anualmente acciones en cuarenta (40) entidades de salud de Rutas Integrales de Atención en Salud relacionadas con las alteraciones nutricionales y promoción de las Guías Alimentarias Basadas en Alimentos (GABAS)</t>
  </si>
  <si>
    <t>Número de establecimientos y transportadores de alimentos vigilados y controlados con enfoque de riesgo</t>
  </si>
  <si>
    <t>Vigilar y controlar anualmente con enfoque de riesgo a tres mil quinientos (3.500) establecimientos y transportadores de alimentos</t>
  </si>
  <si>
    <t>Número de acciones de salud pública desarrolladas para la promoción de la salud materna en entidades de salud y en el entorno comunitario</t>
  </si>
  <si>
    <t>Desarrollar anualmente noventa y cinco (95) acciones de salud pública para promoción de la salud materna en entidades de salud y entorno comunitario</t>
  </si>
  <si>
    <t>Número de acciones de salud pública desarrolladas para promoción de la salud sexual y reproductiva en entidades de salud, entorno comunitario y educativo.</t>
  </si>
  <si>
    <t>Desarrollar anualmente seiscientas setenta y cinco (675) acciones de salud pública para promoción de la salud sexual y reproductiva en entidades de salud, entorno comunitario y educativo, incluyendo el cumplimiento de sentencias como la C-055 de 2022 de la Corte Constitucional</t>
  </si>
  <si>
    <t>Número de niños y niñas menores de un año con seguimiento del esquema de vacunación de acuerdo a la edad desarrollado</t>
  </si>
  <si>
    <t>Desarrollar el seguimiento anual a la vacunación de catorce mil setecientos noventa y seis (14.796) niños y niñas menores de un año con todos los biológicos del esquema de acuerdo a la edad</t>
  </si>
  <si>
    <t>Número de componentes de la Estrategia de Gestión Integrada (EGI) de vectores desarrollada en los microterritorios priorizados</t>
  </si>
  <si>
    <t>Desarrollar anualmente los siete (7) componentes de la Estrategia de Gestión Integrada (EGI) de vectores en los microterritorios priorizados</t>
  </si>
  <si>
    <t>Número de salas de atención a enfermedades respiratorias agudas y Unidades de Atención Integral Comunitaria habilitadas</t>
  </si>
  <si>
    <t>Habilitar treinta (30) salas de atención a atención a enfermedades respiratorias agudas y habilitar dos (2) Unidades de Atención Integral Comunitaria en barrios y corregimientos priorizados para la prevención, manejo y control de la IRA y la EDA en los niños y niñas menores de 5 años</t>
  </si>
  <si>
    <t>REPORTAN 4 A CORTE DICIEMBRE, CUANDO A 15 DE SEPTIEMBRE ERAN 8.</t>
  </si>
  <si>
    <t>Número de estrategias de salud infantil institucionales y comunitarias ejecutadas</t>
  </si>
  <si>
    <t>Ejecutar anualmente estrategias de salud infantil institucionales en setenta (70) instituciones prestadoras de salud priorizadas con servicios de atención materno – infantil y atención del recién nacido y ejecutar dos (2) estrategias comunitarias sobre AIEPI Comunitario y Cuidados del Recién Nacido en los diferentes entornos</t>
  </si>
  <si>
    <t xml:space="preserve">Número de entidades con acciones de salud pública elaboradas sobre prevención y control de la tuberculosis en los
diferentes entornos
</t>
  </si>
  <si>
    <t xml:space="preserve">Elaborar anualmente acciones de salud pública en setenta y cinco (75) entidades sobre prevención y control de la tuberculosis en los diferentes entornos
</t>
  </si>
  <si>
    <t>Número de entidades con acciones de salud pública elaboradas sobre prevención y control de la lepra y prevención de la discapacidad en los diferentes entornos</t>
  </si>
  <si>
    <t>Elaborar anualmente acciones de salud pública en setenta y cinco (75) entidades sobre prevención y control de la lepra y prevención de la discapacidad en los diferentes entornos</t>
  </si>
  <si>
    <t>Número de acciones de promoción de entornos de trabajo seguros y prevención de enfermedades y accidentes laborales elaboradas</t>
  </si>
  <si>
    <t>Elaborar setecientas veinte (720) acciones de promoción de entornos de trabajo seguros y prevención de enfermedades y accidentes laborales</t>
  </si>
  <si>
    <t xml:space="preserve"> CEMENTERIOS</t>
  </si>
  <si>
    <t xml:space="preserve">REVISAR CON ENLACE YA QUE EL AVANCE DEL PROGRAMA DEBE AJUSTARSE PARA QUE NO SE VAYA A SESGAR POR EL AVANCE DE UNA SOLA META, POR LO TANTO SE LE COLOCA DE MANERA IMPLICITA: 25% A LAS TRES METAS PRODUCTO QUE NO SE PROGRAMARON COMO AVANCE DEL CUATRIENIO AUNQUE ESTAS NO SE INCLUYAN. DE ESA MANERA SE EQUILIBRA </t>
  </si>
  <si>
    <t>Estudios técnicos, financieros y ambientales elaborados para la construcción de un Nuevo Parque Cementerio Distrital, dentro de las áreas señaladas por el POT</t>
  </si>
  <si>
    <t>Elaborar un (1) estudio de un Nuevo Parque Cementerio Distrital</t>
  </si>
  <si>
    <t>SECRETARÍA GENERAL - APOYO LOGISTICO</t>
  </si>
  <si>
    <t>Acciones preventivas, correctivas, de modernización, restauración, construcción de bóvedas y/o nichos en los cementerios del distrito de Cartagena.</t>
  </si>
  <si>
    <t>Elaborar (4) acciones preventivas, correctivas, de modernización, restauración, construcción de bóvedas y/o nichos en los cementerios del distrito de Cartagena</t>
  </si>
  <si>
    <t>Sistemas tecnológicos de trámite de los servicios de cementerio implementados</t>
  </si>
  <si>
    <t>Implementar un (1) sistema tecnológico para trámites de servicios de cementerio</t>
  </si>
  <si>
    <t>Cementerio Santa Cruz de Manga con intervención para restauración arquitectónica</t>
  </si>
  <si>
    <t>Intervenir para mejoramiento y restauración arquitectónica un (1) Cementerio Santa Cruz de Manga</t>
  </si>
  <si>
    <t xml:space="preserve">Atención Integral a Grupos de Especial Protección
</t>
  </si>
  <si>
    <t xml:space="preserve"> FORTALECIMIENTO A LA PROTECCIÓN DIGNA DE LAS PERSONAS MAYORES EN EL DISTRITO DE CARTAGENA</t>
  </si>
  <si>
    <t>Personas mayores con atención en centros de vida</t>
  </si>
  <si>
    <t>Atender anualmente a cuatro mil ciento noventa y cuatro (4.194) personas mayores en los centros de vida</t>
  </si>
  <si>
    <t>SE AJUSTA CADA TRIMESTRE SEGÚN AVANCE REPORTADO</t>
  </si>
  <si>
    <t>Personas mayores que reciben atención en Grupos Organizados</t>
  </si>
  <si>
    <t>Atender anualmente cinco mil seiscientas ochenta y un (5.681) personas mayores en Grupos Organizados</t>
  </si>
  <si>
    <t>Personas mayores en estado de abandono y/o maltrato atendidas</t>
  </si>
  <si>
    <t>Atender ciento cincuenta (150) personas mayores permanentemente en estado de maltrato y/o abandono</t>
  </si>
  <si>
    <t>Centros de vida construidos y dotados</t>
  </si>
  <si>
    <t>Construir y dotar cuatro (4) centros de vida del Distrito</t>
  </si>
  <si>
    <t>Hogar geriátrico construido y dotado</t>
  </si>
  <si>
    <t>Construir y dotar un (1) hogar geriátrico para personas mayores en el Distrito</t>
  </si>
  <si>
    <t>Centros de vida para el adulto mayor adecuados</t>
  </si>
  <si>
    <t>Adecuar diez (10) Centros de Vida para el adulto mayor</t>
  </si>
  <si>
    <t xml:space="preserve">Ruta de atención a los adultos mayores maltratados o en estado de abandono actualizada y socializada
</t>
  </si>
  <si>
    <t xml:space="preserve">Actualizar y socializar una (1) ruta de atención a los adultos mayores maltratados o en estado de abandono
</t>
  </si>
  <si>
    <t>Programa Integral de Educación, Atención y Seguimiento para la Población Longeva y sus Cuidadores creado e implementado</t>
  </si>
  <si>
    <t>Crear e implementar un (1) Programa Integral de Educación, Atención y Seguimiento para la Población Longeva y sus Cuidadores</t>
  </si>
  <si>
    <t xml:space="preserve"> ASISTENCIA SOCIAL E INCLUYENTE A LAS PERSONAS CON DISCAPACIDAD Y/O SU FAMILIA O CUIDADORES PARA LA SEGURIDAD HUMANA Y BIENESTAR SOCIAL</t>
  </si>
  <si>
    <t>Número de personas con discapacidad y sus cuidadoras atendidas con programas de la oferta institucional de la Secretaría de Participación y Desarrollo Social</t>
  </si>
  <si>
    <t>Atender a tres mil cuatrocientas cincuenta y dos (3.452) personas con discapacidad y sus cuidadoras con programas de la oferta institucional de la Secretaría de Participación y Desarrollo Social</t>
  </si>
  <si>
    <t>Espacios lúdicos inclusivos para NNA implementados en el Distrito</t>
  </si>
  <si>
    <t xml:space="preserve">Implementar cuatro (4) espacios lúdicos inclusivos para niños, niñas y adolescentes con discapacidad en el Distrito
</t>
  </si>
  <si>
    <t xml:space="preserve"> UNIDOS PARA LA INCLUSIÓN PRODUCTIVA DE LAS PERSONAS CON DISCAPACIDAD</t>
  </si>
  <si>
    <t>Número de unidades productivas de personas con discapacidad y/o sus cuidadoras creadas y acompañadas</t>
  </si>
  <si>
    <t>Crear y/o acompañar doscientas (200) unidades productivas de personas con discapacidad y/o sus cuidadoras</t>
  </si>
  <si>
    <t>Caracterizaciones de la vocación productiva de personas con discapacidad y sus cuidadoras elaboradas</t>
  </si>
  <si>
    <t>Elaborar cuatro (4) caracterizaciones de la vocación productiva de personas con discapacidad y sus cuidadoras</t>
  </si>
  <si>
    <t>Empresas o emprendimientos de personas con discapacidad vinculados a eventos de interés del Distrito</t>
  </si>
  <si>
    <t>Vincular veinte (20) empresas o emprendimientos de personas con discapacidad a eventos de interés del Distrito</t>
  </si>
  <si>
    <t>Número de personas con discapacidad vinculadas a rutas de empleo</t>
  </si>
  <si>
    <t>Vincular a sesenta (60) personas con discapacidad a rutas de empleo</t>
  </si>
  <si>
    <t xml:space="preserve"> CIUDADANOS HABITANTES DE CALLE CON PROTECCIÓN SOCIAL Y GARANTÍA DE DERECHOS</t>
  </si>
  <si>
    <t>PROGRAMA AJUSTADO</t>
  </si>
  <si>
    <t>PROGRAMA AJUSTADO EN JUNIO 2025</t>
  </si>
  <si>
    <t>Caracterizaciones anuales de ciudadanos habitantes de calle desarrolladas</t>
  </si>
  <si>
    <t>Desarrollar una (1) caracterización anual de ciudadanos habitantes de calle</t>
  </si>
  <si>
    <t>Jornadas de atención humanitaria de ciudadanos habitantes de calle implementadas</t>
  </si>
  <si>
    <t>Implementar cuarenta (40) jornadas de atención humanitaria a ciudadanos habitantes de calle</t>
  </si>
  <si>
    <t>Ciudadanos habitantes de calle atendidos en hogares de paso</t>
  </si>
  <si>
    <t>Atender anualmente ochenta (80) ciudadanos habitantes de calle en hogares de paso</t>
  </si>
  <si>
    <t>AJUSTADO CADA TRIMESTRE. SE ABREN CUPOS POR 80, POR LO TANTO PARA EFECTOS DE SEGUIMIENTO SE DISTRIBUYEN 20 POR CADA TRIMESTRE</t>
  </si>
  <si>
    <t>Ciudadanos habitantes de calle vinculados en procesos de rehabilitación y/o resocialización</t>
  </si>
  <si>
    <t>Vincular a ochenta (80) ciudadanos habitantes de calle en procesos de rehabilitación y/o resocialización</t>
  </si>
  <si>
    <t>ATENCIÓN INTEGRAL AL MIGRANTE</t>
  </si>
  <si>
    <t>Centro Intégrate mejorado técnica y tecnológicamente</t>
  </si>
  <si>
    <t>Mejorar técnica y tecnológicamente un (1) Centro Intégrate</t>
  </si>
  <si>
    <t>Número de jornadas extramurales de atención integral a la población migrante desarrolladas</t>
  </si>
  <si>
    <t>Desarrollar dos (2) jornadas extramurales anuales de atención integral a la población migrante</t>
  </si>
  <si>
    <t>Número de personas migrantes, retornados y de acogida, beneficiadas con asistencia técnica y acompañamiento productivo y empresarial desde la ruta de inclusión productiva</t>
  </si>
  <si>
    <t>Beneficiar a tres mil quinientas treinta y cuatro (3.534) personas migrantes, retornados y de acogida, con asistencia técnica y acompañamiento productivo y empresarial desde la ruta de inclusión productiva</t>
  </si>
  <si>
    <t>SECRETARÍA DE PARTICIPACIÓN Y DESARROLLO SOCIAL - SECRETARÍA DEL INTERIOR Y CONVIVENCIA CIUDADANA</t>
  </si>
  <si>
    <t>SE INCLUYE EL AVANCE EN CERO PARA AJUSTAR EL ACUMULADO DEL PROGRAMA A CORTE MARZO 2025 HASTA QUE SE REPORTEN LOS SIGUIENTES TRIMESTRES LOS AVANCES</t>
  </si>
  <si>
    <t>Número de personas migrantes, retornados y de acogida vinculadas laboralmente desde la ruta de inclusión productiva</t>
  </si>
  <si>
    <t>Vincular laboralmente a cincuenta y cinco (55) nuevos migrantes, retornados y de acogida desde la ruta de inclusión productiva</t>
  </si>
  <si>
    <t>SECRETARÍA DE PARTICIPACIÓN - SECRETARÍA DEL INTERIOR Y CONVIVENCIA CIUDADANA</t>
  </si>
  <si>
    <t>SE INCLUYE EL AVANCE EN CERO PARA AJUSTAR EL ACUMULADO DEL PROGRAMA A CORTE MARZO 2025 HASTA QUE SE REPORTEN LOS SIGUIENTES TRIMESTRES LOS AVANCES. ADEMAS, SE INCLUYE EL PROGRAMADO POR LA SECRETARÍA DE PARTICIPACION PARA LA VIGENCIA 2025 EN MARZO EN 15</t>
  </si>
  <si>
    <t>Número de campañas de gestión del riesgo en temas de salud sexual y reproductiva a migrantes desarrolladas</t>
  </si>
  <si>
    <t>Desarrollar dos (2) campañas de gestión del riesgo en temas de salud reproductiva a migrantes</t>
  </si>
  <si>
    <t>SE ESPERA PROGRAMAR PARA LAS VIGENCIAS 2025, 2026 Y 2027 POR PARTE DEL DADIS</t>
  </si>
  <si>
    <t>Número de migrantes, retornados y de acogida vinculados al programa de atención al migrante</t>
  </si>
  <si>
    <t>Vincular a diez mil seiscientos (10.600) migrantes, retornados y de acogida al programa de atención al migrante</t>
  </si>
  <si>
    <t xml:space="preserve">SECRETARÍA GENERAL
COOPERACIÓN INTERNACIONAL
</t>
  </si>
  <si>
    <t>REVISAR CON ENLACE, ESTA META PRODUCTO APARECE EN EL PLAN DE ACCIÓN A CORTE MARZO 2025 EN LA LINEA ESTRATEGICA DE DESARROLLO ECONOMICO Y CON OTRO PROGRAMA</t>
  </si>
  <si>
    <t>CARTAGENA DIVERSA</t>
  </si>
  <si>
    <t>Número de personas LGBTIQ+ asistidas para acceder a programas de formación para el trabajo y de educación técnica y tecnológica</t>
  </si>
  <si>
    <t>Asistir a quinientas (500) personas LGBTIQ+ para acceder a programas de formación para el trabajo y de educación técnica y tecnológica</t>
  </si>
  <si>
    <t>Numero de emprendimientos, negocios y/o proyectos productivos liderados por personas con orientaciones sexuales e identidades de género diversas financiados</t>
  </si>
  <si>
    <t>Financiar doscientos (200) emprendimientos, negocios y/o proyectos productivos liderados por personas con orientaciones sexuales e identidades de género diversas.</t>
  </si>
  <si>
    <t>Número de rutas de atención integral de violencias basadas en orientación sexual e identidad de género creadas</t>
  </si>
  <si>
    <t>Crear una (1) ruta de atención integral de violencias basadas en orientación sexual e identidad de género</t>
  </si>
  <si>
    <t xml:space="preserve">Número de procesos de sensibilización a diferentes comunidades para propiciar la transformación de imaginarios sociales frente a personas con orientaciones sexuales e identidades de género diversas y sectores LGBTIQ+ implementados 
</t>
  </si>
  <si>
    <t>Implementar ocho (8) procesos de sensibilización a diferentes comunidades para propiciar la transformación de imaginarios sociales frente a personas con orientaciones sexuales e identidades de género diversas y sectores LGBTIQ+</t>
  </si>
  <si>
    <t>Número de campañas de promoción y prevención de la salud, salud sexual y reproductiva y salud mental dirigida a personas con orientaciones sexuales e identidades de género diversas y sectores LGBTIQ+ desarrolladas</t>
  </si>
  <si>
    <t>Desarrollar ocho (8) campañas de promoción y prevención de la salud, salud sexual y reproductiva y salud mental dirigida a personas con orientaciones sexuales e identidades de género diversas y sectores LGBTIQ+</t>
  </si>
  <si>
    <t>SISTEMA DISTRITAL DEL CUIDADO</t>
  </si>
  <si>
    <t>SE INCLUYE EN EL CALCULO DEL CUATRIENIO DEL COMPONENTE IMPULSO, AL MOMENTO DE EMPEZAR A REPORTAR</t>
  </si>
  <si>
    <t>SE INCLUYE EN EL CALCULO DEL CUATRIENIO DEL COMPONENTE IMPULSO, AL MOMENTO DE EMPEZAR A REPORTAR CON EL PROMEDIO DEL COMPONENTE IGUAL O MENOR AL DEL PROGRAMA</t>
  </si>
  <si>
    <t>Alianzas público-populares con organizaciones de cuidado comunitario Creadas</t>
  </si>
  <si>
    <t>Crear cuatro (4) alianzas público-populares con organizaciones de cuidado comunitario (1 al año)</t>
  </si>
  <si>
    <t>Ruta del cuidado con una canasta de servicios en articulación del sector público y privado para cuidadores y agentes del cuidado diseñada e implementada</t>
  </si>
  <si>
    <t>Diseñar e implementar una (1) ruta del cuidado con una canasta de servicios en articulación del sector público y privado para cuidadores y agentes del cuidado e implementar un (1) plan piloto en el barrio Huellas de Alberto Uribe</t>
  </si>
  <si>
    <t>Acciones de transformación cultural para la democratización del cuidado (nuevas masculinidades) creadas</t>
  </si>
  <si>
    <t>Crear cuatro (4) acciones de transformación cultural para la democratización del cuidado (nuevas masculinidades)</t>
  </si>
  <si>
    <t>Sistema Distrital de Cuidado diseñado, estructurado e implementado</t>
  </si>
  <si>
    <t>Diseñar, estructurar e implementar un (1) Sistema Distrital de Cuidado</t>
  </si>
  <si>
    <t xml:space="preserve">Superación de la pobreza extrema y soberanía alimentaria
</t>
  </si>
  <si>
    <t>REVISAR EL  PROGRAMADO DEL PROGRAMA  "FORTALECIMIENTO INSTITUCIONAL DE RENTA CIUDADANA, RENTA JOVEN Y COLOMBIA MAYOR PARA LA SUPERACIÓN DE LA POBREZA EXTREMA".</t>
  </si>
  <si>
    <t xml:space="preserve"> IDENTIFICACIÓN PARA LA SUPERACIÓN DE LA POBREZA EXTREMA</t>
  </si>
  <si>
    <t>Número de personas con el derecho a la identificación garantizado</t>
  </si>
  <si>
    <t>Garantizar el derecho a la identificación de dieciséis mil (16.000) persona</t>
  </si>
  <si>
    <t>PLAN DE EMERGENCIA SOCIAL - PES</t>
  </si>
  <si>
    <t>Número de personas con situación militar definidas acompañadas por la estrategia PES</t>
  </si>
  <si>
    <t>Acompañar a dos mil doscientos (2.200) personas en la definición de su situación militar</t>
  </si>
  <si>
    <t>REVISADO MARZO 2025. LA ULTIMA META PRODUCTO SE INCLUYE AL MOMENTO DEL REPORTE EN LA VIGENICIA 2025</t>
  </si>
  <si>
    <t xml:space="preserve"> SALUD PARA LA SUPERACIÓN DE LA POBREZA EXTREMA</t>
  </si>
  <si>
    <t>Número de personas en pobreza extrema, víctimas del conflicto armado, migrantes y retornados afiliadas  al Sistema General de Seguridad Social.</t>
  </si>
  <si>
    <t>Coordinar la afiliación para cinco mil (5000) personas en Pobreza Extrema, víctimas del conflicto armado, migrantes y retornados al Sistema General de Seguridad Social</t>
  </si>
  <si>
    <t>Número de personas en pobreza extrema formadas en asuntos de Salud Integral</t>
  </si>
  <si>
    <t>Formar en asuntos de salud integral a doce mil (12.000) personas en condición de pobreza extrema</t>
  </si>
  <si>
    <t>Caracterización de los Consejos Comunitarios y Cabildo para el fortalecimiento de la práctica de medicina ancestral elaborada</t>
  </si>
  <si>
    <t>Elaborar una (1) caracterización de los Consejos Comunitarios y Cabildo para el fortalecimiento de la práctica de medicina ancestral</t>
  </si>
  <si>
    <t>EDUCACIÓN PARA LA SUPERACIÓN DE LA POBREZA EXTREMA</t>
  </si>
  <si>
    <t>Niños, niñas y adolescentes en pobreza extrema que se encuentra por fuera del sistema educativo vincular</t>
  </si>
  <si>
    <t>Vincular cinco mil quinientos cincuenta y seis (5.556) niños, niñas y adolescentes en pobreza extrema desescolarizados al sistema educativo.</t>
  </si>
  <si>
    <t>Número de jóvenes y adultos en pobreza extrema con acceso  a educación técnica.</t>
  </si>
  <si>
    <t>Vincular catorce mil (14.000) jóvenes y adultos en pobreza extrema en programas de  acceso  a educación técnica.</t>
  </si>
  <si>
    <t>Familias formadas sobre el valor de la educación</t>
  </si>
  <si>
    <t xml:space="preserve">Formar a veinticinco mil familias (25.000) sobre el valor de la educación 
</t>
  </si>
  <si>
    <t>Instituciones Educativas Oficiales del Distrito con programas de retención escolar implementados</t>
  </si>
  <si>
    <t>Implementar programas de retención escolar en cincuenta (50) Instituciones Educativas Oficiales</t>
  </si>
  <si>
    <t>HABITABILIDAD PARA LA SUPERACIÓN DE LA POBREZA EXTREMA</t>
  </si>
  <si>
    <t>Número de vivienda en sectores en pobreza extrema del Distrito de Cartagena mejoradas.</t>
  </si>
  <si>
    <t>Mejorar cinco mil (5.000) unidades de vivienda en sectores en pobreza extrema del Distrito de Cartagena</t>
  </si>
  <si>
    <t>INGRESO Y TRABAJO PARA LA SUPERACIÓN DE LA POBREZA EXTREMA</t>
  </si>
  <si>
    <t>Número de familias en situación de pobreza extrema dotadas con capital de trabajo y formación empresarial</t>
  </si>
  <si>
    <t>Dotar con capital de trabajo y formación empresarial a ocho mil (8.000) familias en pobreza extrema</t>
  </si>
  <si>
    <t>Centro de Oportunidades para el Empleo del Distrito de Cartagena creado</t>
  </si>
  <si>
    <t>Crear un (1) Centro de Oportunidades para el Empleo en el Distrito de Cartagena</t>
  </si>
  <si>
    <t>REVISADO MARZO 2025. SE INCLUYE EL ACUMULADO AL MOMENTO DE REPORTE DE LA META EN LA VIGENCIA 2025</t>
  </si>
  <si>
    <t>Número de emprendimientos y/o unidades productivas apoyadas técnica o financieramente</t>
  </si>
  <si>
    <t>Apoyar técnica y financieramente a tres mil ochocientos (3.800) emprendimientos y/o unidades productivas</t>
  </si>
  <si>
    <t>Organizaciones de economía popular integradas por población de pobreza extrema en economía solidaria impactadas</t>
  </si>
  <si>
    <t>Impactar a ochenta (80) organizaciones de economía popular integradas por población de pobreza extrema en economía solidaria</t>
  </si>
  <si>
    <t>Número de personas en pobreza extrema con vinculación de empleo formal gestionada</t>
  </si>
  <si>
    <t>Gestionar la vinculación de empleo formal para tres mil doscientas (3.200) personas en pobreza extrema (al menos 50% mujeres)</t>
  </si>
  <si>
    <t xml:space="preserve"> BANCARIZACIÓN PARA LA SUPERACIÓN DE LA POBREZA EXTREMA</t>
  </si>
  <si>
    <t>Personas en pobreza extrema vinculadas  al sistema financiero.</t>
  </si>
  <si>
    <t>Vincular veinte mil (20.000) Personas en pobreza extrema vinculadas  al sistema financiero.</t>
  </si>
  <si>
    <t>Número de familias en situación de pobreza extrema con acceso a créditos financieros</t>
  </si>
  <si>
    <t>Lograr acceso a crédito financiero para tres mil (3.000) familias en pobreza extrema</t>
  </si>
  <si>
    <t xml:space="preserve"> DINÁMICA FAMILIAR PARA LA SUPERACIÓN DE LA POBREZA EXTREMA</t>
  </si>
  <si>
    <t>Miembros de familia en el Distrito de Cartagena sensibilizadas en prevención al consumo de sustancias psicoactivas.</t>
  </si>
  <si>
    <t>Formar mil noventa y dos (1.092) nuevos miembros de familias en el Distrito de Cartagena en prevención al consumo de sustancias psicoactivas</t>
  </si>
  <si>
    <t>Estrategia de prevención de violencia basada en género y violencia intrafamiliar desarrollada.</t>
  </si>
  <si>
    <t>Implementar cuatro (4) estrategias de prevención de violencia basada en género y violencia intrafamiliar para familias en pobreza extrema</t>
  </si>
  <si>
    <t>Talleres lúdicos recreativos para generar códigos de convivencia con organizaciones de base comunitaria coordinados y elaborados.</t>
  </si>
  <si>
    <t>Coordinar y elaborar ciento cincuenta (150) talleres lúdicos recreativos para generar códigos de convivencia con organizaciones de base comunitaria</t>
  </si>
  <si>
    <t xml:space="preserve"> SEGURIDAD ALIMENTARIA Y NUTRICIÓN PARA LA SUPERACIÓN DE LA POBREZA EXTREMA</t>
  </si>
  <si>
    <t>Niños en primera infancia, personas mayores y población con discapacidad atendidos con la estrategia de ollas comunitarias</t>
  </si>
  <si>
    <t>Atender diez mil (10.000) niños en primera infancia, personas mayores y población con discapacidad con la estrategia de ollas comunitarias</t>
  </si>
  <si>
    <t>Numero de Mercados campesinos  realizados</t>
  </si>
  <si>
    <t>Realizar noventa y seis (96) eventos de Mercados campesinos</t>
  </si>
  <si>
    <t>Número de personas atendidas  Estrategia Guerra Frontal contra el Hambre</t>
  </si>
  <si>
    <t>Atender a cincuenta y un mil (51.000) personas con la estrategia Hambre Cero</t>
  </si>
  <si>
    <t>ACCESO A LA JUSTICIA PARA LA SUPERACIÓN DE LA POBREZA EXTREMA</t>
  </si>
  <si>
    <t>Numero de rutas de atención que permitan la atención oportuna para garantizar derechos y resolver conflictos creados</t>
  </si>
  <si>
    <t>Crear diecisiete (17) rutas de atención que permitan la atención oportuna para garantizar derechos y resolver conflictos</t>
  </si>
  <si>
    <t>Estrategias de comunicación para dar a conocer las rutas del Plan de Emergencia Social implementadas</t>
  </si>
  <si>
    <t>Implementar cuatro (4) estrategias de comunicación para dar a conocer las rutas del Plan de Emergencia Social</t>
  </si>
  <si>
    <t xml:space="preserve"> FORTALECIMIENTO INSTITUCIONAL PARA LA SUPERACIÓN DE LA POBREZA EXTREMA</t>
  </si>
  <si>
    <t>Jornadas de atención integral a la comunidad "Gobierno al Barrio" desarrolladas.</t>
  </si>
  <si>
    <t>Desarrollar ciento veinte (120) jornadas de atención integral a la comunidad "Gobierno al Barrio".</t>
  </si>
  <si>
    <t>Número de jornadas de diálogos y gobernanzas desarrolladas</t>
  </si>
  <si>
    <t>Desarrollar setenta y dos (72) jornadas de diálogos y gobernanza en el Distrito de Cartagena a través de la estrategia “Encuentros Barriales”</t>
  </si>
  <si>
    <t xml:space="preserve"> FORTALECIMIENTO INSTITUCIONAL DE RENTA CIUDADANA, RENTA JOVEN Y COLOMBIA MAYOR PARA LA SUPERACIÓN DE LA POBREZA EXTREMA</t>
  </si>
  <si>
    <t>Número de puntos de atención habilitados de Renta Ciudadana, Renta Joven y Colombia Mayor</t>
  </si>
  <si>
    <t>Habilitar trece (13) puntos de atención para garantizar la atención de los beneficiarios y la operatividad del programa</t>
  </si>
  <si>
    <t>SECRETARÍA GENERAL - COORDINACIÓN RENTA CIUDADANA</t>
  </si>
  <si>
    <t>NO PROGRAMADA PARA VIGENCIA 2025</t>
  </si>
  <si>
    <t xml:space="preserve">REVISAR CON ENLACE YA  QUE  ESTAS METAS  PRODUCTO NO SE HAN PROGRAMADO </t>
  </si>
  <si>
    <t>Número de jornadas complementarias para la atención y bienestar comunitario desarrolladas</t>
  </si>
  <si>
    <t>Desarrollar cuarenta y ocho (48) jornadas complementarias para la atención y bienestar comunitario</t>
  </si>
  <si>
    <t>LOGRO  (%) META PRODUCTO RESPECTO AL PROGRAMADO CUATRIENIO  DICIEMBRE 2024</t>
  </si>
  <si>
    <t>LOGRO  (%) META PRODUCTO RESPECTO AL PROGRAMADO CUATRIENIO  JUNIO 2025</t>
  </si>
  <si>
    <t>OBSERVACIONES  10 JUNIO 2025</t>
  </si>
  <si>
    <t>OBSERVACIONES 30 JUNIO  2025</t>
  </si>
  <si>
    <t xml:space="preserve"> VIDA DIGNA
</t>
  </si>
  <si>
    <t xml:space="preserve"> Educación
</t>
  </si>
  <si>
    <t>MODERNIZACIÓN DE LA INFRAESTRUCTURA EDUCATIVA</t>
  </si>
  <si>
    <t>Plan Maestro de Infraestructura Educativa formulado e implementado</t>
  </si>
  <si>
    <t>Formular un (1) Plan Maestro de Infraestructura Educativa</t>
  </si>
  <si>
    <t>SECRETARÍA DE EDUCACIÓN - SED</t>
  </si>
  <si>
    <t>REVISADO DIC 2025</t>
  </si>
  <si>
    <t xml:space="preserve">REVISADO 30 DE JUNIO </t>
  </si>
  <si>
    <t>Número de predios de IEO legalizados</t>
  </si>
  <si>
    <t>Legalizar sesenta (60) predios de Instituciones Educativas Oficiales</t>
  </si>
  <si>
    <t>Número de nuevas Instituciones Educativas Oficiales construidas</t>
  </si>
  <si>
    <t>Construir cinco (5) nuevas Instituciones Educativas Oficiales</t>
  </si>
  <si>
    <t>Número de sedes educativas reconstruidas y/o con ampliación de la infraestructura</t>
  </si>
  <si>
    <t>Reconstruir y/o ampliar quince (15) sedes educativas</t>
  </si>
  <si>
    <t>Número de sedes educativas mejoradas y/o adecuadas</t>
  </si>
  <si>
    <t>Mejorar y/o adecuar ochenta (80) sedes educativas</t>
  </si>
  <si>
    <t>Número de aulas con dotación de mobiliario escolar y material pedagógico</t>
  </si>
  <si>
    <t>Dotar mil (1.000) aulas con mobiliario escolar, aires acondicionados, abanicos y material pedagógico</t>
  </si>
  <si>
    <t xml:space="preserve"> AVANZANDO DESDE EL COMIENZO</t>
  </si>
  <si>
    <t>Número de Instituciones Educativas Oficiales con oferta de educación inicial para la atención a la primera infancia implementada</t>
  </si>
  <si>
    <t>Implementar encuarenta (40) IEO con oferta de educación inicial para la atención de la primera infancia</t>
  </si>
  <si>
    <t>META CUMPLIDA MARZO 2025</t>
  </si>
  <si>
    <t>Número de Instituciones Educativas Oficiales asesoradas con estrategias de articulación institucional para asegurar el tránsito armónico de niños y niñas desde los programas de atención a la primera infancia del ICBF al sistema educativo oficial</t>
  </si>
  <si>
    <t>Asesorar a ciento cinco (105) Instituciones Educativas Oficiales con estrategias de articulación institucional para asegurar el tránsito armónico de los niños y niñas desde los programas de atención a la primera infancia del ICBF al sistema educativo oficial</t>
  </si>
  <si>
    <t>REVISADO MARZO  2025</t>
  </si>
  <si>
    <t>ME QUEDO PORQUE ME QUEDO</t>
  </si>
  <si>
    <t>Numero de niños, niñas y adolescentes focalizados con estrategias para el acceso al sistema educativo oficial</t>
  </si>
  <si>
    <t>Vincular a dos mil trescientos noventa (2.390) niños, niñas y adolescentes adicionales con estrategias para el acceso al sistema educativo oficial</t>
  </si>
  <si>
    <t>SE INCLUYE CUANDO SE AVALEN LA CIFRA CON LA SED</t>
  </si>
  <si>
    <t>Número de estudiantes de Instituciones Educativas Oficiales atendidos con Programa de Alimentación Escolar como estrategia de permanencia</t>
  </si>
  <si>
    <t>Atender a ciento seis mil cuatrocientos ochenta y siete (106.487) estudiantes anualmente con el Programa de Alimentación Escolar como estrategia de permanencia</t>
  </si>
  <si>
    <t>REVISAR CALCULO DE AVANCE CON ENLACE</t>
  </si>
  <si>
    <t>Número de estudiantes de Instituciones Educativas Oficiales atendidos con transporte escolar</t>
  </si>
  <si>
    <t>Atender a cinco mil quinientos (5.500) estudiantes anualmente con transporte escolar</t>
  </si>
  <si>
    <t>Número de estudiantes de Instituciones Educativas Oficiales atendidos con otras estrategias de permanencia (kits escolares, uniformes, y jornadas escolares complementarias)</t>
  </si>
  <si>
    <t>Atender a diez mil (10.000) estudiantes anualmente con otras estrategias de permanencia</t>
  </si>
  <si>
    <t>Planes Institucionales de Permanencia Escolar – PIPE, formulados e implementados en Instituciones Educativas Oficiales</t>
  </si>
  <si>
    <t>Formular e implementar Planes Institucionales de Permanencia Escolar - PIPE en cuarenta y cinco (45) Instituciones Educativas Oficiales</t>
  </si>
  <si>
    <t xml:space="preserve"> YO CUENTO</t>
  </si>
  <si>
    <t>Número de Instituciones Educativas Oficiales vinculadas a estrategias para el fortalecimiento de la oferta de educación inclusiva para preescolar, básica y media</t>
  </si>
  <si>
    <t>Vincular a setenta y dos (72) Instituciones Educativas Oficiales a estrategias para el fortalecimiento de la oferta de educación inclusiva para preescolar, básica y media</t>
  </si>
  <si>
    <t>Número de aulas hospitalarias para la atención de niños, niñas, adolescentes y jóvenes en condición de enfermedad habilitadas</t>
  </si>
  <si>
    <t>Habilitar cuatro (4) Aulas Hospitalarias para la atención de niños, niñas, adolescentes y jóvenes en condición de enfermedad</t>
  </si>
  <si>
    <t>REVISAR CON ENLACE YA QUE DA POR CUMPLIDA ESTA META CUANDO AUN FALTA PARA EL 100%</t>
  </si>
  <si>
    <t>Número de Instituciones Educativas Oficiales con modelos educativos flexibles implementados</t>
  </si>
  <si>
    <t>Implementar veintisiete (27) Instituciones Educativas Oficiales con modelos educativos flexibles</t>
  </si>
  <si>
    <t>Número de niños, niñas, adolescentes y jóvenes en extraedad, que se encuentran dentro de la oferta regular, atendidos con modelos educativos flexibles en el sistema educativo oficial</t>
  </si>
  <si>
    <t>Atender con modelos educativos flexibles a cuatro mil (4.000) niños, niñas, adolescentes y jóvenes en extraedad, que se encuentran dentro de la oferta regular del sistema educativo oficial</t>
  </si>
  <si>
    <t>REVISAR CON  ENLACE EL PROGRAMADO Y REPORTE A JUNIO 2025</t>
  </si>
  <si>
    <t>Número de niños, niñas, adolescentes y jóvenes en extraedad, que se encuentran por fuera del sistema educativo oficial, atendidos con modelos educativos flexibles</t>
  </si>
  <si>
    <t>Atender con modelos educativos flexibles a tres mil seiscientos noventa (3.690) niños, niñas, adolescentes y jóvenes en extraedad, que se encuentran por fuera del sistema educativo oficial</t>
  </si>
  <si>
    <t>REVISAR CON  ENLACE EL PROGRAMADO Y REPORTE A JUNIO 2026</t>
  </si>
  <si>
    <t>Número de personas atendidas con modelos de alfabetización</t>
  </si>
  <si>
    <t>Atender a ocho mil cuatrocientas (8.400) personas con modelos de alfabetización</t>
  </si>
  <si>
    <t>Número de Instituciones Educativas Oficiales con estudiantes con capacidades excepcionales vinculados a Escuela de Talentos</t>
  </si>
  <si>
    <t>Vincular estudiantes con capacidades excepcionales a la Escuela de Talentos en cincuenta (50) Instituciones Educativas Oficiales</t>
  </si>
  <si>
    <t xml:space="preserve"> ESCUELA HOGAR</t>
  </si>
  <si>
    <t>Número de Instituciones Educativas Oficiales con proyectos pedagógicos transversales de cultura, deporte, recreación, actividad física y artes implementados</t>
  </si>
  <si>
    <t>Implementar proyectos pedagógicos transversales de cultura, deporte, recreación, actividad física y artes en cincuenta y nueve (59) Instituciones Educativas Oficiales</t>
  </si>
  <si>
    <t>Número de Instituciones Educativas Oficiales con proyectos pedagógicos transversales de educación ambiental, emprendimiento y otros implementados</t>
  </si>
  <si>
    <t>Implementar proyectos pedagógicos transversales de educación ambiental, emprendimiento y otros en cincuenta y nueve (59) Instituciones Educativas Oficiales</t>
  </si>
  <si>
    <t>Numero de Instituciones Educativas Oficiales asistidas en su sistema escolar de convivencia, habilidades para la vida y la paz y gobierno escolar</t>
  </si>
  <si>
    <t>Asistir a ciento siete (107) Instituciones Educativas Oficiales en su sistema escolar de convivencia, habilidades para la vida y la paz y gobierno escolar</t>
  </si>
  <si>
    <t>Número de Instituciones Educativas Oficiales que implementan el Acuerdo Distrital No. 113 de 2022</t>
  </si>
  <si>
    <t>Implementar el Acuerdo Distrital No. 113 de 2022 en ciento siete (107) Instituciones Educativas Oficiales, de formación en derechos humanos de las mujeres y prevención de las violencias de género, dirigido a niñas, niños y jóvenes</t>
  </si>
  <si>
    <t xml:space="preserve"> CARTAGENA TERRITORIO PLURILINGÜE</t>
  </si>
  <si>
    <t>Numero de Instituciones Educativas Oficiales asistidas técnicamente en el proceso de tránsito de Proyecto Educativo Institucional – PEI a Proyecto Educativo Comunitario - PEC o Proyecto Educativo Intercultural acorde con la pertinencia con respecto a la caracterización y perfil educativo del territorio</t>
  </si>
  <si>
    <t>Asitir tecnicamente a trece (13) Instituciones Educativas Oficiales en el proceso de tránsito de Proyecto Educativo Institucional – PEI a Proyecto Educativo Comunitario - PEC o Proyecto Educativo Intercultural</t>
  </si>
  <si>
    <t>Número de Instituciones Educativas Oficiales con Cátedra de Estudios Afrocolombianos (CEA) implementada</t>
  </si>
  <si>
    <t>Implementar la Cátedra de Estudios Afrocolombianos (CEA) en seis (6) Instituciones Educativas Oficiales adicionales</t>
  </si>
  <si>
    <t>Número de Instituciones Educativas Oficiales acompañadas en el fortalecimiento de la enseñanza de lenguas extranjeras, especialmente las focalizadas en los Colegios Amigos del Turismo</t>
  </si>
  <si>
    <t>Acompañar a cincuenta y cinco (55) Instituciones Educativas Oficiales en el fortalecimiento de la enseñanza de lenguas extranjeras, especialmente las focalizadas en los Colegios Amigos del Turismo</t>
  </si>
  <si>
    <t>Número de docentes formados en una segunda lengua</t>
  </si>
  <si>
    <t>Formar a seiscientos (600) docentes en una segunda lengua</t>
  </si>
  <si>
    <t>CARTAGENA MEJOR EDUCADA</t>
  </si>
  <si>
    <t>Número de docentes formados en evaluación por competencias en las áreas que evalúa el ICFES</t>
  </si>
  <si>
    <t>Formar a seiscientos (600) docentes en evaluación por competencias en las áreas que evalúa el ICFES</t>
  </si>
  <si>
    <t>META CUMPLIDA 30 DE JUNIO DE 2025</t>
  </si>
  <si>
    <t>Número de estudiantes de grado 9, 10 y 11 formados para las Pruebas Saber</t>
  </si>
  <si>
    <t>Desarrollar setenta y ocho mil doscientos (78.200) formaciones a estudiantes de grado 9, 10 y 11 de las 107 Instituciones Educativas Oficiales en procesos de preparación para las Pruebas Saber</t>
  </si>
  <si>
    <t>Número de Instituciones Educativas Oficiales asesoradas en el análisis y uso de resultados de Pruebas Saber</t>
  </si>
  <si>
    <t>Asesorar técnicamente a sesenta y dos (62) nuevas Instituciones Educativas Oficiales en el análisis y uso de resultados de Pruebas Saber</t>
  </si>
  <si>
    <t xml:space="preserve"> LEVANTEMOS LA VOZ</t>
  </si>
  <si>
    <t>Número de Instituciones Educativas Oficiales con Plan Institucional de Lectura, Escritura y Oralidad (PILEO) implementado</t>
  </si>
  <si>
    <t>Implementar el Plan Institucional de Lectura, Escritura y Oralidad en ochenta y siete (87) Instituciones Educativas Oficiales</t>
  </si>
  <si>
    <t>Número de Instituciones Educativas Oficiales dotadas con material bibliográfico</t>
  </si>
  <si>
    <t>Dotar las bibliotecas escolares de ochenta y seis (86) Instituciones Educativas Oficiales con material bibliográfico</t>
  </si>
  <si>
    <t>Red de Bibliotecas Escolares integrada al sistema de bibliotecas públicas creada</t>
  </si>
  <si>
    <t>Crear una (1) Red de Bibliotecas Escolares integrada al sistema de bibliotecas públicas</t>
  </si>
  <si>
    <t>Ferias Distritales de Radio Escolar desarrolladas</t>
  </si>
  <si>
    <t>Desarrollar cuatro (4) Ferias Distritales de Radio Escolar</t>
  </si>
  <si>
    <t>Número de Instituciones Educativas Oficiales dotadas con materiales y equipos radiofónicos</t>
  </si>
  <si>
    <t>Dotar con material y equipo radiofónico a treinta (30) Instituciones Educativas Oficiales adicionales para la implementación de la radio escolar</t>
  </si>
  <si>
    <t>REVISAR CON ENLACE LA META NUMERICA DEL CUATRIENIO</t>
  </si>
  <si>
    <t xml:space="preserve"> AULA GLOBAL</t>
  </si>
  <si>
    <t>Número de Instituciones Educativas Oficiales que mejoran en resultados de pruebas - EGRA (Early Grade Reading Assessment)</t>
  </si>
  <si>
    <t>Mejorar en quince (15) Instituciones Educativas las destrezas básicas de alfabetismo en básica primaria medidos a través de EGRA</t>
  </si>
  <si>
    <t>Número de Instituciones Educativas Oficiales que mejoran en resultados de pruebas - EGMA (Early Grades Mathematics Assessment)</t>
  </si>
  <si>
    <t>Mejorar en quince (15) Instituciones Educativas las habilidades en matemáticas de las pruebas EGMA</t>
  </si>
  <si>
    <t xml:space="preserve"> FORMACIÓN Y CUALIFICACIÓN DE DOCENTES Y DIRECTIVOS DOCENTES</t>
  </si>
  <si>
    <t>Número de docentes de Instituciones Educativas Oficiales formados en su saber disciplinar, pedagógico y reflexivo</t>
  </si>
  <si>
    <t>Formar a dos mil (2.000) docentes de Instituciones Educativas Oficiales en su saber disciplinar, pedagógico y reflexivo</t>
  </si>
  <si>
    <t>Número de directivos docentes formados en liderazgo</t>
  </si>
  <si>
    <t>Formar a ciento siete (107) rectores de Instituciones Educativas Oficiales en liderazgo y gestión educativa</t>
  </si>
  <si>
    <t>Número de foros educativos distritales anuales elaborados</t>
  </si>
  <si>
    <t>Elaborar cuatro (4) foros educativos en el cuatrienio</t>
  </si>
  <si>
    <t xml:space="preserve"> FORTALECIMIENTO DE LA GESTIÓN ESCOLAR EN LAS INSTITUCIONES EDUCATIVAS OFICIALES</t>
  </si>
  <si>
    <t>Numero de Instituciones Educativas Oficiales, con asistencia tecnica en el proceso de actualización de sus modelos pedagógicos y curriculares</t>
  </si>
  <si>
    <t>Asistir tecnicamente a ciento siete (107) Instituciones Educativas Oficiales en el proceso de actualización de sus modelos pedagógicos y curriculares</t>
  </si>
  <si>
    <t>Sistema propio de información de la Gestión Escolar diseñado</t>
  </si>
  <si>
    <t>Crear un (1) sistema de información de la Gestión Escolar</t>
  </si>
  <si>
    <t>REVISAR CON ENLACE, YA QUE ESTA META SE PROGRAMÓ EN 2024 Y EN EL REPORTE APARECE COMO ACUMUALDO CERO</t>
  </si>
  <si>
    <t>Referentes técnicos de educación inicial y preescolar incorporados en PEI de instituciones educativas que ofertan los grados prejardín, jardín y transición</t>
  </si>
  <si>
    <t>Incorporar los referentes técnicos de educación inicial y preescolar en los PEI de cuarenta (40) instituciones educativas que ofertan los grados prejardín, jardín y transición</t>
  </si>
  <si>
    <t>UNIDOS POR EL SUEÑO SUPERIOR</t>
  </si>
  <si>
    <t>Número de estudiantes egresados de Instituciones Educativas Oficiales y con matrícula contratada becados en educación superior</t>
  </si>
  <si>
    <t>Becar en educación superior a nueve mil (9.000) estudiantes egresados de Instituciones Educativas Oficiales y con matrícula contratada</t>
  </si>
  <si>
    <t>Número de estudiantes egresados de Instituciones Educativas Oficiales y con matrícula contratada becados con becas inclusivas en educación superior (víctimas, NARP, con discapacidad, indígenas)</t>
  </si>
  <si>
    <t>Becar en educación superior a quinientas cuarenta y cuatro (544) estudiantes egresados de Instituciones Educativas Oficiales y con matrícula contratada, con becas inclusivas</t>
  </si>
  <si>
    <t>Número de estudiantes de media técnica graduados con doble titulación</t>
  </si>
  <si>
    <t>Graduar doce mil (12.000) estudiantes de media técnica con doble titulación</t>
  </si>
  <si>
    <t xml:space="preserve">REVISAR ACUMULADO CUATRIENIO CON ENLACE </t>
  </si>
  <si>
    <t>Número de Instituciones Educativas Oficiales con media técnica y académicas con doble titulación implementada</t>
  </si>
  <si>
    <t>Implementar doble titulación en veinticinco (25) Instituciones Educativas Oficiales con media técnica e Instituciones Educativas Oficiales académicas</t>
  </si>
  <si>
    <t>Numero de Instituciones Educativas Oficiales con nodos de media técnica asistidas con programas pilotos de bilingüismo</t>
  </si>
  <si>
    <t>Asistir con programas piloto de bilingüismo a cinco (5)
Instituciones Educativas Oficiales con nodos de media técnica</t>
  </si>
  <si>
    <t>Número de estudiantes con formación técnica para el trabajo y el desarrollo humano</t>
  </si>
  <si>
    <t>Formar a quinientos (500) estudiantes en educación técnica para el trabajo y el desarrollo humano</t>
  </si>
  <si>
    <t>Número de voluntarios universitarios que acompañan a los estudiantes de las Instituciones Educativas Oficiales en el fortalecimiento de sus competencias</t>
  </si>
  <si>
    <t>Vincular a doscientos (200) voluntarios universitarios para acompañamiento a los estudiantes de las Instituciones Educativas Oficiales en el fortalecimiento de sus competencias</t>
  </si>
  <si>
    <t>PROGRAMA: AVANZAMOS EN EL FORTALECIMIENTO INSTITUCIONAL DE LA SECRETARÍA DE EDUCACIÓN</t>
  </si>
  <si>
    <t>Numero de políticas armonizadas del Modelo Integrado de Planeación y Gestión – MIPG en la SED</t>
  </si>
  <si>
    <t>Armonizar las diecinueve (19) políticas del Modelo Integrado de Planeación y Gestión - MIPG en la Secretaría de Educación</t>
  </si>
  <si>
    <t>Sistema de seguimiento y aseguramiento de la calidad del servicio educativo a través del ejercicio de la inspección y vigilancia, diseñado e implementado</t>
  </si>
  <si>
    <t>Diseñar e implementar un (1) sistema de seguimiento y aseguramiento a la calidad del servicio educativo a través del ejercicio de la inspección, vigilancia y control</t>
  </si>
  <si>
    <t>Plan de Bienestar y Protección para los funcionarios del sector educativo de Cartagena implementado</t>
  </si>
  <si>
    <t>Implementar un (1) Plan de Bienestar y Protección otorgados a los Funcionarios del Sector Educativo de Cartagena</t>
  </si>
  <si>
    <t>Reorganización administrativa y de procesos de la Secretaría de Educación diseñada, aprobada e implementada</t>
  </si>
  <si>
    <t>Diseñar, aprobar e implementar una (1) nueva estructura administrativa y de procesos de la Secretaría de Educación</t>
  </si>
  <si>
    <t>CARTAGENA, TERRITORIO DIGITAL</t>
  </si>
  <si>
    <t>Número de sedes educativas con conectividad escolar implementada</t>
  </si>
  <si>
    <t>Implementar conectividad escolar en ciento cincuenta (150) sedes educativas del Distrito</t>
  </si>
  <si>
    <t>Número de aulas RTCi para el desarrollo de competencias digitales en las Instituciones Educativas Oficiales habilitadas</t>
  </si>
  <si>
    <t>Habilitar ocho (8) aulas RTCi para el desarrollo de competencias digitales en las Instituciones Educativas Oficiales</t>
  </si>
  <si>
    <t>Número de Instituciones Educativas Oficiales asistidas en las prácticas de ciencia, innovación y tecnología</t>
  </si>
  <si>
    <t>Asistir a ochenta y cinco (85) Instituciones Educativas Oficiales en las prácticas de ciencia, innovación y tecnología</t>
  </si>
  <si>
    <t>OFERTA ACADÉMICA SUPERIOR CON CALIDAD</t>
  </si>
  <si>
    <t>Estrategias de internacionalización implementadas</t>
  </si>
  <si>
    <t>Implementar veinte (20) estrategias que permitan la internacionalización de los programas institucionales</t>
  </si>
  <si>
    <t>Institución Universitaria Mayor de Cartagena.  (Calidad Académica)</t>
  </si>
  <si>
    <t>No Programada por el Colegio Mayor para la vigencia  2024</t>
  </si>
  <si>
    <t>Plataforma virtual integral institucional implementada</t>
  </si>
  <si>
    <t>Implementar una (1) Plataforma Virtual integral institucional</t>
  </si>
  <si>
    <t>Metros cuadrados de infraestructura física institucional de la U. Mayor construidos</t>
  </si>
  <si>
    <t>Construir mil quinientos veintiséis (1.526) metros cuadrados de infraestructura física actual de la U. Mayor</t>
  </si>
  <si>
    <t>Espacios académicos y/o administrativos acondicionados y dotados</t>
  </si>
  <si>
    <t>Acondicionar y dotar cinco (5) nuevos espacios académicos y/o administrativos</t>
  </si>
  <si>
    <t>Programas de pregrado nuevos de la U. Mayor creados</t>
  </si>
  <si>
    <t>Crear seis (6) programas de pregrado nuevos</t>
  </si>
  <si>
    <t>Programas de posgrado nuevo ofertados</t>
  </si>
  <si>
    <t>Ofertar dos (2) nuevos programas de posgrado</t>
  </si>
  <si>
    <t>Número de estudiantes nuevos matriculados en la U. Mayor</t>
  </si>
  <si>
    <t>Matricular dos mil doscientos treinta y cuatro (2234) estudiantes nuevos</t>
  </si>
  <si>
    <t>FORMACIÓN TÉCNICA Y COMPLEMENTARIA EN OFICIOS</t>
  </si>
  <si>
    <t>Número de jóvenes formados como técnicos laborales en oficios tradicionales</t>
  </si>
  <si>
    <t>Formar a mil seiscientos (1.600) jóvenes en procesos de formación técnica en oficios tradicionales</t>
  </si>
  <si>
    <t>Escuela Taller Cartagena de Indias (ETCAR)</t>
  </si>
  <si>
    <t>Número de jóvenes vinculados en procesos de formación complementaria en oficios tradicionales</t>
  </si>
  <si>
    <t>Vincular a cuatrocientos (400) jóvenes en procesos de formación complementaria en oficios tradicionales</t>
  </si>
  <si>
    <t>Número de mujeres formadas en oficios técnicos y complementarios</t>
  </si>
  <si>
    <t>Formar a doscientos cuarenta (240) mujeres en los programas de formación en oficios técnicos y complementarios</t>
  </si>
  <si>
    <t>Número de egresados vinculados laboralmente a la Escuela Taller</t>
  </si>
  <si>
    <t>Vincular a doscientos (200) egresados de la Escuela Taller en oficios tradicionales</t>
  </si>
  <si>
    <t>META LOGRADA DICIEMBRE 2024</t>
  </si>
  <si>
    <t>Número de ambientes de aprendizaje mejorados</t>
  </si>
  <si>
    <t>Mejorar la infraestructura de nueve (9) ambientes de aprendizaje</t>
  </si>
  <si>
    <t xml:space="preserve"> Acceso a Servicios Básicos
</t>
  </si>
  <si>
    <t>ACCESO AL AGUA POTABLE Y SANEAMIENTO BÁSICO</t>
  </si>
  <si>
    <t>Número de usuarios conectados a la red de servicio de acueducto del Distrito</t>
  </si>
  <si>
    <t>Llevar trescientos diecisiete mil cuatrocientos ochenta y tres (317.483) el numero de usuarios conectados a la red de servicio de acueducto</t>
  </si>
  <si>
    <t>SECRETARÍA GENERAL - SECRETARÍA DE INFRAESTRUCTURA</t>
  </si>
  <si>
    <t>NO INLCUIR EL REPORTE LOGRADO A 2004 EN DICIEMBRE, EN ESPERA DE OFICIO PARA AJUSTAR Y PROCEDER A ELIMINAR EL AVANCE</t>
  </si>
  <si>
    <t>Kilómetros de refuerzo de conducción e impulsión de acueducto en el Distrito construidos</t>
  </si>
  <si>
    <t>Construir nueve (9) kilómetros de refuerzo de conducción y/o impulsión de acueducto</t>
  </si>
  <si>
    <t>Número de obras ejecutadas para la mejora de distribución de agua potable en el Distrito</t>
  </si>
  <si>
    <t>Ejecutar seis (6) obras para la mejora de distribución de agua potable</t>
  </si>
  <si>
    <t>Metros cúbicos de agua potable suministrados como soluciones alternativas o transitorias de acceso al agua potable en el Distrito de Cartagena</t>
  </si>
  <si>
    <t>Suministrar cuatrocientos cuarenta y ocho mil ochocientos (448.800) metros cúbicos de agua potable mediante soluciones alternativas o transitorias</t>
  </si>
  <si>
    <t>Número de usuarios conectados a la red de servicio de alcantarillado del Distrito</t>
  </si>
  <si>
    <t>Llevar a doscientos noventa y cinco mil quinientos veintinueve (295.529) el número de usuarios conectados a la red de servicio de alcantarillado</t>
  </si>
  <si>
    <t>Metros lineales de colectores de alcantarillado sanitario construidos en el Distrito</t>
  </si>
  <si>
    <t>Construir quinientos noventa y dos (592) metros lineales de colectores de alcantarillado sanitario</t>
  </si>
  <si>
    <t>Número de hectáreas de áreas de importancia estratégica con acciones de conservación y/o protección</t>
  </si>
  <si>
    <t>Proteger cuarenta y cinco (45) hectáreas de áreas de importancia estratégica con acciones de conservación y/o protección</t>
  </si>
  <si>
    <t>Número de servicios de apoyo financiero (subsidios) para usuarios de los servicios públicos domiciliarios de acueducto, alcantarillado y aseo estratos 1,2 y 3 del Distrito entregados</t>
  </si>
  <si>
    <t xml:space="preserve">Entregar servicios de apoyo financiero (subsidios) de los servicios públicos domiciliarios a doscientos cuarenta y seis mil ciento cincuenta y dos (246.152) usuarios de acueducto de estrato 1, 2 y 3, a ciento setenta y un mil trescientos siete (171.307) usuarios de alcantarillado de estrato 1, 2 y 3, y a doscientos ochenta y un mil ochocientos veintitres (281.823) usuarios de servicio de aseo de estratos 1, 2 </t>
  </si>
  <si>
    <t>SECRETARÍA GENERAL</t>
  </si>
  <si>
    <t>REVISAR EL CALCULO DEL AVANCE, YA QUE TIENE 25% ACUMULADO CUATRIENIO Y DEBE SER 31,5% A CORTE MARZO 2025</t>
  </si>
  <si>
    <t>AVANZAMOS POR UNA CARTAGENA ILUMINADA Y LA TRANSICIÓN ENERGÉTICA</t>
  </si>
  <si>
    <t>Número de lámparas o luminarias de alumbrado público en funcionamiento</t>
  </si>
  <si>
    <t>Instalar y poner en funcionamiento siete mil (7.000) lámparas o luminarias de alumbrado público</t>
  </si>
  <si>
    <t>Número de lámparas o luminarias con energías renovables instaladas</t>
  </si>
  <si>
    <t>Instalar ochocientas (800) lámparas o luminarias con energía renovable</t>
  </si>
  <si>
    <t>Número de iniciativas de generación de energía a partir de fuentes no convencionales implementadas</t>
  </si>
  <si>
    <t>Implementar tres (5) iniciativas de generación de energía a partir de fuentes no convencionales</t>
  </si>
  <si>
    <t>Número de barrios con monitoreo de información en la prestación del servicio del alumbrado público implementado</t>
  </si>
  <si>
    <t>Implementar en seis (6) barrios el monitoreo de información en la prestación del servicio de alumbrado público</t>
  </si>
  <si>
    <t>UNIDOS POR LA GESTIÓN DE LOS RESIDUOS Y EL DESARROLLO SOSTENIBLE</t>
  </si>
  <si>
    <t>Ete programa se ajusta el avance, ya que para el primer año, solo se programaron dos metas, por lo tanto, solo se  incluye el avance sobre 12 metas y no 2, para la priemra vigencia 2024. se colocó 12,5% de avance en el cuatrienio</t>
  </si>
  <si>
    <t>PGIRS del Distrito actualizado</t>
  </si>
  <si>
    <t>Actualizar un (1) Plan de Gestión Integral de Residuos Sólidos</t>
  </si>
  <si>
    <t>META CUMPLIDA DICIEMBRE 2024</t>
  </si>
  <si>
    <t>Número de convocatorias promovidas para la asignación de incentivo al Aprovechamiento y Tratamiento de Residuos Sólidos (IAT) en el Distrito</t>
  </si>
  <si>
    <t>Promover cuatro (4) convocatorias para la asignación de incentivo al Aprovechamiento y Tratamiento de Residuos Sólidos (IAT) en el Distrito</t>
  </si>
  <si>
    <t>Censo de recicladores del Distrito actualizado</t>
  </si>
  <si>
    <t>Actualizar un (1) censo de recicladores del Distrito</t>
  </si>
  <si>
    <t>Número de proyectos formulados para la implementación de planta de tratamiento de residuos del Distrito</t>
  </si>
  <si>
    <t>Formular un (1) proyecto para la implementación de planta de tratamiento de residuos del Distrito</t>
  </si>
  <si>
    <t>Número de proyecto formulado e implementado para la gestión de residuos en el área rural/ insular del Distrito</t>
  </si>
  <si>
    <t>Formular e implementar un (1) proyecto para la gestión de residuos en el área rural/insular del Distrito</t>
  </si>
  <si>
    <t>Número de puntos de acopio implementados para la disposición de residuos en la zona insular del Distrito</t>
  </si>
  <si>
    <t>Implementar cuatro (4) puntos de acopio para la disposición de residuos en la zona insular del Distrito</t>
  </si>
  <si>
    <t>Documentos de lineamientos técnicos elaborados para la gestión de los residuos de aparatos eléctricos y electrónicos (RAEE) en el área rural/ insular del Distrito</t>
  </si>
  <si>
    <t>Elaborar un (1) lineamiento técnico para la gestión de los residuos de aparatos eléctricos y electrónicos (RAEE) en el área rural/insular del Distrit</t>
  </si>
  <si>
    <t>Número de puntos críticos recuperados en el Distrito</t>
  </si>
  <si>
    <t>Recuperar veinticuatro (24) puntos críticos en el Distrito</t>
  </si>
  <si>
    <t>REVISADO MARZO  2025. SE LES INCLUYE CERO EN EL ACUMULADO PARA EQUILIBARA EL CALCULO, HASTA QUE REPORTEN EN LOS SIGUIENTES TRIMESTRES DEL 2025</t>
  </si>
  <si>
    <t>Número de personas formadas en aprovechamiento de residuos</t>
  </si>
  <si>
    <t>Formar cien mil (100.000) personas en aprovechamiento de residuos en el Distrito</t>
  </si>
  <si>
    <t>Número de programas de formación para recicladores de oficio implementados</t>
  </si>
  <si>
    <t>Implementar un (1) programa de formación para recicladores de oficio</t>
  </si>
  <si>
    <t>REVISADO MARZO  2025. SE LES INCLUYE CERO EN EL ACUMULADO PARA EQUILIBAR EL CALCULO, HASTA QUE REPORTEN EN LOS SIGUIENTES TRIMESTRES DEL 2025</t>
  </si>
  <si>
    <t>Número de campañas de fomento a la formalización de recicladores desarrolladas</t>
  </si>
  <si>
    <t>Desarrollar dos (2) campañas de fomento a la formalización de recicladores</t>
  </si>
  <si>
    <t>REVISADO MARZO  2025. SE LES INCLUYE CERO EN EL ACUMULADO PARA EQUILIBAR EL CALCULO, HASTA QUE REPORTEN EN LOS SIGUIENTES TRIMESTRES DEL 2026</t>
  </si>
  <si>
    <t>Rutas selectivas de reciclaje georreferenciadas</t>
  </si>
  <si>
    <t>Georreferenciar la totalidad de las rutas selectivas de reciclaje</t>
  </si>
  <si>
    <t>REVISADO MARZO  2025. SE LES INCLUYE CERO EN EL ACUMULADO PARA EQUILIBAR EL CALCULO, HASTA QUE REPORTEN EN LOS SIGUIENTES TRIMESTRES DEL 2027</t>
  </si>
  <si>
    <t xml:space="preserve"> Vivienda Digna y Hábitat
</t>
  </si>
  <si>
    <t xml:space="preserve"> UNIDOS POR UNA VIVIENDA PARA TI</t>
  </si>
  <si>
    <t>Hogares beneficiados con servicio de apoyo financiero para adquisición de vivienda</t>
  </si>
  <si>
    <t>Beneficiar a diez mil (10.000) hogares con subsidios familiares de adquisición de vivienda de interés social</t>
  </si>
  <si>
    <t>CORVIVIENDA</t>
  </si>
  <si>
    <t>MI CASA AVANZA</t>
  </si>
  <si>
    <t>Hogares beneficiados con mejoramiento de vivienda urbana</t>
  </si>
  <si>
    <t>Beneficiar a doce mil setecientos cincuenta (12.750) hogares con subsidios familiares para mejoramiento de vivienda urbana</t>
  </si>
  <si>
    <t>MI CASA CON PROPIEDAD</t>
  </si>
  <si>
    <t>Número de predios legalizados o titulados</t>
  </si>
  <si>
    <t>Titular o legalizar cinco mil (5.000) predios</t>
  </si>
  <si>
    <t xml:space="preserve"> MI TERRITORIO EN ORDEN</t>
  </si>
  <si>
    <t>Número de Documentos de planeación - DTS para la legalización urbanística elaborados</t>
  </si>
  <si>
    <t>Elaborar cinco (5) Documentos Técnicos de Soporte para la solicitud de legalización de 100 hectáreas en los asentamientos humanos priorizados del Distrito</t>
  </si>
  <si>
    <t>Número de documentos normativos para legalización de asentamientos humanos adoptados</t>
  </si>
  <si>
    <t>Adoptar seis (6) documentos normativos para la legalización de 122 hectáreas en asentamientos humanos</t>
  </si>
  <si>
    <t>SECRETARÍA DE PLANEACIÓN</t>
  </si>
  <si>
    <t>Número de sistemas de información de vivienda actualizados</t>
  </si>
  <si>
    <t>Actualizar un (1) sistema de información de vivienda</t>
  </si>
  <si>
    <t xml:space="preserve">Artes, Cultura y Patrimonio
</t>
  </si>
  <si>
    <t xml:space="preserve"> PARA EL AÑO 2024  ERAN 5 PROGRAMAS PROGRAMADOS, PARA EL 2025 SON 6 CON EL DE  MEMORIA Y PATRIMONIO AL SERVICIO DE LA CIUDADANÍA, QUE SE INCLUIRÁ COMO PROGRAMA 6 DEL DENOMINADOR CUANDO SE REPORTEN EN LA VIGENCIA PRESENTE</t>
  </si>
  <si>
    <t xml:space="preserve"> ESCENARIOS CULTURALES VIVOS PARA TRANSFORMAR</t>
  </si>
  <si>
    <t>Número de personas con acceso efectivo a procesos de lenguaje, lectura, escritura y oralidad. </t>
  </si>
  <si>
    <t>Vincular a trescientas seis mil cincuenta y nueve (306.059) personas de manera efectiva a los procesos de lenguaje, lectura, escritura y oralidad</t>
  </si>
  <si>
    <t>IPCC</t>
  </si>
  <si>
    <t>Número de bibliotecas dotadas y en funcionamiento</t>
  </si>
  <si>
    <t>Dotar de mobiliario y equipo y mantener en funcionamiento dieciocho (18) bibliotecas</t>
  </si>
  <si>
    <t>REVISAR CON ENLACE YA QUE PROGRAMA  18 PARA LA VIGENCIA 2025,CUANDO ESTA ES LA MISMA META CUATRIENIO Y YA TIENE UN ACUMULADO DE 2  A DICIEMBRE DE 2024</t>
  </si>
  <si>
    <t>REVISAR TANTO EL PROGRAMADO COMO EL REPORTADO COMO EL ACUMULADO 2024</t>
  </si>
  <si>
    <t>Número de actividades de extensión bibliotecaria implementadas</t>
  </si>
  <si>
    <t>Implementar mil ochocientas (1.800) actividades de extensión bibliotecaria</t>
  </si>
  <si>
    <t>REVISAR CON ENLACE, YA QUE NO SE AJUSTA LA META ACUMULADA CON LA QUE ESTÁ REPORTADA A DICIEMBRE 2024 Y PORQUE TAMPOCO COINCIDE CON EL PROGRAMADO</t>
  </si>
  <si>
    <t>Plan de Fortalecimiento para la Consolidación de la Red de Bibliotecas Distritales</t>
  </si>
  <si>
    <t>Formular e implementar un (1) Plan de Fortalecimiento para la Consolidación de la Red de Bibliotecas Distritales</t>
  </si>
  <si>
    <t>REVISAR EL PROGRAMDO Y AVANCE REPORTADO A MARZO 2025</t>
  </si>
  <si>
    <t>Plan de Fortalecimiento para la Red de Museos Distrital diseñado e implementado</t>
  </si>
  <si>
    <t>Diseñar e implementar un (1) Plan de Fortalecimiento para la Red de Museos Distrital</t>
  </si>
  <si>
    <t>Número de infraestructuras culturales mejoradas, adecuadas y/o dotadas</t>
  </si>
  <si>
    <t>Mejorar, adecuar y/o dotar treinta y cuatro (34) infraestructuras culturales accesibles, inclusivas y diversas</t>
  </si>
  <si>
    <t>Número de infraestructuras culturales construidas y dotadas</t>
  </si>
  <si>
    <t>Construir y dotar dos (2) infraestructuras culturales accesibles, inclusivas y diversas</t>
  </si>
  <si>
    <t>Número de estrategias de aprovechamiento en espacios culturales implementadas</t>
  </si>
  <si>
    <t>Implementar estrategias de aprovechamiento en treinta y tres (34) espacios culturales (creación, divulgación, producción y difusión)</t>
  </si>
  <si>
    <t>REVISAR EL PROGRAMADO Y AVANCE REPORTADO A MARZO 2025</t>
  </si>
  <si>
    <t xml:space="preserve"> DEMOCRATIZACIÓN DE LA CULTURA: ESTÍMULOS PARA EL FOMENTO Y DESARROLLO ARTÍSTICO, CULTURAL Y CREATIVO.</t>
  </si>
  <si>
    <t>Número de estímulos otorgados o proyectos apoyados. </t>
  </si>
  <si>
    <t>Otorgar mil (1.000) estímulos culturales y artísticos</t>
  </si>
  <si>
    <t>Número de estímulos otorgados con enfoque diferencial e interseccional. </t>
  </si>
  <si>
    <t>Otorgar cien (100) estímulos con enfoque diferencial e intersecciona</t>
  </si>
  <si>
    <t>REVISAR EL PROGRAMADO Y AVANCE REPORTADO A MARZO 2025. PORQUE APARACE COMO CUMPLIDA A DICIEMBRE 2024</t>
  </si>
  <si>
    <t>Número de mercados o espacios de circulación para emprendimientos culturales y artísticos. </t>
  </si>
  <si>
    <t>Crear seis (6) mercados o espacios de circulación para emprendimientos culturales y artísticos</t>
  </si>
  <si>
    <t>Número de emprendimientos y/o micronegocios de economía popular del sector cultura, arte y patrimonio apoyados financieramente </t>
  </si>
  <si>
    <t>Otorgar ciento cincuenta (150) apoyos financieros para micronegocios de economía popular del sector cultura, arte y patrimonio</t>
  </si>
  <si>
    <t xml:space="preserve"> FORMACIÓN ARTÍSTICA Y CULTURAL</t>
  </si>
  <si>
    <t>Número de personas beneficiarias del programa de formación artística y cultural.</t>
  </si>
  <si>
    <t>Vincular a mil ochocientas (1.800) personas en el programa de Formación Artística y Cultural</t>
  </si>
  <si>
    <t>Sistema Distrital de Formación Artística y Cultural creado e implementado</t>
  </si>
  <si>
    <t>Crear e implementar un (1) Sistema Distrital de Formación Artística y Cultural</t>
  </si>
  <si>
    <t xml:space="preserve"> DERECHOS CULTURALES Y FORTALECIMIENTO INSTITUCIONAL PARA LA GOBERNANZA</t>
  </si>
  <si>
    <t>Estrategia de modernización y mejoramiento del desempeño institucional del Instituto de Patrimonio y Cultura diseñada e implementada</t>
  </si>
  <si>
    <t>Diseñar e implementar una (1) estrategia de modernización y mejoramiento del desempeño institucional del Instituto de Patrimonio y Cultura</t>
  </si>
  <si>
    <t>Plan de fortalecimiento para el Sistema Distrital de Cultura y consejos de áreas artísticas</t>
  </si>
  <si>
    <t>Diseñar e implementar un (1) plan de fortalecimiento para Sistema Distrital de Cultura y consejos de áreas artísticas</t>
  </si>
  <si>
    <t>Implementación de la Comisión Fílmica de Cartagena de Indias y adquisición del PUFAC (Permiso Unificado de Filmaciones Audiovisuales) </t>
  </si>
  <si>
    <t>Implementar una (1) Comisión Fílmica en Cartagena de Indias y adquisición del PUFAC (Permiso Unificado de Filmaciones Audiovisuales) </t>
  </si>
  <si>
    <t>Política Pública Distrital de Cinematografía, Medios Audiovisuales e Interactivos formulada e implementada</t>
  </si>
  <si>
    <t>Formular e implementar una (1) Política Pública Distrital de Cinematografía, Medios Audiovisuales e Interactivos</t>
  </si>
  <si>
    <t>Cinemateca de Cartagena de Indias construida</t>
  </si>
  <si>
    <t>Construir una (1) cinemateca de Cartagena de Indias </t>
  </si>
  <si>
    <t xml:space="preserve"> CARTAGENA BRILLA CON SU CULTURA Y PATRIMONIO MATERIAL E INMATERIAL</t>
  </si>
  <si>
    <t>Número de festivales, fiestas y festejos implementados y desarrollados</t>
  </si>
  <si>
    <t>Implementar y desarrollar dieciséis (16) festivales, fiestas y festejos para promoción del patrimonio inmaterial</t>
  </si>
  <si>
    <t>Festival de Música del Caribe impulsado anualmente</t>
  </si>
  <si>
    <t>Impulsar anualmente el desarrollo de un (1) Festival de Música del Caribe</t>
  </si>
  <si>
    <t>Inventario del patrimonio cultural material e inmaterial de Cartagena elaborado</t>
  </si>
  <si>
    <t>Elaborar un (1) inventario del patrimonio cultural material e inmaterial de Cartagena</t>
  </si>
  <si>
    <t>Número de estrategias para la preservación y protección de las tradiciones técnicas, costumbres y saberes propias de la cultura cartagenera diseñadas e implementadas</t>
  </si>
  <si>
    <t>Diseñar e implementar cuatro (4) estrategias para la preservación y protección de las tradiciones técnicas, costumbres y saberes propias de la cultura cartagenera (cultura alimentaria de las matronas, artesanía, tradición oral, entre otras)</t>
  </si>
  <si>
    <t>Plan Maestro para el cuidado, conservación y apropiación social del patrimonio material elaborado e implementado</t>
  </si>
  <si>
    <t>Elaborar e implementar un (1) Plan Maestro para el cuidado, conservación y apropiación social del patrimonio material</t>
  </si>
  <si>
    <t xml:space="preserve"> MEMORIA Y PATRIMONIO AL SERVICIO DE LA CIUDADANÍA</t>
  </si>
  <si>
    <t>SE INCLUYE EL AVANCE DEL PROGRAMA CUANDO EMPIECEN A REPORTAR EN LOS SIGUIENTES TRIMESTRES DEL 2025, YA QUE PARA MARZO 2025 NO HAY REPORTE</t>
  </si>
  <si>
    <t>Número de piezas de la colección del Museo Histórico de Cartagena intervenidas</t>
  </si>
  <si>
    <t>Intervenir seiscientas cuarenta (640) piezas de la colección del Museo Histórico de Cartagena</t>
  </si>
  <si>
    <t>SECRETARÍA GENERAL - Corporación Museo Histórico de Cartagena</t>
  </si>
  <si>
    <t>Número de obras de infraestructura al bien de interés cultural, mejoradas, adecuadas y/o dotadas</t>
  </si>
  <si>
    <t>Mejorar, adecuar y/o dotar dos (2) pisos del bien de interés cultural: Palacio de la Inquisición</t>
  </si>
  <si>
    <t>Plan para la Consolidación y Promoción de la Memoria Histórica de Cartagena, formulado e implementado</t>
  </si>
  <si>
    <t>Formular e implementar un (1) Plan para la Consolidación y Promoción de la Memoria Histórica de Cartagena</t>
  </si>
  <si>
    <t>REVISAR CON ENLACE, ESTA META ESTÁ REPORTADA DOS VECES EN EL REPORTE DE PLAN DE ACCIÓN</t>
  </si>
  <si>
    <t xml:space="preserve">Deporte y Recreación
</t>
  </si>
  <si>
    <t xml:space="preserve"> FORTALECIMIENTO Y MANTENIMIENTO DE LA RED DE INFRAESTRUCTURA DEPORTIVA DEL DISTRITO</t>
  </si>
  <si>
    <t>Número de escenarios deportivos nuevos construidos</t>
  </si>
  <si>
    <t>Construir doce (12) nuevos escenarios deportivos</t>
  </si>
  <si>
    <t>IDER</t>
  </si>
  <si>
    <t>REVISADO 30 JUNIO</t>
  </si>
  <si>
    <t>Complejo Deportivo Nuevo Chambacú construido</t>
  </si>
  <si>
    <t>Construir un (1) Complejo Deportivo Nuevo Chambacú</t>
  </si>
  <si>
    <t>Número de escenarios deportivos reconstruidos</t>
  </si>
  <si>
    <t>Reconstruir dieciséis (16) escenarios deportivos</t>
  </si>
  <si>
    <t>Número de escenarios deportivos mantenidos, adecuados, y/o mejorados en el distrito de Cartagena de Indias</t>
  </si>
  <si>
    <t>Mantener, adecuar y/o mejorar trescientos  (300) escenarios deportivos</t>
  </si>
  <si>
    <t>REVISAR CON ENLACE, YA QUE ESTA META LA COLOCA COMO LOGRADA EN EL CUATRIENIO, CUANDO ES DE MANTENIMIENTO DE 300 CADA AÑO</t>
  </si>
  <si>
    <t xml:space="preserve"> FOMENTO AL DEPORTE DE ALTO RENDIMIENTO</t>
  </si>
  <si>
    <t>Número de incentivos y/o apoyos otorgados a deportistas de alto rendimiento, convencionales y paralímpicos</t>
  </si>
  <si>
    <t>Entregar mil ciento treinta y dos (1.132) incentivos y/o apoyos para deportistas convencionales y paralímpicos</t>
  </si>
  <si>
    <t>Número de incentivos y/o apoyos otorgados a ligas, clubes, federaciones y otras organizaciones deportivas</t>
  </si>
  <si>
    <t>Otorgar trescientos veinte (320) incentivos y/o apoyos para ligas, clubes, federaciones y otras organizaciones deportivas</t>
  </si>
  <si>
    <t>FORTALECIMIENTO DEL CAPITAL HUMANO A TRAVÉS DE LAS CIENCIAS APLICADAS AL DEPORTE Y LA RECREACIÓN.</t>
  </si>
  <si>
    <t>Número de personas participantes de procesos de apropiación social del conocimiento del sector deportivo</t>
  </si>
  <si>
    <t>Vincular a veintiún mil quinientas (21.500) personas en procesos de apropiación social del conocimiento del sector deportivo</t>
  </si>
  <si>
    <t>Número de documentos de investigación en memoria histórica del deporte cartagenero y bolivarense publicados</t>
  </si>
  <si>
    <t>Publicar doce (12) documentos de investigación en memoria histórica del deporte cartagenero y bolivarense</t>
  </si>
  <si>
    <t xml:space="preserve"> FORTALECIMIENTO DEL DEPORTE FORMATIVO, ESTUDIANTIL Y LA EDUCACIÓN FÍSICA EXTRAESCOLAR</t>
  </si>
  <si>
    <t>Número de niños, niñas, adolescentes y jóvenes inscritos en la escuela de iniciación y formación deportiva</t>
  </si>
  <si>
    <t>Vincular a veintiséis mil ochocientos (26.800) niños, niñas, adolescentes y jóvenes en la escuela de iniciación y formación deportiva</t>
  </si>
  <si>
    <t>Número de núcleos de la escuela iniciativa y formación deportiva mantenidas y creados</t>
  </si>
  <si>
    <t>Mantener cincuenta y cinco (55) y crear seis (6) núcleos de la escuela iniciativa y formación deportiva</t>
  </si>
  <si>
    <t>REVISAR EL REPORTE 2025 A MARZO, EL PROGRAMADO DE LA VIGENCIA 2025, EL PROGRAMADO DE LA VIGENCIA 2024 QUE NO COINCIDE CON EL REPORTE A MARZO 2025</t>
  </si>
  <si>
    <t>REVISAR EL CALCULO CON ENLACE, YA QUE ESTA ES META PRODUCTO DE MANTENIMIENTO Y LA COLOCA COMO EJECUTADA AL 100% AL CUATRIENIO.</t>
  </si>
  <si>
    <t>Número de núcleos de educación física extraescolar creados</t>
  </si>
  <si>
    <t>Crear cuatro (4) núcleos de educación física extraescolar </t>
  </si>
  <si>
    <t>SECRETARÍA DE EDUCACIÓN SED – IDER</t>
  </si>
  <si>
    <t>ESTA META PRODUCTO SE EMPEZARÁ A ACUMULAR DE ACUERDO A LOS AVANCES REPORTADOS  A LO LARGO DEL AÑO 2025. REVISAR EL PROGRAMADO REPORTADO A CORTE MARZO 2025, YA QUE NO COINCIDE CON EL SEGUIMIENTO DEL PLAN DE ACCIÓN A DICIEMBRE 2024</t>
  </si>
  <si>
    <t xml:space="preserve">Número de participantes en los diferentes eventos y/o torneos de las instituciones educativas y las universidades
</t>
  </si>
  <si>
    <t xml:space="preserve">Vincular a veintiocho mil (28.000) participantes en los eventos y/o torneos de las instituciones educativas y las universidades
</t>
  </si>
  <si>
    <t xml:space="preserve">Número de instituciones
educativas participantes en
los Juegos Intercolegiado
</t>
  </si>
  <si>
    <t>Vincular a doscientas (200) Instituciones Educativas en los Juegos Intercolegiados</t>
  </si>
  <si>
    <t>REVISAR EL PROGRAMADO REPORTADO A CORTE MARZO 2025, YA QUE NO COINCIDE CON EL SEGUIMIENTO DEL PLAN DE ACCIÓN A DICIEMBRE 2024. TAMBIEN, REVISAR EL PROGRAMADO PARA LA VIGENCIA 2025</t>
  </si>
  <si>
    <t>INCLUIR SOLO CUANDO SE ACORDE CON EL ENLACE EL REPORTE</t>
  </si>
  <si>
    <t xml:space="preserve"> FORTALECIMIENTO DEL DEPORTE SOCIAL COMUNITARIO, AVANZAR EN NUESTRO TERRITORIO</t>
  </si>
  <si>
    <t>Número de personas participantes vinculadas en los eventos y/o torneos del deporte social comunitario</t>
  </si>
  <si>
    <t>Vincular a sesenta y un mil (61.000) personas en los eventos y/o torneos del deporte social comunitario</t>
  </si>
  <si>
    <t>PROMOCIÓN DE HÁBITOS Y ESTILOS DE VIDA SALUDABLE, RECREACIÓN, ACTIVIDAD FÍSICA Y EL APROVECHAMIENTO DEL TIEMPO LIBRE EN EL DISTRITO DE CARTAGENA</t>
  </si>
  <si>
    <t>Número de participantes vinculados en las estrategias y/o actividades de recreación comunitaria.</t>
  </si>
  <si>
    <t>Vincular a ciento ochenta mil (180.000) participantes en las estrategias y/o actividades de recreación comunitaria</t>
  </si>
  <si>
    <t>Número de participantes vinculados a las estrategias de actividad física</t>
  </si>
  <si>
    <t>Vincular a ciento veinte mil (120.000) participantes a las estrategias de actividad física</t>
  </si>
  <si>
    <t xml:space="preserve"> CARTAGENA CIUDAD DESTINO DE TURISMO DEPORTIVO</t>
  </si>
  <si>
    <t>Número de eventos deportivos de carácter regional, nacional e internacional impulsados</t>
  </si>
  <si>
    <t>Impulsar doscientos (200) eventos deportivos de carácter regional, nacional e internacional</t>
  </si>
  <si>
    <t xml:space="preserve">REVISAR EL PROGRAMADO REPORTADO A CORTE MARZO 2025, YA QUE NO COINCIDE CON EL SEGUIMIENTO DEL PLAN DE ACCIÓN A DICIEMBRE 2024. </t>
  </si>
  <si>
    <t>Número de personas vinculadas a los eventos deportivos de carácter regional, nacional e internacional</t>
  </si>
  <si>
    <t>Vincular a sesenta mil (60.000) personas a los eventos deportivos de carácter regional, nacional e internacional</t>
  </si>
  <si>
    <t>Número de eventos recreativos de carácter regional, nacional e internacional impulsados</t>
  </si>
  <si>
    <t>Impulsar noventa y seis (96) eventos recreativos de carácter regional, nacional e internacional</t>
  </si>
  <si>
    <t>Número de personas vinculadas a los eventos recreativos de carácter regional, nacional e internacional</t>
  </si>
  <si>
    <t>Vincular a sesenta y cinco mil (65.000) personas a los eventos recreativos de carácter regional, nacional e internacional</t>
  </si>
  <si>
    <t xml:space="preserve"> Infancia, Adolescencia y Familia
</t>
  </si>
  <si>
    <t xml:space="preserve"> ENTORNOS SEGUROS PARA LA PRIMERA INFANCIA</t>
  </si>
  <si>
    <t>Número de niñas y niños en primera infancia con atenciones priorizadas en el marco de la atención integral</t>
  </si>
  <si>
    <t>Atender a dos mil ochocientos (2.800) niñas y niños en primera infancia en el marco de la atención integral anualmente</t>
  </si>
  <si>
    <t>SECRETARÍA DE PARTICIPACIÓN DE DESARROLLO SOCIAL</t>
  </si>
  <si>
    <t>Número de padres, madres, cuidadores participantes en acciones de formación para el fortalecimiento de vínculos, la crianza amorosa y la promoción de sus derechos.</t>
  </si>
  <si>
    <t>Vincular a treinta y tres mil ochocientos veintidós (33.822) de padres, madres, y cuidadores en acciones de formación para el fortalecimiento de vínculos, la crianza amorosa y la promoción de sus
derechos</t>
  </si>
  <si>
    <t>Centros de Desarrollo Infantil construidos y dotados en el Distrito</t>
  </si>
  <si>
    <t>Construir y dotar dos (2) Centros de Desarrollo Infantil en el Distrito</t>
  </si>
  <si>
    <t>Centros de desarrollo infantil adecuados</t>
  </si>
  <si>
    <t>Adecuar tres (3) Centros de Desarrollo Infantil</t>
  </si>
  <si>
    <t>AVANZANDO HACIA UNA INFANCIA Y ADOLESCENCIA PROTEGIDA Y SIN VIOLENCIAS</t>
  </si>
  <si>
    <t>Número de niños, niñas y adolescentes que participan en actividades para la prevención y desvinculación de situación o riesgo de todo tipo de violencia.</t>
  </si>
  <si>
    <t>Vincular a treinta y seis mil (36.000) niños, niñas y adolescentes en actividades para la prevención y desvinculación de situación o riesgo de todo tipo de violencia</t>
  </si>
  <si>
    <t>Número de niños, niñas, adolescentes beneficiados con acciones de prevención de amenazas o vulneración de derechos a través del Hogar de Protección</t>
  </si>
  <si>
    <t>Beneficiar a cuatrocientos ochenta (480) niños, niñas y adolescentes anualmente con acciones de prevención de amenazas o vulneración de derechos a través del Hogar de Protección</t>
  </si>
  <si>
    <t>Ruta actualizada y socializada para la atención y protección de niños y niñas contra la Explotación Sexual Comercial de Niños Niñas y Adolescentes</t>
  </si>
  <si>
    <t>Actualizar y socializar una (1) ruta para la atención y protección de niños y niñas contra la Explotación Sexual Comercial de Niños Niñas y Adolescentes</t>
  </si>
  <si>
    <t>Número de padres, madres y cuidadores formados para la prevención de las violencias y buena crianza hacia NNA.</t>
  </si>
  <si>
    <t>Formar a ocho mil (8.000) padres, madres y cuidadores en prevención de las violencias y buena crianza a niños, niñas y adolescentes</t>
  </si>
  <si>
    <t>REVISAR CON ENLACE YA QUE NO PROGRAMÓ PARA LA VIGENCIA Y REPORTA EN MARZO 25 EN EL 2025</t>
  </si>
  <si>
    <t>JUGANDO Y PARTICIPANDO LOS DERECHOS DE LA NIÑEZ VAMOS IMPULSANDO</t>
  </si>
  <si>
    <t>Número de niños, niñas y adolescentes vinculados a actividades lúdicas extramurales y del ejercicio del derecho al juego al interior de las ludotecas distritales.</t>
  </si>
  <si>
    <t>Vincular a sesenta y tres mil (63.000) niños, niñas y adolescentes en actividades lúdicas extramurales y del ejercicio del derecho al juego en las ludotecas distritales.</t>
  </si>
  <si>
    <t>Número de niños, niñas y adolescentes vinculados en acciones de promoción del derecho a la participación y a la asociación.</t>
  </si>
  <si>
    <t>Vincular a dos mil trescientos (2.300) niños, niñas y adolescentes en acciones de promoción del derecho a la participación y a la asociación</t>
  </si>
  <si>
    <t>LOGRO  (%) META PRODUCTO RESPECTO AL PROGRAMADO CUATRIENIO JUNIO 2025</t>
  </si>
  <si>
    <t>OBSERVACIONES DICIEMBRE (LAS QUE ESTAN INICIAL, SON LAS DE 15 DE DICIEMBRE)</t>
  </si>
  <si>
    <t>OBSERVACIONES JUNIO 2025</t>
  </si>
  <si>
    <t xml:space="preserve"> DESARROLLO ECONÓMICO EQUITATIVO
</t>
  </si>
  <si>
    <t xml:space="preserve"> Competitividad e innovación
</t>
  </si>
  <si>
    <t xml:space="preserve"> UNIDOS POR UNA CARTAGENA COMPETITIVA E INNOVADORA</t>
  </si>
  <si>
    <t>Plan Regional de Competitividad actualizado</t>
  </si>
  <si>
    <t>Actualizar un (1) Plan Regional de Competitividad</t>
  </si>
  <si>
    <t>SECRETARÍA DE HACIENDA</t>
  </si>
  <si>
    <t>REVISAR PORQUE ESTA META YA SE CUMPLIÓ EN EL 2024</t>
  </si>
  <si>
    <t>REVISADO 30 DE JUNIO</t>
  </si>
  <si>
    <t>Acciones que fortalezcan el mejoramiento del clima de negocios implementadas</t>
  </si>
  <si>
    <t>Implementar cuatro (4) acciones que fortalezcan el mejoramiento del clima de negocios</t>
  </si>
  <si>
    <t xml:space="preserve">REVISADO JUNIO 10 </t>
  </si>
  <si>
    <t>Estrategias de acompañamiento de iniciativas de clúster y apuestas productivas promisorias ejecutadas con apuestas productivas hacia sectores de mayor generación de valor agregado</t>
  </si>
  <si>
    <t>Ejecutar cuatro (8) estrategias de acompañamiento de iniciativas clúster y apuestas productivas promisorias</t>
  </si>
  <si>
    <t>Personas beneficiadas con la implementación de planes de fomento de la cultura de la innovación</t>
  </si>
  <si>
    <t xml:space="preserve">Beneficiar a mil (1.000)
personas a través del diseño y ejecución de 4 planes de fomento de la cultura de la innovación
</t>
  </si>
  <si>
    <t>REVISAR PROGRAMADO PARA EL 2025 Y ACUMULADO DEL 2024 YA QUE NO COINCIDE CON EL REPORTADO EN EL 2024</t>
  </si>
  <si>
    <t>REVISAR CON ENLACE, PROGRAMADO Y REPORTE</t>
  </si>
  <si>
    <t>Sistema Distrital de Innovación actualizado</t>
  </si>
  <si>
    <t>Actualizar un (1) Sistema Distrital de Innovación a través de acciones anuales</t>
  </si>
  <si>
    <t xml:space="preserve"> CARTAGENA GLOBAL</t>
  </si>
  <si>
    <t>Estrategias de posicionamiento “Cartagena Plataforma Exportadora” implementadas</t>
  </si>
  <si>
    <t>Implementar cuatro (4) Estrategias de posicionamiento “Cartagena Plataforma Exportadora”</t>
  </si>
  <si>
    <t>Empresas asistidas en programa de exportaciones</t>
  </si>
  <si>
    <t>Asistir cien (100) empresas en programas de exportaciones</t>
  </si>
  <si>
    <t>Alianzas para la promoción de Cartagena como “destino internacional en inversiones y apuestas productivas” generadas</t>
  </si>
  <si>
    <t>Generar cuatro (4) alianzas para la promoción de Cartagena como “destino internacional en inversiones y apuestas productivas”</t>
  </si>
  <si>
    <t xml:space="preserve"> Diversificación Económica
</t>
  </si>
  <si>
    <t xml:space="preserve"> UNIDOS POR LA DIVERSIFICACIÓN ECONÓMICA Y EL DESARROLLO EMPRESARIAL</t>
  </si>
  <si>
    <t>Rutas para la diversificación económica y el desarrollo empresarial implementadas</t>
  </si>
  <si>
    <t>Implementar cuatro (4) rutas para la diversificación económica y el desarrollo empresarial</t>
  </si>
  <si>
    <t>Estrategias de fortalecimiento empresarial y generación de encadenamientos productivos ejecutadas</t>
  </si>
  <si>
    <t>Ejecutar cuatro (4) estrategias de fortalecimiento empresarial y generación de encadenamientos productivos</t>
  </si>
  <si>
    <t>MiPymes impactadas con servicios de fortalecimiento empresarial</t>
  </si>
  <si>
    <t>Impactar cuatrocientos (400) MiPymes con servicios de fortalecimiento empresarial</t>
  </si>
  <si>
    <t>REVISAR ESTA META CUMPLIDA PARA EL CUATRENIO</t>
  </si>
  <si>
    <t>Programa de fortalecimiento de comerciantes de sectores estratégicos implementado</t>
  </si>
  <si>
    <t>Implementar un (1) programa de fortalecimiento de comerciantes de sectores estratégicos</t>
  </si>
  <si>
    <t xml:space="preserve"> COOPERACIÓN PARA AVANZAR</t>
  </si>
  <si>
    <t>Número de alianzas de cooperantes nacionales e internacionales habilitadas y consolidadas en el Distrito</t>
  </si>
  <si>
    <t>Habilitar y consolidar sesenta (60) alianzas de cooperantes nacionales e internacionales</t>
  </si>
  <si>
    <t>SECRETARÍA GENERAL - COOPERACIÓN INTERNACIONAL</t>
  </si>
  <si>
    <t>Número de organizaciones mapeadas y habilitadas para cooperar</t>
  </si>
  <si>
    <t>Habilitar y mapear mil doscientas (1.200) organizaciones para cooperar</t>
  </si>
  <si>
    <t>SE AJUSTA EN CADA CALCULO DE ACUMULADO CUATRIENIO YA QUE LA META CUATRIENIO NO ES 1200 SINO 262</t>
  </si>
  <si>
    <t xml:space="preserve"> ECONOMÍA CIRCULAR Y NEGOCIOS VERDES</t>
  </si>
  <si>
    <t>Negocios verdes consolidados</t>
  </si>
  <si>
    <t>Consolidar sesenta (60) nuevos negocios verdes</t>
  </si>
  <si>
    <t>ESTABLECIMIENTO PÚBLICO AMBIENTAL EPA</t>
  </si>
  <si>
    <t>Plantas para la revalorización de residuos en zonas de tratamiento integral implementadas</t>
  </si>
  <si>
    <t>Implementar dos (2) plantas para la revalorización de residuos en zonas de tratamiento integral (acopio, transformación, aprovechamiento y comercialización).</t>
  </si>
  <si>
    <t xml:space="preserve">SECRETARÍA GENERAL (SERVICIOS PÚBLICOS) - SECRETARÍA DE HACIENDA
</t>
  </si>
  <si>
    <t>SE INCLUYE EL AVANCE CUANDO EMPEICEN A REPORTAR EN LOS SIGUIENTES TRIMESTRES DEL 2025, YA QUE PARA MARZO 2025 NO HAY REPORTE</t>
  </si>
  <si>
    <t>Número de proyectos específicos de economía circular implementados con el apoyo de Cooperantes</t>
  </si>
  <si>
    <t>Implementar cinco (5) proyectos específicos de economía circular con apoyo de cooperantes</t>
  </si>
  <si>
    <t>SECRETARÍA GENERAL  - COOPERACIÓN INTERNACIONAL</t>
  </si>
  <si>
    <t xml:space="preserve"> TRANSFORMACIÓN PRODUCTIVA</t>
  </si>
  <si>
    <t>REVISAR CUANDO SE CALCULE EL AVANCE DE ESTE PROGRAMA</t>
  </si>
  <si>
    <t>Número de investigaciones desarrolladas para evaluar y redefinir las apuestas productivas de la ciudad en el marco de las tendencias futuras de la economía mundial</t>
  </si>
  <si>
    <t>Desarrollar una (1) investigación para evaluar y redefinir las apuestas productivas de la ciudad en el marco de las tendencias futuras de la economía mundial</t>
  </si>
  <si>
    <t>Número de estudios sobre mercado laboral y pertinencia educativas elaborados</t>
  </si>
  <si>
    <t>Elaborar (1) estudio sobre mercado laboral y pertinencia educativa</t>
  </si>
  <si>
    <t>Fondo para la reconversión productiva destinada a emprendimientos de pequeñas y medianas empresas creada</t>
  </si>
  <si>
    <t>Crear un (1) fondo para la reconversión productiva a emprendimientos de pequeñas y medianas empresas</t>
  </si>
  <si>
    <t xml:space="preserve">REVISAR CON ENLACE EL REPORTE, EL INDICADOR Y EL PROGRAMADO PARA LA VIGENCIA </t>
  </si>
  <si>
    <t>REVISADO 30 DE JUNIO. PERO PARA AJUSTE FUTURO</t>
  </si>
  <si>
    <t>Estrategia de encadenamientos productivos a nivel intersectorial e intrasectorial entre las grandes, medianas y pequeñas empresas</t>
  </si>
  <si>
    <t>Crear una (1) estrategia de encadenamientos productivos a nivel intersectorial e intrasectorial entre las grandes, medianas y pequeñas empresas</t>
  </si>
  <si>
    <t xml:space="preserve"> Trabajo Decente y Cierre de Brechas Laborales
</t>
  </si>
  <si>
    <t xml:space="preserve"> EMPLEO Y CAPITAL HUMANO</t>
  </si>
  <si>
    <t>REVISAR CUANDO SE CALCULE EL AVANCE DE ESTE PROGRAMA PARA SACAR EL PROMEDIO MAXIMO ENTFRE LOS PROGRAMADO EN EL 2024 Y EL 2025 CON EL MAXIMO REPORTADO.</t>
  </si>
  <si>
    <t>Centros de Formación para el Empleo con Enfoque en Ciencia, Tecnología, Innovación y Bilingüismo creados y en funcionamiento</t>
  </si>
  <si>
    <t>Crear y poner en funcionamiento tres (3) Centros de Formación para el Empleo con Enfoque en Ciencia, Tecnología, Innovación y Bilingüismo</t>
  </si>
  <si>
    <t>SECRETARÍA DE EDUCACIÓN</t>
  </si>
  <si>
    <t>No programado SED para la vigencia 2024</t>
  </si>
  <si>
    <t>REVISAR CON EL ENLACE YA QUE NO SE REPORTA NI PROGRAMADO NI AVANCE A MARZO 2025</t>
  </si>
  <si>
    <t>REVISAR CON LOS ENLACES, YA QUE NO SE PROGRAMARON EN LOS PLANES DE ACCIÓN</t>
  </si>
  <si>
    <t>Jóvenes (mujeres, grupos étnicos y víctimas) vinculados a estrategias de formación relacionadas a la innovación y la Cuarta Revolución Industrial</t>
  </si>
  <si>
    <t>Vincular a quinientos (500) jóvenes (mujeres, grupos étnicos y víctimas) a estrategias de formación relacionadas a la innovación y la Cuarta Revolución Industrial</t>
  </si>
  <si>
    <t>Revisa con enlace - No reportada por la Secretaría de Participación  para este trimestre</t>
  </si>
  <si>
    <t>REVISAR CON EL ENLACE YA QUE NO SE REPORTA NI PROGRAMADO NI AVANCE A MARZO 2026</t>
  </si>
  <si>
    <t>Estrategias de acceso a oportunidades del mercado laboral (trabajo formal y formalización del trabajo informal) implementadas</t>
  </si>
  <si>
    <t>Implementar cuatro (4) estrategias de acceso a oportunidades del mercado laboral (trabajo formal y formalización del trabajo informal)</t>
  </si>
  <si>
    <t>REVISAR CON ENLACE, YA QUE EN EL REPORTE DE PLAN DE ACCIÓN TIENE OTRO NOMBRE ESTE PROGRAMA</t>
  </si>
  <si>
    <t>Cooperativas creadas que vinculen a las Organizaciones Comunales y de víctimas del conflicto en el desarrollo de oportunidades del mercado laboral</t>
  </si>
  <si>
    <t>Crear tres (3) cooperativas que vinculen a: (2) Organizaciones Comunales y (1) organizaciones de víctimas en el desarrollo de oportunidades del mercado laboral</t>
  </si>
  <si>
    <t>Personas vinculadas a rutas de empleo y capital humano</t>
  </si>
  <si>
    <t>Vincular a diez mil (10.000) personas a rutas de empleo y capital humano (al menos 50% mujeres)</t>
  </si>
  <si>
    <t xml:space="preserve"> MI PRIMERA CHAMBA</t>
  </si>
  <si>
    <t>Número de estudiantes vinculados en la administración distrital, a través de la realización de las prácticas laborales</t>
  </si>
  <si>
    <t>Vincular cuatrocientos (400) jóvenes estudiantes en la realización de las prácticas laborales y recibiendo auxilios como incentivos, con criterios de paridad de género</t>
  </si>
  <si>
    <t>Número de jóvenes graduados sin experiencia laboral vinculados a la administración distrital</t>
  </si>
  <si>
    <t>Vincular cuatrocientos (400) jóvenes graduados sin experiencia laboral a la administración distrital, con criterios de paridad de género</t>
  </si>
  <si>
    <t>SE INCLUYE EL REPORTE EN CERO PARA EQUILIBRAR EL CALCULO DEL CUATRIENIO. AL MOMENTO DE LOS REPORTES TRIMESTRALES DE LA VIGENCIA 2025 SE AJUSTA AUTOMATICAMENTE</t>
  </si>
  <si>
    <t xml:space="preserve"> DERECHO AL TRABAJO EN CONDICIONES DE IGUALDAD Y DIGNIDAD PARA LA MUJER</t>
  </si>
  <si>
    <t>Número de mujeres cualificadas para la inserción laboral</t>
  </si>
  <si>
    <t>Cualificar mil trescientos (1.300) mujeres para la inserción laboral acorde a la pertinencia y necesidades del mercado laboral de la ciudad</t>
  </si>
  <si>
    <t xml:space="preserve"> Economía Popular y Emprendimiento
</t>
  </si>
  <si>
    <t>CALCULO APARTIR DEL ACULULADO ANTERIOR Y LOS AVANCES DE CADA  PROGRAMA DIVIDIDO POR SU PARATICIPACIÓN EN EL COMPONENTE (0,25), DE ESA MANERA SE ESPERA QUE ANTE LOS AVANCES DEL ULTIMO PROGRAMA, ESTE SE EQUILIBRA.</t>
  </si>
  <si>
    <t xml:space="preserve"> AVANZAMOS CON CAPACIDADES EMPRENDEDORAS</t>
  </si>
  <si>
    <t>Rutas de emprendimiento implementadas</t>
  </si>
  <si>
    <t>Implementar cuatro (4) rutas de emprendimiento</t>
  </si>
  <si>
    <t>Planes de comercialización y visibilización de productos de emprendedores ejecutados</t>
  </si>
  <si>
    <t>Ejecutar cuatro (4) planes de comercialización y visibilización de productos de emprendedores</t>
  </si>
  <si>
    <t>Estrategias de acompañamiento a emprendimientos y Mipymes para acceso a mecanismos de financiación elaboradas</t>
  </si>
  <si>
    <t>Elaborar cuatro (4) estrategias de acompañamiento a emprendimientos y MiPymes para acceso a mecanismos de financiación</t>
  </si>
  <si>
    <t>Emprendedores intervenidos con capacidades para emprender fortalecidas</t>
  </si>
  <si>
    <t>Intervenir a dos mil (2000) emprendedores con capacidad para emprender</t>
  </si>
  <si>
    <t>Estrategias de proveeduría de sectores administrados por el Distrito que vincule la participación de emprendimientos, negocios y/o proyectos productivos liderado por mujeres diseñada y ejecutada</t>
  </si>
  <si>
    <t>Diseñar y ejecutar una (1) estrategia de proveeduría de sectores administrados por el Distrito que vincule la participación de emprendimientos, negocios y/o proyectos productivos liderado por mujeres</t>
  </si>
  <si>
    <t>SECRETARÍA DE HACIENDA - SECRETARÍA DE PARTICIPACIÓN Y DESARROLLO SOCIAL</t>
  </si>
  <si>
    <t>REVISAR EL PORQUÉ EN EL REPORTE LA COLOCA COMO CUMPLIDA, CUANDO EN EL PROGRAMADO DEL CUATRENIO SE INDICA QUE ES DE MANTENIMIENTO</t>
  </si>
  <si>
    <t xml:space="preserve">Número de estrategias para promover el ecosistema de emprendimiento e innovación implementada
</t>
  </si>
  <si>
    <t xml:space="preserve">Implementar cuatro (4) estrategias para la promoción de ecosistemas de emprendimiento e innovación
</t>
  </si>
  <si>
    <t>REVISAR EL PROGRAMADO DEL CUATRIENIO, YA QUE EN REPORTE COLOCAN 1 CUANDO SON 4</t>
  </si>
  <si>
    <t>Microcentros de Inteligencia Artificial creados</t>
  </si>
  <si>
    <t>Crear dos (2) microcentros de inteligencia artificial</t>
  </si>
  <si>
    <t>SECRETARÍA GENERAL - OFICINA DE INFORMATICA</t>
  </si>
  <si>
    <t>AVANZAMOS PARA FORTALECER LA ECONOMÍA POPULAR Y GENERAR MEJORES INGRESOS PARA NUESTRAS FAMILIAS</t>
  </si>
  <si>
    <t>Caracterización socio empresarial de familias vulnerables atendidas en el Distrito</t>
  </si>
  <si>
    <t>Elaborar una (1) Caracterización socio empresarial de familias vulnerables atendidas en el Distrito.</t>
  </si>
  <si>
    <t>Personas vulnerables Formadas y con fortalecimiento productivo</t>
  </si>
  <si>
    <t>Formar y asistir con fortalecimiento productivo a cuatro mil (4.000) personas vulnerables</t>
  </si>
  <si>
    <t>Número de ferias de emprendimientos desarrolladas anualmente en el Distrito</t>
  </si>
  <si>
    <t>Desarrollar una (1) feria anual de emprendimiento en el Distrito priorizando mujeres y jóvenes</t>
  </si>
  <si>
    <t>Número de emprendimientos, negocios y/o proyectos productivos liderados por mujeres financiados y formalizados</t>
  </si>
  <si>
    <t>Financiar y formalizar cien (100) negocios y/o proyectos productivos liderados por mujere</t>
  </si>
  <si>
    <t xml:space="preserve"> CARTAGENA FOMENTA LA INCLUSIÓN PRODUCTIVA JUVENIL</t>
  </si>
  <si>
    <t>Jóvenes formados en emprendimientos e inclusión productiva.</t>
  </si>
  <si>
    <t>Formar a dos mil (2.000) jóvenes en emprendimientos e inclusión productiva</t>
  </si>
  <si>
    <t>Emprendimientos juveniles apoyados financieramente</t>
  </si>
  <si>
    <t>Apoyar financieramente seiscientos (600) emprendimientos juvenile</t>
  </si>
  <si>
    <t>Jóvenes formados y certificados para la vinculación e inserción en el mercado laboral</t>
  </si>
  <si>
    <t>Formar y certificar a cuatrocientos (400) jóvenes para la vinculación e inserción en el mercado labora</t>
  </si>
  <si>
    <t>Espacios o acciones de promoción para la vinculación laboral de jóvenes al trabajo formal y promoción del primer empleo</t>
  </si>
  <si>
    <t>Crear cuatro (4) espacios o acciones de promoción para la vinculación laboral de jóvenes al trabajo formal y promoción del primer empleo</t>
  </si>
  <si>
    <t>FOMENTO EMPRESARIAL Y DESARROLLO SOSTENIBLE</t>
  </si>
  <si>
    <t>Número de vendedores formalizados con emprendimiento y creación de pequeña empresa</t>
  </si>
  <si>
    <t>Formalizar seiscientos (600) vendedores con emprendimiento y creación de pequeña empresa</t>
  </si>
  <si>
    <t xml:space="preserve"> GEPM - SECRETARÍA DE HACIENDA - SECRETARÍA DE PARTICIPACIÓN Y DESARROLLO SOCIAL</t>
  </si>
  <si>
    <t>REVISAR CON ENLACES, YA QUE LA SECRETARÍA DE PARTICIPACIÓN PROGRAMÓ 200 PARA LA VIGENCIA 2025. PEDIR REUNIÓN PARA PROGRAMAR EN CONJUNTO CON LAS DEMAS DEPENDENCIAS ESTA META PRODUCTO</t>
  </si>
  <si>
    <t>SOLO LA PROGRAMÓ GEMPM Y A LA FECHA DE CORTE JUNIO 2025, NO HAY REPORTE</t>
  </si>
  <si>
    <t>Mobiliario urbano para el emprendimiento económico diseñado</t>
  </si>
  <si>
    <t>Diseñar seis (6) mobiliarios urbanos para el emprendimiento económico</t>
  </si>
  <si>
    <t>GEPM - SECRETARÍA DE HACIENDA</t>
  </si>
  <si>
    <t>REVISAR CON ENLACE, YA QUE NO REPORTA NI PROGRAMADO NI AVANCE A MARZO 2025</t>
  </si>
  <si>
    <t xml:space="preserve">Turismo Sostenible y Responsable
</t>
  </si>
  <si>
    <t>REVISAR CUANDO SE CALCULE EL AVANCE DE ESTE PROGRAMA SEGÚN LO QUE SE PROGRAME EN LOS PROGRAMAS NO PROGRAMADOS EN EL 2024</t>
  </si>
  <si>
    <t>SEGURIDAD, VIGILANCIA Y CONTROL PARA UN TURISMO RESPONSABLE</t>
  </si>
  <si>
    <t>Docuemntos de lineamientos para el manejo del sector turismo elaborados</t>
  </si>
  <si>
    <t>Elaborar cuatro (4) documentos de linemientos para el manejo del sector turismo</t>
  </si>
  <si>
    <t>SECRETARÍA DE TURISMO</t>
  </si>
  <si>
    <t>No programado ni reportado por la Secretaría de Turismo se programa cero para esta vigencia al igual que el reporte</t>
  </si>
  <si>
    <t>Centro de Atención al Turista en funcionamiento en el Distrito de Cartagena de Indias (zona insular y urbana)</t>
  </si>
  <si>
    <t>Poner en funcionamiento seis (6) Centros de Atención al Turista en el Distrito (zona insular y urbana)</t>
  </si>
  <si>
    <t>Equipamientos para brigadistas y guardavidas del Distrito entregados</t>
  </si>
  <si>
    <t>Entregar trescientos sesenta (360) equipamientos para brigadistas y guardavidas del Distrito</t>
  </si>
  <si>
    <t>Número de personas líderes y autoridades turísticas vinculadas a procesos de formación</t>
  </si>
  <si>
    <t xml:space="preserve">Vincular a trescientos veinte (320) personas líderes y autoridades turísticas a procesos de formación
</t>
  </si>
  <si>
    <t>TURISMO SOSTENIBLE E INCLUYENTE CON LAS COMUNIDADES</t>
  </si>
  <si>
    <t>Número de personas vinculadas a procesos de formación formal e informal asuntos turísticos</t>
  </si>
  <si>
    <t>Vincular cuatro mil ochocientas veintisiete (4.827) personas a procesos de formación y capacitación formal e informal en asuntos turísticos</t>
  </si>
  <si>
    <t>Número de personas vinculadas con oportunidades de acceso a rutas de empleo y capital humano enfocado en turismo sostenible</t>
  </si>
  <si>
    <t>Vincular a cuatrocientas (400) personas con oportunidades de acceso a rutas de empleo y capital humano en turismo sostenible con paridad de genero</t>
  </si>
  <si>
    <t>Rutas comunitarias creadas e implementadas (rutas eco-ambientales, gastronómicas, culturales, turísticas, entre otras)</t>
  </si>
  <si>
    <t>Crear e implementar ocho (8) rutas comunitarias</t>
  </si>
  <si>
    <t>Número de personas vinculadas a asistencia técnica para el fortalecimiento de la actividad artesanal</t>
  </si>
  <si>
    <t>Vincular a ochenta (80) personas a asistencia técnica para el fortalecimiento de la actividad artesanal</t>
  </si>
  <si>
    <t>Activos productivos entregados a los prestadores de servicios turísticos</t>
  </si>
  <si>
    <t>Entregar quinientos (500) activos productivos a prestadores de servicios turísticos</t>
  </si>
  <si>
    <t>SECRETARÍA DE TURISMO - SECRETARÍA DE HACIENDA</t>
  </si>
  <si>
    <t>Número de atractivos turísticos con implementación de acciones de sostenibilidad ambiental</t>
  </si>
  <si>
    <t>Implementar acciones de sostenibilidad ambiental en dos (2) atractivos turísticos</t>
  </si>
  <si>
    <t>Número de proyectos cofinanciados para la actividad turística</t>
  </si>
  <si>
    <t>Cofinanciar cuatro (4) proyectos para la actividad turística</t>
  </si>
  <si>
    <t>Número de certificaciones de destino turístico sostenible obtenidas</t>
  </si>
  <si>
    <t>Obtener dos (2) certificaciones turísticas</t>
  </si>
  <si>
    <t>Portal Único de Información Turística sobre la Oferta Turística creado</t>
  </si>
  <si>
    <t>Crear un (1) Portal Único de Información Turística sobre la Oferta Turística</t>
  </si>
  <si>
    <t>Tecnologia de destino turistica inteligente creada e implementada</t>
  </si>
  <si>
    <t>Crear e implementar una (1) Tecnologia de destino turistica inteligente</t>
  </si>
  <si>
    <t>Alianzas con universidades para la formacion y profesionalizacion de actores turisticos implementado</t>
  </si>
  <si>
    <t>Implementar cinco (5) alianzas con universidades para la formacion y profesionalizacion de actores turisticos</t>
  </si>
  <si>
    <t>Número de eventos turísticos náuticos promovidos y desarrollados en la zona insular y urbana del Distrito</t>
  </si>
  <si>
    <t>Promover y desarrollar ocho (8) eventos turísticos náuticos en la zona insular y urbana del Distrito</t>
  </si>
  <si>
    <t>PROMOCIÓN TURÍSTICA</t>
  </si>
  <si>
    <t>Campañas de divulgación para la promoción y conectividad</t>
  </si>
  <si>
    <t>Desarrollar cuatro (4) campañas de divulgación para la promoción turística y conectividad</t>
  </si>
  <si>
    <t>CORPOTURISMO - SECRETARÍA DE TURISMO</t>
  </si>
  <si>
    <t>REVISAR CON ENLACE, YA QUE ESTA META LA REPORTARON COMO LOGARADA LA VIGENCIA ANTERIOR POR CORPOTURISMO</t>
  </si>
  <si>
    <t>A la espera del reporte de corpoturismo junio 10 de 2025</t>
  </si>
  <si>
    <t>Eventos especializados con participación del Distrito</t>
  </si>
  <si>
    <t>Participar en sesenta (60) eventos especializados</t>
  </si>
  <si>
    <t>A la espera del reporte de corpoturismo junio 10 de 2026</t>
  </si>
  <si>
    <t>Productos turísticos desarrollados</t>
  </si>
  <si>
    <t>Desarrollar cuatro (4) productos turísticos</t>
  </si>
  <si>
    <t>REVISAR CON ENLACE, YA QUE ESTA META SE LLOGRÓ POR CORPOTURISMO</t>
  </si>
  <si>
    <t>Eventos de ciudad con impacto nacional e internacional implementados en Cartagena</t>
  </si>
  <si>
    <t>Implementar cinco (5) eventos de ciudad</t>
  </si>
  <si>
    <t xml:space="preserve"> INFRAESTRUCTURA TURÍSTICA PARA EL DESARROLLO</t>
  </si>
  <si>
    <t xml:space="preserve">Infraestructura turística dotada, adecuada, mejorada, mantenida y/o construida (infraestructura marino costera, embarcaderos)
</t>
  </si>
  <si>
    <t>Dotar, adecuar, mejorar, mantener y/o construir nueve (9) infraestructuras turísticas</t>
  </si>
  <si>
    <t>SECRETARÍA DE INFRAESTRUCTURA - SECRETARÍA DE TURISMO</t>
  </si>
  <si>
    <t>Esta meta no fue programada ni reportada por la Secretaría de Infraestructura ni la Secretaría de Turismo para esta vigencia 2024</t>
  </si>
  <si>
    <t>Estudios de preinversión para proyectos turísticos elaborados</t>
  </si>
  <si>
    <t>Elaborar dos (2) estudios de preinversión para proyectos turísticos</t>
  </si>
  <si>
    <t>Número de señalizaciones turísticas instaladas, (incluye playas y espacios turísticos que lo requieran)</t>
  </si>
  <si>
    <t>Instalar ochenta (80) señalizaciones turísticas en 2 playas y/o espacios turísticos</t>
  </si>
  <si>
    <t>Acciones de mantenimiento infraestructuras turística para prestar servicios de vigilancia, control y seguridad a los turistas implementadas</t>
  </si>
  <si>
    <t>Implementar acciones de mantenimiento en veinticinco (25) infraestructuras turísticas para prestar servicios de vigilancia, control y seguridad a los turistas</t>
  </si>
  <si>
    <t xml:space="preserve"> GOBERNANZA Y FORTALECIMIENTO INSTITUCIONAL PARA UNA CIUDAD DE DERECHOS, RESPONSABLE Y COMPETITIVA</t>
  </si>
  <si>
    <t>Entidad para el desarrollo y sostenibilidad turística consolidada</t>
  </si>
  <si>
    <t>Consolidar una (1) entidad para el desarrollo y sostenibilidad turística</t>
  </si>
  <si>
    <t>REVISAR CON ENLACE, YA QUE ESTA META LA REPORTARON COMO LOGARADA LA VIGENCIA ANTERIOR</t>
  </si>
  <si>
    <t>REVISAR AVANCE CUATRENIO 2025</t>
  </si>
  <si>
    <t>Observatorio de Turismo creado</t>
  </si>
  <si>
    <t>Crear un (1) Observatorio de Turismo</t>
  </si>
  <si>
    <t>Documentos de Planificación de Ordenamiento de Playas elaborado</t>
  </si>
  <si>
    <t>Elaborar un (1) documento de Planificación de Ordenamiento de Playas</t>
  </si>
  <si>
    <t xml:space="preserve"> Desarrollo Agropecuario 
</t>
  </si>
  <si>
    <t xml:space="preserve"> INCLUSIÓN PRODUCTIVA Y SOCIAL DE LA AGRICULTURA CAMPESINA, FAMILIAR Y COMUNITARIA</t>
  </si>
  <si>
    <t>Número de procesos productivos de agricultura campesina familiar y comunitaria desarrollados</t>
  </si>
  <si>
    <t>Desarrollar diez (10) procesos productivos de agricultura campesina familiar y comunitaria</t>
  </si>
  <si>
    <t>UMATA</t>
  </si>
  <si>
    <t>Número de mujeres rurales atendidas con servicios de extensión agropecuaria</t>
  </si>
  <si>
    <t>Atender a mil setecientos sesenta y siete (1.767) mujeres rurales con servicios de extensión agropecuari</t>
  </si>
  <si>
    <t>Número de mujeres afros rurales atendidas con servicios de extensión agropecuaria</t>
  </si>
  <si>
    <t>Atender a doscientas (200) mujeres afro rurales con servicios de extensión agropecuaria</t>
  </si>
  <si>
    <t>Número de mujeres indígena atendidas en las actividades propias</t>
  </si>
  <si>
    <t>Atender a cien (100) mujeres indígena en el fortalecimiento de las actividades propias</t>
  </si>
  <si>
    <t>Número de circuitos cortos de comercialización implementados (mercados campesinos, ferias de negocios, HORECA, Mercado Virtual)</t>
  </si>
  <si>
    <t>Implementar tres (3) circuitos cortos de comercialización</t>
  </si>
  <si>
    <t xml:space="preserve"> EXTENSIÓN AGROPECUARIA, INFRAESTRUCTURA Y ACTIVOS PRODUCTIVOS PARA LA COMPETITIVIDAD AGROPECUARIA Y LA SOBERANÍA ALIMENTARIA</t>
  </si>
  <si>
    <t>Número de Planes de Extensión Agropecuaria del Distrito formulados y/o ejecutados</t>
  </si>
  <si>
    <t>Formular y ejecutar un (1) Plan de Extensión Agropecuaria del Distrito</t>
  </si>
  <si>
    <t>Número de productores atendidos con servicios de extensión agropecuaria</t>
  </si>
  <si>
    <t>Atender a tres mil seiscientos cincuenta y dos (3.652) productores con servicios de extensión agropecuaria</t>
  </si>
  <si>
    <t>Número de encadenamientos y/o cadenas productivas para garantizar el derecho humano a la alimentación priorizadas, consolidadas y en funcionamiento</t>
  </si>
  <si>
    <t>Consolidar dos (2) encadenamientos y/o cadenas productivas para garantizar el derecho humano a la alimentación</t>
  </si>
  <si>
    <t>Número de organizaciones de pescadores (pertenecientes a grupos étnicos) dotadas</t>
  </si>
  <si>
    <t>Dotar veinte (20) de pescadores (pertenecientes a grupos étnicos)</t>
  </si>
  <si>
    <t>Número de procesos productivos en producción, reproducción y mejoramiento genético (bovina y/o especies menores) formulados y/o ejecutados</t>
  </si>
  <si>
    <t>Formular y ejecutar tres (3) procesos productivos en producción, reproducción y mejoramiento genético (bovina y/o especies menores)</t>
  </si>
  <si>
    <t>Número de procesos asociativos para fortalecer las capacidades y competencias agropecuarias creados</t>
  </si>
  <si>
    <t>Crear cuatro (4) procesos asociativos para fortalecer las capacidades y competencias agropecuarias</t>
  </si>
  <si>
    <t>Número de emprendimientos rurales orientados a la generación de valor agregado asistido</t>
  </si>
  <si>
    <t>Asistir veinte (20) emprendimientos rurales orientados a la generación de valor agregad</t>
  </si>
  <si>
    <t>Número de alianzas y/o convenios interadministrativos para la dotación de infraestructura física y/o activos productivos de carácter público implementadas</t>
  </si>
  <si>
    <t>Implementar cuatro (4) alianzas y/o convenios interadministrativos para la dotación de infraestructura física y/o activos productivos de carácter público</t>
  </si>
  <si>
    <t>SECRETARÍA DE INFRAESTRUCTURA - CORVIVIENDA - UMATA</t>
  </si>
  <si>
    <t>Revisar con enlace, ya que esta meta no la reportaron</t>
  </si>
  <si>
    <t>Número de soluciones alternativas de fuentes de agua en zonas de producción agrícolas para mitigar el cambio climático implementadas</t>
  </si>
  <si>
    <t>Implementar una (1) solución alternativa de fuentes de agua en zonas de producción agrícola para mitigar el cambio climático</t>
  </si>
  <si>
    <t>SECRETARÍA DE INFRAESTRUCTURA - UMATA</t>
  </si>
  <si>
    <t>PROGRAMA: CARTAGENA CIUDAD DE PESCADORES</t>
  </si>
  <si>
    <t>Proyectos de maricultura implementados y formulados</t>
  </si>
  <si>
    <t>Formular e implementar dos (2) proyectos de maricultura</t>
  </si>
  <si>
    <t>REVISADO MARZO 2025. SE INCLUYE AVANCE CERO  EN MARZO 2025, PARA COMPENSAR REPORTE ACUMULADO DEL PROGRAMA A DICIEMBRE 2024</t>
  </si>
  <si>
    <t>Acciones para el fortalecimiento de la mujer en el ejercicio de la pesca desarrolladas</t>
  </si>
  <si>
    <t>Desarrollar cuatro (4) acciones para el fortalecimiento de la mujer en el ejercicio de la pesca</t>
  </si>
  <si>
    <t>Centro de Acopio Integral creado</t>
  </si>
  <si>
    <t>Crear un (1) Centro de Acopio Integral</t>
  </si>
  <si>
    <t>Escuelas de pescadores de saberes ancestrales creadas</t>
  </si>
  <si>
    <t>Crear una (1) escuela de pescadores de saberes ancestrales</t>
  </si>
  <si>
    <t>Número de pruebas bromatológicas en los peces de la Bahía de Cartagena</t>
  </si>
  <si>
    <t>Elaborar (1) prueba bromatológica en los peces de la bahía de Cartagena.</t>
  </si>
  <si>
    <t>Número de pruebas ambientales en los peces de la Bahía de Cartagena</t>
  </si>
  <si>
    <t>Elaborar (1) prueba ambientales en los peces de la bahía de Cartagena.</t>
  </si>
  <si>
    <t>UMATA - EPA</t>
  </si>
  <si>
    <t xml:space="preserve">Sistema Integral de Abastecimiento del Distrito
</t>
  </si>
  <si>
    <t xml:space="preserve"> DESARROLLO DEL NUEVO SISTEMA DE MERCADOS DEL DISTRITO</t>
  </si>
  <si>
    <t>Fases del proceso de traslado del Mercado de Bazurto al nuevo sistema de mercados implementadas</t>
  </si>
  <si>
    <t xml:space="preserve">Implementar tres (3) fases del proceso de traslado del Mercado de Bazurto 
(1. Levantamiento, recopilación y revisión de información. 
2. Estudio de preinversion para el desarrollo de la estructuración técnica, social, ambiental, predial, financiera, jurídica y operativa del nuevo sistema de abastecimiento 
3. Ejecución) 
</t>
  </si>
  <si>
    <t>SECRETARÍA GENERAL - SECRETARÍA DE INFRAESTRUCTURA - DATT</t>
  </si>
  <si>
    <t>Número de Ocupantes del Espacio Público (O.E.P.) que fueron reubicados en zonas al interior del mercado formalizados (tramo 5A Transcaribe y otros)</t>
  </si>
  <si>
    <t>Formalizar a ciento setenta y seis (176) O.E.P. reubicados al interior del mercado</t>
  </si>
  <si>
    <t>GEPM</t>
  </si>
  <si>
    <t>Número de Ocupantes del Espacio Público (O.E.P.) de zonas no intervenidas en el mercado de Bazurto pendientes por formalizar en mercados sectoriales</t>
  </si>
  <si>
    <t>Formalizar a seiscientos cuarenta y siete (647) O.E.P. de zonas no intervenidas en el mercado de Bazurto pendientes por formalizar en mercados sectoriales</t>
  </si>
  <si>
    <t xml:space="preserve"> GESTIÓN INTEGRAL DEL SISTEMA DE MERCADOS</t>
  </si>
  <si>
    <t>Documentos normativos que rigen la operación de la plaza de mercados actualizados</t>
  </si>
  <si>
    <t>Actualizar dos (2) documentos normativos que rigen la operación de la plaza de mercados</t>
  </si>
  <si>
    <t>Plan de Gestión Sostenible del Sistema de Mercados del Distrito implementado</t>
  </si>
  <si>
    <t>Implementar dos (2) Plan Gestión: 1. Ambiental, 2. Administrativa operativa y jurídica del Sistema de Mercados</t>
  </si>
  <si>
    <t>Metros cuadrados de infraestructura de las plazas de mercado que conforman el Sistema Integral de Abastecimiento del Distrito intervenidos o mantenidos</t>
  </si>
  <si>
    <t>Intervenir o mantener quinientos (500) metros cuadrados de infraestructura de las plazas de mercado que conforman el Sistema Integral de Abastecimiento del Distrito</t>
  </si>
  <si>
    <t xml:space="preserve">CARTAGENA CIUDAD CONECTADA Y SOSTENIBLE
</t>
  </si>
  <si>
    <t>REVISAR CUANDO SE REPORTE EL ULTIMO COMPONENTE IMPULSOR DE AVANCE</t>
  </si>
  <si>
    <t xml:space="preserve"> Ordenamiento del Territorio y espacio público.
</t>
  </si>
  <si>
    <t>INSTRUMENTOS DE PLANIFICACIÓN TERRITORIAL</t>
  </si>
  <si>
    <t>Plan de Ordenamiento Territorial revisado, actualizado, ajustado y presentado ante el Concejo para su adopción</t>
  </si>
  <si>
    <t>Revisar, actualizar y ajustar un (1) Plan de Ordenamiento Territorial para presentarlo ante el Concejo para su adopción</t>
  </si>
  <si>
    <t xml:space="preserve">REVISADO 10  JUNIO </t>
  </si>
  <si>
    <t>Plan Especial de Manejo y Protección del Centro Histórico y su área de influencia revisado, actualizado, ajustado y presentado ante el Ministerio de Cultura para su adopción</t>
  </si>
  <si>
    <t>Revisar, actualizar y ajustar un (1) Plan Especial de Manejo y Protección del Centro Histórico y su área de influencia para presentarlo ante el Ministerio de Cultura para su adopción</t>
  </si>
  <si>
    <t>Actuación Urbana Integral A.U.I – 12 / Recuperación Integral del Cerro de la Popa formulada</t>
  </si>
  <si>
    <t>Formular una (1) Actuación Urbana Integral A.U.I -12 / Recuperación Integral del Cerro de la Popa</t>
  </si>
  <si>
    <t>SECRETARÍA DE PLANEACIÓN – GERENCIA DE ESPACIO PÚBLICO Y MOVILIDAD</t>
  </si>
  <si>
    <t>Actuación Urbana Integral A.U.I – 13 / Recuperación Integral del Cerro de Albornoz - Cospique formulada</t>
  </si>
  <si>
    <t>Formular una (1) Actuación Urbana Integral A.U.I -13 / Recuperación Integral del Cerro de Albornoz – Cospique</t>
  </si>
  <si>
    <t>Nueva Actuación Urbana Integral Reordenamiento de los asentamientos de Nelson Mandela y Villa Hermosa formulada</t>
  </si>
  <si>
    <t>Formular una (1) nueva Actuación Urbana Integral A.U.I / Desarrollo de un Plan Parcial de mejoramiento de vivienda con un proyecto multipropósito de espacios públicos y mixtos para el mejoramiento del hábitat de los asentamientos de Nelson y Villa Hermosa</t>
  </si>
  <si>
    <t>Planes Maestros de equipamientos formulado</t>
  </si>
  <si>
    <t>Formular dos (2) Planes: un (1) Plan Maestro de Servicios Urbanos e Institucionales al ciudadano, y un (1) Plan Maestro de Equipamientos Colectivos y Hábitat</t>
  </si>
  <si>
    <t>Plan Local Portuario formulado</t>
  </si>
  <si>
    <t>Formular un (1) Plan Local Portuario, articulado a los instrumentos de planeación territorial y a la Política Pública Nacional Portuaria</t>
  </si>
  <si>
    <t>Plan Parcial de Renovación Urbana de Bazurto reformulado, adoptado y con seguimiento</t>
  </si>
  <si>
    <t>Reformular, adoptar y dar seguimiento a un (1) Plan Parcial de Renovación Urbana de Bazurto</t>
  </si>
  <si>
    <t>Planes Parciales en suelo de expansión de los Centros Poblados de Bayunca y Pasacaballos adoptados</t>
  </si>
  <si>
    <t>Adoptar dos (2) Planes Parciales en suelo de expansión de los Centros Poblados de Bayunca y Pasacaballos</t>
  </si>
  <si>
    <t>Plan Parcial de Reordenamiento de los Asentamientos de la Zona Industrial de Mamonal: Policarpa, Arroz Barato y Puerta de Hierro reformulado, adoptado y con seguimiento</t>
  </si>
  <si>
    <t>Reformular, adoptar y dar seguimiento a un (1) Plan Parcial del Sector Policarpa, Arroz Barato y Puerta de Hierro</t>
  </si>
  <si>
    <t>Plan Parcial de Reordenamiento de La Loma, Zaragocilla y Marión reformulado, adoptado y con seguimiento</t>
  </si>
  <si>
    <t>Reformular, adoptar y dar seguimiento a un (1) Plan Parcial de Reordenamiento de las Lomas del Marión y Zaragocilla</t>
  </si>
  <si>
    <t>SECRETARÍA DE PLANEACIÓN - CORVIVIENDA</t>
  </si>
  <si>
    <t>Proyectos de legalización urbanística tramitados</t>
  </si>
  <si>
    <t>Tramitar la totalidad de los proyectos de legalización urbanística presentados a la administración distrital</t>
  </si>
  <si>
    <t>Plan Estratégico para el traslado de Marlinda y Villa Gloria diseñado y ejecutado</t>
  </si>
  <si>
    <t>Diseñar y ejecutar un (1) Plan Estratégico para el traslado de Marlinda y Villa Gloria</t>
  </si>
  <si>
    <t>Planes de Mejoramiento Integral de los Centros Poblados de los corregimientos continentales formulados y ejecutados</t>
  </si>
  <si>
    <t>Formular y ejecutar diez (10) Planes de Mejoramiento Integral de Centros Poblados (Arroyo Grande, Arroyo de las Canoas, Punta Canoas, Manzanillo, Puerto Rey, Tierrabaja, Pontezuela, Membrillal, Leticia y Recreo)</t>
  </si>
  <si>
    <t>Lineamientos técnicos y pedagógicos para garantizar el derecho a la ciudad de niñas y mujeres en el entorno urbano diseñados</t>
  </si>
  <si>
    <t>Diseñar cuatro (4) lineamientos técnicos y pedagógicos para garantizar el derecho a la ciudad de niñas y mujeres en el entorno urbano</t>
  </si>
  <si>
    <t>Plan Estratégico Prospectivo Cartagena 2050 formulado</t>
  </si>
  <si>
    <t>Formular un (1) Plan Estratégico Prospectivo Cartagena 2050</t>
  </si>
  <si>
    <t>DESPROGRAMADA PARA EL 2025</t>
  </si>
  <si>
    <t xml:space="preserve"> RECUPERACIÓN Y TRANSFORMACIÓN DEL ESPACIO PÚBLICO</t>
  </si>
  <si>
    <t>Metros cuadrados de espacios públicos recuperados y mantenidos</t>
  </si>
  <si>
    <t>Recuperar y mantener ciento ochenta y cinco mil (185.000) metros cuadrados de espacios públicos</t>
  </si>
  <si>
    <t>GEPM (GERENCIA DE ESPACIO PÚBLICO Y MOVILIDAD)</t>
  </si>
  <si>
    <t>Metros cuadrados de espacio público habilitados para aprovechamiento económic</t>
  </si>
  <si>
    <t>Habilitar once mil (11.000) metros cuadrados de espacio público nuevos para el aprovechamiento económico</t>
  </si>
  <si>
    <t>Número de querellas presentadas para la recuperación del espacio público</t>
  </si>
  <si>
    <t>Presentar doscientas (200) querellas para la recuperación del espacio público</t>
  </si>
  <si>
    <t xml:space="preserve"> Control Urbanístico y Territorial
</t>
  </si>
  <si>
    <t xml:space="preserve"> RECUPERANDO LA GOBERNANZA URBANÍSTICA, CARTAGENA VUELVE A BRILLAR</t>
  </si>
  <si>
    <t>Política Pública de Legalización de Asentamientos Humanos y del Control Urbano formulada</t>
  </si>
  <si>
    <t>Formular una (1) Política Pública de Legalización de Asentamientos Humanos y del Control Urbano</t>
  </si>
  <si>
    <t>SE BAJA LA PROGRAMACIÓN A 0,5 DE 1 QUE TENIAN AL PRINCIPIO</t>
  </si>
  <si>
    <t>Documentos de planeación para la implementación la curaduría pública y de nuevas curadurías urbanas formulados</t>
  </si>
  <si>
    <t>Formular y presentar dos (2) documentos de planeación para la implementación de la curaduría pública y de nuevas curadurías urbanas</t>
  </si>
  <si>
    <t>SE BAJA LA PROGRAMACIÓN A 1 DE 2 QUE TENIAN AL PRINCIPIO</t>
  </si>
  <si>
    <t>Estudio para dar viabilidad para la creación de nuevas curadurías urbanas formulado</t>
  </si>
  <si>
    <t>Formular un (1) estudio para dar viabilidad para la creación de nuevas curadurías urbanas</t>
  </si>
  <si>
    <t>SUBE LA  PROGRAMCIÓN DE 0,1 A 0,5</t>
  </si>
  <si>
    <t>Obras de demoliciones derivadas de fallos, sentencias y sanciones elaboradas</t>
  </si>
  <si>
    <t>Elaborar ocho (8) obras de demolición derivadas de fallos, sentencias y sanciones</t>
  </si>
  <si>
    <t>SECRETARÍA DE INFRAESTRUCTURA</t>
  </si>
  <si>
    <t>Equipo de reacción inmediata para reducción, intervención y control de invasiones ilegales conformado</t>
  </si>
  <si>
    <t>Conformar un (1) equipo de reacción inmediata para la reducción, intervención y control de invasiones ilegales</t>
  </si>
  <si>
    <t xml:space="preserve">REVISAR CON ENLACE, YA QUE NO SE INCLUYÓ EN EL PLAN DE ACCIÓN </t>
  </si>
  <si>
    <t xml:space="preserve"> CARTAGENA AVANZA EN EL FORTALECIMIENTO DEL PLAN DE NORMALIZACIÓN URBANÍSTICA</t>
  </si>
  <si>
    <t>Defensores Urbanos Barriales para la cultura urbanística certificados</t>
  </si>
  <si>
    <t>Certificar dos mil ochocientos (2.800) defensores urbanos barriales en normas urbanísticas</t>
  </si>
  <si>
    <t>Inspecciones de Policía especializadas en temas urbanísticos</t>
  </si>
  <si>
    <t>Especializar y dotar siete (6) sedes de inspecciones en temas urbanísticos con herramientas tecnológicas</t>
  </si>
  <si>
    <t>DESPROGRAMADA PARA  LA VIGENCIA 2025</t>
  </si>
  <si>
    <t>Documentos normativos realizados</t>
  </si>
  <si>
    <t>Generar seiscientos (600) documentos normativos</t>
  </si>
  <si>
    <t xml:space="preserve"> Cartagena Amigable con el Ambiente 
</t>
  </si>
  <si>
    <t xml:space="preserve"> BIENESTAR ANIMAL Y PROTECCIÓN DE LA VIDA SILVESTRE</t>
  </si>
  <si>
    <t>Número de actividades desarrolladas por año para promover la protección y bienestar animal en sectores turísticos de la ciudad</t>
  </si>
  <si>
    <t>Desarrollar doce (12) actividades por año para promover la protección y bienestar animal en sectores turísticos</t>
  </si>
  <si>
    <t>Número total de animales atendidos por año en las jornadas de salud, prevención y protección animal</t>
  </si>
  <si>
    <t>Atender a veinte mil (20.000) animales por año en jornadas de salud, prevención y protección animal</t>
  </si>
  <si>
    <t>Número de protocolos estandarizados para la atención a animales domésticos y silvestres</t>
  </si>
  <si>
    <t>Estandarizar tres (3) protocolos para la atención a animales domésticos y silvestres</t>
  </si>
  <si>
    <t>Número de animales domésticos censados</t>
  </si>
  <si>
    <t>Censar cien mil (100.000) animales domésticos</t>
  </si>
  <si>
    <t>Número de módulos o aplicativos funcionales de software integrados en una plataforma web de acceso abierto.</t>
  </si>
  <si>
    <t>Crear tres (3) módulos o aplicativos funcionales de software integrados en una plataforma web de acceso abierto</t>
  </si>
  <si>
    <t>Centro de Bienestar Animal del Distrito creado y en operación</t>
  </si>
  <si>
    <t>Crear y poner en operación un (1) Centro de Bienestar Animal del Distrito</t>
  </si>
  <si>
    <t>UMATA - DADIS</t>
  </si>
  <si>
    <t>Número de unidades móviles de atención veterinaria dotadas</t>
  </si>
  <si>
    <t>Dotar tres (3) unidades móviles de atención veterinaria</t>
  </si>
  <si>
    <t>Para el reporte de diciembre, se desprogramó esta meta producto. Entonces para el ultico corte, se desprograma a cero</t>
  </si>
  <si>
    <t xml:space="preserve"> GESTIÓN Y CONSERVACIÓN DE LA VEGETACIÓN Y LA BIODIVERSIDAD</t>
  </si>
  <si>
    <t>Árboles plantados en la ciudad</t>
  </si>
  <si>
    <t>Plantar trescientos mil (300.000) árboles en el Distrito de Cartagena</t>
  </si>
  <si>
    <t>EPA</t>
  </si>
  <si>
    <t>Áreas degradadas en proceso de restauración</t>
  </si>
  <si>
    <t>Restaurar ocho (8) hectáreas de áreas degradadas</t>
  </si>
  <si>
    <t>Centro de Atención y Valoración de fauna silvestre construido y dotado</t>
  </si>
  <si>
    <t>Construir y dotar un (1) Centro de Atención y Valoración de Fauna Silvestre nuevo</t>
  </si>
  <si>
    <t>REVISAR EL ACUMULADO GENERAL CON EL ENLACE</t>
  </si>
  <si>
    <t xml:space="preserve"> ALERTAS TEMPRANAS</t>
  </si>
  <si>
    <t>Sistemas de información implementados para el Centro Inteligente de Monitoreo Ambiental de Cartagena</t>
  </si>
  <si>
    <t>Crear y poner en funcionamiento un (1) Centro Inteligente para el Monitoreo Ambiental de Cartagena</t>
  </si>
  <si>
    <t>Estaciones para el monitoreo de la calidad del aire implementadas</t>
  </si>
  <si>
    <t>Implementar dos (2) estaciones de monitoreo de la calidad del aire</t>
  </si>
  <si>
    <t xml:space="preserve"> INVESTIGACIÓN, EDUCACIÓN Y CULTURA AMBIENTAL</t>
  </si>
  <si>
    <t>Estrategias de educación ambiental implementadas</t>
  </si>
  <si>
    <t>Implementar cinco (5) estrategias de educación ambiental (PRAES, IDAU, PROCEDA, SOCIOEDUCACIÓN, ICEA)</t>
  </si>
  <si>
    <t>Documentos de investigación ambiental realizados</t>
  </si>
  <si>
    <t>Elaborar cuatro (4) documentos de investigación para la gestión de la información y el conocimiento ambiental</t>
  </si>
  <si>
    <t>Política Pública de Educación Ambiental formulada</t>
  </si>
  <si>
    <t>Formular una (1) Política Pública de Educación Ambiental</t>
  </si>
  <si>
    <t>GENERACIÓN DE ESPACIOS PÚBLICOS REVITALIZADOS Y ADAPTADOS PARA TODOS</t>
  </si>
  <si>
    <t>Metros lineales de senderos peatonales diseñados</t>
  </si>
  <si>
    <t>Diseñar diez mil (10.000) metros lineales de senderos peatonales</t>
  </si>
  <si>
    <t>Megaproyectos de parques con criterios de adaptación al cambio climático diseñados y construidos</t>
  </si>
  <si>
    <t>Diseñar y construir seis (6) megaproyectos de parques con criterios de adaptación al cambio climático</t>
  </si>
  <si>
    <t xml:space="preserve"> Cartagena Adaptada al Clima y Resiliente a los Desastres
</t>
  </si>
  <si>
    <t>ORDENAMIENTO Y SOSTENIBILIDAD AMBIENTAL</t>
  </si>
  <si>
    <t>Documentos de lineamientos técnicos para la conservación de la biodiversidad y sus servicios ecosistémicos elaborados</t>
  </si>
  <si>
    <t>Elaborar seis (6) documentos de lineamientos técnicos para determinantes ambientales</t>
  </si>
  <si>
    <t>Plan 4C: Cartagena Competitiva y Compatible con el Clima actualizado</t>
  </si>
  <si>
    <t>Actualizar e implementar un (1) Plan 4C: Cartagena Competitiva y Compatible con el Clima</t>
  </si>
  <si>
    <t>SECRETARÍA DE PLANEACIÓN - EPA</t>
  </si>
  <si>
    <t xml:space="preserve"> CONOCIMIENTO DEL RIESGO</t>
  </si>
  <si>
    <t>Plan Distrital de Gestión de Riesgo actualizado y adoptado</t>
  </si>
  <si>
    <t>Actualizar y adoptar un (1) Plan Distrital de Gestión de Riesgo</t>
  </si>
  <si>
    <t>OFICINA ASESORA PARA LA GESTIÓN DE RIESGO DE DESASTRE</t>
  </si>
  <si>
    <t>REVISADO 10 DE JUNO 2025</t>
  </si>
  <si>
    <t>Sistema de información de conocimiento del riesgo actualizado</t>
  </si>
  <si>
    <t>Mantener actualizado un (1) Sistema de informacion de conocimiento del riesgo</t>
  </si>
  <si>
    <t>OFICINA ASESORA PARA LA GESTIÓN DE RIESGO DE DESASTRE  / Oficina de Informática de la Alcaldía Distrital de Cartagena</t>
  </si>
  <si>
    <t>Inventarios de asentamientos en zonas de alto riesgo elaborados</t>
  </si>
  <si>
    <t>Llevar a ciento ocho (108) el número de inventarios de asentamientos en zonas de alto riesgo elaborados</t>
  </si>
  <si>
    <t>Sistema de comunicación de gestión del riesgo implementado</t>
  </si>
  <si>
    <t>Implementar un (1) sistema de comunicación de gestión del riesgo con todos los actores que integran la gestión de riesgo del Distrito</t>
  </si>
  <si>
    <t>REDUCCIÓN DEL RIESGO</t>
  </si>
  <si>
    <t>Número de acciones para mitigación y atención a desastres coordinadas</t>
  </si>
  <si>
    <t>Coordinar veintitrés (23) acciones para mitigación y atención de desastres</t>
  </si>
  <si>
    <t xml:space="preserve">OFICINA ASESORA PARA LA GESTIÓN DE RIESGO DE DESASTRE - SECRETARÍA DE INFRAESTRUCTURA </t>
  </si>
  <si>
    <t>Esta meta es compartida entre Gestión de Riesgo e Infraestructura y esta ultima reporta 6 de 5 que programó. PARA DICIEMBRE 2024 GESTION DE RIESGO PROGRAMÓ 2 Y EJECUTÓ 2. A DICIEMBRE SEC DE INFRAESTRUCTURA REPORTA ACUMUALDO DE 6</t>
  </si>
  <si>
    <t>REVISADO MARZO 2025. GESTION DE RIESGO PROGRAMÓ 2 Y SEC DE INFRAESTRUCTURA 4 PARA LA VIGENCIA 2025 Y QUE PARA MARZO 2025 REPORTA EJECUCIÓN DE 3</t>
  </si>
  <si>
    <t>REVISAR A LA HORA DE INGRESAR REPORTE DE LA OGRD PARA CORTE DE JUNIO, YA QUE ESA DEPENDENCIA REPORTÓ 1, Y PROGRAMÓ 2. LA SECRETARÍA DE INFRAESTRUCTURA REPORTA CERO EN JUNIO, PERO EN MARZO HABPÍA REPORTADO 3. ENTONCES, EN EL AÑO VAN 4 A JUNIO DE 2025.</t>
  </si>
  <si>
    <t>Número de organizaciones comunitarias capacitadas en prevención y gestión de los riesgos</t>
  </si>
  <si>
    <t>Formar ciento treinta y dos (132) organizaciones comunitarias en prevención y gestión de los riesgos</t>
  </si>
  <si>
    <t>Número de Acciones de protección de laderas para reducción del riesgo en cerros de Cartagena</t>
  </si>
  <si>
    <t>Desarrollar tres (3) Acciones de protección de laderas para reducción del riesgo en el Cerro Lefran, Cerro la Popa y Cerro de Albornoz</t>
  </si>
  <si>
    <t xml:space="preserve"> MANEJO DE DESASTRES</t>
  </si>
  <si>
    <t>Estrategia de respuestas a emergencias actualizada, formulada y adoptada </t>
  </si>
  <si>
    <t>Actualizar y adoptar una (1) Estrategia de Respuesta a Emergencias del Distrito de Cartagena</t>
  </si>
  <si>
    <t>Emergencias de riesgo atendidas</t>
  </si>
  <si>
    <t>Atender dos mil (2.000) emergencias de riesgo que se presenten en el Distrito</t>
  </si>
  <si>
    <t>Número de beneficios económicos a las familias afectadas en los distintos eventos entregados</t>
  </si>
  <si>
    <t>Entregar mil cuatrocientos cincuenta (1.450) beneficios económicos a familias afectadas en los distintos eventos manejados por la Oficina Asesora para la Gestión de Riesgo de Desastres</t>
  </si>
  <si>
    <t>PROTECCIÓN COSTERA</t>
  </si>
  <si>
    <t>Número de kilómetros de construcción de protección costera.</t>
  </si>
  <si>
    <t>Construir siete (7) km de protección costera para llegar a los 13.2 km</t>
  </si>
  <si>
    <t>VALORIZACIÓN</t>
  </si>
  <si>
    <t xml:space="preserve">REVISADO DIC 2024. </t>
  </si>
  <si>
    <t xml:space="preserve"> ADAPTACIÓN DEL ESPACIO PÚBLICO AL CAMBIO CLIMÁTICO</t>
  </si>
  <si>
    <t>Plan Integral de Parques y Zonas Verdes formulado e implementado</t>
  </si>
  <si>
    <t>Formular e implementar un (1) Plan Integral de Parques y Zonas Verdes</t>
  </si>
  <si>
    <t>GEPM (GERENCIA DE ESPACIO PÚBLICO Y MOVILIDAD) - SECRETARÍA DE INFRAESTRUCTURA</t>
  </si>
  <si>
    <t>Orillas mejoradas para uso recreativo en caños, lagos y lagunas</t>
  </si>
  <si>
    <t>Mejorar cinco (5) kilómetros de orillas para uso recreativo en caños, lagos y lagunas</t>
  </si>
  <si>
    <t>REVISAR CON ENLACE, YA QUE EL REPORTE  DEBE CONFIRMAR SUPERACIÓN DE LA META</t>
  </si>
  <si>
    <t xml:space="preserve">Ciudad Histórica y Patrimonial
</t>
  </si>
  <si>
    <t>SOSTENIBILIDAD DEL ESPACIO PÚBLICO DEL CENTRO HISTÓRICO DE CARTAGENA DE INDIAS.</t>
  </si>
  <si>
    <t>Plan Especial de Movilidad y Peatonalización del Centro Histórico formulado e implementado</t>
  </si>
  <si>
    <t>Formular e implementar un (1) Plan Especial de Movilidad y Peatonalización del Centro Histórico</t>
  </si>
  <si>
    <t>GERENCIA DE ESPACIO PÚBLICO Y MOVILIDAD - DATT- SECRETARÍAS DE INFRAESTRUCTURA</t>
  </si>
  <si>
    <t>Metros lineales de andenes y bordillos del Centro Histórico mejorados</t>
  </si>
  <si>
    <t>Mejorar catorce mil (14.000) metros lineales de andenes y bordillos del Centro Histórico</t>
  </si>
  <si>
    <t>Plazas, parques y plazoletas del Centro Histórico mejorada</t>
  </si>
  <si>
    <t>Mejorar quince (15) plazas, parques y plazoletas del Centro Histórico</t>
  </si>
  <si>
    <t>GERENCIA DE ESPACIO PÚBLICO Y MOVILIDAD</t>
  </si>
  <si>
    <t>Estudio de Capacidad de Carga del Espacio Público Patrimonial elaborado</t>
  </si>
  <si>
    <t>Elaborar un (1) Estudio de Capacidad de Carga del Espacio Público Patrimonial</t>
  </si>
  <si>
    <t>GERENCIA DE ESPACIO PÚBLICO Y MOVILIDAD - IPCC</t>
  </si>
  <si>
    <t>Estudio de las nuevas Tipologías Arquitectónicas del Centro Histórico elaborado</t>
  </si>
  <si>
    <t>Elaborar un (1) Estudio y dar lineamientos técnicos de las nuevas Tipologías Arquitectónicas del Centro Histórico</t>
  </si>
  <si>
    <t>SECRETARÍA DE PLANEACIÓN - IPCC</t>
  </si>
  <si>
    <t>Cartilla del Espacio Público Patrimonial elaborada</t>
  </si>
  <si>
    <t>Elaborar una (1) Cartilla del Espacio Público Patrimonial</t>
  </si>
  <si>
    <t>GERENCIA DE ESPACIO PÚBLICO Y MOVILIDAD - DATT- SECRETARÍA DE PLANEACIÓN - ESCUELA TALLER ETCAR</t>
  </si>
  <si>
    <t>Número de parques del Centro Histórico recuperados y mejorados</t>
  </si>
  <si>
    <t>Recuperar y mantener dos parques: (parque Espíritu del Manglar y Parque del Centenario).</t>
  </si>
  <si>
    <t>SECRETARÍA GENERAL - DIRECCIÓN ADMINISTRATIVA DE APOYO LOGISTICO</t>
  </si>
  <si>
    <t>Revisar con enlace el cumplimiento de esa meta producto</t>
  </si>
  <si>
    <t xml:space="preserve"> CONEXIÓN ENTRE EL CASTILLO DE SAN FELIPE DE BARAJAS Y SU ÁREA DE INFLUENCIA PARA LA RECUPERACIÓN DEL PATRIMONIO ARQUEOLÓGICO, MATERIAL E INMATERIAL</t>
  </si>
  <si>
    <t>Espacios públicos rehabilitados que comunican el Centro Histórico y Castillo de San Felipe</t>
  </si>
  <si>
    <t>Rehabilitar cuatro (4) espacios públicos que comunican el Centro Histórico y Castillo de San Felipe</t>
  </si>
  <si>
    <t xml:space="preserve">ESCUELA TALLER CARTAGENA DE INDIAS - GERENCIA DE ESPACIO PÚBLICO Y MOVILIDAD - SECRETARÍA DE INFRAESTRUCTURA
</t>
  </si>
  <si>
    <t>REVISADO DIC 2024. La Gerencia de Espacio Publico la desprogramó para el 2024</t>
  </si>
  <si>
    <t>REVISADO GEPM 2025 - REVISAR CON LOS REPORTES DE LAS DEMAS DEPENDENCIAS</t>
  </si>
  <si>
    <t>Número de zonas del espacio público adecuadas para la recreación y el deporte en el paisaje fortificado</t>
  </si>
  <si>
    <t>Adecuar tres (3) zonas del espacio público para la recreación y el deporte en el paisaje fortificado</t>
  </si>
  <si>
    <t xml:space="preserve">ESCUELA TALLER CARTAGENA DE INDIAS -  - GERENCIA DE ESPACIO PÚBLICO Y MOVILIDAD -  IDER
SECRETARÍA DE INFRAESTRUCTURA
</t>
  </si>
  <si>
    <t>No programado por ETCAR ni por la Gerencia de espacio publico y movilidad GEPM para la vigencia 2024</t>
  </si>
  <si>
    <t xml:space="preserve">REVISAR CON ENLACE </t>
  </si>
  <si>
    <t>Enlaces peatonales de cordón amurallado construidos</t>
  </si>
  <si>
    <t>Construir dos (2) enlaces peatonales de cordon amurallado</t>
  </si>
  <si>
    <t>ESCUELA TALLER CARTAGENA DE INDIAS - GERENCIA DE ESPACIO PÚBLICO Y MOVILIDAD - SECRETARÍA DE INFRAESTRUCTURA</t>
  </si>
  <si>
    <t>Revisar esta meta ya que cuenta con reporte de GEPM (programó 0,5 para esta vigencia) y tiene como reponsable ETCAR</t>
  </si>
  <si>
    <t xml:space="preserve"> MURALLA PARA TODOS</t>
  </si>
  <si>
    <t>Número de actividades de para la apropiación colectiva del patrimonio y la gobernanza territorial desarrolladas</t>
  </si>
  <si>
    <t>Desarrollar dieciséis (16) actividades para la apropiación colectiva del patrimonio y la gobernanza territorial</t>
  </si>
  <si>
    <t xml:space="preserve">ESCUELA TALLER CARTAGENA DE INDIAS (ETCAR)
</t>
  </si>
  <si>
    <t xml:space="preserve">Infraestructura, Movilidad Sostenible y Accesibilidad para Todos
</t>
  </si>
  <si>
    <t>PROGRAMA: INTERVENCIONES URBANAS INTEGRALES</t>
  </si>
  <si>
    <t>Obras construidas para la competitividad diferente a vías</t>
  </si>
  <si>
    <t>Construir diez (10) obras para la competitividad distintas a vías</t>
  </si>
  <si>
    <t>REVISADO DIC 2024.  VERIFICAR PLAN DE ACCIÓN  2025</t>
  </si>
  <si>
    <t>PROGRAMA: REHABILITACIÓN, MANTENIMIENTO, ADECUACIÓN, Y OBRA NUEVA PARA EL SISTEMA VIAL Y ESTRUCTURAS DE PASO</t>
  </si>
  <si>
    <t>Kilómetros carriles  rehabilitados de la malla vial</t>
  </si>
  <si>
    <t>Rehabilitar sesenta (60) km/carril de la malla vial</t>
  </si>
  <si>
    <t>Kilómetros carriles  construidos de la malla vial</t>
  </si>
  <si>
    <t>Construir cuatro (4) km/carril de malla vial</t>
  </si>
  <si>
    <t>REVISAR EL REPORTE DE JUNIO CON ENLACE</t>
  </si>
  <si>
    <t>Puentes nuevos construidos en la ciudad</t>
  </si>
  <si>
    <t>Construir tres (3) puentes nuevos en la ciudad</t>
  </si>
  <si>
    <t>META LOGRADA</t>
  </si>
  <si>
    <t>Corredor vial de la troncal del sur construido</t>
  </si>
  <si>
    <t>Construir un (1) corredor vial de la troncal del sur</t>
  </si>
  <si>
    <t>SOLUCIONES VIALES PARA LA COMPETITIVIDAD A TRAVÉS DE CONTRIBUCIÓN POR VALORIZACIÓN</t>
  </si>
  <si>
    <t>Número de kilómetros de construcción de vías Urbanas por contribución de valorización.</t>
  </si>
  <si>
    <t>Construir dos (2) kilómetros de vías urbanas por contribución de Valorización.</t>
  </si>
  <si>
    <t>Número de kilómetros de construcción de vías rurales</t>
  </si>
  <si>
    <t>Construir diez (10) kilómetros de vías rurales</t>
  </si>
  <si>
    <t>Número de metros cuadrados de andenes construidos</t>
  </si>
  <si>
    <t>Construir diez mil (10.000) metros cuadrados de andenes y/o áreas peatonales</t>
  </si>
  <si>
    <t xml:space="preserve"> MOVILIDAD ORDENADA, SOSTENIBLE Y AMIGABLE CON EL MEDIO AMBIENTE</t>
  </si>
  <si>
    <t>Señales verticales instaladas</t>
  </si>
  <si>
    <t>Instalar dos mil doscientos ochenta y nueve (2.289) señales verticales</t>
  </si>
  <si>
    <t>Marcas longitudinales demarcadas</t>
  </si>
  <si>
    <t>Demarcar ciento noventa (190,58) kilómetros de marcas longitudinales</t>
  </si>
  <si>
    <t>Kilómetros de ciclorutas diseñadas y demarcadas</t>
  </si>
  <si>
    <t>Diseñar y demarcar veinte (20) kilómetros de ciclorutas</t>
  </si>
  <si>
    <t>DATT - GEPM (GERENCIA DE ESPACIO PÚBLICO Y MOVILIDAD)</t>
  </si>
  <si>
    <t>REVISADO DIC 2024. La Gerencia de Espacio Publico la desprogramó para el 2024 y el DATT tampoco programó para la misma vigencia</t>
  </si>
  <si>
    <t>REVISAR CON ENLACES PARA QUE ARTICULEN EL PROGRAMADO Y EL REPORTE, YA QUE DATT PROGRAMÓ 10 Y GEPM 4 PARA LA VIGENCIA 2024. PARA MARZO 2025 SOLO REPORTÓ GEPM 0,1, DATT NO REPORTA</t>
  </si>
  <si>
    <t>REVISADO 10  JUNIO 0,1 REPORTADO POR DATT Y 0,15 POR GEPM</t>
  </si>
  <si>
    <t>PARA JUNIO  2025 SOLO REPORTÓ GEPM, DATT NO ESTÁ REPORTA</t>
  </si>
  <si>
    <t>Red semafórica ampliada</t>
  </si>
  <si>
    <t>Ampliar una (1) red semafórica de la ciudad</t>
  </si>
  <si>
    <t>Rutas del Transporte Público Colectivo actualizadas y normalizadas</t>
  </si>
  <si>
    <t>Actualizar y normalizar catorce (14) rutas del Transporte Público Colectivo</t>
  </si>
  <si>
    <t>REVISADO MARZO 2026</t>
  </si>
  <si>
    <t>Estaciones satélites de transporte informal erradicadas</t>
  </si>
  <si>
    <t>Erradicar diez (10) estaciones de transporte informal</t>
  </si>
  <si>
    <t>REVISADO MARZO 2027</t>
  </si>
  <si>
    <t>Puntos críticos intervenidos</t>
  </si>
  <si>
    <t>Intervenir y mejorar dieciocho (18) puntos críticos de movilidad</t>
  </si>
  <si>
    <t>REVISADO MARZO 2028</t>
  </si>
  <si>
    <t>Zonas de Estacionamiento Regulado (ZER) diseñados y demarcados</t>
  </si>
  <si>
    <t>Diseñar y demarcar Veinte (20) zonas de estacionamiento regulado (ZER)</t>
  </si>
  <si>
    <t>REVISADO DIC 2024. La Gerencia de Espacio Publico la desprogramó para el 2024. El DATT tampoco programó para la vigencia</t>
  </si>
  <si>
    <t>REVISAR CON ENLACES PARA QUE ARTICULEN EL PROGRAMADO Y EL REPORTE, YA QUE DATT PROGRAMÓ 5 Y GEPM 4 PARA LA VIGENCIA 2024. PARA MARZO 2025 SOLO REPORTÓ GEPM 0,1, DATT NO REPORTA</t>
  </si>
  <si>
    <t>Vehículos de tracción animal dedicados al transporte de cargas livianas sustituidos</t>
  </si>
  <si>
    <t>Sustituir ciento diecinueve (119) vehículos de tracción animal dedicados al transporte de cargas livianas</t>
  </si>
  <si>
    <t>Vehículos de tracción animal dedicados al servicio turístico sustituidos</t>
  </si>
  <si>
    <t>Sustituir sesenta (60) vehículos de tracción animal dedicados al servicio turístico</t>
  </si>
  <si>
    <t>REVISADO DIC 2024. No programado  por el DATT para la vigencia 2024</t>
  </si>
  <si>
    <t>Caracterización socioeconómica de mototrabajadores elaborada</t>
  </si>
  <si>
    <t>Elaborar una (1) caracterización socioeconómica de mototrabajadores</t>
  </si>
  <si>
    <t xml:space="preserve"> TRANSPORTE MASIVO CONFIABLE, EFICIENTE Y SOSTENIBLE</t>
  </si>
  <si>
    <t>Estaciones Renovadas</t>
  </si>
  <si>
    <t>Renovar dieciocho (18) estaciones del sistema</t>
  </si>
  <si>
    <t>TRANSCARIBE</t>
  </si>
  <si>
    <t>Meta Cumplida</t>
  </si>
  <si>
    <t>Patio Portal Renovado</t>
  </si>
  <si>
    <t>Renovar un (1) Patio Portal</t>
  </si>
  <si>
    <t>Carril de solobus renovado</t>
  </si>
  <si>
    <t>Renovar un (1) carril de solobus</t>
  </si>
  <si>
    <t>Servicio de seguridad ciudadana implementado en el SITM</t>
  </si>
  <si>
    <t>Implementar un (1) servicio de seguridad ciudadana en el Sistema Integrado de Transporte Masivo</t>
  </si>
  <si>
    <t>REVISAR CON ENLACE YA QUE ESTA META PRODUCTO SE CUMPLIÓ</t>
  </si>
  <si>
    <t>REVISAR CON ENLACE YA QUE ESTA META PRODUCTO SE CUMPLIÓ Y PROGRAMARON PARA ESTA VIGENCIA</t>
  </si>
  <si>
    <t>Paraderos Renovados</t>
  </si>
  <si>
    <t>Renovar cuatrocientos ochenta y dos (482) paraderos</t>
  </si>
  <si>
    <t>REVISAR CON EL ENLACE</t>
  </si>
  <si>
    <t>Modernización de los servicios conexos al sistema de recaudo, gestión de flota, información al usuario</t>
  </si>
  <si>
    <t>Modernizar un (1) sistema de recaudo, gestión de flota, información al usuario</t>
  </si>
  <si>
    <t>Estrategias para la promoción de la cultura ciudadana y el uso del sistema</t>
  </si>
  <si>
    <t>Implementar veinticinco (25) estrategias para la promoción de la cultura ciudadana y el uso del sistema</t>
  </si>
  <si>
    <t>REVISAR CON ENLACE YA QUE EN EL ACUMUALDO DEL REPORTE A MARZO 2025 PRESENTA 6 Y EN EL ACUMUALDO DE DICIEMBRE 12</t>
  </si>
  <si>
    <t>Estudios técnicos para la evaluación de operación diseñados</t>
  </si>
  <si>
    <t>Diseñar tres (3) estudios técnicos para la evaluación de operación de flota eléctrica, transporte acuático, transporte por cable aéreo</t>
  </si>
  <si>
    <t>TRANSCARIBE - SECRETARÍA DE INFRAESTRUCTURA</t>
  </si>
  <si>
    <t>Fases de ejecución del proyecto de transporte acuático</t>
  </si>
  <si>
    <t>Ejecutar tres (3) fases del proyecto de transporte acuático</t>
  </si>
  <si>
    <t>SECRETARÍA DE INFRAESTRUCTURA - TRANSCARIBE</t>
  </si>
  <si>
    <t>Esta meta no fue reportada ni programada por Transcaribe o Secretaría de Infraestructura  para la vigencia 2025</t>
  </si>
  <si>
    <t>Embarcaderos para el transporte acuático construidos o recuperados</t>
  </si>
  <si>
    <t>Construir o recuperar diez (10) embarcaderos para el transporte acuático</t>
  </si>
  <si>
    <t>Estudio para la implementación de la tarifa diferencial en el Sistema</t>
  </si>
  <si>
    <t>Elaborar estudio para la implementación de la tarifa diferencial en el Sistema</t>
  </si>
  <si>
    <t>Estrategia para la lucha contra el acoso en el Sistema Integrado de Transporte Masivo implementada</t>
  </si>
  <si>
    <t>Implementar una (1) estrategia para la lucha contra el acoso en el Sistema Integrado de Transporte Masivo</t>
  </si>
  <si>
    <t>Pasajeros movilizados</t>
  </si>
  <si>
    <t>Movilizar ciento treinta y siete millones trescientos dos mil novecientos noventa y ocho (137.302.998) pasajeros en el cuatrienio</t>
  </si>
  <si>
    <t>REVISAR ACUMULADO CUATRIENIO CON EL ENLACE</t>
  </si>
  <si>
    <t xml:space="preserve">Cartagena Ordenada Alrededor del Agua
</t>
  </si>
  <si>
    <t>GESTIÓN Y CONSERVACIÓN DEL AGUA</t>
  </si>
  <si>
    <t>Número de hectáreas de manglar en proceso de recuperación</t>
  </si>
  <si>
    <t>Recuperar cuarenta (40) hectáreas de manglares</t>
  </si>
  <si>
    <t>Metros cúbicos extraídos mediante relimpia realizada en cuerpos de agua internos en el perímetro urbano de Cartagena</t>
  </si>
  <si>
    <t>Extraer ciento cuarenta mil (140.000) metros cúbicos de sedimentos en la Bocana y laguna de Chambacú</t>
  </si>
  <si>
    <t>EPA - EDURBE</t>
  </si>
  <si>
    <t>Esta meta no fue programada por el EPA para la vigencia 2024</t>
  </si>
  <si>
    <t>SE ESTARÍA REPORTANDO EN EL ULTIMO TRIMESTRE DE 20256</t>
  </si>
  <si>
    <t>Estudios de prefactibilidad para la implementación de laboratorio interactivo</t>
  </si>
  <si>
    <t>Formular un (1) estudios de prefactibilidad para la implementación de laboratorio interactivo en un sector del caño Juan Angola</t>
  </si>
  <si>
    <t>SECRETARÍA DE INFRAESTRUCTURA -  EDURBE</t>
  </si>
  <si>
    <t>REVISAR META COMPLETAMENTE CON ENLACE</t>
  </si>
  <si>
    <t>RECUPERACIÓN DEL SISTEMA DE CANALES Y DRENAJES PLUVIALES</t>
  </si>
  <si>
    <t>Kilómetros diseño de canales </t>
  </si>
  <si>
    <t>Diseñar diez (10) kilómetros de canales.</t>
  </si>
  <si>
    <t>VALORIZACIÓN - SECRETARÍA DE INFRAESTRUCTURA</t>
  </si>
  <si>
    <t>Kilómetros canales construidos.</t>
  </si>
  <si>
    <t>Construir un (1) km de canales.</t>
  </si>
  <si>
    <t>REVISADO MARZO 2025. NO PROGRAMADO POR VALORIZACIÓN, PERO SEC DE INFRAESTRUCTURA PROGRAMÓ 0,12 PARA LA VIGENCIA 2025. PERO REVISRA YA QUE EN EL PLAN DE ACCIÓN DE SEC DE INFRAESTRUCTRURA APARECE COMO CUMPLIDA AL 100%</t>
  </si>
  <si>
    <t>VALORIZACIÓN REPORTA A 10 DE JUNIO AVANCE CERO</t>
  </si>
  <si>
    <t>Metros cúbicos limpieza y/o rectificación de canales.</t>
  </si>
  <si>
    <t>Retirar cien mil (100.000) m3 de material de limpieza en el cuatrienio.</t>
  </si>
  <si>
    <t xml:space="preserve"> RECUPERACIÓN Y ESTABILIZACIÓN DEL SISTEMA HÍDRICO Y LITORAL DE CARTAGENA</t>
  </si>
  <si>
    <t>Se ajustan los esperado y los avances para eliminar el sesgo de los los no programados (Se colocaron 0% en los esperados como los no programados para la vigencia)</t>
  </si>
  <si>
    <t>Kilómetros recuperados de bordes de costa de cuerpos de agua</t>
  </si>
  <si>
    <t>Recuperar diez (10) km de bordes de costa de cuerpos de agua</t>
  </si>
  <si>
    <t xml:space="preserve">GEPM (GERENCIA DE ESPACIO PÚBLICO Y MOVILIDAD) - SECRETARÍA DE INTERIOR </t>
  </si>
  <si>
    <t>Documento de acotamiento y priorización de ronda hídrica elaborado</t>
  </si>
  <si>
    <t>Elaborar un (1) documento de acotamiento y priorización de ronda hídrica</t>
  </si>
  <si>
    <t>Rondas hídricas priorizadas a través del documento de acotamiento recuperadas</t>
  </si>
  <si>
    <t>Recuperar una (1) ronda hídrica priorizada a través del documento de acotamiento</t>
  </si>
  <si>
    <t>REVISAR CON ENLACE, YA QUE ESA META SE CUMPLIÓ</t>
  </si>
  <si>
    <t>Plan Parcial de Chambacú, Torices, La Unión formulado, adoptado y con seguimiento</t>
  </si>
  <si>
    <t>Formular, adoptar y hacer seguimiento a un (1) Plan Parcial de Chambacú, Torices, La Unión</t>
  </si>
  <si>
    <t>Plan Maestro de Caños, Lagunas y Ciénagas interiores de la ciudad y la Bahía de Cartagen</t>
  </si>
  <si>
    <t>Formular un (1) Plan Maestro de Caños, Laguna y Ciénagas interiores de la Ciudad y la Bahía de Cartagena</t>
  </si>
  <si>
    <t>SECRETARÍA DE INFRAESTRUCTURA - EDURBE</t>
  </si>
  <si>
    <t xml:space="preserve"> PLAN DE RESTAURACIÓN INTEGRAL DE LA CIÉNAGA DE LA VIRGEN</t>
  </si>
  <si>
    <t>Número de afluentes principales que derivan en la Ciénaga de la Virgen recuperadas</t>
  </si>
  <si>
    <t>Recuperar diez (10) afluentes principales que derivan en la Ciénaga de la Virgen</t>
  </si>
  <si>
    <t>EPA </t>
  </si>
  <si>
    <t>Campañas de educación ambiental y participación implementadas a los ciudadanos aledaños a la Ciénaga de la Virgen, sobre la conservación y protección del espacio verde</t>
  </si>
  <si>
    <t>Desarrollar veinte (20) campañas de educación ambiental sobre conservación y protección del espacio verde  para habitantes de zonas aledañas a la Ciénaga de la Virgen</t>
  </si>
  <si>
    <t>Proyectos para el mejoramiento de la calidad del recurso hídrico formulados en Sistema Estabilizadora de Mareas desarrollados</t>
  </si>
  <si>
    <t>Desarrollar dos (2) proyectos de mejoramiento del Sistema Estabilizadora de Mareas</t>
  </si>
  <si>
    <t>Plan de Gestión Social y Ambiental de la Ciénaga de la Virgen formulado e implementado</t>
  </si>
  <si>
    <t>Formular e implementar un (1) Plan de Gestión Social y Ambiental de la Ciénaga de la Virgen</t>
  </si>
  <si>
    <t>Estudios y diseños actualizados red urbana formulados</t>
  </si>
  <si>
    <t>Formular un (1) estudio y diseño de fase III (factibilidad) para la construcción de la Vía Perimetral</t>
  </si>
  <si>
    <t>Planes Parciales de Renovación Urbana adoptados</t>
  </si>
  <si>
    <t>Formular y adoptar tres (3) Planes Parciales de Renovación Urbana: R4, R7 y R8</t>
  </si>
  <si>
    <t>Plan de Mejoramiento Integral de la Boquilla formulado</t>
  </si>
  <si>
    <t>Formular un (1) Plan de Mejoramiento Integral de la Boquilla</t>
  </si>
  <si>
    <t>REVISADO DIC 2024. DESPROGRAMADO PARA LA VIGENCIA EN EL ULTIMO REPORTE</t>
  </si>
  <si>
    <t>Estudios detallados de amenaza y riesgo para territorios delimitados en Planes Parciales elaborados</t>
  </si>
  <si>
    <t>Elaborar estudios detallados de amenaza y riesgo para los territorios delimitados en los Planes Parciales R1, R2, R3, R5 y R6</t>
  </si>
  <si>
    <t xml:space="preserve"> GESTIÓN DEL TERRITORIO MARINO-COSTERO</t>
  </si>
  <si>
    <t>Operación Territorial – O.T-5 / Frente Costero y Protección formulada</t>
  </si>
  <si>
    <t>Formular una (1) Operación Territorial – O.T-5 / Frente Costero y Protección de Playas</t>
  </si>
  <si>
    <t>Operación Territorial – O.T-6 / Bahía de Cartagena – Canal del Dique formulada</t>
  </si>
  <si>
    <t>Formular una (1) Operación Territorial – O.T-6 / Bahía de Cartagena – Canal del Dique</t>
  </si>
  <si>
    <t>Operación Territorial – O.T-12 / Zona Insular formulada</t>
  </si>
  <si>
    <t>Formular una (1) Operación Territorial – O.T 12 / Zona Insular</t>
  </si>
  <si>
    <t>Planes de Mejoramiento Integral de los Centros Poblados insulares formulados y ejecutados</t>
  </si>
  <si>
    <t>Formular y ejecutar los Planes de Mejoramiento Integral de los Centros Poblados insulares de Bocachica, Caño del Oro, Punta Arena, Tierrabomba, Barú, Isla Grande, Santa Cruz del Islote, e Isla Fuerte</t>
  </si>
  <si>
    <t>Cartilla de Tipologías de Vivienda Insular o Costera adaptada a los eventos de cambio climático diseñada</t>
  </si>
  <si>
    <t>Diseñar (1) Cartilla de Tipologías de Vivienda Insular o Costera adaptada a los eventos de cambio climático</t>
  </si>
  <si>
    <t>Proyectos estratégicos para el mantenimiento de los cuerpos de agua de la ciudad implementados</t>
  </si>
  <si>
    <t>Implementar dos (2) proyectos estratégicos para el mantenimiento de los cuerpos de agua de la ciudad (Borde Social Ambiental Caño Juan Angola y Parque Pescadores de la Bocana)</t>
  </si>
  <si>
    <t>REVISAR CON ENLACE ESTA META NO ESTÁ INSCRITA EN EL PLAN DE ACCIÓN  2025</t>
  </si>
  <si>
    <t>Proyectos estratégicos para el mantenimiento de los cuerpos de agua de la ciudad formulados en fase de prefactibilidad</t>
  </si>
  <si>
    <t>Formular en fase de prefactibilidad cuatro (4) proyectos estratégicos para el mantenimiento de los cuerpos de agua de la ciudad (Restauración ecosocial de cuenca Arroyo Matute, Zona de los canales, Zona de los arroyos, Zona de Caños y Lagos)</t>
  </si>
  <si>
    <t>SECRETARÍA DE INFRAESTRUCTURA - EPA- SECRETARÍA DE PLANEACIÓN</t>
  </si>
  <si>
    <t xml:space="preserve"> Integración Regional y Metropolitana
</t>
  </si>
  <si>
    <t xml:space="preserve"> PROMOCIÓN, CREACIÓN Y OPERACIÓN DE ESQUEMAS ASOCIATIVOS TERRITORIALES DE LA CIUDAD REGIÓN</t>
  </si>
  <si>
    <t>Estudio de clúster para la competitividad regional elaborado</t>
  </si>
  <si>
    <t>Elaborar un (1) estudio de clúster para la competitividad regional</t>
  </si>
  <si>
    <t>Iniciativa regional de infraestructura de transporte y conectividad para la productividad</t>
  </si>
  <si>
    <t>Diseñar una (1) iniciativa regional de infraestructura de transporte abastecimiento y logística</t>
  </si>
  <si>
    <t>SECRETARÍA DE PLANEACIÓN - TRANSCARIBE</t>
  </si>
  <si>
    <t>Servicio de protección del recurso hídrico</t>
  </si>
  <si>
    <t>Desarrollar un (1) Servicio de protección del recurso hídrico para Promover inversiones supramunicipales</t>
  </si>
  <si>
    <t>SECRETARÍA GENERAL  - ACUACAR -  SECRETARÍA DE PLANEACIÓN</t>
  </si>
  <si>
    <t>Esta meta no fue ni reportada ni programada por la Secreatría de Infraestructura para la vigencia 2024.</t>
  </si>
  <si>
    <t xml:space="preserve">REVISAR CON ENLACE, YA QUE SEC GENERAL NO PROGRAMA ESA META </t>
  </si>
  <si>
    <t xml:space="preserve"> INNOVACIÓN PÚBLICA Y PARTICIPACIÓN CIUDADANA
</t>
  </si>
  <si>
    <t xml:space="preserve">Componente Impulsor del avance: Transparencia y Gobierno Abierto
</t>
  </si>
  <si>
    <t>COMPONENTE AJUSTADO</t>
  </si>
  <si>
    <t>PROCESOS ADMINISTRATIVOS ÓPTIMOS Y TRANSPARENTES</t>
  </si>
  <si>
    <t>Trámites y otros procedimientos administrativos racionalizados</t>
  </si>
  <si>
    <t>Racionalizar cuarenta (40)  nuevos trámites y/o procesos administrativos </t>
  </si>
  <si>
    <t>REVISADO 10 JUNIO 2025</t>
  </si>
  <si>
    <t>Centro Integral Ciudadano creado</t>
  </si>
  <si>
    <t>Crear un (1) Centro Integral de Atención Ciudadano (CIAC)</t>
  </si>
  <si>
    <t>Ventanillas de atención al ciudadano optimizadas en su funcionamiento</t>
  </si>
  <si>
    <t>Optimizar tres (3) ventanillas de atención ciudadana en su funcionamiento</t>
  </si>
  <si>
    <t>TRANSPARENCIA Y LUCHA CONTRA LA CORRUPCIÓN</t>
  </si>
  <si>
    <t>Estrategias para responder a transparencia activa y pasiva, los instrumentos de gestión de la información con criterios de accesibilidad</t>
  </si>
  <si>
    <t>Implementar una (1) estrategia de acceso para respuesta a transparencia activa y pasiva, los instrumentos de gestión de la información con criterios de accesibilidad</t>
  </si>
  <si>
    <t>Número de rendiciones de cuentas desarrolladas</t>
  </si>
  <si>
    <t>Desarrollar ocho (8) rendiciones públicas de cuentas a la ciudadanía</t>
  </si>
  <si>
    <t>SECRETARÍA GENERAL - SECRETARÍA DE PLANEACIÓN</t>
  </si>
  <si>
    <t>CARTAGENA DIGITAL, INCLUSIVA Y CONECTADA</t>
  </si>
  <si>
    <t>Personas formadas en uso de Tecnologías de Información y Comunicaciones (TIC)</t>
  </si>
  <si>
    <t>Formar a tres mil (3.000) personas en el uso de Tecnologías de Información y Comunicaciones (TIC)</t>
  </si>
  <si>
    <t xml:space="preserve">OFICINA ASESORA DE INFORMATICA - ESCUELA DE GOBIERNO Y LIDERAZGO
</t>
  </si>
  <si>
    <t>REVISAR CON ENLACELA META DE CUATRIENIO</t>
  </si>
  <si>
    <t>Sistemas de información institucionales actualizados</t>
  </si>
  <si>
    <t>Actualizar seis (6) sistemas de información de la entidad</t>
  </si>
  <si>
    <t>OFICINA ASESORA DE INFORMATICA</t>
  </si>
  <si>
    <t>Sistemas de información institucionales nuevos implementados</t>
  </si>
  <si>
    <t>Implementar seis (6) nuevos sistemas de información institucionales</t>
  </si>
  <si>
    <t>Número de zonas wifi-gratuitas instaladas y mantenidas</t>
  </si>
  <si>
    <t>Instalar treinta y dos (32) nuevas zonas Wi-Fi y mantener las 18 actuales</t>
  </si>
  <si>
    <t>META CUMPLIDA JUNIO 2025</t>
  </si>
  <si>
    <t xml:space="preserve">Fortalecimiento Institucional e Innovación Administrativa
</t>
  </si>
  <si>
    <t>REVISAR AL MOMENTO DE REPORTE SEGÚN LOS PROGRAMAS QUE NO SE PROGRAMARON EN EL 2024, QUE EN EL 2024 ERAN 4 DE 8 DEL COMPONENTE</t>
  </si>
  <si>
    <t xml:space="preserve"> MODELO INTEGRADO DE PLANEACIÓN Y GESTIÓN - MIPG</t>
  </si>
  <si>
    <t>Estrategia para la simplificación de procesos en el Distrito implementada</t>
  </si>
  <si>
    <t>Implementar una (1) estrategia para la simplificación de procesos</t>
  </si>
  <si>
    <t>REVISAR CON ENLACE PORQUE SE AJUSTÓ EL AVANCE CUATRENIO. AJUSTAR EL AVANCE DEL AÑO 2025 PARCIALMENTE</t>
  </si>
  <si>
    <t>Estrategia para la gestión del conocimiento y la innovación creada e implementada</t>
  </si>
  <si>
    <t>Crear e implementar una (1) estrategia para la gestión del conocimiento y la innovación</t>
  </si>
  <si>
    <t>SECRETARÍA GENERAL Dirección Administrativa de Talento Humano</t>
  </si>
  <si>
    <t>Herramientas Tecnológicas para el uso, apropiación y fortalecimiento institucional implementadas</t>
  </si>
  <si>
    <t>Implementar tres (3) herramientas tecnológicas para el uso, apropiación y fortalecimiento institucional implementadas</t>
  </si>
  <si>
    <t>Documentos de diagnóstico e implementación del Modelo Integrado de Planeación y Gestión – MIPG implementado</t>
  </si>
  <si>
    <t>Implementar cuatro (4) documentos de diagnóstico e implementación del Modelo Integrado de Planeación y Gestión – MIPG</t>
  </si>
  <si>
    <t>MEJORA NORMATIVA EN EL DISTRITO DE CARTAGENA DE INDIAS</t>
  </si>
  <si>
    <t>Agenda regulatoria anual elaborada e implementada</t>
  </si>
  <si>
    <t>Elaborar e implementar cuatro (4) agendas regulatorias</t>
  </si>
  <si>
    <t>SECRETARÍA GENERAL - Oficina Asesora Jurídica</t>
  </si>
  <si>
    <t>Procesos de depuración normativa distrital implementados</t>
  </si>
  <si>
    <t>Implementar cuatro (4) procesos de depuración normativa</t>
  </si>
  <si>
    <t>PATRIMONIO PÚBLICO AL SERVICIO DE CARTAGENA</t>
  </si>
  <si>
    <t>Número de predios del inventario de bienes inmuebles del Distrito actualizados</t>
  </si>
  <si>
    <t>Actualizar diez mil seiscientos treinta y cinco (10.635) predios del inventario de bienes inmuebles pertenecientes al Distrito</t>
  </si>
  <si>
    <t>SECRETARÍA GENERAL Dirección Administrativa de Apoyo Logístico</t>
  </si>
  <si>
    <t>intervenciones a los bienes inmuebles y predios del Distrito</t>
  </si>
  <si>
    <t>Intervenir seiscientos (600) bienes inmuebles y predios del Distrito</t>
  </si>
  <si>
    <t>Inventario de bienes muebles actualizado</t>
  </si>
  <si>
    <t>Actualizar un (1) inventario de bienes muebles pertenecientes al Distrito</t>
  </si>
  <si>
    <t xml:space="preserve"> REDISEÑO INSTITUCIONAL E INNOVACIÓN ADMINISTRATIVA DEL DISTRITO</t>
  </si>
  <si>
    <t>Fases del proceso de rediseño institucional implementadas</t>
  </si>
  <si>
    <t>Implementar cinco (5) fases del proceso de rediseño organizacional (Acuerdo Inicial, Diagnóstico, Diseño, Implementación, Supresión y/o liquidación)</t>
  </si>
  <si>
    <t>AJUSTADO EN SU ACUMUALDO CUATRIENIO A CORTE MATRZO 2025 DEL REPORTE DE DICIEMBRE DE 2024</t>
  </si>
  <si>
    <t xml:space="preserve"> SEGURIDAD DIGITAL</t>
  </si>
  <si>
    <t>Plan Estratégico Tratamiento de Riesgo de Seguridad y Privacidad de la información implementado</t>
  </si>
  <si>
    <t>Implementar (1) Un Plan Estratégico  de Tratamiento de Riesgo de Seguridad y Privacidad de la Información.</t>
  </si>
  <si>
    <t>Plan Estratégico de Seguridad y Privacidad de la información implementado</t>
  </si>
  <si>
    <t>Implementar (1) Un Plan Estratégico  de Seguridad y Privacidad de la información.</t>
  </si>
  <si>
    <t>Cloud Data Center implementado en el Distrito</t>
  </si>
  <si>
    <t>Implementar un (1) Cloud Data Center para la protección y seguridad de la información en el Distrito de Cartagena</t>
  </si>
  <si>
    <t>REVISAR EL PORQUÉ  AHORA ESA META  APARECE PARA EL 2025 COMO DESPROGRAMADA, CUANDO ESTABA EN 0,3 PARA EL AÑO. ADEMAS DE REPORTAR EN 0,2 EN JUNIO 10 Y AHORA NO REPORTA A JUNIO 30</t>
  </si>
  <si>
    <t xml:space="preserve"> TRANSFORMACIÓN DIGITAL DEL SISTEMA DE ARCHIVO PARA LA GESTIÓN PÚBLICA EFICIENTE</t>
  </si>
  <si>
    <t>Servicios de gestión documental implementados</t>
  </si>
  <si>
    <t>Implementar cinco (5) servicios de gestión documental</t>
  </si>
  <si>
    <t>Servicio de sistemas de gestión implementado</t>
  </si>
  <si>
    <t>Implementar dos (2) servicios de sistemas de gestión</t>
  </si>
  <si>
    <t>Sistema de Gestión de Archivos Electrónicos – SGDEA implementado en cinco fases</t>
  </si>
  <si>
    <t>Implementar un (1) Sistema de Gestión de Archivos Electrónicos – SGDEA en sus 5 fases: (Planeación, análisis, diseño, implementación y evaluacion, monitoreo y control)</t>
  </si>
  <si>
    <t>REVISAR CON ENLACE, YA QUE EL PROGRAMADO ES DE 0,25 Y TIENE 2 PARA EL REPORTE DE JUNIO 30</t>
  </si>
  <si>
    <t xml:space="preserve"> FORTALECIMIENTO DEL SISTEMA DE CONTROL INTERNO, SCI</t>
  </si>
  <si>
    <t>Plan de Formación sobre el Sistema de Control Interno y Control Interno Contable diseñado e implementado</t>
  </si>
  <si>
    <t>Diseñar e implementar un (1) Plan de Formación sobre el Sistema de Control Interno y Control Interno Contable</t>
  </si>
  <si>
    <t>ESCUELA DE GOBIERNO Y LIDERAZGO - Oficina Asesora de Control Interno</t>
  </si>
  <si>
    <t>REVISAR YA QUE NO HAY PROGRAMACIÓN PARA LA VIGENCIA 2025</t>
  </si>
  <si>
    <t>Software de Auditoría Basada en Riesgos para procesos y sistemas de información implementado</t>
  </si>
  <si>
    <t>Implementar un (1) Software de Auditoría Basada en Riesgos para procesos y sistemas de información</t>
  </si>
  <si>
    <t xml:space="preserve"> FORTALECIMIENTO DE LA GESTIÓN ADMINISTRATIVA Y OPERATIVA DEL DEPARTAMENTO ADMINISTRATIVO DE TRÁNSITO Y TRANSPORTE - DATT</t>
  </si>
  <si>
    <t>Sedes del DATT dotadas con logística para mejorar la gestión administrativa y operativa en la prestación del servicio</t>
  </si>
  <si>
    <t>Dotar tres (3) sedes del DATT con logística para mejorar la gestión administrativa y operativa en la prestación del servicio</t>
  </si>
  <si>
    <t>Portafolio virtual para oferta de trámites y servicios diseñado</t>
  </si>
  <si>
    <t>Diseñar un (1) portafolio virtual para oferta de trámites y servicios</t>
  </si>
  <si>
    <t>Cartera el DATT recuperada</t>
  </si>
  <si>
    <t>Recuperar ciento diecisiete mil dos ($ 117.002) millones de pesos de la cartera del DATT</t>
  </si>
  <si>
    <t>Puntos de la ciudad con sistema de monitoreo, control y fiscalización electrónica del tránsito instalados</t>
  </si>
  <si>
    <t>Instalar en treinta (30) puntos de la ciudad con sistema de monitoreo, control y fiscalización electrónica del tránsito</t>
  </si>
  <si>
    <t xml:space="preserve"> Finanzas Públicas
</t>
  </si>
  <si>
    <t>REVISAR AL MOMENTO DE REPORTE SEGÚN LOS PROGRAMAS QUE NO SE PROGRAMARON EN EL 2024</t>
  </si>
  <si>
    <t xml:space="preserve"> GESTIÓN FISCAL Y FINANCIERA OPORTUNA</t>
  </si>
  <si>
    <t>Impuesto Predial Unificado recaudado</t>
  </si>
  <si>
    <t>Recaudar $1.727.905.000.000 pesos por impuesto predial unificado</t>
  </si>
  <si>
    <t>Impuesto Industria, Comercio y complementarios recaudado</t>
  </si>
  <si>
    <t>Recaudar $2.912.805.184.493 pesos por Impuesto de Industria y Comercio y complementarios</t>
  </si>
  <si>
    <t>Impuesto delineación urbana recaudado</t>
  </si>
  <si>
    <t>Recaudar 34.797.802.428 de Impuesto delineación urbana en el cuatrienio</t>
  </si>
  <si>
    <t>Sobretasa a la gasolina recaudado</t>
  </si>
  <si>
    <t>Recaudar 238.874.034.451 de Sobretasa a la gasolina en el cuatrienio</t>
  </si>
  <si>
    <t>Estrategias de fortalecimiento tributario en el Distrito diseñadas e implementadas</t>
  </si>
  <si>
    <t>Diseñar e implementar anualmente cuatro (4) nuevas estrategias de fortalecimiento tributario en el Distrito</t>
  </si>
  <si>
    <t xml:space="preserve"> HACIENDA MODERNA Y DIGITAL</t>
  </si>
  <si>
    <t>Proyecto de modernización de la Secretaría de Hacienda implementado</t>
  </si>
  <si>
    <t>Implementar un (1) proyecto de modernización integral en la Secretaría de Hacienda</t>
  </si>
  <si>
    <t xml:space="preserve"> Esta meta no se reportó ni programó por parte de la Secretaría de Hacienda para la vigencia 2024</t>
  </si>
  <si>
    <t>REVISAR CON ENLACE, YA QUE EN AÑO 2024 NO SE PROGRAMÓ NI SE EJECUTÓ ESTA META, Y APARECE PROGRAMADA Y CON EJECUCIÓN DEL  0,7 PARA LA VIGENCIA ANTERIOR  EN EL REPORTE DE JUNIO DE 2025</t>
  </si>
  <si>
    <t xml:space="preserve">Cultura Ciudadana
</t>
  </si>
  <si>
    <t xml:space="preserve"> SERVIDORES CON ESPLENDOR CONSTRUYENDO CIUDAD</t>
  </si>
  <si>
    <t>Número de servidores públicos y contratistas del Distrito formados y cualificados en enfoques diferenciales</t>
  </si>
  <si>
    <t>Formar y cualificar dos mil ciento noventa y ocho (2.198) servidores públicos y contratistas del Distrito en enfoques diferenciales</t>
  </si>
  <si>
    <t>ESCUELA DE GOBIERNO Y LIDERAZGO</t>
  </si>
  <si>
    <t>Número de estrategias de formación en cultura tributarias dirigidas servidores públicos y contratistas del distrito creadas e implementadas</t>
  </si>
  <si>
    <t>Crear e implementar cuatro (4) estrategias de formación en cultura tributaria dirigidas a servidores públicos y contratistas del Distrito</t>
  </si>
  <si>
    <t>CIUDADANÍA DIVERSA, PARTICIPATIVA Y PROPULSORA DEL DESARROLLO</t>
  </si>
  <si>
    <t>Número de procesos de formación a ciudadanos desarrollados</t>
  </si>
  <si>
    <t>Desarrollar ochenta (80) procesos de formación a ciudadanos</t>
  </si>
  <si>
    <t>Número de procesos de formación a ciudadanos pertenecientes a grupos étnicos desarrollados</t>
  </si>
  <si>
    <t>Desarrollar veinte (20) procesos de formación a ciudadanos pertenecientes a grupos étnicos</t>
  </si>
  <si>
    <t>Número de mesas de planeación y participación elaboradas con personas de los distintos grupos de población con enfoque inclusivo, diferencial y territorial</t>
  </si>
  <si>
    <t>Elaborar dieciséis (16) mesas de planeación y participación dirigidas a distintos grupos de población con enfoque inclusivo, diferencial y territorial</t>
  </si>
  <si>
    <t>Número de procesos de formación a ciudadanos con enfoque inclusivo, diferencial y territorial desarrollados</t>
  </si>
  <si>
    <t>Desarrollar cuarenta (40) procesos de formación con enfoque inclusivo, diferencial y territorial</t>
  </si>
  <si>
    <t>CARTAGENEIDAD CON ORGULLO Y ESPLENDOR</t>
  </si>
  <si>
    <t>Número de estrategias pedagógicas implementadas para promover el orgullo y el sentido de pertenencia por la ciudad</t>
  </si>
  <si>
    <t>Implementar cuatro (4) estrategias pedagógicas para promover el orgullo y el sentido de pertenencia por la ciudad</t>
  </si>
  <si>
    <t>CARTAGENA BRILLA CON CULTURA CIUDADANA</t>
  </si>
  <si>
    <t>Numero de iniciativas de cultura ciudadana implementadas</t>
  </si>
  <si>
    <t>Implementar ciento treina y ocho (138) iniciativas de cultura ciudadana</t>
  </si>
  <si>
    <t>Número de estrategias pedagógicas implementadas para fortalecer la cultura vial y el adecuado uso del Sistema Integardo de Transoporte Masivo</t>
  </si>
  <si>
    <t>Implementar ocho (8) estrategias pedagógicas para fortalecer la cultura vial y el adecuado uso del Sistema Integrado de Transporte Masivo</t>
  </si>
  <si>
    <t>Numero de estrategias de promocion de practicas para el cuidado y el desarrollo integral del ser humano implementadas</t>
  </si>
  <si>
    <t>Implementar cuatro (4) estrategias de promocion de practicas para el cuidado y el desarrollo integral del ser humano</t>
  </si>
  <si>
    <t>Numero de estartegias para fomentar el respeto y la prevencion del maltrato contra la mujer implementadas</t>
  </si>
  <si>
    <t>Implementar cuatro (4) estartegias para fomentar el respeto y la prevencion del maltrato contra la mujer</t>
  </si>
  <si>
    <t>Número de estrategias de formación en cultura tributaria creadas e implementadas</t>
  </si>
  <si>
    <t>Crear e implementar cuatro (4) estrategias de formación en cultura tributaria</t>
  </si>
  <si>
    <t>ESCUELA DE GOBERNANZA E INNOVACIÓN PÚBLICA</t>
  </si>
  <si>
    <t>Número de mesas de gobernanza elaboradas para el seguimiento a indicadores de ciudad</t>
  </si>
  <si>
    <t>Realizar doce (12) mesas de gobernanza para el seguimiento a indicadores de ciudad</t>
  </si>
  <si>
    <t>Número de procesos de formación en gobernanza e innovación pública desarrollados</t>
  </si>
  <si>
    <t>Desarrollar cuatro (4) procesos de formación en gobernanza e innovación pública</t>
  </si>
  <si>
    <t xml:space="preserve">Participación Ciudadana y Acción Comunal
</t>
  </si>
  <si>
    <t xml:space="preserve"> ORGANISMOS COMUNALES TÉCNICOS Y ADMINISTRATIVAMENTE EFICIENTES</t>
  </si>
  <si>
    <t>Número de organismos de acción comunal asesoradas y acompañados para el trámite exitoso de su Registro Único Tributario (RUT) ante la DIAN</t>
  </si>
  <si>
    <t>Asesorar y acompañar doscientos nueve (209) organismos de acción comunal para el trámite exitoso de su Registro Único Tributario (RUT) ante la DIAN</t>
  </si>
  <si>
    <t>Instituto Distrital de Acción Comunal</t>
  </si>
  <si>
    <t>Numero de organismos de accion comunal asesorados y acompañados para eñ tramite exitoso de su registro unico comunal (RUC) ante el Ministerio del Interior</t>
  </si>
  <si>
    <t>Asesorar y acompañar trescientos veintiocho (328) organismos de accion comunal asesorados y acompañados para eñ tramite exitoso de su registro unico comunal (RUC)</t>
  </si>
  <si>
    <t>Numero de organismos de accion comunal asesorados y acompañados en procesos de actualizacion estatutaria</t>
  </si>
  <si>
    <t>Asesorar y acompañar cuatrocientos dos (402) rganismos de accion comunal en procesos de actualizacion estatutaria</t>
  </si>
  <si>
    <t>Guia Metodologica para la formulacion de planes de desarrollo estrategicos comunales PDEC creada e implementada</t>
  </si>
  <si>
    <t>Crear e implementar una (1) Guia Metodologica para la formulacion de planes de desarrollo estrategicos comunales PDEC</t>
  </si>
  <si>
    <t>REVISADO DIC 2024. Reportada por la IDACCC por 0,45</t>
  </si>
  <si>
    <t>Ruta para garantizar la proteccion y acompañamiento de lideres y lideresas sociales, dignatarios y/o afiliados a organismos comunales de la ciudad en situacion de riesgo diseñada</t>
  </si>
  <si>
    <t>Diseñar una (1) ruta para garantizar la proteccion y acompañamiento de lideres y lideresas sociales, dignatarios y/o afiliados a organismos comunales de la ciudad en situacion de riesgo</t>
  </si>
  <si>
    <t>REVISADO DIC 2024. Reportada por la IDACCC por 0,46</t>
  </si>
  <si>
    <t>Plataforma web de seguimiento a procesos y procedimientos de organismos comunales y organinazciones sociales de base creada y en funcionamiento</t>
  </si>
  <si>
    <t>Crear y poner en funcionamiento una (1) Plataforma web de seguimiento a procesos y procedimientos de organismos comunales y organinazciones sociales de base</t>
  </si>
  <si>
    <t xml:space="preserve"> ORGANIZACIONES SOCIALES SÓLIDAS E INCIDENTES EN EL DESARROLLO LOCAL</t>
  </si>
  <si>
    <t>Programas ajsutado en el cuatrienio, por tener solo dos metas producto programadas</t>
  </si>
  <si>
    <t>Numero de obras de interes comunitarias con organismos de acción comunal financiadas a través de convenios solidarios</t>
  </si>
  <si>
    <t>Financiar trescientas (300) obras de interes comunitario con organismos de acción comunal a través de convenios solidarios</t>
  </si>
  <si>
    <t>REVISADO MARZO 2025. SE EMPIEZA  A CONTABILIZAR AL MOMENTO DE REPORTAR EN EL TRIMESTRE 2025</t>
  </si>
  <si>
    <t>Número de sedes de organismos comunales dotadas y/o adecuadas</t>
  </si>
  <si>
    <t>Dotar y/o adecuar cien (100) sedes comunales en el Distrit</t>
  </si>
  <si>
    <t>Sedes de organismos comunales construidas</t>
  </si>
  <si>
    <t>Construir tres (3) sedes comunales en el Distrito</t>
  </si>
  <si>
    <t>No Programada por el Instituto Comunal para la vigencia 2026</t>
  </si>
  <si>
    <t>Banco de proyectos de iniciativa comunal y comunitaria creado</t>
  </si>
  <si>
    <t>Crear un (1) banco de proyectos de iniciativas comunales y comunitarias</t>
  </si>
  <si>
    <t>No Programada por el Instituto Comunal para la vigencia 2027</t>
  </si>
  <si>
    <t>Número de acciones de cambio y transformación del entorno desarrolladas con organismos de acción comunal y la cuadrilla comunal en los barrios de la ciudad</t>
  </si>
  <si>
    <t>Desarrollar doscientas (200) actividades de cambio y transformación del entorno con organismos de acción comunal y la cuadrilla comunal</t>
  </si>
  <si>
    <t>Número de fondos de financiamiento y apalancamiento para la ejecución de iniciativas y proyectos de organizaciones comunales, comunitarias y/o sociales de base creados</t>
  </si>
  <si>
    <t>Crear un (1) fondo de financiamiento y apalancamiento para la ejecución de iniciativas y proyectos de organizaciones comunales, comunitarias y/o sociales de base</t>
  </si>
  <si>
    <t>PRESUPUESTO PARTICIPATIVO</t>
  </si>
  <si>
    <t>Cantidad de recursos para presupuestos participativos invertidos</t>
  </si>
  <si>
    <t>Invertir seis mil millones de pesos ($6.000.000.000) pesos para presupuestos participativos por año</t>
  </si>
  <si>
    <t>SECRETARÍA DEL INTERIOR Instituto Distrital de Acción Comunal</t>
  </si>
  <si>
    <t>Revisar reporte de Secretaría del Interior - El Intituto Comunal tambien reporta</t>
  </si>
  <si>
    <t>REVISAR SI SECRETARÍA DEL INTERIOR PROGRAMÓ PARA EL 2025, YA QUE EL INSTITUTO COMUNAL NO PROGRAMÓ PARA ESTA VIGENCIA</t>
  </si>
  <si>
    <t>PARTICIPANDO DECIDIMOS Y AVANZAMOS</t>
  </si>
  <si>
    <t>Número de ciudadanos participando en la construcción de instrumentos de gestión y de políticas públicas.</t>
  </si>
  <si>
    <t>Vincular a cincuenta mil (50.000) ciudadanos a procesos de construcción de instrumentos de gestión y de políticas públicas</t>
  </si>
  <si>
    <t>Campañas para la promoción de la participación ciudadana creadas</t>
  </si>
  <si>
    <t>Crear cuatro (4) campañas para la promoción de la participación ciudadana</t>
  </si>
  <si>
    <t>Número de encuentros comunales y/o comunitarios de intercambio de experiencias, construcción de ciudad y promoción de la participación ciudadana desarrollados</t>
  </si>
  <si>
    <t>Desarrollar veinte (20) encuentros comunales y/o comunitarios de intercambio de experiencias, construcción de ciudad y promoción de la participación ciudadana</t>
  </si>
  <si>
    <t>Número de afiliados y afiliadas a organismos comunales del Distrito certificados bajo la metodología del programa Formador de Formadores para la Acción Comunal</t>
  </si>
  <si>
    <t>Certificar mil quinientos (1.500) afiliados y afiliadas a organismos comunales del Distrito bajo la metodología del programa Formador de Formadores para la Acción Comunal</t>
  </si>
  <si>
    <t xml:space="preserve"> PROMOCIÓN Y GARANTÍA PARA LA PARTICIPACIÓN SOCIOPOLÍTICA JUVENIL</t>
  </si>
  <si>
    <t>Número de voluntariados juveniles distritales conformados</t>
  </si>
  <si>
    <t>Conformar un (1) voluntariado juvenil distrital</t>
  </si>
  <si>
    <t>Número de escuelas de formación en liderazgo juvenil</t>
  </si>
  <si>
    <t>Crear una (1) escuela de formación en liderazgo juvenil</t>
  </si>
  <si>
    <t>Número de jóvenes vinculados en programas de formación sociopolítica y habilidades para la vida</t>
  </si>
  <si>
    <t>Vincular ocho mil (8.000) jóvenes en programas de formación sociopolítica y habilidades para la vida</t>
  </si>
  <si>
    <t>Programas para el fortalecimiento de los derechos de la Juventud implementado</t>
  </si>
  <si>
    <t>Implementar cuatro (4) programas (uno por año) para el fortalecimiento de los derechos de la Juventud</t>
  </si>
  <si>
    <t>Consejo Distrital de Juventud y Plataforma de Juventudes acompañados</t>
  </si>
  <si>
    <t>Acompañar con apoyo técnico, administrativo y logístico al Consejo Distrital de Juventud y Plataforma de Juventudes</t>
  </si>
  <si>
    <t xml:space="preserve"> DERECHO A LA PARTICIPACIÓN Y REPRESENTACIÓN CON EQUIDAD DE GÉNERO</t>
  </si>
  <si>
    <t>Mecanismo de promoción de la participación política y organización de las mujeres creado</t>
  </si>
  <si>
    <t>Crear un (1) Consejo Consultivo de Mujeres y Equidad de Género</t>
  </si>
  <si>
    <t>Número de mujeres formadas para la participación sociopolítica, liderazgo e incidencia política en el Distrito</t>
  </si>
  <si>
    <t>Formar a tres mil (3.000) mujeres para la participación sociopolítica, liderazgo e incidencia política en el Distrito</t>
  </si>
  <si>
    <t>Casa de la Mujer en operación y/o funcionamiento</t>
  </si>
  <si>
    <t>Diseñar, construir y dotar una (1) Casa de la Mujer para su operación y/o funcionamiento</t>
  </si>
  <si>
    <t xml:space="preserve">Sistema de Planeación Distrital
</t>
  </si>
  <si>
    <t xml:space="preserve"> CENTRO DE INVESTIGACIÓN DE INFORMACIÓN DE LA CIUDAD PARA LA TOMA DE DECISIONES (CIDI)</t>
  </si>
  <si>
    <t>Estudios socioeconómicos y poblacionales elaborados</t>
  </si>
  <si>
    <t>Elaborar cuatro (4) estudios socioeconómicos y poblacionales</t>
  </si>
  <si>
    <t>Estudios de focalización territorial de beneficiarios de Programas Sociales elaborados</t>
  </si>
  <si>
    <t>Elaborar seis (6) estudios de focalización territorial de beneficiarios de Programas Sociales</t>
  </si>
  <si>
    <t>Productos de generación de nuevo conocimiento desarrollados</t>
  </si>
  <si>
    <t>Desarrollar seis (6) productos de generación de nuevo conocimiento</t>
  </si>
  <si>
    <t>Actividades científicas de apropiación social del conocimiento desarrollados</t>
  </si>
  <si>
    <t>Desarrollar diez (10) actividades científicas de apropiación social del conocimiento</t>
  </si>
  <si>
    <t>Encuesta Multipropósito desarrollada</t>
  </si>
  <si>
    <t>Desarrollar una (1) Encuesta Multipropósito</t>
  </si>
  <si>
    <t xml:space="preserve"> SISTEMAS DE INFORMACIÓN PARA EL DESARROLLO DE CARTAGENA</t>
  </si>
  <si>
    <t>Mapa Interactivo de Asuntos del Suelo - MIDAS 
actualizado y optimizado</t>
  </si>
  <si>
    <t>Actualizar y optimizar un (1) Mapa Interactivo de Asuntos del Suelo - MIDAS</t>
  </si>
  <si>
    <t>Sistema de Información Geográfico y Estadístico Distrital con infraestructura de datos espaciales creado</t>
  </si>
  <si>
    <t>Crear e implementar un (1) Sistema de Información Geográfico y Estadístico Distrital potenciado con infraestructura de datos espaciales</t>
  </si>
  <si>
    <t>Base de datos de estratificación actualizada</t>
  </si>
  <si>
    <t>Mantener actualizada una (1) base de datos de estratificación del Distrito</t>
  </si>
  <si>
    <t>Política de Gestión Estadística implementada en el marco del MIPG</t>
  </si>
  <si>
    <t>Implementar una (1) Política de Gestión Estadística en el marco de MIPG</t>
  </si>
  <si>
    <t>Base de datos del Sistema de Identificación de Potenciales Beneficiarios de Programas Sociales - SISBEN IV actualizada en la fase de demanda</t>
  </si>
  <si>
    <t>Mantener actualizada una (1) base de datos del SISBEN IV en la fase de demanda</t>
  </si>
  <si>
    <t>Oficina Administrativa y puntos de atención del Sistema de Identificación de Potenciales Beneficiarios de Programas Sociales - SISBEN IV mejorados</t>
  </si>
  <si>
    <t>Mejorar una (1) Oficina Administrativa y diez (10) puntos de atención del SISBEN IV</t>
  </si>
  <si>
    <t xml:space="preserve"> INVERSIÓN PÚBLICA EFICIENTE Y TRANSPARENTE</t>
  </si>
  <si>
    <t>Informes periódicos seguimiento de Inversión Pública</t>
  </si>
  <si>
    <t>Elaborar dieciséis (16) informes periódicos seguimiento de inversión pública</t>
  </si>
  <si>
    <t>Asistencias técnicas a entidades del Distrito elaboradas</t>
  </si>
  <si>
    <t>Elaborar noventa y dos (92) asistencias técnicas entidades del Distrito</t>
  </si>
  <si>
    <t>Soportes técnicos a usuarios en temas de proyectos de inversión elaborados</t>
  </si>
  <si>
    <t>Elaborar mil quinientos (1.500) soportes técnicos a usuarios en temas de proyectos de inversión</t>
  </si>
  <si>
    <t>Planes de Desarrollo Locales formulados y con seguimiento</t>
  </si>
  <si>
    <t>Formular y hacer seguimiento a los Planes de Desarrollo Local</t>
  </si>
  <si>
    <t>Estrategia de asistencia técnica para la formulación de los Planes de Desarrollo Estratégicos Comunales formulada</t>
  </si>
  <si>
    <t>Formular una (1) estrategia de asistencia técnica para la formulación de los Planes de Desarrollo Estratégicos Comunales</t>
  </si>
  <si>
    <t>Planes de Acción formulados y con seguimiento</t>
  </si>
  <si>
    <t>Formular y hacer seguimiento a veintiun (21) Planes de Acción</t>
  </si>
  <si>
    <t>Proyectos estratégicos de ciudad formulados</t>
  </si>
  <si>
    <t>Formular en sus tres fases siete (7) proyectos estratégicos de ciudad</t>
  </si>
  <si>
    <t xml:space="preserve"> POLÍTICAS PÚBLICAS INTERSECTORIALES Y CON VISIÓN INTEGRAL</t>
  </si>
  <si>
    <t>Políticas públicas formuladas y acompañadas en su evaluación y seguimiento</t>
  </si>
  <si>
    <t>Formular y acompañar en su evaluación y seguimiento a nueve (9) políticas públicas</t>
  </si>
  <si>
    <t>Políticas públicas finalizadas en su formulación</t>
  </si>
  <si>
    <t>Finalizar la formulación y acompañar en la evaluación y seguimiento a tres (3) políticas públicas</t>
  </si>
  <si>
    <t>DESCENTRALIZACIÓN ADMINISTRATIVA</t>
  </si>
  <si>
    <t>Estudios técnicos para la creación de nuevas localidades</t>
  </si>
  <si>
    <t>Elaborar un (1) estudio técnico para la creación de nuevas localidades</t>
  </si>
  <si>
    <t>SECRETARÍA DE PLANEACIÓN - SECRETARÍA DEL INTERIOR Y CONVIVENCIA CIUDADANA</t>
  </si>
  <si>
    <t>Proyecto de acuerdo presentado al Concejo para la creación de localidades</t>
  </si>
  <si>
    <t>Presentar un (1) proyecto de acuerdo al Concejo para la creación de dos localidades</t>
  </si>
  <si>
    <t>Asistencia tecnica y seguimiento a la ejecucion de los fondos de desarrollo local desarrolladas</t>
  </si>
  <si>
    <t>Desarrollar Asistencia tecnica y seguimiento a la ejecucion de los fondos de desarrollo local</t>
  </si>
  <si>
    <t>Instancias del Sistema Distrital de Planeación Participativa acompañadas con apoyo técnico, administrativo y logístico</t>
  </si>
  <si>
    <t>Acompañar con apoyo técnico, administrativo y logístico anualmente a cinco (5) instancias de planeación (Consejo Territorial de Planeación, el Consejo Consultivo de Ordenamiento Territorial y el Consejo de Participación Ciudadana)</t>
  </si>
  <si>
    <t xml:space="preserve"> GESTIÓN CATASTRAL CON ENFOQUE MULTIPROPÓSITO</t>
  </si>
  <si>
    <t>Sistema de Información catastral actualizad</t>
  </si>
  <si>
    <t>Implementar una (1) operación del servicio público de catastro multipropósito</t>
  </si>
  <si>
    <t>SECRETARÍA DE HACIENDA - SECRETARÍA DE PLANEACIÓN</t>
  </si>
  <si>
    <t>REVISADO DIC 2024. REPORTADO POR SEC DE HACIENDA</t>
  </si>
  <si>
    <t>ESTA  META LA REPORTAN DOS DEPENDENCIAS, HACIENDA PROGRAMÓ 1 Y SEC DE PLANEACIÓN 0,25; ESTA ULTIMA REPORTA A MARZO 0,05 Y HACIENDA, NO REPORTA</t>
  </si>
  <si>
    <t>PARA JUNIO 30 DE 2025. HACIENDA NO REPORTA, PERO SEC DE PLANEACIÓN REPORTA PARA JUNIO 30 DE 2025 UNA CIFRA DE 0,03</t>
  </si>
  <si>
    <t>Plan de fortalecimiento para la prestación efectiva del servicio público de gestión catastral formulado</t>
  </si>
  <si>
    <t>Formular un (1) plan de fortalecimiento para la prestación efectiva del servicio público de gestión catastral</t>
  </si>
  <si>
    <t>ESTA  META LA REPORTAN DOS DEPENDENCIAS, HACIENDA NO PROGRMÓ Y SEC DE PLANEACIÓN 0,25; ESTA ULTIMA REPORTA A MARZO 0,05</t>
  </si>
  <si>
    <t>SEC DE PLANEACIÓN REPORTA PARA JUNIO 30 DE 2025 UNA CIFRA DE 0,03. PERO REVISAR REPORTE DE SEC DE HACIENDA, YA QUE REPORTA MAL EL INDICADOR</t>
  </si>
  <si>
    <t>CAPÍTULO/COMPONENTE IMPULSOR/ PROGRAMA/ PRODUCTO (INDICADOR)/ META PRODUCTO</t>
  </si>
  <si>
    <t>AVANCE  NUMERICO META PRODUCTO  CORTE DICIEMBRE 2025</t>
  </si>
  <si>
    <t xml:space="preserve">CAPÍTULO DE LOS PUEBLOS Y COMUNIDADES ÉTNICAS
</t>
  </si>
  <si>
    <t xml:space="preserve"> Fortalecimiento al Desarrollo Afro-Territorial de la Población Negra, Afrocolombiana, Raizal y Palenquera
</t>
  </si>
  <si>
    <t xml:space="preserve"> GOBERNANZA Y PARTICIPACIÓN DE LAS COMUNIDADES NEGRAS AFROCOLOMBIANAS, RAIZALES Y PALENQUERAS PARA EL FORTALECIMIENTO DE LA DEMOCRACIA EN EL DISTRITO</t>
  </si>
  <si>
    <t>Consejos Comunitarios y Organizaciones de Base de las Comunidades Negras, Afrocolombianas, Raizales y Palenqueras formados en temas de gobernabilidad</t>
  </si>
  <si>
    <t>Formar en temas de legislación, derechos humanos y el fortalecimiento organizacional a sesenta (60) Consejos Comunitarios y Organizaciones de Base de las Comunidades Negras, Afrocolombianas, Raizales y Palenqueras</t>
  </si>
  <si>
    <t xml:space="preserve">SECRETARÍA DEL INTERIOR Y CONVIVENCIA CIUDADANA - SECRETARÍA GENERAL - Oficina Asesora de Asuntos Étnicos
</t>
  </si>
  <si>
    <t>Número de funcionarios del Distrito formados en enfoque étnico</t>
  </si>
  <si>
    <t>Formar a quinientos (500) funcionarios de la Alcaldía Distrital entre ellos los operadores de justicia en enfoque étnico</t>
  </si>
  <si>
    <t>SECRETARÍA DEL INTERIOR Y CONVIVENCIA CIUDADANA - SECRETARÍA GENERAL - Oficina 
Asesora de 
Asuntos 
Étnicos</t>
  </si>
  <si>
    <t>Ruta y modelo de atención psicosocial para atención de situaciones de antirracismo y víctimas del racismo diseñada e implementada</t>
  </si>
  <si>
    <t>Diseñar e implementar una (1) ruta y modelo de atención psicosocial para atención de situaciones de antirracismo y víctimas del racismo</t>
  </si>
  <si>
    <t>Programa para participación ciudadana de las comunidades Negra, Afrocolombiana, Raizales y Palenquera en estrategia de Seguridad Humana creado e implementado</t>
  </si>
  <si>
    <t>Crear e implementar un (1) Programa para Participación Ciudadana de las Comunidades Negra, Afrocolombiana, Raizales y Palenquera, en la estrategia de Seguridad Humana</t>
  </si>
  <si>
    <t>Observatorio del Desarrollo de Comunidades Negras del Distrito creado e implementado</t>
  </si>
  <si>
    <t>Crear e implementar un (1) Observatorio del Desarrollo de Comunidades Negras del Distrito</t>
  </si>
  <si>
    <t>REVISAR CON ENLACE, YA QUE ESTA META SE PROGRAMÓ ENE L 2024 Y NO EJECUTÓ, POR LO TANTO LLEVA UN ACUMUALDO DE CERO.</t>
  </si>
  <si>
    <t>Número de Consejos Comunitarios con Resolución de Autoaceptación de titulación colectiva obtenida de comunidades negras del Distrito</t>
  </si>
  <si>
    <t>Obtener cuatro (4) Resoluciones de Autoaceptación de titulación colectiva de comunidades negras en el Distrito</t>
  </si>
  <si>
    <t>Consejos Comunitarios con solicitudes nuevas de Títulos Colectivos presentados ante la Agencia Nacional de Tierras</t>
  </si>
  <si>
    <t>Presentar seis (6) nuevas solicitudes nuevas de Títulos Colectivos ante la Agencia Nacional de Tierras</t>
  </si>
  <si>
    <t>Ruta de atención para víctimas del conflicto armado para comunidades Negras, Afrocolombiana, Raizal y Palenquera en los 33 Consejos Comunitarios de Cartagena implementada</t>
  </si>
  <si>
    <t>Implementar en los treinta y tres (33) Consejos Comunitarios del Distrito la ruta de atención de acuerdo con la reglamentación o normativa del conflicto (T- 025 2004, Decreto 4635 de 2011 y el auto 005 2009)</t>
  </si>
  <si>
    <t>REVISAR CON ENLACE YA QUE EL PROGRAMADO PARA LA VIGENCIA  2025 DEBE SER EN NUEMRIO Y LO TIENE EN PORCENTAJE</t>
  </si>
  <si>
    <t>REVISAR CON ENLACE EL AVANCE DEL AÑO Y EL CUATRIENIO</t>
  </si>
  <si>
    <t xml:space="preserve"> DESARROLLO HUMANO Y BIENESTAR SOCIAL DE LAS COMUNIDADES NEGRAS, AFROCOLOMBIANAS, RAIZALES Y PALENQUERAS</t>
  </si>
  <si>
    <t>Redes Étnicas Diferenciadas para adecuación sociocultural, de promoción y mantenimiento de salud conformadas</t>
  </si>
  <si>
    <t>Conformar cuatro (4) Redes Étnicas Diferenciadas (1 organización urbanas y 3 rurales con Consejos Comunitarios) para adecuación sociocultural de promoción y mantenimiento de salud</t>
  </si>
  <si>
    <t>META CUMPLIDA. REPORTADA COMO LOGRADA EN EL MES DE JUNIO.</t>
  </si>
  <si>
    <t>Estrategia de apropiación social del conocimiento para la reducción de la incidencia de los factores toxicológicos y epidemiológicos de las comunidades negras del</t>
  </si>
  <si>
    <t>Diseñar e implementar una (1) estrategia de apropiación social del conocimiento para la reducción de la incidencia de los factores toxicológicos y epidemiológicos de las comunidades Negras del Distrito</t>
  </si>
  <si>
    <t>REVISAR CON ENLACE, YA QUE NO PROGRAMAN NO REPORTAN EN EL PLAN DE ACCIÓN</t>
  </si>
  <si>
    <t>Torneos intercomunitarios de juegos tradicionales desarrollados</t>
  </si>
  <si>
    <t>Desarrollar cuatro (4) torneos intercomunitarios de juegos tradicionales, concertado con los Consejos Comunitarios (bate de tapita, bola de trapo, trompo, dominó, entre otros)</t>
  </si>
  <si>
    <t xml:space="preserve">REVISADO 10 DE JUNIO </t>
  </si>
  <si>
    <t>Torneos de competencias del mar desarrollados con los Consejos Comunitarios</t>
  </si>
  <si>
    <t>Desarrollar cuatro (4) torneos de competencias del mar concertado con los Consejos Comunitarios (canotaje, competencia de atarrayas, pesca, tejidos, entre otros)</t>
  </si>
  <si>
    <t>Mesa de Expertos creada, implementada y con seguimiento de la implementación de la cátedra de estudios afroamericanos, transición de PEI a PEC e implementación de la resemantización en Instituciones Educativas Oficiales del Distrito</t>
  </si>
  <si>
    <t>Crear, implementar y hacer seguimiento a una (1) Mesa de Expertos para el seguimiento de la implementación de la cátedra de estudios afroamericanos, transición de PEI a PEC e implementación de la resemantización en Instituciones Educativas Oficiales del Distrito</t>
  </si>
  <si>
    <t>REVISAR CON ENLACE YA QUE NO SE PROGRAMÓ PARA 2025</t>
  </si>
  <si>
    <t>REVISADO 30 DE JUNIO 2025</t>
  </si>
  <si>
    <t>Becas inclusivas para estudiantes de comunidades negra, afrocolombiana, raizales y palenquera otorgadas</t>
  </si>
  <si>
    <t>Otorgar trescientas noventa y seis (396) becas inclusivas a estudiantes de los Consejos Comunitarios</t>
  </si>
  <si>
    <t>Subsidios para mejoramiento de vivienda otorgados a comunidades negra, afrocolombiana, raizales y palenqueras de los Consejos Comunitarios del Distrito</t>
  </si>
  <si>
    <t>Otorgar cuatrocientos cincuenta (450) subsidios para mejoramiento de vivienda focalizado en las comunidades negras, afrodescendientes, raizales y palenqueros del Distrito</t>
  </si>
  <si>
    <t xml:space="preserve"> Corvivienda no Programó esta meta para esta Linea Estrategica para la vigencia</t>
  </si>
  <si>
    <t xml:space="preserve"> DESARROLLO LOCAL SOSTENIBLE Y PROSPERIDAD COLECTIVA EN LOS TERRITORIOS DE LAS COMUNIDADES NEGRAS DEL DISTRITO DE CARTAGENA</t>
  </si>
  <si>
    <t>Espacios de participación promovidos de las comunidades negras, afro, raizales y palenqueras en procesos de elaboración de los instrumentos de planificación y macroproyectos de la ciudad</t>
  </si>
  <si>
    <t>Promover espacios de participación de las comunidades negras, afro, raizales y palenqueras en los cinco (5) procesos de elaboración de los instrumentos de planificación (POT, PEMP, Planes Parciales, macroproyectos)</t>
  </si>
  <si>
    <t>Programa de Monitoreo Comunitario de Restauración de Ecosistemas Marino - Costeros diseñado y operando</t>
  </si>
  <si>
    <t>Crear e implementar un (1) Programa de Monitoreo Comunitario de Restauración de Ecosistemas Marino-Costeros de los Consejos Comunitarios asentados en la zona marino costera y la Ciénaga de la Virgen</t>
  </si>
  <si>
    <t>Esta meta no fue ni reportada ni programada por el EPA para la vigencia 2024.</t>
  </si>
  <si>
    <t>Programa de Salvaguarda y Recuperación de los Bienes de Interés de Cultural de los Territorios negros, afrocolombiano, raizales y palenqueros creado e implementado</t>
  </si>
  <si>
    <t>Crear e implementar un (1) Programa de Salvaguarda y Recuperación de los Bienes de Interés de Cultural de los Territorios negros, afrocolombiano, raizales y palenqueros</t>
  </si>
  <si>
    <t>Estudio de viabilidad del transporte acuático con las comunidades en concordancia con el Artículo 40 de la Ley 70 de 1992 actualizado</t>
  </si>
  <si>
    <t>Actualizar un (1) estudio de viabilidad del transporte acuático con las comunidades negras, afrocolombiana, raizales y palenqueros</t>
  </si>
  <si>
    <t>Esta meta no se Programó por el IPCC para la vigencia 2025</t>
  </si>
  <si>
    <t>Ecosistemas Empresariales para el cambio en las comunidades negras del Distrito de Cartagena: Aceleración de Impacto a través de creación de nuevos negocios desarrollado</t>
  </si>
  <si>
    <t>Desarrollar un (1) Ecosistema Empresarial para el cambio en las comunidades negras, afrocolombianas, raizal y palenquero del Distrito de Cartagena: Aceleración de Impacto a través de creación de nuevos negocios</t>
  </si>
  <si>
    <t>SECRETARÍA DE TURÍSMO SECRETARÍA DEL INTERIOR Y CONVIVENCIA CIUDADANA - Oficina Asesora de Asuntos Étnicos</t>
  </si>
  <si>
    <t>Esta meta Secretaría de Turismo  no reportó ni programó para esta vigencia</t>
  </si>
  <si>
    <t>Espacios de participación promovidos de las comunidades negras, afro, raizales y palenqueras en la elaboración de la Política Pública de Lucha contra la Pobreza y Seguridad Alimentari</t>
  </si>
  <si>
    <t>Promover un (1) espacio de participación de las comunidades negras, afro, raizales y palenqueras en la elaboración de la Política Pública de Lucha contra la Pobreza y Seguridad Alimentaria</t>
  </si>
  <si>
    <t>SECRETARÍA GENERAL - Oficina Asesora de Asuntos Étnicos</t>
  </si>
  <si>
    <t>Secretaría General  no programó de esta meta Producto para vigencia 2024</t>
  </si>
  <si>
    <t>Seguimientos anuales desarrollados al trazador presupuestal para los recursos de inversión en territorios de comunidades negras</t>
  </si>
  <si>
    <t>Desarrollar cuatro (4) seguimientos anuales al trazador presupuestal para los recursos de inversión en territorios de comunidades negras</t>
  </si>
  <si>
    <t xml:space="preserve">Territorio Sitio de Paz y Pensamiento Colectivo
</t>
  </si>
  <si>
    <t>TERRITORIO PROPIO</t>
  </si>
  <si>
    <t>Asistencia técnica brindada para la adquisición de hectáreas para la constitución de un Territorio Indígena que cobija los tres pueblos indígenas: ZENU, INGA, KANKUAMO</t>
  </si>
  <si>
    <t>Brindar asistencia técnica a cinco (5) cabildos indígenas para la adquisición de hectáreas para la constitución de un Territorio Indígena que cobija los tres pueblos indígenas: ZENÚ, INGA, KANKUAMO</t>
  </si>
  <si>
    <t>Lote para la reubicación de Cabildo Indígena CAIZEM asentado en Membrillal adquirido</t>
  </si>
  <si>
    <t>Adquirir un (1) lote para la reubicación de Cabildo indígena CAIZEM asentado en Membrillal</t>
  </si>
  <si>
    <t>Subsidios para mejoramiento de vivienda otorgados a miembros de los cabildos indígenas
ubicados en el Distrito</t>
  </si>
  <si>
    <t>Otorgar cuatrocientos cincuenta (450) de subsidios para mejoramiento de vivienda a miembros de los cabildos indígenas ubicados en el Distrito</t>
  </si>
  <si>
    <t xml:space="preserve"> Corvivienda Programó esta meta para esta Linea Estrategica para la vigencia en el reporte</t>
  </si>
  <si>
    <t>Cabildos indígenas asesorados en gobernanza y legislación indígena</t>
  </si>
  <si>
    <t>Asesorar a seis (6) cabildos indígenas en gobernanza y legislación indígena</t>
  </si>
  <si>
    <t>Planes de Vida de cabildos indígenas elaborados</t>
  </si>
  <si>
    <t>Elaborar los Planes de Vida de cinco (5) cabildos indígenas asentados en el Distrito de Cartagena (Zenú Zhandero, Zenu Bayunca, Zenu Pasacaballos, Kankuamo e Inga)</t>
  </si>
  <si>
    <t>Elementos patrimoniales y tecnológicos dotados a la Guardia Indígena Ancestral de los 6 cabildos como Sistema de Aplicación de Justicia al interior de las comunidades indígenas</t>
  </si>
  <si>
    <t>Dotar de elementos patrimoniales y tecnológicos a la Guardia Indígena Ancestral de los seis (6) cabildos como Sistema de Aplicación de Justicia al interior de las comunidades indígenas</t>
  </si>
  <si>
    <t>Espacio para la implementación del Centro de Estudio de Pensamiento Mayor Indígena-CEMI mantenido</t>
  </si>
  <si>
    <t>Mantener un (1) espacio para la implementación del Centro de Estudio de Pensamiento Mayor Indígena Intercultural-CEMI donde se permita el diálogo intercultural</t>
  </si>
  <si>
    <t>Ruta de atención para víctimas del conflicto armado de cabildos indígenas de Cartagena implementada</t>
  </si>
  <si>
    <t>Implementar en los seis (6) cabildos indígenas del Distrito la ruta de atención de acuerdo con la reglamentación o normativa del conflicto (T-025 del 2004, Decreto 4635 del 2011 y auto 005 del 2009)</t>
  </si>
  <si>
    <t>ATENCIÓN INTEGRAL PARA LAS COMUNIDADES INDÍGENAS</t>
  </si>
  <si>
    <t>Cabildos Indígenas articulados con la ESE Hospital Local para la atención intercultural indígena de conformidad a los componentes del SISPI</t>
  </si>
  <si>
    <t>Articular con la ESE Hospital Local la atención intercultural indígena en seis (6) Cabildos Indígenas, de conformidad a los componentes del SISPI</t>
  </si>
  <si>
    <t>No programada DADIS para la vigencia 2025</t>
  </si>
  <si>
    <t>Programa de atención psicosocial y salud integral a víctimas implementado y mantenido anualmente</t>
  </si>
  <si>
    <t>Implementar y mantener anualmente un (1) programa de atención psicosocial y salud integral a víctimas en los 6 Cabildos Indígenas</t>
  </si>
  <si>
    <t>Revisar porque la meta producto es anual y no fue  programada DADIS para la vigencia 2026</t>
  </si>
  <si>
    <t>SE REPORTA LO LOGRADO EN EL 2024. EN 2025 AUN NO REPORTAN</t>
  </si>
  <si>
    <t>Niños, niñas y adolescentes indígenas vinculados en actividades lúdicas extramurales y del ejercicio del derecho al juego</t>
  </si>
  <si>
    <t>Vincular a quinientos (500) niños, niñas y adolescentes indígenas en actividades lúdicas extramurales y del ejercicio del derecho al juego</t>
  </si>
  <si>
    <t>Torneos de juegos ancestrales y convencionales indígenas realizados en los seis cabildos indígenas asentados en el Distrito desarrollados</t>
  </si>
  <si>
    <t>Desarrollar cuatro (4) torneos de juegos ancestrales y convencionales indígenas en los seis Cabildos Indígenas asentados en el Distrito</t>
  </si>
  <si>
    <t>Programa de protección, divulgación, preservación y salvaguarda de las prácticas, costumbres y saberes ancestrales de los pueblos originarios de los 6 cabildos indígenas presentes en el Distrito creado e implementado</t>
  </si>
  <si>
    <t>Crear e implementar un (1) programa de protección, divulgación, preservación y salvaguarda de las prácticas, costumbres y saberes ancestrales de los pueblos originarios de los 6 Cabildos Indígenas presentes en el Distrito</t>
  </si>
  <si>
    <t>Becas inclusivas para estudiantes de los cabildos indígenas asentados en el Distrito</t>
  </si>
  <si>
    <t>Otorgar sesenta (60) becas inclusivas para estudiantes de los cabildos indígenas</t>
  </si>
  <si>
    <t>MUJER INDÍGENA, FAMILIA Y GENERACIÓN DE INGRESOS</t>
  </si>
  <si>
    <t>Emprendimiento s de mujeres indígenas distribuidas en los 6 cabildos del Distrito financiados</t>
  </si>
  <si>
    <t>Financiar sesenta (60) emprendimientos de mujeres indígenas distribuidas en los 6 Cabildos del Distrito</t>
  </si>
  <si>
    <t>Unidades productivas en cabildos indígenas con asistencias técnicas y apoyo financiero</t>
  </si>
  <si>
    <t>Brindar asistencia técnica y apoyo financiero a doscientas (200) unidades productivas de los Cabildos Indígenas presentes en el Distrito</t>
  </si>
  <si>
    <t>PES</t>
  </si>
  <si>
    <t>torgados en el Laboratorio Cultural de Mercados Sectoriales a unidades productivas de las comunidades indígenas</t>
  </si>
  <si>
    <t>Otorgar ocho (8) espacios a unidades productivas de comunidades indígenas en el Laboratorio Cultural de los Mercados Sectoriales como mecanismo de generación de ingresos</t>
  </si>
  <si>
    <t>Mujeres indígenas atendidas en el fortalecimiento de las actividades propias</t>
  </si>
  <si>
    <t>Atender a cien (100) mujeres indígenas en el fortalecimiento de sus actividades propias</t>
  </si>
  <si>
    <t>Unidad Municipal de Asistencia Técnica Agropecuaria</t>
  </si>
  <si>
    <t>Mujeres indígenas atendidas con servicios de extensión agropecuaria</t>
  </si>
  <si>
    <t>Atender a cien (100) mujeres indígenas con servicios de extensión agropecuaria</t>
  </si>
  <si>
    <t>PONDERADOR LINEA ESTRATEGICA</t>
  </si>
  <si>
    <t>ESPERADO ACUMULADO CUATRIENIO A DICIEMBRE 2025</t>
  </si>
  <si>
    <t xml:space="preserve">LOGRO (%) RESPECTO AL PROGRAMADO PARA LA VIGENCIA 2025. CORTE JUNIO </t>
  </si>
  <si>
    <t>LOGRO  (%) META PRODUCTO RESPECTO AL PROGRAMADO CUATRIENIO PARCIAL DICIEMBRE 2024</t>
  </si>
  <si>
    <t>LOGRO  (%) META PRODUCTO RESPECTO AL PROGRAMADO CUATRIENIO PARCIAL JUNIO DE 2025</t>
  </si>
  <si>
    <t>AVANCE RESPECTO AL PROGRAMADO VIGENCIA  2024  CUARTO TRIMESTRE (ACUMULADO AÑO 2024)</t>
  </si>
  <si>
    <t>AVANCE  VIGENCIA 2024 CUARTO TRIMESTRE RESPECTO A PROGRAMADO CUATRIENIO (ACUMULADO AÑO 2024)</t>
  </si>
  <si>
    <t>PLAN DE DESARROLLO CARTAGENA CIUDAD DE DERECHOS 20224 - 2027</t>
  </si>
  <si>
    <t>SALUD PÚBLICA</t>
  </si>
  <si>
    <t>CEMENTERIOS</t>
  </si>
  <si>
    <t xml:space="preserve"> ATENCIÓN INTEGRAL AL MIGRANTE</t>
  </si>
  <si>
    <t xml:space="preserve"> CARTAGENA DIVERSA</t>
  </si>
  <si>
    <t xml:space="preserve"> SISTEMA DISTRITAL DEL CUIDADO</t>
  </si>
  <si>
    <t xml:space="preserve"> EDUCACIÓN PARA LA SUPERACIÓN DE LA POBREZA EXTREMA</t>
  </si>
  <si>
    <t xml:space="preserve"> HABITABILIDAD PARA LA SUPERACIÓN DE LA POBREZA EXTREMA</t>
  </si>
  <si>
    <t xml:space="preserve"> INGRESO Y TRABAJO PARA LA SUPERACIÓN DE LA POBREZA EXTREMA</t>
  </si>
  <si>
    <t xml:space="preserve"> ACCESO A LA JUSTICIA PARA LA SUPERACIÓN DE LA POBREZA EXTREMA</t>
  </si>
  <si>
    <t xml:space="preserve"> MODERNIZACIÓN DE LA INFRAESTRUCTURA EDUCATIVA</t>
  </si>
  <si>
    <t xml:space="preserve"> ME QUEDO PORQUE ME QUEDO</t>
  </si>
  <si>
    <t xml:space="preserve"> CARTAGENA MEJOR EDUCADA</t>
  </si>
  <si>
    <t xml:space="preserve"> UNIDOS POR EL SUEÑO SUPERIOR</t>
  </si>
  <si>
    <t xml:space="preserve"> AVANZAMOS EN EL FORTALECIMIENTO INSTITUCIONAL DE LA SECRETARÍA DE EDUCACIÓN</t>
  </si>
  <si>
    <t xml:space="preserve"> CARTAGENA, TERRITORIO DIGITAL</t>
  </si>
  <si>
    <t xml:space="preserve"> OFERTA ACADÉMICA SUPERIOR CON CALIDAD</t>
  </si>
  <si>
    <t xml:space="preserve"> FORMACIÓN TÉCNICA Y COMPLEMENTARIA EN OFICIOS</t>
  </si>
  <si>
    <t xml:space="preserve"> ACCESO AL AGUA POTABLE Y SANEAMIENTO BÁSICO</t>
  </si>
  <si>
    <t xml:space="preserve"> AVANZAMOS POR UNA CARTAGENA ILUMINADA Y LA TRANSICIÓN ENERGÉTICA</t>
  </si>
  <si>
    <t xml:space="preserve"> UNIDOS POR LA GESTIÓN DE LOS RESIDUOS Y EL DESARROLLO SOSTENIBLE</t>
  </si>
  <si>
    <t xml:space="preserve"> MI CASA AVANZA</t>
  </si>
  <si>
    <t xml:space="preserve"> MI CASA CON PROPIEDAD</t>
  </si>
  <si>
    <t xml:space="preserve"> FORTALECIMIENTO DEL CAPITAL HUMANO A TRAVÉS DE LAS CIENCIAS APLICADAS AL DEPORTE Y LA RECREACIÓN.</t>
  </si>
  <si>
    <t xml:space="preserve"> PROMOCIÓN DE HÁBITOS Y ESTILOS DE VIDA SALUDABLE, RECREACIÓN, ACTIVIDAD FÍSICA Y EL APROVECHAMIENTO DEL TIEMPO LIBRE EN EL DISTRITO DE CARTAGENA</t>
  </si>
  <si>
    <t xml:space="preserve"> AVANZANDO HACIA UNA INFANCIA Y ADOLESCENCIA PROTEGIDA Y SIN VIOLENCIAS</t>
  </si>
  <si>
    <t xml:space="preserve"> JUGANDO Y PARTICIPANDO LOS DERECHOS DE LA NIÑEZ VAMOS IMPULSANDO</t>
  </si>
  <si>
    <t xml:space="preserve"> AVANZAMOS PARA FORTALECER LA ECONOMÍA POPULAR Y GENERAR MEJORES INGRESOS PARA NUESTRAS FAMILIAS</t>
  </si>
  <si>
    <t xml:space="preserve"> FOMENTO EMPRESARIAL Y DESARROLLO SOSTENIBLE</t>
  </si>
  <si>
    <t xml:space="preserve"> SEGURIDAD, VIGILANCIA Y CONTROL PARA UN TURISMO RESPONSABLE</t>
  </si>
  <si>
    <t xml:space="preserve"> TURISMO SOSTENIBLE E INCLUYENTE CON LAS COMUNIDADES</t>
  </si>
  <si>
    <t xml:space="preserve"> PROMOCIÓN TURÍSTICA</t>
  </si>
  <si>
    <t xml:space="preserve"> CARTAGENA CIUDAD DE PESCADORES</t>
  </si>
  <si>
    <t xml:space="preserve"> INSTRUMENTOS DE PLANIFICACIÓN TERRITORIAL</t>
  </si>
  <si>
    <t xml:space="preserve"> GENERACIÓN DE ESPACIOS PÚBLICOS REVITALIZADOS Y ADAPTADOS PARA TODOS</t>
  </si>
  <si>
    <t xml:space="preserve"> ORDENAMIENTO Y SOSTENIBILIDAD AMBIENTAL</t>
  </si>
  <si>
    <t xml:space="preserve"> REDUCCIÓN DEL RIESGO</t>
  </si>
  <si>
    <t xml:space="preserve"> PROTECCIÓN COSTERA</t>
  </si>
  <si>
    <t xml:space="preserve"> SOSTENIBILIDAD DEL ESPACIO PÚBLICO DEL CENTRO HISTÓRICO DE CARTAGENA DE INDIAS.</t>
  </si>
  <si>
    <t xml:space="preserve"> INTERVENCIONES URBANAS INTEGRALES</t>
  </si>
  <si>
    <t xml:space="preserve"> REHABILITACIÓN, MANTENIMIENTO, ADECUACIÓN, Y OBRA NUEVA PARA EL SISTEMA VIAL Y ESTRUCTURAS DE PASO</t>
  </si>
  <si>
    <t xml:space="preserve"> SOLUCIONES VIALES PARA LA COMPETITIVIDAD A TRAVÉS DE CONTRIBUCIÓN POR VALORIZACIÓN</t>
  </si>
  <si>
    <t xml:space="preserve"> GESTIÓN Y CONSERVACIÓN DEL AGUA</t>
  </si>
  <si>
    <t xml:space="preserve"> RECUPERACIÓN DEL SISTEMA DE CANALES Y DRENAJES PLUVIALES</t>
  </si>
  <si>
    <t xml:space="preserve"> PROCESOS ADMINISTRATIVOS ÓPTIMOS Y TRANSPARENTES</t>
  </si>
  <si>
    <t xml:space="preserve"> TRANSPARENCIA Y LUCHA CONTRA LA CORRUPCIÓN</t>
  </si>
  <si>
    <t xml:space="preserve"> CARTAGENA DIGITAL, INCLUSIVA Y CONECTADA</t>
  </si>
  <si>
    <t xml:space="preserve"> MEJORA NORMATIVA EN EL DISTRITO DE CARTAGENA DE INDIAS</t>
  </si>
  <si>
    <t xml:space="preserve"> PATRIMONIO PÚBLICO AL SERVICIO DE CARTAGENA</t>
  </si>
  <si>
    <t xml:space="preserve"> CIUDADANÍA DIVERSA, PARTICIPATIVA Y PROPULSORA DEL DESARROLLO</t>
  </si>
  <si>
    <t xml:space="preserve"> CARTAGENEIDAD CON ORGULLO Y ESPLENDOR</t>
  </si>
  <si>
    <t xml:space="preserve"> CARTAGENA BRILLA CON CULTURA CIUDADANA</t>
  </si>
  <si>
    <t xml:space="preserve"> ESCUELA DE GOBERNANZA E INNOVACIÓN PÚBLICA</t>
  </si>
  <si>
    <t xml:space="preserve"> PRESUPUESTO PARTICIPATIVO</t>
  </si>
  <si>
    <t xml:space="preserve"> PARTICIPANDO DECIDIMOS Y AVANZAMOS</t>
  </si>
  <si>
    <t xml:space="preserve"> DESCENTRALIZACIÓN ADMINISTRATIVA</t>
  </si>
  <si>
    <t xml:space="preserve"> TERRITORIO PROPIO</t>
  </si>
  <si>
    <t xml:space="preserve"> ATENCIÓN INTEGRAL PARA LAS COMUNIDADES INDÍGENAS</t>
  </si>
  <si>
    <t xml:space="preserve"> MUJER INDÍGENA, FAMILIA Y GENERACIÓN DE INGRESOS</t>
  </si>
  <si>
    <t xml:space="preserve">PONDERADOR </t>
  </si>
  <si>
    <t xml:space="preserve">AVANCE  CORTE DICIEMBRE  2024 RESPECTO AL CUATRIENIO </t>
  </si>
  <si>
    <t>PROGRAMADO VIGENCIA  2025</t>
  </si>
  <si>
    <t>AVANCE ESPERADO ACUMULADO CUATRIENIO 2024 - 2025</t>
  </si>
  <si>
    <t xml:space="preserve">AVANCE  TRIMESTRE ENERO -JUNIO DE 2025  </t>
  </si>
  <si>
    <t>AVANCE TRIEMSTRE ABRIL - JUNIO 2025</t>
  </si>
  <si>
    <t>AVANCE TRIEMSTRE JULIO - SEPTIEMBRE 2026</t>
  </si>
  <si>
    <t>AVANCE TRIEMSTRE OCTUBRE - DCIIEMBRE  2027</t>
  </si>
  <si>
    <t>AVANCE ACUMULADO  CORTE  JUNIO 2025 RESPECTO AL CUATRIENIO</t>
  </si>
  <si>
    <t xml:space="preserve">AVANCE  ANUAL ALCANZADO RESPECTO A LA VIGENCIA  2024 </t>
  </si>
  <si>
    <t xml:space="preserve">LOGRO (%) RESPECTO AL PROGRAMADO PARA LA VIGENCIA 2025 CORTE  JUNIO </t>
  </si>
  <si>
    <t xml:space="preserve">AVANCE  SEGUNDO TRIMESTRE 2025 RESPECTO AL PROGRAMADO PARA IGUAL VIGENCIA </t>
  </si>
  <si>
    <t>PROGRAMADO CORTE  2024 RESPECTO AL CUATRIENIO 2024 -2027 (PONDERADOR)</t>
  </si>
  <si>
    <t>PROGRAMADO CORTE  2025 RESPECTO AL CUATRIENIO 2024 -2027 (PONDERADOR)</t>
  </si>
  <si>
    <t>LOGRO ALCANZADO DICIEMBRE RESPECTO AL CUATRIENIO (PONDERADOR) 2024</t>
  </si>
  <si>
    <t>LOGRO ALCANZADO DICIEMBRE RESPECTO AL CUATRIENIO (PONDERADOR) 2025. CORTE JUNIO</t>
  </si>
  <si>
    <t>PORCENTAJE  ALCANZADO DICIEMBRE  RESPECTO A LO PROGRAMADO 2024</t>
  </si>
  <si>
    <t xml:space="preserve">LOGRO ALCANZADO DICIEMBRE RESPECTO AL CUATRIENIO  </t>
  </si>
  <si>
    <t>TOTAL METAS PRODUCTO PDD 2024 -2027</t>
  </si>
  <si>
    <t xml:space="preserve">PARTICIPACIÓN DE METAS PRODUCTO </t>
  </si>
  <si>
    <t>PLAN DE DESARROLLO CARTAGENA CIUDAD DE DERECHOS 2024 - 2027</t>
  </si>
  <si>
    <t>TABLERO DE CONTROL PARA PLANES DE ACCIÓN - RANGOS POR TRIMESTRE AJUSTADOS SEGÚN EL PERIODO DE CORTE.</t>
  </si>
  <si>
    <t>PLAN DE ACCIÓN METAS PRODUCTO</t>
  </si>
  <si>
    <t>Criterio de Seguimiento</t>
  </si>
  <si>
    <t>Rango de Seguimiento</t>
  </si>
  <si>
    <t>Primer Trimestre</t>
  </si>
  <si>
    <t>Segundo Trimestre</t>
  </si>
  <si>
    <t>Tercer Trimestre</t>
  </si>
  <si>
    <t>Cuarto Trimestre</t>
  </si>
  <si>
    <t>Sobresaliente</t>
  </si>
  <si>
    <t>90,1% - 100%</t>
  </si>
  <si>
    <t>22,51% - 25%</t>
  </si>
  <si>
    <t>45,1% - 50%</t>
  </si>
  <si>
    <t>67,51% - 75%</t>
  </si>
  <si>
    <t>Aceptable</t>
  </si>
  <si>
    <t>75,1% - 90%</t>
  </si>
  <si>
    <t>18,76% - 22,5%</t>
  </si>
  <si>
    <t>37,51% - 45%</t>
  </si>
  <si>
    <t>56,26% - 67,5%</t>
  </si>
  <si>
    <t>Medio</t>
  </si>
  <si>
    <t>50,1% - 75%</t>
  </si>
  <si>
    <t>12,51% - 18,75%</t>
  </si>
  <si>
    <t>25,1% - 37,5%</t>
  </si>
  <si>
    <t>37,51% - 56,25%</t>
  </si>
  <si>
    <t>Deficiente</t>
  </si>
  <si>
    <t>25,1% - 50%</t>
  </si>
  <si>
    <t>6,26% - 12,5%</t>
  </si>
  <si>
    <t>12,51% - 25%</t>
  </si>
  <si>
    <t>18,76% - 37,5%</t>
  </si>
  <si>
    <t>Crítico</t>
  </si>
  <si>
    <t>0%  - 25%</t>
  </si>
  <si>
    <t>0% - 6,25%</t>
  </si>
  <si>
    <t>0% - 12,5%</t>
  </si>
  <si>
    <t>0% - 18,75%</t>
  </si>
  <si>
    <t>0% - 25%</t>
  </si>
  <si>
    <t>AVANCE SEGUNDO TRIMESTRE 2025</t>
  </si>
  <si>
    <t>CRIERIO DE SEGUMIENTO CORTE  DE JUNIO  DE 2025</t>
  </si>
  <si>
    <t>LOGRO (%) RESPECTO AL PROGRAMADO PARA LA VIGENCIA 2025</t>
  </si>
  <si>
    <t>ACEPTABLE</t>
  </si>
  <si>
    <t>NIVEL DE EFICACIA</t>
  </si>
  <si>
    <t>ESTADO INDICADORES TABLERO DE CONTROL</t>
  </si>
  <si>
    <t>CALIFICACIÓN</t>
  </si>
  <si>
    <t>AVANCE PLAN DE DESARROLLO 2024 - 2027. CORTE  JUNIO  2025</t>
  </si>
  <si>
    <t xml:space="preserve">NIVEL DE EFICACIA A CORTE JUNIO </t>
  </si>
  <si>
    <t>PLAN DE DESARROLLO VIGENCIA 2024</t>
  </si>
  <si>
    <t>Muy Alto</t>
  </si>
  <si>
    <t>Mayor o igual a 90%</t>
  </si>
  <si>
    <t>45,05% o más.</t>
  </si>
  <si>
    <t>MEDIO</t>
  </si>
  <si>
    <t>Alto</t>
  </si>
  <si>
    <t>Igual o mayor al 70%  hasta el  89,9%</t>
  </si>
  <si>
    <t>35,03% - 45,04%</t>
  </si>
  <si>
    <t>Igual o mayor al 50% hasta el  69,9%</t>
  </si>
  <si>
    <t>25,1% - 35,02%</t>
  </si>
  <si>
    <t>Bajo</t>
  </si>
  <si>
    <t>Igual o mayor al 30% hasta el  49,9%</t>
  </si>
  <si>
    <t>14,99% - 25%</t>
  </si>
  <si>
    <t>Muy Bajo</t>
  </si>
  <si>
    <t>Menor al 29,9%</t>
  </si>
  <si>
    <t>ACUMULADO DICIEMBRE 2024</t>
  </si>
  <si>
    <t>ESPERADO A DICIEMBRE 2025</t>
  </si>
  <si>
    <t>ESPERADO ACUMULADO A  DICIEMBRE 2025</t>
  </si>
  <si>
    <t>ESPERADO PARCIAL POR TRIMESTRE 2025</t>
  </si>
  <si>
    <t>AVANCE ACUMULADO MARZO 2025</t>
  </si>
  <si>
    <t>AVANCE ENERO - MARZO 2025</t>
  </si>
  <si>
    <t>AVANCE ACUMULADO JULIO 2025</t>
  </si>
  <si>
    <t>AVANCE MARZO - JUNIO  DE 2025</t>
  </si>
  <si>
    <t>DEFICIT O SUPERAVIT ENTRE ENERO - MARZO 2025</t>
  </si>
  <si>
    <t>DEFICIT O SUPERAVIT ENTRE MARZO -   JUNIO 2025</t>
  </si>
  <si>
    <t xml:space="preserve">AVANCE RESPECTO AL CUATRIENIO DE LOS COMPONENTES IMPULSORES LINEA ESTRATEGICA SEGURIDAD HUMANA COMPARATIVO DICIEMBRE 2024 -  JUNIO 2025
</t>
  </si>
  <si>
    <t>AVANCE RESPECTO AL CUATRIENIO DE LOS COMPONENTES IMPULSORES LINEA ESTRATEGICA SEGURIDAD HUMANA  JUNIO 2025. PONDERADO.</t>
  </si>
  <si>
    <t>ESPERADO  AL CUATRIENIO CORTE DICIEMBRE 2025</t>
  </si>
  <si>
    <t>LOGRO VIGENCIA  CORTE  JUNIO 2025 RESPECTO AL CUATRIENIO</t>
  </si>
  <si>
    <t>LOGRO VIGENCIA  CORTE DICIEMBRE  2024 RESPECTO AL CUATRIENIO</t>
  </si>
  <si>
    <t>ESPERADO VIGENCIA  2025  RESPECTO AL CUATRIENIO</t>
  </si>
  <si>
    <t>LOGRO CORTE  JUNIO 2025 RESPECTO AL CUATRIENIO</t>
  </si>
  <si>
    <t>AVANCE PONDERADO CORTE   JUNIO 2025</t>
  </si>
  <si>
    <t>AVANCE CUATRIENIO COMPONENTE IMPULSOR SEGURIDAD CIUDADANA Y ORDEN PÚBLICO  CORTE  JUNIO 2025</t>
  </si>
  <si>
    <t xml:space="preserve">
</t>
  </si>
  <si>
    <t>AVANCE CUATRIENIO COMPONENTE IMPULSOR CONSTRUCCIÓN DE PAZ, DERECHOS HUMANOS Y CONVIVENCIA. CORTE  JUNIO 2025</t>
  </si>
  <si>
    <t>AVANCE CUATRIENIO COMPONENTE IMPULSOR SALUD PÚBLICA Y ASEGURAMIENTO. CORTE  JUNIO 2025</t>
  </si>
  <si>
    <t>AVANCE CUATRIENIO COMPONENTE IMPULSOR ATENCIÓN INTEGRAL A GRUPOS DE ESPECIAL PROTECCIÓN.   CORTE  JUNIO 2025</t>
  </si>
  <si>
    <t>AVANCE CUATRIENIO COMPONENTE IMPULSOR  SUPERACIÓN DE LA POBREZA EXTREMA Y SOBERANIA ALIMENTARIA.  CORTE  JUNIO 2025</t>
  </si>
  <si>
    <t>AVANCE  PARCIAL VIGENCIA  CORTE  JUNIO 2025</t>
  </si>
  <si>
    <t>PROGRAMAS EN ESTADO DE CUMPLIMIENTO BAJO O MUY BAJO.</t>
  </si>
  <si>
    <t>COMPONENTE IMPULSOR DE AVANCE</t>
  </si>
  <si>
    <t>AVANCE CUATRIENIO  CORTE  JUNIO 2025. PROGRAMAS.</t>
  </si>
  <si>
    <t>RESPONSABLES</t>
  </si>
  <si>
    <t>SECRETARÍA DEL INTERIOR</t>
  </si>
  <si>
    <t>PLAN DE EMERGENCIA SOCIAL PES Pr</t>
  </si>
  <si>
    <t xml:space="preserve">AVANCE RESPECTO AL CUATRIENIO DE LOS COMPONENTES IMPULSORES LINEA ESTRATEGICA VIDA DIGNA  COMPARATIVO DICIEMBRE 2024 - JUNIO 2025
</t>
  </si>
  <si>
    <t xml:space="preserve">AVANCE RESPECTO AL CUATRIENIO DE LOS COMPONENTES IMPULSORES LINEA ESTRATEGICA VIDA DIGNA  JUNIO 2025. PONDERADO.
</t>
  </si>
  <si>
    <t>LOGRO VIGENCIA  CORTE JUNIO 2025 RESPECTO AL CUATRIENIO</t>
  </si>
  <si>
    <t>LOGRO CORTE JUNIO 2025 RESPECTO AL CUATRIENIO</t>
  </si>
  <si>
    <t>AVANCE PONDERADO CORTE  JUNIO 2025</t>
  </si>
  <si>
    <t>AVANCE CUATRIENIO COMPONENTE IMPULSOR EDUCACIÓN  CORTE JUNIO 2025</t>
  </si>
  <si>
    <t>AULA GLOBAL</t>
  </si>
  <si>
    <t>AVANCE CUATRIENIO COMPONENTE IMPULSOR ACCESO A SERVICIOS BÁSICOS CORTE JUNIO 2025</t>
  </si>
  <si>
    <t>AVANCE CUATRIENIO COMPONENTE IMPULSOR VIVIENDA DIGNA Y HÁBITATCORTE JUNIO 2025</t>
  </si>
  <si>
    <t>AVANCE CUATRIENIO COMPONENTE IMPULSOR ARTES, CULTURA Y PATRIMONIO CORTE JUNIO 2025</t>
  </si>
  <si>
    <t>AVANCE CUATRIENIO COMPONENTE IMPULSOR DEPORTES Y RECREACIÓN  CORTE JUNIO 2025</t>
  </si>
  <si>
    <t>AVANCE CUATRIENIO COMPONENTE IMPULSOR INFANCIA, ADOLESCENCIA Y FAMILIA CORTE JUNIO 2025</t>
  </si>
  <si>
    <t>AVANCE  PARCIAL VIGENCIA  CORTE JUNIO 2025</t>
  </si>
  <si>
    <t>AVANCE CUATRIENIO  CORTE JUNIO 2025. PROGRAMAS.</t>
  </si>
  <si>
    <t>Institución Universitaria Mayor de Cartagena. </t>
  </si>
  <si>
    <t>AVANCE RESPECTO AL CUATRIENIO DE LOS COMPONENTES IMPULSORES LINEA ESTRATEGICA DESARROLLO ECONOMICO  COMPARATIVO DICIEMBRE 2024 - JUNIO 2025</t>
  </si>
  <si>
    <t>AVANCE COMPONENTES IMPULSORES LINEA ESTRATEGICA DESARROLLO ECONOMICO   JUNIO DE 2025 RESPECTO AL CUATRIENIO. PONDERADO.</t>
  </si>
  <si>
    <t>AVANCE PONDERADO CORTE JUNIO 2025</t>
  </si>
  <si>
    <t>AVANCE CUATRIENIO IMPULSOR DE AVANCE: COMPETITIVIDAD E INNOVACIÓN. CORTE JUNIO 2025</t>
  </si>
  <si>
    <t>AVANCE CUATRIENIO IMPULSOR DE AVANCE: DIVERSIFICACIÓN ECONOMICA. CORTE JUNIO 2025</t>
  </si>
  <si>
    <t>AVANCE CUATRIENIO IMPULSOR DE AVANCE: TRABAJO DECENTE Y CIERRE DE BRECHAS. CORTE JUNIO 2025</t>
  </si>
  <si>
    <t>AVANCE CUATRIENIO IMPULSOR DE AVANCE: ECONOMÍA POPULAR Y EMPRENDIMIENTO. CORTE JUNIO 2025</t>
  </si>
  <si>
    <t>AVANCE CUATRIENIO IMPULSOR DE AVANCE: TURISMO SOSTENIBLE Y RESPONSABLE. CORTE JUNIO 2025</t>
  </si>
  <si>
    <t>AVANCE CUATRIENIO IMPULSOR DE AVANCE: DESARROLLO AGROPECUARIO. CORTE JUNIO 2025</t>
  </si>
  <si>
    <t>AVANCE CUATRIENIO IMPULSOR DE AVANCE: SISTEMA INTEGRAL DE ABASTECIMIENTO. CORTE JUNIO 2025</t>
  </si>
  <si>
    <t>Secretaría de Hacienda, Secretaría de Educación y Secretaría de Partcipación y Desarrollo Social</t>
  </si>
  <si>
    <t>Secretaría de Partcipación y Desarrollo Social</t>
  </si>
  <si>
    <t xml:space="preserve"> GEPM - Secretaría de Hacienda -  Secretaría de Partcipación y Desarrollo Social</t>
  </si>
  <si>
    <t>Secretaría de Turismo</t>
  </si>
  <si>
    <t>UMATA - Secretaría de Infraestructura -  CORVIVIENDA</t>
  </si>
  <si>
    <t>Secretaría General</t>
  </si>
  <si>
    <t xml:space="preserve">AVANCE RESPECTO AL CUATRIENIO DE LOS COMPONENTES IMPULSORES LINEA ESTRATÉGICA CIUDAD CONECTADA. COMPARATIVO DICIEMBRE DE  2024 - JUNIO 2025
</t>
  </si>
  <si>
    <t>AVANCE RESPECTO AL CUATRIENIO DE LOS COMPONENTES IMPULSORES LINEA ESTRATEGICA CIUDAD CONECTADA  JUNIO DE 2025. PONDERADO</t>
  </si>
  <si>
    <t>AVANCE CUATRIENIO IMPULSOR DE AVANCE: ORDENAMIENTO DEL TERRITORIO. CORTE JUNIO 2025.</t>
  </si>
  <si>
    <t>AVANCE CUATRIENIO IMPULSOR DE AVANCE: CONTROL URBANISTICO. CORTE JUNIO 2025</t>
  </si>
  <si>
    <t>AVANCE CUATRIENIO IMPULSOR DE AVANCE: CARTAGENA AMIGABLE CON EL AMBIENTE. CORTE JUNIO 2025</t>
  </si>
  <si>
    <t>AVANCE CUATRIENIO IMPULSOR DE AVANCE: CARTAGENA ADAPTADA AL CLIMA Y RESILIENTE. CORTE JUNIO 2025</t>
  </si>
  <si>
    <t>AVANCE CUATRIENIO IMPULSOR DE AVANCE: CIUDAD HISTORICA Y PATRIMONIAL. CORTE JUNIO 2025</t>
  </si>
  <si>
    <t>AVANCE CUATRIENIO IMPULSOR DE AVANCE: INFRAESTRUCTURA, MOVILIDAD Y ACCESIBILIDAD.  CORTE JUNIO 2025</t>
  </si>
  <si>
    <t>AVANCE CUATRIENIO IMPULSOR DE AVANCE: CARTAGENA ORDENADA ALREDEDOR DEL AGUA. CORTE JUNIO 2025</t>
  </si>
  <si>
    <t>GERENCIA DE ESPACIO PÚBLICO Y MOVILIDAD - DATT- SECRETARÍA DE PLANEACIÓN - ESCUELA TALLER ETCAR - SECRETARÍA DE INFRAESTRUCTURA  - SECRETARÍA  GENERAL</t>
  </si>
  <si>
    <t>ESCUELA TALLER CARTAGENA DE INDIAS -  - GERENCIA DE ESPACIO PÚBLICO Y MOVILIDAD -  IDER
SECRETARÍA DE INFRAESTRUCTURA</t>
  </si>
  <si>
    <t xml:space="preserve">AVANCE RESPECTO AL CUATRIENIO DE LOS COMPONENTES IMPULSORES LINEA ESTRATÉGICA INNOVACIÓN Y PARTICIPACIÓN. COMPARATIVO DICIEMBRE DE  2024 - JUNIO 2025
</t>
  </si>
  <si>
    <t>AVANCE RESPECTO AL CUATRIENIO DE LOS COMPONENTES IMPULSORES LINEA ESTRATEGICA INNOVACIÓN Y PARTICIPACIÓN. JUNIO 2025.  PONDERADO</t>
  </si>
  <si>
    <t xml:space="preserve">Transparencia y Gobierno Abierto
</t>
  </si>
  <si>
    <t>AVANCE CUATRIENIO IMPULSOR DE AVANCE: TRANSPARENCIA Y GOBIERNO ABIERTO. CORTE JUNIO 2025</t>
  </si>
  <si>
    <t>AVANCE CUATRIENIO IMPULSOR DE AVANCE: FORTALECIMIENTO INSTITUCIONAL. CORTE JUNIO 2025</t>
  </si>
  <si>
    <t>AVANCE CUATRIENIO IMPULSOR DE AVANCE: FINANZAS PÚBLICAS. CORTE JUNIO 2025</t>
  </si>
  <si>
    <t>AVANCE CUATRIENIO IMPULSOR DE AVANCE: CULTURA CIUDADANA. CORTE JUNIO 2025</t>
  </si>
  <si>
    <t>AVANCE CUATRIENIO IMPULSOR DE AVANCE: PARTICIPACIÓN CIUDADANA Y ACCIÓN COMUNAL. CORTE JUNIO 2025</t>
  </si>
  <si>
    <t>AVANCE CUATRIENIO IMPULSOR DE AVANCE: SISTEMA DE PLANEACIÓN DISTRITAL. CORTE JUNIO 2025</t>
  </si>
  <si>
    <t>DEPARTAMENTO ADMINISTRATIVO DE TRANSITO Y TRANSPORTE DATT</t>
  </si>
  <si>
    <t>ESCUELA DE GOBIERNO Y LIDERAZGO -</t>
  </si>
  <si>
    <t xml:space="preserve">  AVANCE RESPECTO AL CUATRIENIO DE LOS COMPONENTES IMPULSORES CAPÍTULO DE LOS PUEBLOS Y COMUNIDADES ÉTNICAS. COMPARATIVO DICIEMBRE DE  2024 - JUNIO 2025
</t>
  </si>
  <si>
    <t>AVANCE RESPECTO AL CUATRIENIO DE LOS COMPONENTES IMPULSORES CAPITULO ETNICO  10 DE JUNIO DE 2025. PONDERADO</t>
  </si>
  <si>
    <t>AVANCE CUATRIENIO IMPULSOR DE AVANCE: FORTALECIMIENTO AL DESARROLLO AFRO-TERRITORIAL DE LA POBLACIÓN NEGRA, AFROCOLOMBIANA, RAIZAL Y PALENQUERA. CORTE JUNIO 2025</t>
  </si>
  <si>
    <t>AVANCE CUATRIENIO IMPULSOR DE AVANCE: TERRITORIO SITIO DE PAZ Y PENSAMIENTO COLECTIVO. CORTE JUNIO 2025</t>
  </si>
  <si>
    <t>SECRETARÍA DEL INTERIOR Y CONVIVENCIA CIUDADANA - SECRETARÍA GENERAL</t>
  </si>
  <si>
    <t xml:space="preserve">EPA - SECRETARÍA DE PLANEACIÓN - SECRETARÍA DE EDUCACIÓN - IPCC - SECRETARÍA DE TURÍSMO -  SECRETARÍA DEL INTERIOR Y CONVIVENCIA CIUDADANA </t>
  </si>
  <si>
    <t>DEPARTAMENTO ADMINISTRATIVO DISTRITAL DE SALUD DADIS - IDER - SECRETARÍA DE EDUCACIÓN - CORVIVIENDA</t>
  </si>
  <si>
    <t>DEPARTAMENTO ADMINISTRATIVO DISTRITAL DE SALUD DADIS - IDER - SECRETARÍA DE EDUCACIÓN - CORVIVIENDA - IPCC</t>
  </si>
  <si>
    <t>Unidad Municipal de Asistencia Técnica Agropecuaria - SECRETARÍA DE PARTICIPACIÓN Y DESARROLLO SOCIAL - PES -Secretaría General</t>
  </si>
  <si>
    <t>LINEA ESTRATEGICA</t>
  </si>
  <si>
    <t>AVANCE LINEA ESTRATEGICA</t>
  </si>
  <si>
    <t>AVANCE COMPONENTE IMPULSOR DE AVANCE</t>
  </si>
  <si>
    <t>PROGRAMAS</t>
  </si>
  <si>
    <t>AVANCE PROGRAMAS</t>
  </si>
  <si>
    <t>INDICADOR DE LA META PRODUCTO</t>
  </si>
  <si>
    <t>META PRODUCTO</t>
  </si>
  <si>
    <t>AVANCE ACUMULADO META PRODUCTO CORTE  JUNIO 2025</t>
  </si>
  <si>
    <t>CAPÍTULO DE LOS PUEBLOS Y COMUNIDADES ÉTNICAS</t>
  </si>
  <si>
    <t>Fortalecimiento al Desarrollo Afro-Territorial de la Población Negra, Afrocolombiana, Raizal y Palenquera</t>
  </si>
  <si>
    <t>DESARROLLO HUMANO Y BIENESTAR SOCIAL DE LAS COMUNIDADES NEGRAS, AFROCOLOMBIANAS, RAIZALES Y PALENQUERAS</t>
  </si>
  <si>
    <t>Valor Absoluto</t>
  </si>
  <si>
    <t>Territorio Sitio de Paz y Pensamiento Colectivo</t>
  </si>
  <si>
    <t>GOBERNANZA Y PARTICIPACIÓN DE LAS COMUNIDADES NEGRAS AFROCOLOMBIANAS, RAIZALES Y PALENQUERAS PARA EL FORTALECIMIENTO DE LA DEMOCRACIA EN EL DISTRITO</t>
  </si>
  <si>
    <t>SECRETARÍA DEL INTERIOR Y CONVIVENCIA CIUDADANA
SECRETARÍA GENERAL</t>
  </si>
  <si>
    <t>SECRETARÍA DEL INTERIOR Y CONVIVENCIA CIUDADANA
SECRETARÍA GENERAL
SECRETARÍA DEL INTERIOR Y CONVIVENCIA CIUDADANA</t>
  </si>
  <si>
    <t>Programa para participación ciudadana de las comunidades Negra, Afrocolombiana, Raizales y Palenquera en estrategia de SEGURIDAD HUMANA creado e implementado</t>
  </si>
  <si>
    <t>Crear e implementar un (1) Programa para Participación Ciudadana de las Comunidades Negra, Afrocolombiana, Raizales y Palenquera, en la estrategia de SEGURIDAD HUMANA</t>
  </si>
  <si>
    <t>DESARROLLO LOCAL SOSTENIBLE Y PROSPERIDAD COLECTIVA EN LOS TERRITORIOS DE LAS COMUNIDADES NEGRAS DEL DISTRITO DE CARTAGENA</t>
  </si>
  <si>
    <t>SECRETARÍA DE TURÍSMO
SECRETARÍA DEL INTERIOR Y CONVIVENCIA CIUDADANA</t>
  </si>
  <si>
    <t>SECRETARÍA GENERAL
SECRETARÍA DEL INTERIOR Y CONVIVENCIA CIUDADANA</t>
  </si>
  <si>
    <t>Subsidios para mejoramiento de vivienda otorgados a miembros de los cabildos indígenas_x000D_
ubicados en el Distrito</t>
  </si>
  <si>
    <t>LÍNEA ESTRATÉGICA</t>
  </si>
  <si>
    <t>Avance Plan de Desarrollo</t>
  </si>
  <si>
    <t>IMPULSOR DE AVANCE</t>
  </si>
  <si>
    <t>Avance del Impulsor</t>
  </si>
  <si>
    <t>PROGRAMA</t>
  </si>
  <si>
    <t>Avance del programa</t>
  </si>
  <si>
    <t>PRODUCTO</t>
  </si>
  <si>
    <t>ENTIDAD RESPONSABLE</t>
  </si>
  <si>
    <t>TIPO DE AVANCE</t>
  </si>
  <si>
    <t>CIUDAD CONECTADA Y SOSTENIBLE</t>
  </si>
  <si>
    <t>Ciudad Histórica y Patrimonial</t>
  </si>
  <si>
    <t>CONEXIÓN ENTRE EL CASTILLO DE SAN FELIPE DE BARAJAS Y SU ÁREA DE INFLUENCIA PARA LA RECUPERACIÓN DEL PATRIMONIO ARQUEOLÓGICO, MATERIAL E INMATERIAL</t>
  </si>
  <si>
    <t>ESCUELA TALLER CARTAGENA DE INDIAS
GERENCIA DE ESPACIO PÚBLICO Y MOVILIDAD
SECRETARÍA DE INFRAESTRUCTURA</t>
  </si>
  <si>
    <t>ESCUELA TALLER CARTAGENA DE INDIAS
GEPM (GERENCIA DE ESPACIO PÚBLICO Y MOVILIDAD)
IDER
SECRETARÍA DE INFRAESTRUCTURA</t>
  </si>
  <si>
    <t>ESCUELA TALLER CARTAGENA DE INDIAS
GEPM (GERENCIA DE ESPACIO PÚBLICO Y MOVILIDAD)
SECRETARÍA DE INFRAESTRUCTURA</t>
  </si>
  <si>
    <t>Infraestructura, Movilidad Sostenible y Accesibilidad para Todos</t>
  </si>
  <si>
    <t>INTERVENCIONES URBANAS INTEGRALES</t>
  </si>
  <si>
    <t>Cartagena Ordenada Alrededor del Agua</t>
  </si>
  <si>
    <t>GESTIÓN DEL TERRITORIO MARINO-COSTERO</t>
  </si>
  <si>
    <t>SECRETARÍA DE PLANEACIÓN
CORVIVIENDA</t>
  </si>
  <si>
    <t>REHABILITACIÓN, MANTENIMIENTO, ADECUACIÓN, Y OBRA NUEVA PARA EL SISTEMA VIAL Y ESTRUCTURAS DE PASO</t>
  </si>
  <si>
    <t>MOVILIDAD ORDENADA, SOSTENIBLE Y AMIGABLE CON EL MEDIO AMBIENTE</t>
  </si>
  <si>
    <t>DATT
GEPM (GERENCIA DE ESPACIO PÚBLICO Y MOVILIDAD)</t>
  </si>
  <si>
    <t>TRANSPORTE MASIVO CONFIABLE, EFICIENTE Y SOSTENIBLE</t>
  </si>
  <si>
    <t>TRANSCARIBE
SECRETARÍA DE INFRAESTRUCTURA</t>
  </si>
  <si>
    <t>SECRETARÍA DE INFRAESTRUCTURA
TRANSCARIBE</t>
  </si>
  <si>
    <t xml:space="preserve"> Integración Regional y Metropolitana</t>
  </si>
  <si>
    <t>ESTABLECIMIENTO PÚBLICO AMBIENTAL EPA
EDURBE</t>
  </si>
  <si>
    <t>SECRETARÍA DE INFRAESTRUCTURA
EDURBE</t>
  </si>
  <si>
    <t>VALORIZACIÓN
SECRETARÍA DE INFRAESTRUCTURA</t>
  </si>
  <si>
    <t>RECUPERACIÓN Y ESTABILIZACIÓN DEL SISTEMA HÍDRICO Y LITORAL DE CARTAGENA</t>
  </si>
  <si>
    <t>GEPM (GERENCIA DE ESPACIO PÚBLICO Y MOVILIDAD)
SECRETARÍA DE INTERIOR</t>
  </si>
  <si>
    <t>PLAN DE RESTAURACIÓN INTEGRAL DE LA CIÉNAGA DE LA VIRGEN</t>
  </si>
  <si>
    <t>Ordenamiento del Territorio y espacio público</t>
  </si>
  <si>
    <t>SECRETARÍA DE PLANEACIÓN
GERENCIA DE ESPACIO PÚBLICO Y MOVILIDAD</t>
  </si>
  <si>
    <t>RECUPERACIÓN Y TRANSFORMACIÓN DEL ESPACIO PÚBLICO</t>
  </si>
  <si>
    <t>Control Urbanístico y Territorial</t>
  </si>
  <si>
    <t>RECUPERANDO LA GOBERNANZA URBANÍSTICA, CARTAGENA VUELVE A BRILLAR</t>
  </si>
  <si>
    <t>CARTAGENA AVANZA EN EL FORTALECIMIENTO DEL PLAN DE NORMALIZACIÓN URBANÍSTICA</t>
  </si>
  <si>
    <t>Cartagena Amigable con el Ambiente</t>
  </si>
  <si>
    <t>BIENESTAR ANIMAL Y PROTECCIÓN DE LA VIDA SILVESTRE</t>
  </si>
  <si>
    <t>UMATA
DADIS</t>
  </si>
  <si>
    <t>UMATA 
ESTABLECIMIENTO PÚBLICO AMBIENTAL EPA</t>
  </si>
  <si>
    <t>GESTIÓN Y CONSERVACIÓN DE LA VEGETACIÓN Y LA BIODIVERSIDAD</t>
  </si>
  <si>
    <t>ALERTAS TEMPRANAS</t>
  </si>
  <si>
    <t>INVESTIGACIÓN, EDUCACIÓN Y CULTURA AMBIENTAL</t>
  </si>
  <si>
    <t>Cartagena Adaptada al Clima y Resiliente a los Desastres</t>
  </si>
  <si>
    <t>SECRETARÍA DE PLANEACIÓN
ESTABLECIMIENTO PÚBLICO AMBIENTAL EPA</t>
  </si>
  <si>
    <t>CONOCIMIENTO DEL RIESGO</t>
  </si>
  <si>
    <t>OFICINA ASESORA PARA LA GESTIÓN DE RIESGO DE DESASTRE
Oficina de Informática de la Alcaldía Distrital de Cartagena</t>
  </si>
  <si>
    <t>OFICINA ASESORA PARA LA GESTIÓN DE RIESGO DE DESASTRE
SECRETARÍA DE INFRAESTRUCTURA</t>
  </si>
  <si>
    <t>MANEJO DE DESASTRES</t>
  </si>
  <si>
    <t>ADAPTACIÓN DEL ESPACIO PÚBLICO AL CAMBIO CLIMÁTICO</t>
  </si>
  <si>
    <t>GEPM (GERENCIA DE ESPACIO PÚBLICO Y MOVILIDAD)
SECRETARÍA DE INFRAESTRUCTURA</t>
  </si>
  <si>
    <t>SOSTENIBILIDAD DEL ESPACIO PÚBLICO DEL CENTRO HISTÓRICO DE CARTAGENA DE INDIAS</t>
  </si>
  <si>
    <t>GERENCIA DE ESPACIO PÚBLICO Y MOVILIDAD
DATT
SECRETARÍAS DE INFRAESTRUCTURA</t>
  </si>
  <si>
    <t>GEPM (GERENCIA DE ESPACIO PÚBLICO Y MOVILIDAD)
IPCC</t>
  </si>
  <si>
    <t>SECRETARÍA DE PLANEACIÓN
IPCC</t>
  </si>
  <si>
    <t>GERENCIA DE ESPACIO PÚBLICO Y MOVILIDAD
DATT
SECRETARÍA DE PLANEACIÓN
ESCUELA TALLER ETCAR</t>
  </si>
  <si>
    <t>MURALLA PARA TODOS</t>
  </si>
  <si>
    <t>DESARROLLO ECONÓMICO EQUITATIVO</t>
  </si>
  <si>
    <t>Economía Popular y Emprendimiento</t>
  </si>
  <si>
    <t>Turismo Sostenible y Responsable</t>
  </si>
  <si>
    <t>Vincular a trescientos veinte (320) personas líderes y autoridades turísticas a procesos de formación</t>
  </si>
  <si>
    <t>SECRETARÍA DE TURISMO
SECRETARÍA DE HACIENDA</t>
  </si>
  <si>
    <t>INFRAESTRUCTURA TURÍSTICA PARA EL DESARROLLO</t>
  </si>
  <si>
    <t>Infraestructura turística dotada, adecuada, mejorada, mantenida y/o construida (infraestructura marino costera, embarcaderos)</t>
  </si>
  <si>
    <t>SECRETARÍA DE INFRAESTRUCTURA
SECRETARÍA DE TURISMO</t>
  </si>
  <si>
    <t>Competitividad e innovación</t>
  </si>
  <si>
    <t>UNIDOS POR UNA CARTAGENA COMPETITIVA E INNOVADORA</t>
  </si>
  <si>
    <t>Beneficiar a mil (1.000)_x000D_
personas a través del diseño y ejecución de 4 planes de fomento de la cultura de la innovación</t>
  </si>
  <si>
    <t>CARTAGENA GLOBAL</t>
  </si>
  <si>
    <t>Diversificación Económica</t>
  </si>
  <si>
    <t>UNIDOS POR LA DIVERSIFICACIÓN ECONÓMICA Y EL DESARROLLO EMPRESARIAL</t>
  </si>
  <si>
    <t>COOPERACIÓN PARA AVANZAR</t>
  </si>
  <si>
    <t>ECONOMÍA CIRCULAR Y NEGOCIOS VERDES</t>
  </si>
  <si>
    <t>SECRETARÍA GENERAL
SECRETARÍA DE HACIENDA</t>
  </si>
  <si>
    <t>TRANSFORMACIÓN PRODUCTIVA</t>
  </si>
  <si>
    <t>Trabajo Decente y Cierre de Brechas Laborales</t>
  </si>
  <si>
    <t>EMPLEO Y CAPITAL HUMANO</t>
  </si>
  <si>
    <t>MI PRIMERA CHAMBA</t>
  </si>
  <si>
    <t>DERECHO AL TRABAJO EN CONDICIONES DE IGUALDAD Y DIGNIDAD PARA LA MUJER</t>
  </si>
  <si>
    <t>AVANZAMOS CON CAPACIDADES EMPRENDEDORAS</t>
  </si>
  <si>
    <t>SECRETARÍA DE HACIENDA
SECRETARÍA DE PARTICIPACIÓN Y DESARROLLO SOCIAL</t>
  </si>
  <si>
    <t>Número de estrategias para promover el ecosistema de emprendimiento e innovación implementada</t>
  </si>
  <si>
    <t>Implementar cuatro (4) estrategias para la promoción de ecosistemas de emprendimiento e innovación</t>
  </si>
  <si>
    <t>CARTAGENA FOMENTA LA INCLUSIÓN PRODUCTIVA JUVENIL</t>
  </si>
  <si>
    <t>CORPOTURISMO
SECRETARÍA DE TURISMO</t>
  </si>
  <si>
    <t>GOBERNANZA Y FORTALECIMIENTO INSTITUCIONAL PARA UNA CIUDAD DE DERECHOS, RESPONSABLE Y COMPETITIVA</t>
  </si>
  <si>
    <t>Desarrollo Agropecuario</t>
  </si>
  <si>
    <t>INCLUSIÓN PRODUCTIVA Y SOCIAL DE LA AGRICULTURA CAMPESINA, FAMILIAR Y COMUNITARIA</t>
  </si>
  <si>
    <t>EXTENSIÓN AGROPECUARIA, INFRAESTRUCTURA Y ACTIVOS PRODUCTIVOS PARA LA COMPETITIVIDAD AGROPECUARIA Y LA SOBERANÍA ALIMENTARIA</t>
  </si>
  <si>
    <t>SECRETARÍA DE INFRAESTRUCTURA
CORVIVIENDA
UMATA</t>
  </si>
  <si>
    <t>SECRETARÍA DE INFRAESTRUCTURA
UMATA</t>
  </si>
  <si>
    <t>CARTAGENA CIUDAD DE PESCADORES</t>
  </si>
  <si>
    <t>DADIS</t>
  </si>
  <si>
    <t>UMATA
ESTABLECIMIENTO PÚBLICO AMBIENTAL EPA</t>
  </si>
  <si>
    <t>Sistema Integral de Abastecimiento del Distrito</t>
  </si>
  <si>
    <t>DESARROLLO DEL NUEVO SISTEMA DE MERCADOS DEL DISTRITO</t>
  </si>
  <si>
    <t>Implementar tres (3) fases del proceso de traslado del Mercado de Bazurto _x000D_
(1. Levantamiento, recopilación y revisión de información. _x000D_
2. Estudio de preinversion para el desarrollo de la estructuración técnica, social, ambiental, predial, financiera, jurídica y operativa del nuevo sistema de abastecimiento _x000D_
3. Ejecución)</t>
  </si>
  <si>
    <t>SECRETARÍA GENERAL
SECRETARÍA DE INFRAESTRUCTURA
DATT</t>
  </si>
  <si>
    <t>GESTIÓN INTEGRAL DEL SISTEMA DE MERCADOS</t>
  </si>
  <si>
    <t>INNOVACIÓN PÚBLICA Y PARTICIPACIÓN CIUDADANA</t>
  </si>
  <si>
    <t>Transparencia y Gobierno Abierto</t>
  </si>
  <si>
    <t>Fortalecimiento Institucional e Innovación Administrativa</t>
  </si>
  <si>
    <t>SEGURIDAD DIGITAL</t>
  </si>
  <si>
    <t>FORTALECIMIENTO DEL SISTEMA DE CONTROL INTERNO, SCI</t>
  </si>
  <si>
    <t>ESCUELA DE GOBIERNO Y LIDERAZGO
Oficina Asesora de Control Interno</t>
  </si>
  <si>
    <t>Finanzas Públicas</t>
  </si>
  <si>
    <t>HACIENDA MODERNA Y DIGITAL</t>
  </si>
  <si>
    <t>Participación Ciudadana y Acción Comunal</t>
  </si>
  <si>
    <t>SECRETARÍA DEL INTERIOR
Instituto Distrital de Acción Comunal</t>
  </si>
  <si>
    <t>SECRETARÍA GENERAL
SECRETARÍA DE PLANEACIÓN</t>
  </si>
  <si>
    <t>OFICINA ASESORA DE INFORMÁTICA
ESCUELA DE GOBIERNO Y LIDERAZGO</t>
  </si>
  <si>
    <t>OFICINA ASESORA DE INFORMÁTICA</t>
  </si>
  <si>
    <t>MODELO INTEGRADO DE PLANEACIÓN Y GESTIÓN - MIPG</t>
  </si>
  <si>
    <t>REDISEÑO INSTITUCIONAL E INNOVACIÓN ADMINISTRATIVA DEL DISTRITO</t>
  </si>
  <si>
    <t>TRANSFORMACIÓN DIGITAL DEL SISTEMA DE ARCHIVO PARA LA GESTIÓN PÚBLICA EFICIENTE</t>
  </si>
  <si>
    <t>FORTALECIMIENTO DE LA GESTIÓN ADMINISTRATIVA Y OPERATIVA DEL DEPARTAMENTO ADMINISTRATIVO DE TRÁNSITO Y TRANSPORTE - DATT</t>
  </si>
  <si>
    <t>GESTIÓN FISCAL Y FINANCIERA OPORTUNA</t>
  </si>
  <si>
    <t>Cultura Ciudadana</t>
  </si>
  <si>
    <t>SERVIDORES CON ESPLENDOR CONSTRUYENDO CIUDAD</t>
  </si>
  <si>
    <t>ORGANISMOS COMUNALES TÉCNICOS Y ADMINISTRATIVAMENTE EFICIENTES</t>
  </si>
  <si>
    <t>ORGANIZACIONES SOCIALES SÓLIDAS E INCIDENTES EN EL DESARROLLO LOCAL</t>
  </si>
  <si>
    <t>PROMOCIÓN Y GARANTÍA PARA LA PARTICIPACIÓN SOCIOPOLÍTICA JUVENIL</t>
  </si>
  <si>
    <t>DERECHO A LA PARTICIPACIÓN Y REPRESENTACIÓN CON EQUIDAD DE GÉNERO</t>
  </si>
  <si>
    <t>Sistema de Planeación Distrital</t>
  </si>
  <si>
    <t>CENTRO DE INVESTIGACIÓN DE INFORMACIÓN DE LA CIUDAD PARA LA TOMA DE DECISIONES (CIDI)</t>
  </si>
  <si>
    <t>SISTEMAS DE INFORMACIÓN PARA EL DESARROLLO DE CARTAGENA</t>
  </si>
  <si>
    <t>Mapa Interactivo de Asuntos del Suelo - MIDAS _x000D_
actualizado y optimizado</t>
  </si>
  <si>
    <t>INVERSIÓN PÚBLICA EFICIENTE Y TRANSPARENTE</t>
  </si>
  <si>
    <t>POLÍTICAS PÚBLICAS INTERSECTORIALES Y CON VISIÓN INTEGRAL</t>
  </si>
  <si>
    <t>SECRETARÍA DE PLANEACIÓN
SECRETARÍA DEL INTERIOR Y CONVIVENCIA CIUDADANA</t>
  </si>
  <si>
    <t>GESTIÓN CATASTRAL CON ENFOQUE MULTIPROPÓSITO</t>
  </si>
  <si>
    <t>SECRETARÍA DE HACIENDA
SECRETARÍA DE PLANEACIÓN</t>
  </si>
  <si>
    <t>SEGURIDAD HUMANA</t>
  </si>
  <si>
    <t>Atención Integral a Grupos de Especial Protección</t>
  </si>
  <si>
    <t>Superación de la pobreza extrema y soberanía alimentaria</t>
  </si>
  <si>
    <t>Construccion de paz, Derechos Humanos y Convivencia</t>
  </si>
  <si>
    <t>Atender a la totalidad de personas víctimas que cumplan con los requisitos de ley para acceder a la medida de ayuda humanitaria inmediata</t>
  </si>
  <si>
    <t>Atender a la totalidad de personas víctimas que cumplan con los requisitos de ley para acceder a la medida de ayuda humanitaria inmediata mediante albergue</t>
  </si>
  <si>
    <t>Salud Pública y Aseguramiento</t>
  </si>
  <si>
    <t>SALUD CON COBERTURA, ACCESIBILIDAD, CALIDAD E INCLUSIÓN</t>
  </si>
  <si>
    <t>SECRETARÍA DE INFRAESTRUCTURA
DEPARTAMENTO ADMINISTRATIVO DISTRITAL DE SALUD DADIS</t>
  </si>
  <si>
    <t>DERECHOS EN SALUD Y PROMOCIÓN SOCIAL</t>
  </si>
  <si>
    <t>Número de personas pertenecientes a los grupos poblaciones vulnerables participantes en estrategias de promoción de la participación social en salud</t>
  </si>
  <si>
    <t>FORTALECIMIENTO DEL CENTRO REGULADOR DE URGENCIAS, EMERGENCIAS Y DESASTRES EN EL DISTRITO DE CARTAGENA - CRUED</t>
  </si>
  <si>
    <t>Número de IPS asistidas con servicios del Plan de Emergencia Hospitalaria y desarrollo de capacidades en las competencias frente a las adaptaciones de posibles efectos de la variabilidad y el cambio climático</t>
  </si>
  <si>
    <t>Número de animales vacunados contra la rabia</t>
  </si>
  <si>
    <t>Número de entidades con acciones de salud pública elaboradas sobre prevención y control de la tuberculosis en los_x000D_
diferentes entornos</t>
  </si>
  <si>
    <t>Elaborar anualmente acciones de salud pública en setenta y cinco (75) entidades sobre prevención y control de la tuberculosis en los diferentes entornos</t>
  </si>
  <si>
    <t>FORTALECIMIENTO A LA PROTECCIÓN DIGNA DE LAS PERSONAS MAYORES EN EL DISTRITO DE CARTAGENA</t>
  </si>
  <si>
    <t>Ruta de atención a los adultos mayores maltratados o en estado de abandono actualizada y socializada</t>
  </si>
  <si>
    <t>Actualizar y socializar una (1) ruta de atención a los adultos mayores maltratados o en estado de abandono</t>
  </si>
  <si>
    <t>ASISTENCIA SOCIAL E INCLUYENTE A LAS PERSONAS CON DISCAPACIDAD Y/O SU FAMILIA O CUIDADORES PARA LA SEGURIDAD HUMANA Y BIENESTAR SOCIAL</t>
  </si>
  <si>
    <t>Implementar cuatro (4) espacios lúdicos inclusivos para niños, niñas y adolescentes con discapacidad en el Distrito</t>
  </si>
  <si>
    <t>UNIDOS PARA LA INCLUSIÓN PRODUCTIVA DE LAS PERSONAS CON DISCAPACIDAD</t>
  </si>
  <si>
    <t>CIUDADANOS HABITANTES DE CALLE CON PROTECCIÓN SOCIAL Y GARANTÍA DE DERECHOS</t>
  </si>
  <si>
    <t>SECRETARÍA DE PARTICIPACIÓN Y DESARROLLO SOCIAL
SECRETARÍA DEL INTERIOR Y CONVIVENCIA CIUDADANA</t>
  </si>
  <si>
    <t>Número de procesos de sensibilización a diferentes comunidades para propiciar la transformación de imaginarios sociales frente a personas con orientaciones sexuales e identidades de género diversas y sectores LGBTIQ+ implementados</t>
  </si>
  <si>
    <t>IDENTIFICACIÓN PARA LA SUPERACIÓN DE LA POBREZA EXTREMA</t>
  </si>
  <si>
    <t>SALUD PARA LA SUPERACIÓN DE LA POBREZA EXTREMA</t>
  </si>
  <si>
    <t>Formar a veinticinco mil familias (25.000) sobre el valor de la educación</t>
  </si>
  <si>
    <t>BANCARIZACIÓN PARA LA SUPERACIÓN DE LA POBREZA EXTREMA</t>
  </si>
  <si>
    <t>DINÁMICA FAMILIAR PARA LA SUPERACIÓN DE LA POBREZA EXTREMA</t>
  </si>
  <si>
    <t>SEGURIDAD ALIMENTARIA Y NUTRICIÓN PARA LA SUPERACIÓN DE LA POBREZA EXTREMA</t>
  </si>
  <si>
    <t>FORTALECIMIENTO INSTITUCIONAL PARA LA SUPERACIÓN DE LA POBREZA EXTREMA</t>
  </si>
  <si>
    <t>FORTALECIMIENTO INSTITUCIONAL DE RENTA CIUDADANA, RENTA JOVEN Y COLOMBIA MAYOR PARA LA SUPERACIÓN DE LA POBREZA EXTREMA</t>
  </si>
  <si>
    <t>Seguridad Ciudadana y Orden Público</t>
  </si>
  <si>
    <t>PLAN ESTRATÉGICO DE SEGURIDAD INTEGRAL TITAN 24</t>
  </si>
  <si>
    <t>DISTRISEGURIDAD
SECRETARÍA DEL INTERIOR
CONVIVENCIA CIUDADANA</t>
  </si>
  <si>
    <t>Equipos para la seguridad y la convivencia conformados</t>
  </si>
  <si>
    <t>Conformar un (1) Equipo Interdisciplinario para articulación y coordinación de estrategias de seguridad y un (1) Equipo Operativo de Gestores de Convivencia</t>
  </si>
  <si>
    <t>SECRETARÍA DEL INTERIOR Y CONVIVENCIA CIUDADANA
DISTRISEGURIDAD</t>
  </si>
  <si>
    <t>Organismos de Seguridad dotados y_x000D_
con servicios en el marco del PISCC 2024-2027</t>
  </si>
  <si>
    <t>DISTRISEGURIDAD_x000D_
SECRETARÍA DEL INTERIOR Y CONVIVENCIA CIUDADANA</t>
  </si>
  <si>
    <t>Política Pública de SEGURIDAD HUMANA Integral formulada</t>
  </si>
  <si>
    <t>Formular una (1) Política Pública de SEGURIDAD HUMANA Integral</t>
  </si>
  <si>
    <t>SECRETARÍA DEL INTERIOR Y CONVIVENCIA CIUDADANA
DISTRISEGURIDAD
ESTABLECIMIENTO PÚBLICO AMBIENTAL
OFICINA ASESORA PARA LA GESTIÓN DEL RIESGO DE DESASTRES
GERENCIA DE ESPACIO PÚBLICO Y MOVILIDAD</t>
  </si>
  <si>
    <t>Implementar cuatrocientos cuarenta  (440) sistemas de información para la seguridad (alarmas comunitarias, drones, totem)</t>
  </si>
  <si>
    <t>Adquirir ciento veinte  (120) equipos de comunicación para la seguridad (tipo radio, equipos celulares)</t>
  </si>
  <si>
    <t>Construir cuatro (4) infraestructuras para la promoción de la cultura de la legalidad y la convivencia CAIs, subestaciones, estaciones, centro de inteligencia)</t>
  </si>
  <si>
    <t>SEGURIDAD YA EN LAS PLAYAS DE CARTAGENA</t>
  </si>
  <si>
    <t>DISTRISEGURIDAD
SECRETARÍA DE TURISMO</t>
  </si>
  <si>
    <t>EDUCACIÓN, CULTURA Y SEGURIDAD VIAL PARA AVANZAR</t>
  </si>
  <si>
    <t>UNA VIDA LIBRE DE VIOLENCIA PARA LAS MUJERES</t>
  </si>
  <si>
    <t>DERECHO A LA PAZ Y CONVIVENCIA CON EQUIDAD DE GÉNERO</t>
  </si>
  <si>
    <t>AVANZANDO EN EL FORTALECIMIENTO DE CASAS DE JUSTICIA, COMISARÍAS DE FAMILIA E INSPECCIONES DE POLICÍA</t>
  </si>
  <si>
    <t>ATENCIÓN INTEGRAL A JÓVENES EN SITUACIÓN DE RIESGO SOCIAL</t>
  </si>
  <si>
    <t>VIDA DIGNA</t>
  </si>
  <si>
    <t>Educación</t>
  </si>
  <si>
    <t>SECRETARÍA DEEducación</t>
  </si>
  <si>
    <t>Institución Universitaria Mayor de Cartagena</t>
  </si>
  <si>
    <t>Artes, Cultura y Patrimonio</t>
  </si>
  <si>
    <t>MEMORIA Y PATRIMONIO AL SERVICIO DE LA CIUDADANÍA</t>
  </si>
  <si>
    <t>SECRETARÍA GENERAL
Corporación Museo Histórico de Cartagena</t>
  </si>
  <si>
    <t>AVANZANDO DESDE EL COMIENZO</t>
  </si>
  <si>
    <t>Número de Instituciones Educativas Oficiales con oferta deEducación inicial para la atención a la primera infancia implementada</t>
  </si>
  <si>
    <t>Implementar encuarenta (40) IEO con oferta deEducación inicial para la atención de la primera infancia</t>
  </si>
  <si>
    <t>YO CUENTO</t>
  </si>
  <si>
    <t>Número de Instituciones Educativas Oficiales vinculadas a estrategias para el fortalecimiento de la oferta deEducación inclusiva para preescolar, básica y media</t>
  </si>
  <si>
    <t>Vincular a setenta y dos (72) Instituciones Educativas Oficiales a estrategias para el fortalecimiento de la oferta deEducación inclusiva para preescolar, básica y media</t>
  </si>
  <si>
    <t>ESCUELA HOGAR</t>
  </si>
  <si>
    <t>Número de Instituciones Educativas Oficiales con proyectos pedagógicos transversales deEducación ambiental, emprendimiento y otros implementados</t>
  </si>
  <si>
    <t>Implementar proyectos pedagógicos transversales deEducación ambiental, emprendimiento y otros en cincuenta y nueve (59) Instituciones Educativas Oficiales</t>
  </si>
  <si>
    <t>CARTAGENA TERRITORIO PLURILINGÜE</t>
  </si>
  <si>
    <t>LEVANTEMOS LA VOZ</t>
  </si>
  <si>
    <t>FORMACIÓN Y CUALIFICACIÓN DE DOCENTES Y DIRECTIVOS DOCENTES</t>
  </si>
  <si>
    <t>FORTALECIMIENTO DE LA GESTIÓN ESCOLAR EN LAS INSTITUCIONES EDUCATIVAS OFICIALES</t>
  </si>
  <si>
    <t>Referentes técnicos deEducación inicial y preescolar incorporados en PEI de instituciones educativas que ofertan los grados prejardín, jardín y transición</t>
  </si>
  <si>
    <t>Incorporar los referentes técnicos deEducación inicial y preescolar en los PEI de cuarenta (40) instituciones educativas que ofertan los grados prejardín, jardín y transición</t>
  </si>
  <si>
    <t>Número de estudiantes egresados de Instituciones Educativas Oficiales y con matrícula contratada becados enEducación superior</t>
  </si>
  <si>
    <t>Becar enEducación superior a nueve mil (9.000) estudiantes egresados de Instituciones Educativas Oficiales y con matrícula contratada</t>
  </si>
  <si>
    <t>Número de estudiantes egresados de Instituciones Educativas Oficiales y con matrícula contratada becados con becas inclusivas enEducación superior (víctimas, NARP, con discapacidad, indígenas)</t>
  </si>
  <si>
    <t>Becar enEducación superior a quinientas cuarenta y cuatro (544) estudiantes egresados de Instituciones Educativas Oficiales y con matrícula contratada, con becas inclusivas</t>
  </si>
  <si>
    <t>Asistir con programas piloto de bilingüismo a cinco (5)_x000D_
Instituciones Educativas Oficiales con nodos de media técnica</t>
  </si>
  <si>
    <t>Formar a quinientos (500) estudiantes enEducación técnica para el trabajo y el desarrollo humano</t>
  </si>
  <si>
    <t>AVANZAMOS EN EL FORTALECIMIENTO INSTITUCIONAL DE LA SECRETARÍA DEEducación</t>
  </si>
  <si>
    <t>Armonizar las diecinueve (19) políticas del Modelo Integrado de Planeación y Gestión - MIPG en la Secretaría deEducación</t>
  </si>
  <si>
    <t>Reorganización administrativa y de procesos de la Secretaría deEducación diseñada, aprobada e implementada</t>
  </si>
  <si>
    <t>Diseñar, aprobar e implementar una (1) nueva estructura administrativa y de procesos de la Secretaría deEducación</t>
  </si>
  <si>
    <t>Acceso a Servicios Básicos</t>
  </si>
  <si>
    <t>SECRETARÍA GENERAL
SECRETARÍA DE INFRAESTRUCTURA</t>
  </si>
  <si>
    <t>Entregar servicios de apoyo financiero (subsidios) de los servicios públicos domiciliarios a doscientos cuarenta y seis mil ciento cincuenta y dos (246.152) usuarios de acueducto de estrato 1, 2 y 3, a ciento setenta y un mil trescientos siete (171.307) usuarios de alcantarillado de estrato 1, 2 y 3, y a doscientos ochenta y un mil ochocientos veintitres (281.823) usuarios de servicio de aseo de estratos 1, 2</t>
  </si>
  <si>
    <t>Vivienda Digna y Hábitat</t>
  </si>
  <si>
    <t>UNIDOS POR UNA VIVIENDA PARA TI</t>
  </si>
  <si>
    <t>MI TERRITORIO EN ORDEN</t>
  </si>
  <si>
    <t>ESCENARIOS CULTURALES VIVOS PARA TRANSFORMAR</t>
  </si>
  <si>
    <t>DEMOCRATIZACIÓN DE LA CULTURA: ESTÍMULOS PARA EL FOMENTO Y DESARROLLO ARTÍSTICO, CULTURAL Y CREATIVO</t>
  </si>
  <si>
    <t>FORMACIÓN ARTÍSTICA Y CULTURAL</t>
  </si>
  <si>
    <t>DERECHOS CULTURALES Y FORTALECIMIENTO INSTITUCIONAL PARA LA GOBERNANZA</t>
  </si>
  <si>
    <t>CARTAGENA BRILLA CON SU CULTURA Y PATRIMONIO MATERIAL E INMATERIAL</t>
  </si>
  <si>
    <t>Deporte y Recreación</t>
  </si>
  <si>
    <t>FORTALECIMIENTO Y MANTENIMIENTO DE LA RED DE INFRAESTRUCTURA DEPORTIVA DEL DISTRITO</t>
  </si>
  <si>
    <t>FOMENTO AL DEPORTE DE ALTO RENDIMIENTO</t>
  </si>
  <si>
    <t>FORTALECIMIENTO DEL CAPITAL HUMANO A TRAVÉS DE LAS CIENCIAS APLICADAS AL DEPORTE Y LA RECREACIÓN</t>
  </si>
  <si>
    <t>FORTALECIMIENTO DEL DEPORTE FORMATIVO, ESTUDIANTIL Y LAEducación FÍSICA EXTRAESCOLAR</t>
  </si>
  <si>
    <t>Número de núcleos deEducación física extraescolar creados</t>
  </si>
  <si>
    <t>Crear cuatro (4) núcleos deEducación física extraescolar </t>
  </si>
  <si>
    <t>SECRETARÍA DEEducación
IDER</t>
  </si>
  <si>
    <t>Número de participantes en los diferentes eventos y/o torneos de las instituciones educativas y las universidades</t>
  </si>
  <si>
    <t>Vincular a veintiocho mil (28.000) participantes en los eventos y/o torneos de las instituciones educativas y las universidades</t>
  </si>
  <si>
    <t>Número de instituciones_x000D_
educativas participantes en_x000D_
los Juegos Intercolegiado</t>
  </si>
  <si>
    <t>FORTALECIMIENTO DEL DEPORTE SOCIAL COMUNITARIO, AVANZAR EN NUESTRO TERRITORIO</t>
  </si>
  <si>
    <t>CARTAGENA CIUDAD DESTINO DE TURISMO DEPORTIVO</t>
  </si>
  <si>
    <t>Infancia, Adolescencia y Familia</t>
  </si>
  <si>
    <t>ENTORNOS SEGUROS PARA LA PRIMERA INFANCIA</t>
  </si>
  <si>
    <t>Vincular a treinta y tres mil ochocientos veintidós (33.822) de padres, madres, y cuidadores en acciones de formación para el fortalecimiento de vínculos, la crianza amorosa y la promoción de sus_x000D_
derechos</t>
  </si>
  <si>
    <t>Valor Ponderado</t>
  </si>
  <si>
    <t>56,7%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</si>
</sst>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 #,##0.00_-;\-&quot;$&quot;\ * #,##0.00_-;_-&quot;$&quot;\ * &quot;-&quot;??_-;_-@_-"/>
    <numFmt numFmtId="43" formatCode="_-* #,##0.00_-;\-* #,##0.00_-;_-* &quot;-&quot;??_-;_-@_-"/>
    <numFmt numFmtId="164" formatCode="0.000%"/>
    <numFmt numFmtId="165" formatCode="0.0%"/>
    <numFmt numFmtId="166" formatCode="d/m"/>
    <numFmt numFmtId="167" formatCode="0.000"/>
    <numFmt numFmtId="168" formatCode="0.0000"/>
    <numFmt numFmtId="169" formatCode="_-* #,##0_-;\-* #,##0_-;_-* &quot;-&quot;??_-;_-@_-"/>
    <numFmt numFmtId="170" formatCode="0.0"/>
    <numFmt numFmtId="171" formatCode="0.00\ %;\-0.00\ %;0.00\ %"/>
    <numFmt numFmtId="172" formatCode="0.0\ %;\-0.0\ %;0.0\ %"/>
    <numFmt numFmtId="173" formatCode="0.00000%"/>
  </numFmts>
  <fonts count="125"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font>
    <font>
      <b/>
      <sz val="26"/>
      <color theme="1"/>
      <name val="Calibri"/>
      <family val="2"/>
    </font>
    <font>
      <b/>
      <sz val="46"/>
      <color rgb="FF0000FF"/>
      <name val="Calibri"/>
      <family val="2"/>
      <scheme val="minor"/>
    </font>
    <font>
      <b/>
      <sz val="46"/>
      <color rgb="FF0000FF"/>
      <name val="Calibri"/>
      <family val="2"/>
    </font>
    <font>
      <b/>
      <sz val="41"/>
      <color rgb="FFFF0000"/>
      <name val="Calibri"/>
      <family val="2"/>
      <scheme val="minor"/>
    </font>
    <font>
      <b/>
      <sz val="33"/>
      <color theme="1"/>
      <name val="Calibri"/>
      <family val="2"/>
      <scheme val="minor"/>
    </font>
    <font>
      <b/>
      <sz val="31"/>
      <color theme="1"/>
      <name val="Calibri"/>
      <family val="2"/>
      <scheme val="minor"/>
    </font>
    <font>
      <b/>
      <sz val="73"/>
      <color rgb="FF0C343D"/>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8"/>
      <color theme="1"/>
      <name val="Calibri"/>
      <family val="2"/>
      <scheme val="minor"/>
    </font>
    <font>
      <sz val="14"/>
      <color theme="1"/>
      <name val="Calibri"/>
      <family val="2"/>
      <scheme val="minor"/>
    </font>
    <font>
      <b/>
      <sz val="36"/>
      <color theme="1"/>
      <name val="Calibri"/>
      <family val="2"/>
      <scheme val="minor"/>
    </font>
    <font>
      <b/>
      <sz val="28"/>
      <color theme="1"/>
      <name val="Calibri"/>
      <family val="2"/>
      <scheme val="minor"/>
    </font>
    <font>
      <b/>
      <sz val="22"/>
      <color theme="1"/>
      <name val="Calibri"/>
      <family val="2"/>
      <scheme val="minor"/>
    </font>
    <font>
      <b/>
      <sz val="8"/>
      <color theme="1"/>
      <name val="Times New Roman"/>
      <family val="1"/>
    </font>
    <font>
      <sz val="8"/>
      <color theme="1"/>
      <name val="Times New Roman"/>
      <family val="1"/>
    </font>
    <font>
      <b/>
      <sz val="10"/>
      <color theme="1"/>
      <name val="Times New Roman"/>
      <family val="1"/>
    </font>
    <font>
      <sz val="10"/>
      <color theme="1"/>
      <name val="Times New Roman"/>
      <family val="1"/>
    </font>
    <font>
      <sz val="48"/>
      <color theme="1"/>
      <name val="Calibri"/>
      <family val="2"/>
      <scheme val="minor"/>
    </font>
    <font>
      <b/>
      <sz val="14"/>
      <color theme="1"/>
      <name val="Calibri"/>
      <family val="2"/>
    </font>
    <font>
      <b/>
      <sz val="26"/>
      <name val="Calibri"/>
      <family val="2"/>
    </font>
    <font>
      <b/>
      <sz val="36"/>
      <name val="Calibri"/>
      <family val="2"/>
    </font>
    <font>
      <b/>
      <sz val="48"/>
      <name val="Calibri"/>
      <family val="2"/>
      <scheme val="minor"/>
    </font>
    <font>
      <b/>
      <sz val="14"/>
      <color theme="1"/>
      <name val="Calibri"/>
      <family val="2"/>
      <scheme val="minor"/>
    </font>
    <font>
      <b/>
      <sz val="85"/>
      <name val="Bodoni MT"/>
      <family val="1"/>
    </font>
    <font>
      <b/>
      <sz val="14"/>
      <color theme="0"/>
      <name val="Calibri"/>
      <family val="2"/>
    </font>
    <font>
      <b/>
      <sz val="14"/>
      <color rgb="FFFF0000"/>
      <name val="Calibri"/>
      <family val="2"/>
    </font>
    <font>
      <b/>
      <i/>
      <sz val="45"/>
      <color theme="1"/>
      <name val="Calibri"/>
      <family val="2"/>
      <scheme val="minor"/>
    </font>
    <font>
      <b/>
      <sz val="46"/>
      <name val="Calibri"/>
      <family val="2"/>
      <scheme val="minor"/>
    </font>
    <font>
      <sz val="26"/>
      <color theme="1"/>
      <name val="Calibri"/>
      <family val="2"/>
      <scheme val="minor"/>
    </font>
    <font>
      <b/>
      <sz val="9"/>
      <color theme="1"/>
      <name val="Calibri"/>
      <family val="2"/>
      <scheme val="minor"/>
    </font>
    <font>
      <b/>
      <sz val="12"/>
      <color theme="1"/>
      <name val="Calibri"/>
      <family val="2"/>
      <scheme val="minor"/>
    </font>
    <font>
      <sz val="28"/>
      <color theme="1"/>
      <name val="Calibri"/>
      <family val="2"/>
      <scheme val="minor"/>
    </font>
    <font>
      <b/>
      <sz val="72"/>
      <color theme="1"/>
      <name val="Bodoni MT"/>
      <family val="1"/>
    </font>
    <font>
      <b/>
      <sz val="16"/>
      <name val="Calibri"/>
      <family val="2"/>
    </font>
    <font>
      <b/>
      <sz val="11"/>
      <color rgb="FFFF0000"/>
      <name val="Calibri"/>
      <family val="2"/>
      <scheme val="minor"/>
    </font>
    <font>
      <b/>
      <i/>
      <sz val="14"/>
      <color theme="1"/>
      <name val="Calibri"/>
      <family val="2"/>
      <scheme val="minor"/>
    </font>
    <font>
      <sz val="16"/>
      <name val="Calibri"/>
      <family val="2"/>
    </font>
    <font>
      <sz val="16"/>
      <name val="Calibri"/>
      <family val="2"/>
      <scheme val="minor"/>
    </font>
    <font>
      <b/>
      <i/>
      <sz val="16"/>
      <name val="Calibri"/>
      <family val="2"/>
    </font>
    <font>
      <b/>
      <sz val="16"/>
      <name val="Calibri"/>
      <family val="2"/>
      <scheme val="minor"/>
    </font>
    <font>
      <sz val="36"/>
      <name val="Calibri"/>
      <family val="2"/>
    </font>
    <font>
      <sz val="36"/>
      <name val="Calibri"/>
      <family val="2"/>
      <scheme val="minor"/>
    </font>
    <font>
      <b/>
      <sz val="12"/>
      <color theme="1"/>
      <name val="Times New Roman"/>
      <family val="1"/>
    </font>
    <font>
      <b/>
      <sz val="12"/>
      <color rgb="FFFF0000"/>
      <name val="Times New Roman"/>
      <family val="1"/>
    </font>
    <font>
      <sz val="14"/>
      <name val="Arial"/>
      <family val="2"/>
    </font>
    <font>
      <sz val="14"/>
      <name val="Calibri"/>
      <family val="2"/>
    </font>
    <font>
      <b/>
      <sz val="14"/>
      <name val="Calibri"/>
      <family val="2"/>
    </font>
    <font>
      <sz val="14"/>
      <name val="Calibri"/>
      <family val="2"/>
      <scheme val="minor"/>
    </font>
    <font>
      <b/>
      <sz val="14"/>
      <name val="Calibri"/>
      <family val="2"/>
      <scheme val="minor"/>
    </font>
    <font>
      <b/>
      <i/>
      <sz val="14"/>
      <name val="Calibri"/>
      <family val="2"/>
    </font>
    <font>
      <sz val="28"/>
      <name val="Calibri"/>
      <family val="2"/>
    </font>
    <font>
      <b/>
      <sz val="28"/>
      <name val="Calibri"/>
      <family val="2"/>
    </font>
    <font>
      <b/>
      <sz val="28"/>
      <name val="Calibri"/>
      <family val="2"/>
      <scheme val="minor"/>
    </font>
    <font>
      <sz val="28"/>
      <name val="Calibri"/>
      <family val="2"/>
      <scheme val="minor"/>
    </font>
    <font>
      <sz val="38"/>
      <name val="Calibri"/>
      <family val="2"/>
    </font>
    <font>
      <b/>
      <sz val="38"/>
      <name val="Calibri"/>
      <family val="2"/>
    </font>
    <font>
      <b/>
      <sz val="38"/>
      <name val="Calibri"/>
      <family val="2"/>
      <scheme val="minor"/>
    </font>
    <font>
      <sz val="38"/>
      <name val="Calibri"/>
      <family val="2"/>
      <scheme val="minor"/>
    </font>
    <font>
      <b/>
      <sz val="34"/>
      <name val="Calibri"/>
      <family val="2"/>
    </font>
    <font>
      <sz val="34"/>
      <name val="Calibri"/>
      <family val="2"/>
    </font>
    <font>
      <sz val="15"/>
      <name val="Calibri"/>
      <family val="2"/>
    </font>
    <font>
      <b/>
      <sz val="15"/>
      <name val="Calibri"/>
      <family val="2"/>
    </font>
    <font>
      <sz val="15"/>
      <name val="Calibri"/>
      <family val="2"/>
      <scheme val="minor"/>
    </font>
    <font>
      <b/>
      <sz val="15"/>
      <color rgb="FFFF0000"/>
      <name val="Calibri"/>
      <family val="2"/>
    </font>
    <font>
      <b/>
      <sz val="15"/>
      <name val="Calibri"/>
      <family val="2"/>
      <scheme val="minor"/>
    </font>
    <font>
      <b/>
      <i/>
      <sz val="15"/>
      <name val="Calibri"/>
      <family val="2"/>
    </font>
    <font>
      <sz val="15"/>
      <name val="Arial"/>
      <family val="2"/>
    </font>
    <font>
      <sz val="15"/>
      <name val="Calibri Light"/>
      <family val="2"/>
    </font>
    <font>
      <b/>
      <sz val="48"/>
      <name val="Calibri"/>
      <family val="2"/>
    </font>
    <font>
      <b/>
      <sz val="16"/>
      <color rgb="FFFF0000"/>
      <name val="Calibri"/>
      <family val="2"/>
    </font>
    <font>
      <b/>
      <sz val="100"/>
      <color rgb="FFFF0000"/>
      <name val="Bodoni MT"/>
      <family val="1"/>
    </font>
    <font>
      <sz val="14"/>
      <color rgb="FF00B050"/>
      <name val="Calibri"/>
      <family val="2"/>
    </font>
    <font>
      <sz val="15"/>
      <color rgb="FF00B050"/>
      <name val="Calibri"/>
      <family val="2"/>
    </font>
    <font>
      <sz val="14"/>
      <color rgb="FF00B050"/>
      <name val="Calibri"/>
      <family val="2"/>
      <scheme val="minor"/>
    </font>
    <font>
      <b/>
      <sz val="15"/>
      <color rgb="FF00B050"/>
      <name val="Calibri"/>
      <family val="2"/>
    </font>
    <font>
      <sz val="15"/>
      <color rgb="FF00B050"/>
      <name val="Calibri"/>
      <family val="2"/>
      <scheme val="minor"/>
    </font>
    <font>
      <sz val="18"/>
      <name val="Calibri"/>
      <family val="2"/>
    </font>
    <font>
      <b/>
      <sz val="18"/>
      <name val="Calibri"/>
      <family val="2"/>
    </font>
    <font>
      <b/>
      <sz val="18"/>
      <name val="Calibri"/>
      <family val="2"/>
      <scheme val="minor"/>
    </font>
    <font>
      <sz val="18"/>
      <name val="Calibri"/>
      <family val="2"/>
      <scheme val="minor"/>
    </font>
    <font>
      <b/>
      <sz val="18"/>
      <color rgb="FFFF0000"/>
      <name val="Calibri"/>
      <family val="2"/>
    </font>
    <font>
      <b/>
      <i/>
      <sz val="18"/>
      <name val="Calibri"/>
      <family val="2"/>
    </font>
    <font>
      <b/>
      <sz val="14"/>
      <color rgb="FF00B050"/>
      <name val="Calibri"/>
      <family val="2"/>
    </font>
    <font>
      <b/>
      <sz val="26"/>
      <color theme="1"/>
      <name val="Calibri"/>
      <family val="2"/>
      <scheme val="minor"/>
    </font>
    <font>
      <b/>
      <sz val="26"/>
      <color rgb="FFFF0000"/>
      <name val="Calibri"/>
      <family val="2"/>
      <scheme val="minor"/>
    </font>
    <font>
      <b/>
      <sz val="24"/>
      <name val="Times New Roman"/>
      <family val="1"/>
    </font>
    <font>
      <b/>
      <sz val="85"/>
      <color rgb="FFFF0000"/>
      <name val="Bodoni MT"/>
      <family val="1"/>
    </font>
    <font>
      <b/>
      <sz val="40"/>
      <name val="Calibri"/>
      <family val="2"/>
    </font>
    <font>
      <b/>
      <sz val="24"/>
      <color theme="1"/>
      <name val="Times New Roman"/>
      <family val="1"/>
    </font>
    <font>
      <b/>
      <sz val="72"/>
      <color rgb="FFFF0000"/>
      <name val="Bodoni MT"/>
      <family val="1"/>
    </font>
    <font>
      <b/>
      <sz val="11"/>
      <name val="Calibri"/>
      <family val="2"/>
      <scheme val="minor"/>
    </font>
    <font>
      <b/>
      <sz val="18"/>
      <color theme="1"/>
      <name val="Calibri"/>
      <family val="2"/>
    </font>
    <font>
      <sz val="18"/>
      <color theme="1"/>
      <name val="Calibri"/>
      <family val="2"/>
      <scheme val="minor"/>
    </font>
    <font>
      <b/>
      <sz val="46"/>
      <color rgb="FFFF0000"/>
      <name val="Calibri"/>
      <family val="2"/>
    </font>
    <font>
      <sz val="21"/>
      <name val="Calibri"/>
      <family val="2"/>
    </font>
    <font>
      <b/>
      <sz val="21"/>
      <name val="Calibri"/>
      <family val="2"/>
    </font>
    <font>
      <b/>
      <sz val="21"/>
      <name val="Calibri"/>
      <family val="2"/>
      <scheme val="minor"/>
    </font>
    <font>
      <sz val="21"/>
      <name val="Calibri"/>
      <family val="2"/>
      <scheme val="minor"/>
    </font>
    <font>
      <b/>
      <sz val="20"/>
      <name val="Calibri"/>
      <family val="2"/>
    </font>
    <font>
      <sz val="20"/>
      <name val="Calibri"/>
      <family val="2"/>
    </font>
    <font>
      <sz val="11"/>
      <color indexed="8"/>
      <name val="Calibri"/>
      <family val="2"/>
    </font>
    <font>
      <sz val="11"/>
      <color theme="4" tint="-0.499984740745262"/>
      <name val="Calibri"/>
      <family val="2"/>
    </font>
    <font>
      <b/>
      <sz val="11"/>
      <color indexed="8"/>
      <name val="Calibri"/>
      <family val="2"/>
    </font>
    <font>
      <sz val="11"/>
      <name val="Calibri"/>
      <family val="2"/>
    </font>
    <font>
      <sz val="11"/>
      <color rgb="FF00B050"/>
      <name val="Calibri"/>
      <family val="2"/>
    </font>
    <font>
      <b/>
      <sz val="11"/>
      <color rgb="FFFF0000"/>
      <name val="Calibri"/>
      <family val="2"/>
    </font>
    <font>
      <b/>
      <sz val="11"/>
      <name val="Calibri"/>
      <family val="2"/>
    </font>
    <font>
      <sz val="11"/>
      <name val="Calibri"/>
      <family val="2"/>
      <scheme val="minor"/>
    </font>
    <font>
      <sz val="16"/>
      <color rgb="FF00B050"/>
      <name val="Calibri"/>
      <family val="2"/>
    </font>
    <font>
      <b/>
      <sz val="72"/>
      <name val="Calibri"/>
      <family val="2"/>
    </font>
    <font>
      <b/>
      <sz val="20"/>
      <color theme="1"/>
      <name val="Times New Roman"/>
      <family val="1"/>
    </font>
    <font>
      <sz val="20"/>
      <color theme="1"/>
      <name val="Times New Roman"/>
      <family val="1"/>
    </font>
    <font>
      <b/>
      <sz val="26"/>
      <name val="Calibri"/>
      <family val="2"/>
      <scheme val="minor"/>
    </font>
    <font>
      <sz val="15"/>
      <color rgb="FF00B050"/>
      <name val="Arial"/>
      <family val="2"/>
    </font>
    <font>
      <sz val="11"/>
      <color theme="1"/>
      <name val="Calibri"/>
      <family val="2"/>
      <scheme val="minor"/>
    </font>
    <font>
      <sz val="15"/>
      <color theme="1"/>
      <name val="Calibri"/>
      <family val="2"/>
      <scheme val="minor"/>
    </font>
    <font>
      <b/>
      <sz val="34"/>
      <name val="Calibri"/>
      <family val="2"/>
      <scheme val="minor"/>
    </font>
    <font>
      <sz val="20"/>
      <color theme="1"/>
      <name val="Calibri"/>
      <family val="2"/>
      <scheme val="minor"/>
    </font>
    <font>
      <sz val="8"/>
      <color theme="1"/>
      <name val="Calibri"/>
      <family val="2"/>
      <scheme val="minor"/>
    </font>
  </fonts>
  <fills count="69">
    <fill>
      <patternFill patternType="none"/>
    </fill>
    <fill>
      <patternFill patternType="gray125"/>
    </fill>
    <fill>
      <patternFill patternType="solid">
        <fgColor rgb="FFEFEFEF"/>
        <bgColor rgb="FFEFEFEF"/>
      </patternFill>
    </fill>
    <fill>
      <patternFill patternType="solid">
        <fgColor rgb="FFBDD6EE"/>
        <bgColor rgb="FFBDD6EE"/>
      </patternFill>
    </fill>
    <fill>
      <patternFill patternType="solid">
        <fgColor rgb="FFFFFF00"/>
        <bgColor rgb="FFFFFF00"/>
      </patternFill>
    </fill>
    <fill>
      <patternFill patternType="solid">
        <fgColor rgb="FF2F5496"/>
        <bgColor rgb="FF2F5496"/>
      </patternFill>
    </fill>
    <fill>
      <patternFill patternType="solid">
        <fgColor rgb="FF00B050"/>
        <bgColor rgb="FF00B050"/>
      </patternFill>
    </fill>
    <fill>
      <patternFill patternType="solid">
        <fgColor rgb="FF9CC2E5"/>
        <bgColor rgb="FF9CC2E5"/>
      </patternFill>
    </fill>
    <fill>
      <patternFill patternType="solid">
        <fgColor rgb="FFC55A11"/>
        <bgColor rgb="FFC55A11"/>
      </patternFill>
    </fill>
    <fill>
      <patternFill patternType="solid">
        <fgColor rgb="FFF4B083"/>
        <bgColor rgb="FFF4B083"/>
      </patternFill>
    </fill>
    <fill>
      <patternFill patternType="solid">
        <fgColor rgb="FFCFE2F3"/>
        <bgColor rgb="FFCFE2F3"/>
      </patternFill>
    </fill>
    <fill>
      <patternFill patternType="solid">
        <fgColor rgb="FF2E75B5"/>
        <bgColor rgb="FF2E75B5"/>
      </patternFill>
    </fill>
    <fill>
      <patternFill patternType="solid">
        <fgColor rgb="FF6AA84F"/>
        <bgColor rgb="FF6AA84F"/>
      </patternFill>
    </fill>
    <fill>
      <patternFill patternType="solid">
        <fgColor rgb="FF0070C0"/>
        <bgColor rgb="FF0070C0"/>
      </patternFill>
    </fill>
    <fill>
      <patternFill patternType="solid">
        <fgColor rgb="FFFFFFFF"/>
        <bgColor rgb="FFFFFFFF"/>
      </patternFill>
    </fill>
    <fill>
      <patternFill patternType="solid">
        <fgColor rgb="FFC9DAF8"/>
        <bgColor rgb="FFC9DAF8"/>
      </patternFill>
    </fill>
    <fill>
      <patternFill patternType="solid">
        <fgColor rgb="FFDADADA"/>
        <bgColor rgb="FFDADADA"/>
      </patternFill>
    </fill>
    <fill>
      <patternFill patternType="solid">
        <fgColor rgb="FFA8D08D"/>
        <bgColor rgb="FFA8D08D"/>
      </patternFill>
    </fill>
    <fill>
      <patternFill patternType="solid">
        <fgColor rgb="FFD0CECE"/>
        <bgColor rgb="FFD0CECE"/>
      </patternFill>
    </fill>
    <fill>
      <patternFill patternType="solid">
        <fgColor rgb="FFFFFF00"/>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00B050"/>
        <bgColor indexed="64"/>
      </patternFill>
    </fill>
    <fill>
      <patternFill patternType="solid">
        <fgColor rgb="FFA9D08E"/>
        <bgColor indexed="64"/>
      </patternFill>
    </fill>
    <fill>
      <patternFill patternType="solid">
        <fgColor rgb="FFF8CBAD"/>
        <bgColor indexed="64"/>
      </patternFill>
    </fill>
    <fill>
      <patternFill patternType="solid">
        <fgColor rgb="FF92D050"/>
        <bgColor indexed="64"/>
      </patternFill>
    </fill>
    <fill>
      <patternFill patternType="solid">
        <fgColor rgb="FFF6C5AC"/>
        <bgColor indexed="64"/>
      </patternFill>
    </fill>
    <fill>
      <patternFill patternType="solid">
        <fgColor rgb="FFFFFF00"/>
        <bgColor rgb="FFFFFFFF"/>
      </patternFill>
    </fill>
    <fill>
      <patternFill patternType="solid">
        <fgColor rgb="FF00B050"/>
        <bgColor rgb="FFF4B083"/>
      </patternFill>
    </fill>
    <fill>
      <patternFill patternType="solid">
        <fgColor rgb="FFFFFF00"/>
        <bgColor rgb="FFF4B083"/>
      </patternFill>
    </fill>
    <fill>
      <patternFill patternType="solid">
        <fgColor theme="0"/>
        <bgColor rgb="FFF4B083"/>
      </patternFill>
    </fill>
    <fill>
      <patternFill patternType="solid">
        <fgColor theme="5" tint="0.39997558519241921"/>
        <bgColor rgb="FF00B050"/>
      </patternFill>
    </fill>
    <fill>
      <patternFill patternType="solid">
        <fgColor theme="5" tint="0.39997558519241921"/>
        <bgColor rgb="FFF4B083"/>
      </patternFill>
    </fill>
    <fill>
      <patternFill patternType="solid">
        <fgColor theme="4" tint="-0.249977111117893"/>
        <bgColor rgb="FF00B050"/>
      </patternFill>
    </fill>
    <fill>
      <patternFill patternType="solid">
        <fgColor theme="4" tint="-0.249977111117893"/>
        <bgColor rgb="FFF4B083"/>
      </patternFill>
    </fill>
    <fill>
      <patternFill patternType="solid">
        <fgColor theme="4" tint="-0.249977111117893"/>
        <bgColor rgb="FF2E75B5"/>
      </patternFill>
    </fill>
    <fill>
      <patternFill patternType="solid">
        <fgColor theme="0"/>
        <bgColor rgb="FF00B050"/>
      </patternFill>
    </fill>
    <fill>
      <patternFill patternType="solid">
        <fgColor theme="0"/>
        <bgColor rgb="FF2E75B5"/>
      </patternFill>
    </fill>
    <fill>
      <patternFill patternType="solid">
        <fgColor theme="5" tint="0.39997558519241921"/>
        <bgColor rgb="FF2E75B5"/>
      </patternFill>
    </fill>
    <fill>
      <patternFill patternType="solid">
        <fgColor theme="4" tint="-0.249977111117893"/>
        <bgColor indexed="64"/>
      </patternFill>
    </fill>
    <fill>
      <patternFill patternType="solid">
        <fgColor theme="0"/>
        <bgColor rgb="FFFFFFFF"/>
      </patternFill>
    </fill>
    <fill>
      <patternFill patternType="solid">
        <fgColor theme="2" tint="-4.9989318521683403E-2"/>
        <bgColor indexed="64"/>
      </patternFill>
    </fill>
    <fill>
      <patternFill patternType="solid">
        <fgColor theme="5" tint="-0.249977111117893"/>
        <bgColor indexed="64"/>
      </patternFill>
    </fill>
    <fill>
      <patternFill patternType="solid">
        <fgColor theme="5" tint="-0.249977111117893"/>
        <bgColor rgb="FFD0CECE"/>
      </patternFill>
    </fill>
    <fill>
      <patternFill patternType="solid">
        <fgColor rgb="FF0070C0"/>
        <bgColor indexed="64"/>
      </patternFill>
    </fill>
    <fill>
      <patternFill patternType="solid">
        <fgColor rgb="FFFF7C80"/>
        <bgColor indexed="64"/>
      </patternFill>
    </fill>
    <fill>
      <patternFill patternType="solid">
        <fgColor theme="2" tint="-0.14999847407452621"/>
        <bgColor indexed="64"/>
      </patternFill>
    </fill>
    <fill>
      <patternFill patternType="solid">
        <fgColor rgb="FFCC0066"/>
        <bgColor indexed="64"/>
      </patternFill>
    </fill>
    <fill>
      <patternFill patternType="solid">
        <fgColor rgb="FFFFFF00"/>
        <bgColor rgb="FF2F5496"/>
      </patternFill>
    </fill>
    <fill>
      <patternFill patternType="solid">
        <fgColor theme="2"/>
        <bgColor rgb="FFFFFFFF"/>
      </patternFill>
    </fill>
    <fill>
      <patternFill patternType="solid">
        <fgColor theme="2"/>
        <bgColor indexed="64"/>
      </patternFill>
    </fill>
    <fill>
      <patternFill patternType="solid">
        <fgColor theme="4" tint="0.39997558519241921"/>
        <bgColor rgb="FF2F5496"/>
      </patternFill>
    </fill>
    <fill>
      <patternFill patternType="solid">
        <fgColor theme="4" tint="0.59999389629810485"/>
        <bgColor indexed="64"/>
      </patternFill>
    </fill>
    <fill>
      <patternFill patternType="solid">
        <fgColor theme="4" tint="0.59999389629810485"/>
        <bgColor rgb="FF2F5496"/>
      </patternFill>
    </fill>
    <fill>
      <patternFill patternType="solid">
        <fgColor theme="4" tint="0.79998168889431442"/>
        <bgColor rgb="FF2F5496"/>
      </patternFill>
    </fill>
    <fill>
      <patternFill patternType="solid">
        <fgColor rgb="FFCC0066"/>
        <bgColor rgb="FFF4B083"/>
      </patternFill>
    </fill>
    <fill>
      <patternFill patternType="solid">
        <fgColor rgb="FFFF7C80"/>
        <bgColor rgb="FFD0CECE"/>
      </patternFill>
    </fill>
    <fill>
      <patternFill patternType="solid">
        <fgColor theme="0" tint="-0.14999847407452621"/>
        <bgColor indexed="64"/>
      </patternFill>
    </fill>
    <fill>
      <patternFill patternType="solid">
        <fgColor theme="2" tint="-0.34998626667073579"/>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rgb="FFCC0066"/>
        <bgColor rgb="FF00B050"/>
      </patternFill>
    </fill>
    <fill>
      <patternFill patternType="solid">
        <fgColor theme="0" tint="-4.9989318521683403E-2"/>
        <bgColor rgb="FFFFFFFF"/>
      </patternFill>
    </fill>
    <fill>
      <patternFill patternType="solid">
        <fgColor theme="0" tint="-0.34998626667073579"/>
        <bgColor indexed="64"/>
      </patternFill>
    </fill>
    <fill>
      <patternFill patternType="solid">
        <fgColor rgb="FFFF9999"/>
        <bgColor indexed="64"/>
      </patternFill>
    </fill>
  </fills>
  <borders count="176">
    <border>
      <left/>
      <right/>
      <top/>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CCCCCC"/>
      </right>
      <top style="medium">
        <color rgb="FFCCCCCC"/>
      </top>
      <bottom/>
      <diagonal/>
    </border>
    <border>
      <left style="medium">
        <color rgb="FFCCCCCC"/>
      </left>
      <right style="medium">
        <color rgb="FF000000"/>
      </right>
      <top style="medium">
        <color rgb="FFCCCCCC"/>
      </top>
      <bottom style="medium">
        <color rgb="FFCCCCCC"/>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BF4F14"/>
      </right>
      <top style="medium">
        <color rgb="FFCCCCCC"/>
      </top>
      <bottom style="medium">
        <color rgb="FFCCCCCC"/>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style="medium">
        <color rgb="FFCCCCCC"/>
      </right>
      <top style="medium">
        <color rgb="FFCCCCCC"/>
      </top>
      <bottom style="medium">
        <color rgb="FFCCCCCC"/>
      </bottom>
      <diagonal/>
    </border>
    <border>
      <left style="medium">
        <color rgb="FFCCCCCC"/>
      </left>
      <right/>
      <top style="medium">
        <color rgb="FFCCCCCC"/>
      </top>
      <bottom style="medium">
        <color rgb="FF000000"/>
      </bottom>
      <diagonal/>
    </border>
    <border>
      <left style="medium">
        <color rgb="FFCCCCCC"/>
      </left>
      <right/>
      <top style="medium">
        <color rgb="FFCCCCCC"/>
      </top>
      <bottom/>
      <diagonal/>
    </border>
    <border>
      <left/>
      <right/>
      <top/>
      <bottom style="medium">
        <color rgb="FF000000"/>
      </bottom>
      <diagonal/>
    </border>
    <border>
      <left style="medium">
        <color rgb="FFCCCCCC"/>
      </left>
      <right/>
      <top/>
      <bottom style="medium">
        <color rgb="FF000000"/>
      </bottom>
      <diagonal/>
    </border>
    <border>
      <left style="medium">
        <color rgb="FFCCCCCC"/>
      </left>
      <right style="medium">
        <color rgb="FFCCCCCC"/>
      </right>
      <top/>
      <bottom style="medium">
        <color rgb="FFCCCCCC"/>
      </bottom>
      <diagonal/>
    </border>
    <border>
      <left/>
      <right style="medium">
        <color rgb="FF000000"/>
      </right>
      <top style="medium">
        <color rgb="FF000000"/>
      </top>
      <bottom/>
      <diagonal/>
    </border>
    <border>
      <left style="medium">
        <color rgb="FFCCCCCC"/>
      </left>
      <right/>
      <top style="medium">
        <color rgb="FFCCCCCC"/>
      </top>
      <bottom style="medium">
        <color rgb="FFCCCCCC"/>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rgb="FF000000"/>
      </right>
      <top/>
      <bottom style="medium">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medium">
        <color rgb="FF000000"/>
      </left>
      <right style="medium">
        <color rgb="FF000000"/>
      </right>
      <top/>
      <bottom style="medium">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medium">
        <color rgb="FFCCCCCC"/>
      </right>
      <top style="medium">
        <color rgb="FFCCCCCC"/>
      </top>
      <bottom/>
      <diagonal/>
    </border>
    <border>
      <left/>
      <right/>
      <top style="medium">
        <color rgb="FF000000"/>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rgb="FF000000"/>
      </bottom>
      <diagonal/>
    </border>
    <border>
      <left/>
      <right style="medium">
        <color rgb="FFCCCCCC"/>
      </right>
      <top style="medium">
        <color indexed="64"/>
      </top>
      <bottom style="medium">
        <color rgb="FF000000"/>
      </bottom>
      <diagonal/>
    </border>
    <border>
      <left style="medium">
        <color rgb="FFCCCCCC"/>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rgb="FFCCCCCC"/>
      </left>
      <right style="medium">
        <color indexed="64"/>
      </right>
      <top style="medium">
        <color rgb="FFCCCCCC"/>
      </top>
      <bottom style="medium">
        <color rgb="FF000000"/>
      </bottom>
      <diagonal/>
    </border>
    <border>
      <left style="medium">
        <color indexed="64"/>
      </left>
      <right style="medium">
        <color rgb="FF000000"/>
      </right>
      <top style="medium">
        <color rgb="FFCCCCCC"/>
      </top>
      <bottom style="medium">
        <color rgb="FF000000"/>
      </bottom>
      <diagonal/>
    </border>
    <border>
      <left style="medium">
        <color rgb="FFCCCCCC"/>
      </left>
      <right style="medium">
        <color indexed="64"/>
      </right>
      <top style="medium">
        <color rgb="FFCCCCCC"/>
      </top>
      <bottom/>
      <diagonal/>
    </border>
    <border>
      <left style="thin">
        <color rgb="FF000000"/>
      </left>
      <right style="medium">
        <color indexed="64"/>
      </right>
      <top style="thin">
        <color rgb="FF000000"/>
      </top>
      <bottom style="thin">
        <color rgb="FF000000"/>
      </bottom>
      <diagonal/>
    </border>
    <border>
      <left style="medium">
        <color rgb="FFCCCCCC"/>
      </left>
      <right style="medium">
        <color indexed="64"/>
      </right>
      <top/>
      <bottom style="medium">
        <color rgb="FF000000"/>
      </bottom>
      <diagonal/>
    </border>
    <border>
      <left style="medium">
        <color indexed="64"/>
      </left>
      <right style="medium">
        <color rgb="FF000000"/>
      </right>
      <top style="medium">
        <color rgb="FFCCCCCC"/>
      </top>
      <bottom style="medium">
        <color indexed="64"/>
      </bottom>
      <diagonal/>
    </border>
    <border>
      <left style="medium">
        <color rgb="FFCCCCCC"/>
      </left>
      <right style="medium">
        <color rgb="FF000000"/>
      </right>
      <top style="medium">
        <color rgb="FFCCCCCC"/>
      </top>
      <bottom style="medium">
        <color indexed="64"/>
      </bottom>
      <diagonal/>
    </border>
    <border>
      <left style="medium">
        <color rgb="FFCCCCCC"/>
      </left>
      <right style="medium">
        <color indexed="64"/>
      </right>
      <top style="medium">
        <color rgb="FFCCCCCC"/>
      </top>
      <bottom style="medium">
        <color indexed="64"/>
      </bottom>
      <diagonal/>
    </border>
    <border>
      <left style="medium">
        <color indexed="64"/>
      </left>
      <right style="medium">
        <color rgb="FF000000"/>
      </right>
      <top style="medium">
        <color rgb="FFCCCCCC"/>
      </top>
      <bottom/>
      <diagonal/>
    </border>
    <border>
      <left style="medium">
        <color indexed="64"/>
      </left>
      <right/>
      <top style="medium">
        <color rgb="FF000000"/>
      </top>
      <bottom/>
      <diagonal/>
    </border>
    <border>
      <left style="thin">
        <color rgb="FF000000"/>
      </left>
      <right style="medium">
        <color indexed="64"/>
      </right>
      <top style="thin">
        <color rgb="FF000000"/>
      </top>
      <bottom/>
      <diagonal/>
    </border>
    <border>
      <left style="medium">
        <color indexed="64"/>
      </left>
      <right style="medium">
        <color rgb="FF000000"/>
      </right>
      <top/>
      <bottom/>
      <diagonal/>
    </border>
    <border>
      <left style="medium">
        <color rgb="FFCCCCCC"/>
      </left>
      <right/>
      <top/>
      <bottom/>
      <diagonal/>
    </border>
    <border>
      <left style="medium">
        <color indexed="64"/>
      </left>
      <right/>
      <top/>
      <bottom style="medium">
        <color rgb="FF000000"/>
      </bottom>
      <diagonal/>
    </border>
    <border>
      <left style="medium">
        <color indexed="64"/>
      </left>
      <right style="medium">
        <color rgb="FF000000"/>
      </right>
      <top style="medium">
        <color indexed="64"/>
      </top>
      <bottom style="medium">
        <color indexed="64"/>
      </bottom>
      <diagonal/>
    </border>
    <border>
      <left style="medium">
        <color rgb="FFCCCCCC"/>
      </left>
      <right/>
      <top style="medium">
        <color indexed="64"/>
      </top>
      <bottom style="medium">
        <color indexed="64"/>
      </bottom>
      <diagonal/>
    </border>
    <border>
      <left/>
      <right/>
      <top style="medium">
        <color indexed="64"/>
      </top>
      <bottom style="medium">
        <color indexed="64"/>
      </bottom>
      <diagonal/>
    </border>
    <border>
      <left style="medium">
        <color rgb="FFCCCCCC"/>
      </left>
      <right/>
      <top style="medium">
        <color rgb="FFCCCCCC"/>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CCCCCC"/>
      </top>
      <bottom style="medium">
        <color rgb="FF000000"/>
      </bottom>
      <diagonal/>
    </border>
    <border>
      <left style="medium">
        <color indexed="64"/>
      </left>
      <right style="medium">
        <color indexed="64"/>
      </right>
      <top style="medium">
        <color rgb="FFCCCCCC"/>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CCCCCC"/>
      </top>
      <bottom style="medium">
        <color indexed="64"/>
      </bottom>
      <diagonal/>
    </border>
    <border>
      <left style="thin">
        <color rgb="FF000000"/>
      </left>
      <right style="medium">
        <color indexed="64"/>
      </right>
      <top/>
      <bottom style="thin">
        <color rgb="FF000000"/>
      </bottom>
      <diagonal/>
    </border>
    <border>
      <left style="medium">
        <color indexed="64"/>
      </left>
      <right style="medium">
        <color rgb="FF000000"/>
      </right>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diagonal/>
    </border>
    <border>
      <left style="medium">
        <color indexed="64"/>
      </left>
      <right style="medium">
        <color rgb="FF000000"/>
      </right>
      <top style="medium">
        <color indexed="64"/>
      </top>
      <bottom style="medium">
        <color rgb="FF000000"/>
      </bottom>
      <diagonal/>
    </border>
    <border>
      <left style="medium">
        <color rgb="FFCCCCCC"/>
      </left>
      <right/>
      <top style="medium">
        <color indexed="64"/>
      </top>
      <bottom style="medium">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thin">
        <color rgb="FF000000"/>
      </right>
      <top style="thin">
        <color rgb="FF000000"/>
      </top>
      <bottom/>
      <diagonal/>
    </border>
    <border>
      <left/>
      <right style="medium">
        <color rgb="FF000000"/>
      </right>
      <top style="medium">
        <color indexed="64"/>
      </top>
      <bottom style="medium">
        <color rgb="FF000000"/>
      </bottom>
      <diagonal/>
    </border>
    <border>
      <left/>
      <right style="medium">
        <color indexed="64"/>
      </right>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FF0000"/>
      </left>
      <right style="thin">
        <color indexed="64"/>
      </right>
      <top style="thin">
        <color rgb="FFFF0000"/>
      </top>
      <bottom style="thin">
        <color indexed="64"/>
      </bottom>
      <diagonal/>
    </border>
    <border>
      <left style="thin">
        <color indexed="64"/>
      </left>
      <right style="thin">
        <color indexed="64"/>
      </right>
      <top style="thin">
        <color rgb="FFFF0000"/>
      </top>
      <bottom/>
      <diagonal/>
    </border>
    <border>
      <left style="thin">
        <color indexed="64"/>
      </left>
      <right style="thin">
        <color indexed="64"/>
      </right>
      <top style="thin">
        <color rgb="FFFF0000"/>
      </top>
      <bottom style="thin">
        <color indexed="64"/>
      </bottom>
      <diagonal/>
    </border>
    <border>
      <left style="thin">
        <color indexed="64"/>
      </left>
      <right style="thin">
        <color rgb="FFFF0000"/>
      </right>
      <top style="thin">
        <color rgb="FFFF0000"/>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indexed="64"/>
      </right>
      <top style="thin">
        <color indexed="64"/>
      </top>
      <bottom style="thin">
        <color rgb="FFFF0000"/>
      </bottom>
      <diagonal/>
    </border>
    <border>
      <left style="thin">
        <color indexed="64"/>
      </left>
      <right style="thin">
        <color indexed="64"/>
      </right>
      <top/>
      <bottom style="thin">
        <color rgb="FFFF0000"/>
      </bottom>
      <diagonal/>
    </border>
    <border>
      <left style="thin">
        <color indexed="64"/>
      </left>
      <right style="thin">
        <color indexed="64"/>
      </right>
      <top style="thin">
        <color indexed="64"/>
      </top>
      <bottom style="thin">
        <color rgb="FFFF0000"/>
      </bottom>
      <diagonal/>
    </border>
    <border>
      <left style="thin">
        <color indexed="64"/>
      </left>
      <right style="thin">
        <color rgb="FFFF0000"/>
      </right>
      <top style="thin">
        <color indexed="64"/>
      </top>
      <bottom style="thin">
        <color rgb="FFFF0000"/>
      </bottom>
      <diagonal/>
    </border>
    <border>
      <left style="thin">
        <color indexed="64"/>
      </left>
      <right/>
      <top style="thin">
        <color rgb="FFFF0000"/>
      </top>
      <bottom/>
      <diagonal/>
    </border>
    <border>
      <left style="thin">
        <color indexed="64"/>
      </left>
      <right/>
      <top/>
      <bottom style="thin">
        <color rgb="FFFF0000"/>
      </bottom>
      <diagonal/>
    </border>
    <border>
      <left/>
      <right style="thin">
        <color indexed="64"/>
      </right>
      <top style="thin">
        <color indexed="64"/>
      </top>
      <bottom style="thin">
        <color rgb="FFFF0000"/>
      </bottom>
      <diagonal/>
    </border>
    <border>
      <left style="thin">
        <color rgb="FFFF0000"/>
      </left>
      <right style="thin">
        <color indexed="64"/>
      </right>
      <top/>
      <bottom style="thin">
        <color indexed="64"/>
      </bottom>
      <diagonal/>
    </border>
    <border>
      <left style="thin">
        <color indexed="64"/>
      </left>
      <right style="thin">
        <color rgb="FFFF0000"/>
      </right>
      <top/>
      <bottom style="thin">
        <color indexed="64"/>
      </bottom>
      <diagonal/>
    </border>
    <border>
      <left style="thick">
        <color rgb="FF7030A0"/>
      </left>
      <right style="thick">
        <color rgb="FF7030A0"/>
      </right>
      <top style="thick">
        <color rgb="FF7030A0"/>
      </top>
      <bottom style="thick">
        <color rgb="FF7030A0"/>
      </bottom>
      <diagonal/>
    </border>
    <border>
      <left style="thick">
        <color rgb="FF7030A0"/>
      </left>
      <right style="thin">
        <color indexed="64"/>
      </right>
      <top style="thick">
        <color rgb="FF7030A0"/>
      </top>
      <bottom style="thick">
        <color rgb="FF7030A0"/>
      </bottom>
      <diagonal/>
    </border>
    <border>
      <left style="thin">
        <color indexed="64"/>
      </left>
      <right/>
      <top style="thick">
        <color rgb="FF7030A0"/>
      </top>
      <bottom style="thick">
        <color rgb="FF7030A0"/>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medium">
        <color rgb="FFCCCCCC"/>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CCCCCC"/>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style="medium">
        <color rgb="FFCCCCCC"/>
      </left>
      <right/>
      <top/>
      <bottom style="medium">
        <color rgb="FFCCCCCC"/>
      </bottom>
      <diagonal/>
    </border>
    <border>
      <left style="medium">
        <color indexed="64"/>
      </left>
      <right style="medium">
        <color rgb="FF000000"/>
      </right>
      <top style="medium">
        <color indexed="64"/>
      </top>
      <bottom/>
      <diagonal/>
    </border>
    <border>
      <left style="medium">
        <color rgb="FFCCCCCC"/>
      </left>
      <right/>
      <top style="medium">
        <color indexed="64"/>
      </top>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indexed="64"/>
      </top>
      <bottom/>
      <diagonal/>
    </border>
    <border>
      <left/>
      <right style="medium">
        <color rgb="FF000000"/>
      </right>
      <top style="medium">
        <color indexed="64"/>
      </top>
      <bottom/>
      <diagonal/>
    </border>
    <border>
      <left/>
      <right/>
      <top/>
      <bottom style="medium">
        <color indexed="64"/>
      </bottom>
      <diagonal/>
    </border>
    <border>
      <left style="medium">
        <color indexed="64"/>
      </left>
      <right style="medium">
        <color indexed="64"/>
      </right>
      <top style="medium">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medium">
        <color rgb="FFCCCCCC"/>
      </right>
      <top/>
      <bottom style="medium">
        <color rgb="FFCCCCCC"/>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rgb="FF000000"/>
      </top>
      <bottom/>
      <diagonal/>
    </border>
    <border>
      <left/>
      <right style="thin">
        <color indexed="64"/>
      </right>
      <top style="medium">
        <color indexed="64"/>
      </top>
      <bottom style="medium">
        <color indexed="64"/>
      </bottom>
      <diagonal/>
    </border>
    <border>
      <left/>
      <right/>
      <top/>
      <bottom style="thin">
        <color rgb="FF000000"/>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rgb="FFCCCCCC"/>
      </right>
      <top/>
      <bottom/>
      <diagonal/>
    </border>
    <border>
      <left style="medium">
        <color rgb="FFCCCCCC"/>
      </left>
      <right style="medium">
        <color rgb="FFCCCCCC"/>
      </right>
      <top/>
      <bottom/>
      <diagonal/>
    </border>
    <border>
      <left/>
      <right style="medium">
        <color rgb="FF000000"/>
      </right>
      <top/>
      <bottom/>
      <diagonal/>
    </border>
    <border>
      <left style="thin">
        <color rgb="FF663997"/>
      </left>
      <right style="thin">
        <color rgb="FF663997"/>
      </right>
      <top style="thin">
        <color rgb="FF663997"/>
      </top>
      <bottom style="thin">
        <color rgb="FF663997"/>
      </bottom>
      <diagonal/>
    </border>
    <border>
      <left style="medium">
        <color rgb="FF663997"/>
      </left>
      <right style="thin">
        <color rgb="FF000000"/>
      </right>
      <top style="medium">
        <color rgb="FF663997"/>
      </top>
      <bottom style="thin">
        <color rgb="FF000000"/>
      </bottom>
      <diagonal/>
    </border>
    <border>
      <left style="thin">
        <color rgb="FF000000"/>
      </left>
      <right style="thin">
        <color rgb="FF000000"/>
      </right>
      <top style="medium">
        <color rgb="FF663997"/>
      </top>
      <bottom style="thin">
        <color rgb="FF000000"/>
      </bottom>
      <diagonal/>
    </border>
    <border>
      <left style="thin">
        <color rgb="FF000000"/>
      </left>
      <right/>
      <top style="medium">
        <color rgb="FF663997"/>
      </top>
      <bottom style="thin">
        <color rgb="FF000000"/>
      </bottom>
      <diagonal/>
    </border>
    <border>
      <left style="thin">
        <color indexed="64"/>
      </left>
      <right style="thin">
        <color indexed="64"/>
      </right>
      <top style="medium">
        <color rgb="FF663997"/>
      </top>
      <bottom style="thin">
        <color indexed="64"/>
      </bottom>
      <diagonal/>
    </border>
    <border>
      <left/>
      <right style="thin">
        <color rgb="FF000000"/>
      </right>
      <top style="medium">
        <color rgb="FF663997"/>
      </top>
      <bottom style="thin">
        <color rgb="FF000000"/>
      </bottom>
      <diagonal/>
    </border>
    <border>
      <left style="thin">
        <color rgb="FF000000"/>
      </left>
      <right style="medium">
        <color rgb="FF663997"/>
      </right>
      <top style="medium">
        <color rgb="FF663997"/>
      </top>
      <bottom style="thin">
        <color rgb="FF000000"/>
      </bottom>
      <diagonal/>
    </border>
    <border>
      <left style="medium">
        <color rgb="FF663997"/>
      </left>
      <right style="thin">
        <color rgb="FF000000"/>
      </right>
      <top style="thin">
        <color rgb="FF000000"/>
      </top>
      <bottom/>
      <diagonal/>
    </border>
    <border>
      <left style="thin">
        <color rgb="FF000000"/>
      </left>
      <right style="medium">
        <color rgb="FF663997"/>
      </right>
      <top style="thin">
        <color rgb="FF000000"/>
      </top>
      <bottom style="thin">
        <color rgb="FF000000"/>
      </bottom>
      <diagonal/>
    </border>
    <border>
      <left style="medium">
        <color rgb="FF663997"/>
      </left>
      <right style="thin">
        <color rgb="FF000000"/>
      </right>
      <top style="thin">
        <color rgb="FF000000"/>
      </top>
      <bottom style="thin">
        <color rgb="FF000000"/>
      </bottom>
      <diagonal/>
    </border>
    <border>
      <left style="medium">
        <color rgb="FF663997"/>
      </left>
      <right style="thin">
        <color rgb="FF000000"/>
      </right>
      <top style="thin">
        <color rgb="FF000000"/>
      </top>
      <bottom style="medium">
        <color rgb="FF663997"/>
      </bottom>
      <diagonal/>
    </border>
    <border>
      <left style="thin">
        <color rgb="FF000000"/>
      </left>
      <right style="thin">
        <color rgb="FF000000"/>
      </right>
      <top style="thin">
        <color rgb="FF000000"/>
      </top>
      <bottom style="medium">
        <color rgb="FF663997"/>
      </bottom>
      <diagonal/>
    </border>
    <border>
      <left style="thin">
        <color rgb="FF000000"/>
      </left>
      <right/>
      <top style="thin">
        <color rgb="FF000000"/>
      </top>
      <bottom style="medium">
        <color rgb="FF663997"/>
      </bottom>
      <diagonal/>
    </border>
    <border>
      <left style="thin">
        <color indexed="64"/>
      </left>
      <right style="thin">
        <color indexed="64"/>
      </right>
      <top style="thin">
        <color indexed="64"/>
      </top>
      <bottom style="medium">
        <color rgb="FF663997"/>
      </bottom>
      <diagonal/>
    </border>
    <border>
      <left/>
      <right style="thin">
        <color rgb="FF000000"/>
      </right>
      <top style="thin">
        <color rgb="FF000000"/>
      </top>
      <bottom style="medium">
        <color rgb="FF663997"/>
      </bottom>
      <diagonal/>
    </border>
    <border>
      <left style="thin">
        <color rgb="FF000000"/>
      </left>
      <right style="medium">
        <color rgb="FF663997"/>
      </right>
      <top style="thin">
        <color rgb="FF000000"/>
      </top>
      <bottom style="medium">
        <color rgb="FF663997"/>
      </bottom>
      <diagonal/>
    </border>
    <border>
      <left/>
      <right/>
      <top style="medium">
        <color indexed="64"/>
      </top>
      <bottom/>
      <diagonal/>
    </border>
  </borders>
  <cellStyleXfs count="5">
    <xf numFmtId="0" fontId="0" fillId="0" borderId="0"/>
    <xf numFmtId="9" fontId="11" fillId="0" borderId="0" applyFont="0" applyFill="0" applyBorder="0" applyAlignment="0" applyProtection="0"/>
    <xf numFmtId="0" fontId="2" fillId="0" borderId="0"/>
    <xf numFmtId="43" fontId="11" fillId="0" borderId="0" applyFont="0" applyFill="0" applyBorder="0" applyAlignment="0" applyProtection="0"/>
    <xf numFmtId="44" fontId="120" fillId="0" borderId="0" applyFont="0" applyFill="0" applyBorder="0" applyAlignment="0" applyProtection="0"/>
  </cellStyleXfs>
  <cellXfs count="1433">
    <xf numFmtId="0" fontId="0" fillId="0" borderId="0" xfId="0"/>
    <xf numFmtId="0" fontId="3" fillId="0" borderId="22" xfId="0" applyFont="1" applyBorder="1"/>
    <xf numFmtId="0" fontId="5" fillId="0" borderId="13" xfId="0" applyFont="1" applyBorder="1" applyAlignment="1">
      <alignment horizontal="center"/>
    </xf>
    <xf numFmtId="0" fontId="6" fillId="0" borderId="13" xfId="0" applyFont="1" applyBorder="1" applyAlignment="1">
      <alignment horizontal="center"/>
    </xf>
    <xf numFmtId="9" fontId="7" fillId="0" borderId="13" xfId="0" applyNumberFormat="1" applyFont="1" applyBorder="1" applyAlignment="1">
      <alignment horizontal="center"/>
    </xf>
    <xf numFmtId="164" fontId="8" fillId="0" borderId="0" xfId="0" applyNumberFormat="1" applyFont="1"/>
    <xf numFmtId="164" fontId="9" fillId="0" borderId="0" xfId="0" applyNumberFormat="1" applyFont="1"/>
    <xf numFmtId="10" fontId="10" fillId="0" borderId="0" xfId="0" applyNumberFormat="1" applyFont="1" applyAlignment="1">
      <alignment horizontal="center"/>
    </xf>
    <xf numFmtId="0" fontId="12" fillId="19" borderId="23" xfId="0" applyFont="1" applyFill="1" applyBorder="1" applyAlignment="1">
      <alignment horizontal="center" vertical="center" wrapText="1"/>
    </xf>
    <xf numFmtId="0" fontId="0" fillId="0" borderId="23" xfId="0" applyBorder="1"/>
    <xf numFmtId="10" fontId="17" fillId="24" borderId="23" xfId="0" applyNumberFormat="1" applyFont="1" applyFill="1" applyBorder="1" applyAlignment="1">
      <alignment horizontal="center" vertical="center"/>
    </xf>
    <xf numFmtId="2" fontId="0" fillId="0" borderId="0" xfId="0" applyNumberFormat="1"/>
    <xf numFmtId="165" fontId="15" fillId="0" borderId="23" xfId="1" applyNumberFormat="1" applyFont="1" applyBorder="1" applyAlignment="1">
      <alignment horizontal="center" vertical="center"/>
    </xf>
    <xf numFmtId="10" fontId="0" fillId="0" borderId="0" xfId="0" applyNumberFormat="1"/>
    <xf numFmtId="164" fontId="0" fillId="0" borderId="0" xfId="1" applyNumberFormat="1" applyFont="1" applyAlignment="1"/>
    <xf numFmtId="164" fontId="0" fillId="0" borderId="0" xfId="0" applyNumberFormat="1"/>
    <xf numFmtId="0" fontId="0" fillId="20" borderId="0" xfId="0" applyFill="1"/>
    <xf numFmtId="0" fontId="16" fillId="0" borderId="0" xfId="0" applyFont="1"/>
    <xf numFmtId="10" fontId="12" fillId="0" borderId="0" xfId="1" applyNumberFormat="1" applyFont="1" applyAlignment="1"/>
    <xf numFmtId="165" fontId="15" fillId="0" borderId="33" xfId="1" applyNumberFormat="1" applyFont="1" applyBorder="1" applyAlignment="1">
      <alignment horizontal="center" vertical="center"/>
    </xf>
    <xf numFmtId="0" fontId="19" fillId="0" borderId="25" xfId="0" applyFont="1" applyBorder="1" applyAlignment="1">
      <alignment horizontal="center" vertical="center" wrapText="1"/>
    </xf>
    <xf numFmtId="0" fontId="20" fillId="26" borderId="25" xfId="0" applyFont="1" applyFill="1" applyBorder="1" applyAlignment="1">
      <alignment horizontal="center" vertical="center" wrapText="1"/>
    </xf>
    <xf numFmtId="0" fontId="20" fillId="27" borderId="25" xfId="0" applyFont="1" applyFill="1" applyBorder="1" applyAlignment="1">
      <alignment horizontal="center" vertical="center" wrapText="1"/>
    </xf>
    <xf numFmtId="0" fontId="20" fillId="19" borderId="25" xfId="0" applyFont="1" applyFill="1" applyBorder="1" applyAlignment="1">
      <alignment horizontal="center" vertical="center" wrapText="1"/>
    </xf>
    <xf numFmtId="0" fontId="20" fillId="28" borderId="25" xfId="0" applyFont="1" applyFill="1" applyBorder="1" applyAlignment="1">
      <alignment horizontal="center" vertical="center" wrapText="1"/>
    </xf>
    <xf numFmtId="0" fontId="20" fillId="25" borderId="25" xfId="0" applyFont="1" applyFill="1" applyBorder="1" applyAlignment="1">
      <alignment horizontal="center" vertical="center" wrapText="1"/>
    </xf>
    <xf numFmtId="0" fontId="22" fillId="19" borderId="25" xfId="0" applyFont="1" applyFill="1" applyBorder="1" applyAlignment="1">
      <alignment horizontal="justify" vertical="center" wrapText="1"/>
    </xf>
    <xf numFmtId="0" fontId="22" fillId="0" borderId="25" xfId="0" applyFont="1" applyBorder="1" applyAlignment="1">
      <alignment horizontal="justify" vertical="center" wrapText="1"/>
    </xf>
    <xf numFmtId="0" fontId="22" fillId="30" borderId="25" xfId="0" applyFont="1" applyFill="1" applyBorder="1" applyAlignment="1">
      <alignment horizontal="justify" vertical="center" wrapText="1"/>
    </xf>
    <xf numFmtId="0" fontId="22" fillId="25" borderId="25" xfId="0" applyFont="1" applyFill="1" applyBorder="1" applyAlignment="1">
      <alignment horizontal="justify" vertical="center" wrapText="1"/>
    </xf>
    <xf numFmtId="0" fontId="22" fillId="0" borderId="17" xfId="0" applyFont="1" applyBorder="1" applyAlignment="1">
      <alignment horizontal="justify" vertical="center" wrapText="1"/>
    </xf>
    <xf numFmtId="0" fontId="23" fillId="0" borderId="0" xfId="0" applyFont="1"/>
    <xf numFmtId="165" fontId="4" fillId="35" borderId="23" xfId="0" applyNumberFormat="1" applyFont="1" applyFill="1" applyBorder="1" applyAlignment="1">
      <alignment horizontal="center" vertical="center" wrapText="1"/>
    </xf>
    <xf numFmtId="165" fontId="25" fillId="11" borderId="23" xfId="0" applyNumberFormat="1" applyFont="1" applyFill="1" applyBorder="1" applyAlignment="1">
      <alignment horizontal="center" vertical="center" wrapText="1"/>
    </xf>
    <xf numFmtId="0" fontId="8" fillId="0" borderId="24" xfId="0" applyFont="1" applyBorder="1" applyAlignment="1">
      <alignment horizontal="center" vertical="center"/>
    </xf>
    <xf numFmtId="0" fontId="0" fillId="0" borderId="33" xfId="0" applyBorder="1"/>
    <xf numFmtId="10" fontId="27" fillId="20" borderId="50" xfId="0" applyNumberFormat="1" applyFont="1" applyFill="1" applyBorder="1" applyAlignment="1">
      <alignment horizontal="center" vertical="center"/>
    </xf>
    <xf numFmtId="0" fontId="18" fillId="21" borderId="95" xfId="0" applyFont="1" applyFill="1" applyBorder="1" applyAlignment="1">
      <alignment wrapText="1"/>
    </xf>
    <xf numFmtId="10" fontId="27" fillId="20" borderId="97" xfId="0" applyNumberFormat="1" applyFont="1" applyFill="1" applyBorder="1" applyAlignment="1">
      <alignment horizontal="center" vertical="center"/>
    </xf>
    <xf numFmtId="10" fontId="27" fillId="20" borderId="98" xfId="0" applyNumberFormat="1" applyFont="1" applyFill="1" applyBorder="1" applyAlignment="1">
      <alignment horizontal="center" vertical="center"/>
    </xf>
    <xf numFmtId="0" fontId="14" fillId="22" borderId="99" xfId="0" applyFont="1" applyFill="1" applyBorder="1" applyAlignment="1">
      <alignment wrapText="1"/>
    </xf>
    <xf numFmtId="165" fontId="25" fillId="11" borderId="100" xfId="0" applyNumberFormat="1" applyFont="1" applyFill="1" applyBorder="1" applyAlignment="1">
      <alignment horizontal="center" vertical="center" wrapText="1"/>
    </xf>
    <xf numFmtId="0" fontId="12" fillId="23" borderId="99" xfId="0" applyFont="1" applyFill="1" applyBorder="1" applyAlignment="1">
      <alignment wrapText="1"/>
    </xf>
    <xf numFmtId="165" fontId="15" fillId="0" borderId="100" xfId="1" applyNumberFormat="1" applyFont="1" applyBorder="1" applyAlignment="1">
      <alignment horizontal="center" vertical="center"/>
    </xf>
    <xf numFmtId="10" fontId="15" fillId="0" borderId="100" xfId="1" applyNumberFormat="1" applyFont="1" applyBorder="1" applyAlignment="1">
      <alignment horizontal="center" vertical="center"/>
    </xf>
    <xf numFmtId="0" fontId="12" fillId="23" borderId="101" xfId="0" applyFont="1" applyFill="1" applyBorder="1" applyAlignment="1">
      <alignment wrapText="1"/>
    </xf>
    <xf numFmtId="165" fontId="15" fillId="0" borderId="103" xfId="1" applyNumberFormat="1" applyFont="1" applyBorder="1" applyAlignment="1">
      <alignment horizontal="center" vertical="center"/>
    </xf>
    <xf numFmtId="165" fontId="15" fillId="0" borderId="104" xfId="1" applyNumberFormat="1" applyFont="1" applyBorder="1" applyAlignment="1">
      <alignment horizontal="center" vertical="center"/>
    </xf>
    <xf numFmtId="0" fontId="18" fillId="21" borderId="95" xfId="0" applyFont="1" applyFill="1" applyBorder="1" applyAlignment="1">
      <alignment vertical="center" wrapText="1"/>
    </xf>
    <xf numFmtId="165" fontId="15" fillId="0" borderId="107" xfId="1" applyNumberFormat="1" applyFont="1" applyBorder="1" applyAlignment="1">
      <alignment horizontal="center" vertical="center"/>
    </xf>
    <xf numFmtId="0" fontId="12" fillId="19" borderId="33" xfId="0" applyFont="1" applyFill="1" applyBorder="1" applyAlignment="1">
      <alignment horizontal="center" vertical="center" wrapText="1"/>
    </xf>
    <xf numFmtId="0" fontId="18" fillId="21" borderId="108" xfId="0" applyFont="1" applyFill="1" applyBorder="1" applyAlignment="1">
      <alignment wrapText="1"/>
    </xf>
    <xf numFmtId="10" fontId="27" fillId="20" borderId="109" xfId="0" applyNumberFormat="1" applyFont="1" applyFill="1" applyBorder="1" applyAlignment="1">
      <alignment horizontal="center" vertical="center"/>
    </xf>
    <xf numFmtId="0" fontId="13" fillId="20" borderId="112" xfId="0" applyFont="1" applyFill="1" applyBorder="1" applyAlignment="1">
      <alignment wrapText="1"/>
    </xf>
    <xf numFmtId="0" fontId="15" fillId="0" borderId="30" xfId="0" applyFont="1" applyBorder="1"/>
    <xf numFmtId="0" fontId="24" fillId="4" borderId="10" xfId="0" applyFont="1" applyFill="1" applyBorder="1" applyAlignment="1">
      <alignment horizontal="center" vertical="center" wrapText="1"/>
    </xf>
    <xf numFmtId="0" fontId="30" fillId="5" borderId="10" xfId="0" applyFont="1" applyFill="1" applyBorder="1" applyAlignment="1">
      <alignment horizontal="center" vertical="center" wrapText="1"/>
    </xf>
    <xf numFmtId="0" fontId="31" fillId="4" borderId="10" xfId="0" applyFont="1" applyFill="1" applyBorder="1" applyAlignment="1">
      <alignment horizontal="center" vertical="center" wrapText="1"/>
    </xf>
    <xf numFmtId="0" fontId="28" fillId="19" borderId="23" xfId="0" applyFont="1" applyFill="1" applyBorder="1" applyAlignment="1">
      <alignment horizontal="center" vertical="center" wrapText="1"/>
    </xf>
    <xf numFmtId="0" fontId="15" fillId="0" borderId="0" xfId="0" applyFont="1"/>
    <xf numFmtId="0" fontId="32" fillId="0" borderId="111" xfId="0" applyFont="1" applyBorder="1" applyAlignment="1">
      <alignment wrapText="1"/>
    </xf>
    <xf numFmtId="0" fontId="3" fillId="0" borderId="89" xfId="0" applyFont="1" applyBorder="1"/>
    <xf numFmtId="9" fontId="6" fillId="0" borderId="28" xfId="0" applyNumberFormat="1" applyFont="1" applyBorder="1" applyAlignment="1">
      <alignment horizontal="center"/>
    </xf>
    <xf numFmtId="0" fontId="34" fillId="0" borderId="0" xfId="0" applyFont="1"/>
    <xf numFmtId="0" fontId="21" fillId="0" borderId="84" xfId="0" applyFont="1" applyBorder="1" applyAlignment="1">
      <alignment horizontal="center" vertical="center" wrapText="1"/>
    </xf>
    <xf numFmtId="0" fontId="21" fillId="0" borderId="90" xfId="0" applyFont="1" applyBorder="1" applyAlignment="1">
      <alignment horizontal="center" vertical="center" wrapText="1"/>
    </xf>
    <xf numFmtId="0" fontId="21" fillId="0" borderId="92" xfId="0" applyFont="1" applyBorder="1" applyAlignment="1">
      <alignment horizontal="center" vertical="center" wrapText="1"/>
    </xf>
    <xf numFmtId="0" fontId="22" fillId="0" borderId="81" xfId="0" applyFont="1" applyBorder="1" applyAlignment="1">
      <alignment horizontal="justify" vertical="center" wrapText="1"/>
    </xf>
    <xf numFmtId="0" fontId="22" fillId="0" borderId="91" xfId="0" applyFont="1" applyBorder="1" applyAlignment="1">
      <alignment horizontal="justify" vertical="center" wrapText="1"/>
    </xf>
    <xf numFmtId="0" fontId="22" fillId="0" borderId="127" xfId="0" applyFont="1" applyBorder="1" applyAlignment="1">
      <alignment horizontal="justify" vertical="center" wrapText="1"/>
    </xf>
    <xf numFmtId="0" fontId="22" fillId="25" borderId="128" xfId="0" applyFont="1" applyFill="1" applyBorder="1" applyAlignment="1">
      <alignment horizontal="justify" vertical="center" wrapText="1"/>
    </xf>
    <xf numFmtId="0" fontId="22" fillId="0" borderId="40" xfId="0" applyFont="1" applyBorder="1" applyAlignment="1">
      <alignment horizontal="justify" vertical="center" wrapText="1"/>
    </xf>
    <xf numFmtId="0" fontId="21" fillId="45" borderId="5" xfId="0" applyFont="1" applyFill="1" applyBorder="1" applyAlignment="1">
      <alignment horizontal="center" vertical="center" wrapText="1"/>
    </xf>
    <xf numFmtId="0" fontId="21" fillId="45" borderId="7" xfId="0" applyFont="1" applyFill="1" applyBorder="1" applyAlignment="1">
      <alignment horizontal="center" vertical="center" wrapText="1"/>
    </xf>
    <xf numFmtId="0" fontId="21" fillId="45" borderId="49" xfId="0" applyFont="1" applyFill="1" applyBorder="1" applyAlignment="1">
      <alignment horizontal="center" vertical="center" wrapText="1"/>
    </xf>
    <xf numFmtId="0" fontId="21" fillId="45" borderId="24" xfId="0" applyFont="1" applyFill="1" applyBorder="1" applyAlignment="1">
      <alignment horizontal="center" vertical="center" wrapText="1"/>
    </xf>
    <xf numFmtId="0" fontId="28" fillId="0" borderId="23" xfId="0" applyFont="1" applyBorder="1"/>
    <xf numFmtId="10" fontId="0" fillId="0" borderId="23" xfId="0" applyNumberFormat="1" applyBorder="1" applyAlignment="1">
      <alignment horizontal="center" vertical="center"/>
    </xf>
    <xf numFmtId="0" fontId="28" fillId="19" borderId="23" xfId="0" applyFont="1" applyFill="1" applyBorder="1"/>
    <xf numFmtId="0" fontId="0" fillId="0" borderId="23" xfId="0" applyBorder="1" applyAlignment="1">
      <alignment horizontal="center"/>
    </xf>
    <xf numFmtId="0" fontId="12" fillId="43" borderId="23" xfId="0" applyFont="1" applyFill="1" applyBorder="1" applyAlignment="1">
      <alignment horizontal="center" wrapText="1"/>
    </xf>
    <xf numFmtId="0" fontId="0" fillId="0" borderId="23" xfId="0" applyBorder="1" applyAlignment="1">
      <alignment wrapText="1"/>
    </xf>
    <xf numFmtId="0" fontId="35" fillId="0" borderId="23" xfId="0" applyFont="1" applyBorder="1" applyAlignment="1">
      <alignment wrapText="1"/>
    </xf>
    <xf numFmtId="165" fontId="0" fillId="0" borderId="23" xfId="1" applyNumberFormat="1" applyFont="1" applyBorder="1" applyAlignment="1">
      <alignment horizontal="center" vertical="center"/>
    </xf>
    <xf numFmtId="0" fontId="28" fillId="0" borderId="23" xfId="0" applyFont="1" applyBorder="1" applyAlignment="1">
      <alignment wrapText="1"/>
    </xf>
    <xf numFmtId="0" fontId="12" fillId="24" borderId="23" xfId="0" applyFont="1" applyFill="1" applyBorder="1" applyAlignment="1">
      <alignment horizontal="center" wrapText="1"/>
    </xf>
    <xf numFmtId="0" fontId="0" fillId="0" borderId="23" xfId="0" applyBorder="1" applyAlignment="1">
      <alignment horizontal="left"/>
    </xf>
    <xf numFmtId="0" fontId="35" fillId="0" borderId="0" xfId="0" applyFont="1" applyAlignment="1">
      <alignment wrapText="1"/>
    </xf>
    <xf numFmtId="0" fontId="28" fillId="0" borderId="0" xfId="0" applyFont="1" applyAlignment="1">
      <alignment wrapText="1"/>
    </xf>
    <xf numFmtId="10" fontId="0" fillId="0" borderId="0" xfId="0" applyNumberFormat="1" applyAlignment="1">
      <alignment horizontal="center" vertical="center"/>
    </xf>
    <xf numFmtId="0" fontId="28" fillId="19" borderId="23" xfId="0" applyFont="1" applyFill="1" applyBorder="1" applyAlignment="1">
      <alignment wrapText="1"/>
    </xf>
    <xf numFmtId="0" fontId="28" fillId="19" borderId="30" xfId="0" applyFont="1" applyFill="1" applyBorder="1" applyAlignment="1">
      <alignment horizontal="center" vertical="center" wrapText="1"/>
    </xf>
    <xf numFmtId="0" fontId="36" fillId="0" borderId="23" xfId="0" applyFont="1" applyBorder="1" applyAlignment="1">
      <alignment wrapText="1"/>
    </xf>
    <xf numFmtId="0" fontId="0" fillId="0" borderId="23" xfId="0" applyBorder="1" applyAlignment="1">
      <alignment horizontal="left" wrapText="1"/>
    </xf>
    <xf numFmtId="10" fontId="17" fillId="48" borderId="100" xfId="0" applyNumberFormat="1" applyFont="1" applyFill="1" applyBorder="1" applyAlignment="1">
      <alignment horizontal="center" vertical="center"/>
    </xf>
    <xf numFmtId="10" fontId="0" fillId="0" borderId="0" xfId="0" applyNumberFormat="1" applyAlignment="1">
      <alignment horizontal="center"/>
    </xf>
    <xf numFmtId="10" fontId="37" fillId="0" borderId="0" xfId="0" applyNumberFormat="1" applyFont="1"/>
    <xf numFmtId="165" fontId="0" fillId="0" borderId="23" xfId="0" applyNumberFormat="1" applyBorder="1" applyAlignment="1">
      <alignment horizontal="center" vertical="center"/>
    </xf>
    <xf numFmtId="10" fontId="15" fillId="0" borderId="23" xfId="1" applyNumberFormat="1" applyFont="1" applyBorder="1" applyAlignment="1">
      <alignment horizontal="center" vertical="center"/>
    </xf>
    <xf numFmtId="165" fontId="0" fillId="0" borderId="0" xfId="0" applyNumberFormat="1" applyAlignment="1">
      <alignment horizontal="center" vertical="center"/>
    </xf>
    <xf numFmtId="0" fontId="12" fillId="0" borderId="0" xfId="0" applyFont="1"/>
    <xf numFmtId="165" fontId="0" fillId="0" borderId="23" xfId="0" applyNumberFormat="1" applyBorder="1" applyAlignment="1">
      <alignment horizontal="center"/>
    </xf>
    <xf numFmtId="165" fontId="17" fillId="24" borderId="23" xfId="0" applyNumberFormat="1" applyFont="1" applyFill="1" applyBorder="1" applyAlignment="1">
      <alignment horizontal="center" vertical="center"/>
    </xf>
    <xf numFmtId="9" fontId="39" fillId="13" borderId="118" xfId="0" applyNumberFormat="1" applyFont="1" applyFill="1" applyBorder="1" applyAlignment="1">
      <alignment horizontal="center" vertical="center" wrapText="1"/>
    </xf>
    <xf numFmtId="9" fontId="39" fillId="0" borderId="116" xfId="0" applyNumberFormat="1" applyFont="1" applyBorder="1" applyAlignment="1">
      <alignment horizontal="center" vertical="center" wrapText="1"/>
    </xf>
    <xf numFmtId="0" fontId="40" fillId="0" borderId="0" xfId="0" applyFont="1" applyAlignment="1">
      <alignment wrapText="1"/>
    </xf>
    <xf numFmtId="0" fontId="21" fillId="0" borderId="0" xfId="0" applyFont="1" applyAlignment="1">
      <alignment horizontal="center" vertical="center" wrapText="1"/>
    </xf>
    <xf numFmtId="165" fontId="0" fillId="29" borderId="23" xfId="0" applyNumberFormat="1" applyFill="1" applyBorder="1" applyAlignment="1">
      <alignment horizontal="center" vertical="center"/>
    </xf>
    <xf numFmtId="165" fontId="0" fillId="26" borderId="23" xfId="0" applyNumberFormat="1" applyFill="1" applyBorder="1" applyAlignment="1">
      <alignment horizontal="center" vertical="center"/>
    </xf>
    <xf numFmtId="165" fontId="0" fillId="19" borderId="23" xfId="0" applyNumberFormat="1" applyFill="1" applyBorder="1" applyAlignment="1">
      <alignment horizontal="center" vertical="center"/>
    </xf>
    <xf numFmtId="165" fontId="0" fillId="25" borderId="23" xfId="0" applyNumberFormat="1" applyFill="1" applyBorder="1" applyAlignment="1">
      <alignment horizontal="center" vertical="center"/>
    </xf>
    <xf numFmtId="165" fontId="12" fillId="0" borderId="0" xfId="0" applyNumberFormat="1" applyFont="1" applyAlignment="1">
      <alignment horizontal="center" vertical="center"/>
    </xf>
    <xf numFmtId="165" fontId="12" fillId="26" borderId="23" xfId="0" applyNumberFormat="1" applyFont="1" applyFill="1" applyBorder="1" applyAlignment="1">
      <alignment horizontal="center" vertical="center"/>
    </xf>
    <xf numFmtId="165" fontId="0" fillId="49" borderId="23" xfId="0" applyNumberFormat="1" applyFill="1" applyBorder="1" applyAlignment="1">
      <alignment horizontal="center" vertical="center"/>
    </xf>
    <xf numFmtId="0" fontId="12" fillId="24" borderId="23" xfId="0" applyFont="1" applyFill="1" applyBorder="1" applyAlignment="1">
      <alignment horizontal="center" vertical="center" wrapText="1"/>
    </xf>
    <xf numFmtId="0" fontId="12" fillId="0" borderId="23" xfId="0" applyFont="1" applyBorder="1" applyAlignment="1">
      <alignment horizontal="center" vertical="center"/>
    </xf>
    <xf numFmtId="0" fontId="41" fillId="0" borderId="23" xfId="0" applyFont="1" applyBorder="1" applyAlignment="1">
      <alignment wrapText="1"/>
    </xf>
    <xf numFmtId="165" fontId="12" fillId="19" borderId="23" xfId="0" applyNumberFormat="1" applyFont="1" applyFill="1" applyBorder="1" applyAlignment="1">
      <alignment horizontal="center" vertical="center"/>
    </xf>
    <xf numFmtId="165" fontId="0" fillId="29" borderId="23" xfId="1" applyNumberFormat="1" applyFont="1" applyFill="1" applyBorder="1" applyAlignment="1">
      <alignment horizontal="center"/>
    </xf>
    <xf numFmtId="165" fontId="12" fillId="29" borderId="23" xfId="0" applyNumberFormat="1" applyFont="1" applyFill="1" applyBorder="1" applyAlignment="1">
      <alignment horizontal="center" vertical="center"/>
    </xf>
    <xf numFmtId="165" fontId="0" fillId="49" borderId="23" xfId="1" applyNumberFormat="1" applyFont="1" applyFill="1" applyBorder="1" applyAlignment="1">
      <alignment horizontal="center"/>
    </xf>
    <xf numFmtId="165" fontId="12" fillId="49" borderId="23" xfId="0" applyNumberFormat="1" applyFont="1" applyFill="1" applyBorder="1" applyAlignment="1">
      <alignment horizontal="center" vertical="center"/>
    </xf>
    <xf numFmtId="165" fontId="12" fillId="25" borderId="23" xfId="0" applyNumberFormat="1" applyFont="1" applyFill="1" applyBorder="1" applyAlignment="1">
      <alignment horizontal="center" vertical="center"/>
    </xf>
    <xf numFmtId="0" fontId="12" fillId="0" borderId="23" xfId="0" applyFont="1" applyBorder="1" applyAlignment="1">
      <alignment wrapText="1"/>
    </xf>
    <xf numFmtId="165" fontId="12" fillId="20" borderId="23" xfId="0" applyNumberFormat="1" applyFont="1" applyFill="1" applyBorder="1" applyAlignment="1">
      <alignment horizontal="center" vertical="center"/>
    </xf>
    <xf numFmtId="165" fontId="0" fillId="20" borderId="23" xfId="0" applyNumberFormat="1" applyFill="1" applyBorder="1" applyAlignment="1">
      <alignment horizontal="center" vertical="center"/>
    </xf>
    <xf numFmtId="0" fontId="12" fillId="0" borderId="23" xfId="0" applyFont="1" applyBorder="1" applyAlignment="1">
      <alignment horizontal="center"/>
    </xf>
    <xf numFmtId="0" fontId="12" fillId="0" borderId="23" xfId="0" applyFont="1" applyBorder="1"/>
    <xf numFmtId="0" fontId="12" fillId="0" borderId="0" xfId="0" applyFont="1" applyAlignment="1">
      <alignment wrapText="1"/>
    </xf>
    <xf numFmtId="10" fontId="4" fillId="35" borderId="23" xfId="0" applyNumberFormat="1" applyFont="1" applyFill="1" applyBorder="1" applyAlignment="1">
      <alignment horizontal="center" vertical="center" wrapText="1"/>
    </xf>
    <xf numFmtId="10" fontId="0" fillId="0" borderId="0" xfId="1" applyNumberFormat="1" applyFont="1" applyAlignment="1"/>
    <xf numFmtId="165" fontId="29" fillId="24" borderId="110" xfId="1" applyNumberFormat="1" applyFont="1" applyFill="1" applyBorder="1" applyAlignment="1">
      <alignment horizontal="center" vertical="center" wrapText="1"/>
    </xf>
    <xf numFmtId="10" fontId="15" fillId="0" borderId="103" xfId="1" applyNumberFormat="1" applyFont="1" applyBorder="1" applyAlignment="1">
      <alignment horizontal="center" vertical="center"/>
    </xf>
    <xf numFmtId="165" fontId="38" fillId="19" borderId="110" xfId="1" applyNumberFormat="1" applyFont="1" applyFill="1" applyBorder="1" applyAlignment="1">
      <alignment horizontal="center" vertical="center" wrapText="1"/>
    </xf>
    <xf numFmtId="165" fontId="29" fillId="43" borderId="110" xfId="1" applyNumberFormat="1" applyFont="1" applyFill="1" applyBorder="1" applyAlignment="1">
      <alignment horizontal="center" vertical="center" wrapText="1"/>
    </xf>
    <xf numFmtId="0" fontId="42" fillId="0" borderId="1" xfId="0" applyFont="1" applyBorder="1" applyAlignment="1">
      <alignment wrapText="1"/>
    </xf>
    <xf numFmtId="0" fontId="43" fillId="0" borderId="0" xfId="0" applyFont="1"/>
    <xf numFmtId="0" fontId="42" fillId="0" borderId="4" xfId="0" applyFont="1" applyBorder="1" applyAlignment="1">
      <alignment wrapText="1"/>
    </xf>
    <xf numFmtId="165" fontId="39" fillId="34" borderId="23" xfId="0" applyNumberFormat="1" applyFont="1" applyFill="1" applyBorder="1" applyAlignment="1">
      <alignment horizontal="center" vertical="center" wrapText="1"/>
    </xf>
    <xf numFmtId="0" fontId="42" fillId="44" borderId="8" xfId="0" applyFont="1" applyFill="1" applyBorder="1" applyAlignment="1">
      <alignment vertical="center" wrapText="1"/>
    </xf>
    <xf numFmtId="0" fontId="42" fillId="14" borderId="8" xfId="0" applyFont="1" applyFill="1" applyBorder="1" applyAlignment="1">
      <alignment vertical="center" wrapText="1"/>
    </xf>
    <xf numFmtId="0" fontId="42" fillId="31" borderId="8" xfId="0" applyFont="1" applyFill="1" applyBorder="1" applyAlignment="1">
      <alignment vertical="center" wrapText="1"/>
    </xf>
    <xf numFmtId="9" fontId="42" fillId="20" borderId="23" xfId="0" applyNumberFormat="1" applyFont="1" applyFill="1" applyBorder="1" applyAlignment="1">
      <alignment horizontal="center" vertical="center" wrapText="1"/>
    </xf>
    <xf numFmtId="165" fontId="39" fillId="40" borderId="23" xfId="0" applyNumberFormat="1" applyFont="1" applyFill="1" applyBorder="1" applyAlignment="1">
      <alignment horizontal="center" vertical="center" wrapText="1"/>
    </xf>
    <xf numFmtId="9" fontId="42" fillId="51" borderId="23" xfId="0" applyNumberFormat="1" applyFont="1" applyFill="1" applyBorder="1" applyAlignment="1">
      <alignment horizontal="left" vertical="center" wrapText="1"/>
    </xf>
    <xf numFmtId="0" fontId="42" fillId="0" borderId="14" xfId="0" applyFont="1" applyBorder="1" applyAlignment="1">
      <alignment wrapText="1"/>
    </xf>
    <xf numFmtId="0" fontId="42" fillId="0" borderId="23" xfId="0" applyFont="1" applyBorder="1" applyAlignment="1">
      <alignment wrapText="1"/>
    </xf>
    <xf numFmtId="9" fontId="39" fillId="8" borderId="118" xfId="0" applyNumberFormat="1" applyFont="1" applyFill="1" applyBorder="1" applyAlignment="1">
      <alignment horizontal="center" vertical="center" wrapText="1"/>
    </xf>
    <xf numFmtId="165" fontId="39" fillId="35" borderId="23" xfId="0" applyNumberFormat="1" applyFont="1" applyFill="1" applyBorder="1" applyAlignment="1">
      <alignment horizontal="center" vertical="center" wrapText="1"/>
    </xf>
    <xf numFmtId="165" fontId="39" fillId="11" borderId="23" xfId="0" applyNumberFormat="1" applyFont="1" applyFill="1" applyBorder="1" applyAlignment="1">
      <alignment horizontal="center" vertical="center" wrapText="1"/>
    </xf>
    <xf numFmtId="0" fontId="42" fillId="0" borderId="33" xfId="0" applyFont="1" applyBorder="1" applyAlignment="1">
      <alignment wrapText="1"/>
    </xf>
    <xf numFmtId="165" fontId="39" fillId="33" borderId="23" xfId="0" applyNumberFormat="1" applyFont="1" applyFill="1" applyBorder="1" applyAlignment="1">
      <alignment horizontal="center" vertical="center" wrapText="1"/>
    </xf>
    <xf numFmtId="0" fontId="42" fillId="0" borderId="23" xfId="0" applyFont="1" applyBorder="1" applyAlignment="1">
      <alignment vertical="center" wrapText="1"/>
    </xf>
    <xf numFmtId="0" fontId="39" fillId="0" borderId="33" xfId="0" applyFont="1" applyBorder="1" applyAlignment="1">
      <alignment horizontal="center" vertical="center" wrapText="1"/>
    </xf>
    <xf numFmtId="9" fontId="42" fillId="0" borderId="23" xfId="0" applyNumberFormat="1" applyFont="1" applyBorder="1" applyAlignment="1">
      <alignment horizontal="center" vertical="center" wrapText="1"/>
    </xf>
    <xf numFmtId="165" fontId="42" fillId="0" borderId="23" xfId="0" applyNumberFormat="1" applyFont="1" applyBorder="1" applyAlignment="1">
      <alignment horizontal="center" vertical="center" wrapText="1"/>
    </xf>
    <xf numFmtId="9" fontId="42" fillId="26" borderId="50" xfId="0" applyNumberFormat="1" applyFont="1" applyFill="1" applyBorder="1" applyAlignment="1">
      <alignment horizontal="center" vertical="center" wrapText="1"/>
    </xf>
    <xf numFmtId="0" fontId="42" fillId="0" borderId="19" xfId="0" applyFont="1" applyBorder="1" applyAlignment="1">
      <alignment wrapText="1"/>
    </xf>
    <xf numFmtId="9" fontId="39" fillId="0" borderId="74" xfId="0" applyNumberFormat="1" applyFont="1" applyBorder="1" applyAlignment="1">
      <alignment horizontal="center" vertical="center" wrapText="1"/>
    </xf>
    <xf numFmtId="0" fontId="42" fillId="14" borderId="15" xfId="0" applyFont="1" applyFill="1" applyBorder="1" applyAlignment="1">
      <alignment vertical="center" wrapText="1"/>
    </xf>
    <xf numFmtId="0" fontId="42" fillId="31" borderId="15" xfId="0" applyFont="1" applyFill="1" applyBorder="1" applyAlignment="1">
      <alignment vertical="center" wrapText="1"/>
    </xf>
    <xf numFmtId="9" fontId="39" fillId="19" borderId="116" xfId="0" applyNumberFormat="1" applyFont="1" applyFill="1" applyBorder="1" applyAlignment="1">
      <alignment horizontal="center" vertical="center" wrapText="1"/>
    </xf>
    <xf numFmtId="0" fontId="42" fillId="20" borderId="1" xfId="0" applyFont="1" applyFill="1" applyBorder="1" applyAlignment="1">
      <alignment wrapText="1"/>
    </xf>
    <xf numFmtId="0" fontId="42" fillId="0" borderId="46" xfId="0" applyFont="1" applyBorder="1" applyAlignment="1">
      <alignment wrapText="1"/>
    </xf>
    <xf numFmtId="9" fontId="39" fillId="8" borderId="93" xfId="0" applyNumberFormat="1" applyFont="1" applyFill="1" applyBorder="1" applyAlignment="1">
      <alignment horizontal="center" vertical="center" wrapText="1"/>
    </xf>
    <xf numFmtId="9" fontId="39" fillId="8" borderId="33" xfId="0" applyNumberFormat="1" applyFont="1" applyFill="1" applyBorder="1" applyAlignment="1">
      <alignment horizontal="center" vertical="center" wrapText="1"/>
    </xf>
    <xf numFmtId="0" fontId="39" fillId="0" borderId="23" xfId="0" applyFont="1" applyBorder="1" applyAlignment="1">
      <alignment horizontal="center" vertical="center" wrapText="1"/>
    </xf>
    <xf numFmtId="0" fontId="42" fillId="44" borderId="15" xfId="0" applyFont="1" applyFill="1" applyBorder="1" applyAlignment="1">
      <alignment vertical="center" wrapText="1"/>
    </xf>
    <xf numFmtId="0" fontId="42" fillId="0" borderId="47" xfId="0" applyFont="1" applyBorder="1" applyAlignment="1">
      <alignment wrapText="1"/>
    </xf>
    <xf numFmtId="0" fontId="42" fillId="0" borderId="24" xfId="0" applyFont="1" applyBorder="1" applyAlignment="1">
      <alignment wrapText="1"/>
    </xf>
    <xf numFmtId="0" fontId="42" fillId="0" borderId="120" xfId="0" applyFont="1" applyBorder="1" applyAlignment="1">
      <alignment wrapText="1"/>
    </xf>
    <xf numFmtId="0" fontId="42" fillId="14" borderId="46" xfId="0" applyFont="1" applyFill="1" applyBorder="1" applyAlignment="1">
      <alignment wrapText="1"/>
    </xf>
    <xf numFmtId="0" fontId="42" fillId="0" borderId="46" xfId="0" applyFont="1" applyBorder="1" applyAlignment="1">
      <alignment vertical="center"/>
    </xf>
    <xf numFmtId="0" fontId="42" fillId="20" borderId="19" xfId="0" applyFont="1" applyFill="1" applyBorder="1" applyAlignment="1">
      <alignment wrapText="1"/>
    </xf>
    <xf numFmtId="0" fontId="43" fillId="20" borderId="0" xfId="0" applyFont="1" applyFill="1"/>
    <xf numFmtId="0" fontId="46" fillId="0" borderId="4" xfId="0" applyFont="1" applyBorder="1" applyAlignment="1">
      <alignment wrapText="1"/>
    </xf>
    <xf numFmtId="0" fontId="47" fillId="0" borderId="0" xfId="0" applyFont="1"/>
    <xf numFmtId="0" fontId="46" fillId="0" borderId="1" xfId="0" applyFont="1" applyBorder="1" applyAlignment="1">
      <alignment wrapText="1"/>
    </xf>
    <xf numFmtId="0" fontId="48" fillId="0" borderId="34" xfId="0" applyFont="1" applyBorder="1" applyAlignment="1">
      <alignment vertical="center" wrapText="1"/>
    </xf>
    <xf numFmtId="0" fontId="48" fillId="26" borderId="34" xfId="0" applyFont="1" applyFill="1" applyBorder="1" applyAlignment="1">
      <alignment vertical="center" wrapText="1"/>
    </xf>
    <xf numFmtId="0" fontId="48" fillId="27" borderId="34" xfId="0" applyFont="1" applyFill="1" applyBorder="1" applyAlignment="1">
      <alignment vertical="center" wrapText="1"/>
    </xf>
    <xf numFmtId="0" fontId="48" fillId="19" borderId="34" xfId="0" applyFont="1" applyFill="1" applyBorder="1" applyAlignment="1">
      <alignment vertical="center" wrapText="1"/>
    </xf>
    <xf numFmtId="0" fontId="48" fillId="28" borderId="34" xfId="0" applyFont="1" applyFill="1" applyBorder="1" applyAlignment="1">
      <alignment vertical="center" wrapText="1"/>
    </xf>
    <xf numFmtId="0" fontId="48" fillId="25" borderId="34" xfId="0" applyFont="1" applyFill="1" applyBorder="1" applyAlignment="1">
      <alignment vertical="center" wrapText="1"/>
    </xf>
    <xf numFmtId="10" fontId="49" fillId="0" borderId="26" xfId="0" applyNumberFormat="1" applyFont="1" applyBorder="1" applyAlignment="1">
      <alignment horizontal="center" vertical="center" wrapText="1"/>
    </xf>
    <xf numFmtId="10" fontId="49" fillId="0" borderId="12" xfId="1" applyNumberFormat="1" applyFont="1" applyBorder="1" applyAlignment="1">
      <alignment horizontal="center" vertical="center" wrapText="1"/>
    </xf>
    <xf numFmtId="0" fontId="50" fillId="0" borderId="23" xfId="0" applyFont="1" applyBorder="1" applyAlignment="1">
      <alignment horizontal="center" vertical="center" wrapText="1"/>
    </xf>
    <xf numFmtId="0" fontId="51" fillId="0" borderId="1" xfId="0" applyFont="1" applyBorder="1" applyAlignment="1">
      <alignment wrapText="1"/>
    </xf>
    <xf numFmtId="0" fontId="51" fillId="0" borderId="3" xfId="0" applyFont="1" applyBorder="1" applyAlignment="1">
      <alignment wrapText="1"/>
    </xf>
    <xf numFmtId="0" fontId="52" fillId="0" borderId="3" xfId="0" applyFont="1" applyBorder="1" applyAlignment="1">
      <alignment wrapText="1"/>
    </xf>
    <xf numFmtId="0" fontId="53" fillId="0" borderId="0" xfId="0" applyFont="1"/>
    <xf numFmtId="0" fontId="51" fillId="0" borderId="21" xfId="0" applyFont="1" applyBorder="1" applyAlignment="1">
      <alignment wrapText="1"/>
    </xf>
    <xf numFmtId="0" fontId="52" fillId="3" borderId="53" xfId="0" applyFont="1" applyFill="1" applyBorder="1" applyAlignment="1">
      <alignment horizontal="center" vertical="center" wrapText="1"/>
    </xf>
    <xf numFmtId="0" fontId="52" fillId="4" borderId="33" xfId="0" applyFont="1" applyFill="1" applyBorder="1" applyAlignment="1">
      <alignment horizontal="center" vertical="center" wrapText="1"/>
    </xf>
    <xf numFmtId="0" fontId="52" fillId="4" borderId="23" xfId="0" applyFont="1" applyFill="1" applyBorder="1" applyAlignment="1">
      <alignment horizontal="center" vertical="center" wrapText="1"/>
    </xf>
    <xf numFmtId="0" fontId="52" fillId="4" borderId="1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4" borderId="5" xfId="0" applyFont="1" applyFill="1" applyBorder="1" applyAlignment="1">
      <alignment horizontal="center" vertical="center" wrapText="1"/>
    </xf>
    <xf numFmtId="0" fontId="52" fillId="52" borderId="23" xfId="0" applyFont="1" applyFill="1" applyBorder="1" applyAlignment="1">
      <alignment horizontal="center" vertical="center" wrapText="1"/>
    </xf>
    <xf numFmtId="0" fontId="51" fillId="0" borderId="55" xfId="0" applyFont="1" applyBorder="1" applyAlignment="1">
      <alignment wrapText="1"/>
    </xf>
    <xf numFmtId="0" fontId="51" fillId="0" borderId="14" xfId="0" applyFont="1" applyBorder="1" applyAlignment="1">
      <alignment wrapText="1"/>
    </xf>
    <xf numFmtId="9" fontId="52" fillId="8" borderId="33" xfId="0" applyNumberFormat="1" applyFont="1" applyFill="1" applyBorder="1" applyAlignment="1">
      <alignment horizontal="center" vertical="center" wrapText="1"/>
    </xf>
    <xf numFmtId="9" fontId="52" fillId="8" borderId="23" xfId="0" applyNumberFormat="1" applyFont="1" applyFill="1" applyBorder="1" applyAlignment="1">
      <alignment horizontal="center" vertical="center" wrapText="1"/>
    </xf>
    <xf numFmtId="165" fontId="51" fillId="0" borderId="23" xfId="0" applyNumberFormat="1" applyFont="1" applyBorder="1" applyAlignment="1">
      <alignment vertical="center" wrapText="1"/>
    </xf>
    <xf numFmtId="165" fontId="52" fillId="35" borderId="23" xfId="0" applyNumberFormat="1" applyFont="1" applyFill="1" applyBorder="1" applyAlignment="1">
      <alignment horizontal="center" vertical="center" wrapText="1"/>
    </xf>
    <xf numFmtId="165" fontId="52" fillId="11" borderId="23" xfId="0" applyNumberFormat="1" applyFont="1" applyFill="1" applyBorder="1" applyAlignment="1">
      <alignment horizontal="center" vertical="center" wrapText="1"/>
    </xf>
    <xf numFmtId="0" fontId="51" fillId="0" borderId="23" xfId="0" applyFont="1" applyBorder="1" applyAlignment="1">
      <alignment wrapText="1"/>
    </xf>
    <xf numFmtId="165" fontId="52" fillId="41" borderId="33" xfId="0" applyNumberFormat="1" applyFont="1" applyFill="1" applyBorder="1" applyAlignment="1">
      <alignment horizontal="center" vertical="center" wrapText="1"/>
    </xf>
    <xf numFmtId="0" fontId="51" fillId="0" borderId="56" xfId="0" applyFont="1" applyBorder="1" applyAlignment="1">
      <alignment wrapText="1"/>
    </xf>
    <xf numFmtId="9" fontId="52" fillId="13" borderId="33" xfId="0" applyNumberFormat="1" applyFont="1" applyFill="1" applyBorder="1" applyAlignment="1">
      <alignment horizontal="center" vertical="center" wrapText="1"/>
    </xf>
    <xf numFmtId="0" fontId="52" fillId="0" borderId="23" xfId="0" applyFont="1" applyBorder="1" applyAlignment="1">
      <alignment vertical="center" wrapText="1"/>
    </xf>
    <xf numFmtId="0" fontId="51" fillId="0" borderId="23" xfId="0" applyFont="1" applyBorder="1" applyAlignment="1">
      <alignment vertical="center" wrapText="1"/>
    </xf>
    <xf numFmtId="165" fontId="52" fillId="33" borderId="23" xfId="0" applyNumberFormat="1" applyFont="1" applyFill="1" applyBorder="1" applyAlignment="1">
      <alignment horizontal="center" vertical="center" wrapText="1"/>
    </xf>
    <xf numFmtId="0" fontId="51" fillId="0" borderId="23" xfId="0" applyFont="1" applyBorder="1" applyAlignment="1">
      <alignment horizontal="center" vertical="center" wrapText="1"/>
    </xf>
    <xf numFmtId="165" fontId="51" fillId="4" borderId="23" xfId="0" applyNumberFormat="1" applyFont="1" applyFill="1" applyBorder="1" applyAlignment="1">
      <alignment horizontal="center" vertical="center" wrapText="1"/>
    </xf>
    <xf numFmtId="165" fontId="52" fillId="34" borderId="33" xfId="0" applyNumberFormat="1" applyFont="1" applyFill="1" applyBorder="1" applyAlignment="1">
      <alignment horizontal="center" vertical="center" wrapText="1"/>
    </xf>
    <xf numFmtId="0" fontId="51" fillId="14" borderId="57" xfId="0" applyFont="1" applyFill="1" applyBorder="1" applyAlignment="1">
      <alignment vertical="center" wrapText="1"/>
    </xf>
    <xf numFmtId="0" fontId="52" fillId="0" borderId="23" xfId="0" applyFont="1" applyBorder="1" applyAlignment="1">
      <alignment horizontal="center" vertical="center" wrapText="1"/>
    </xf>
    <xf numFmtId="9" fontId="51" fillId="0" borderId="23" xfId="0" applyNumberFormat="1" applyFont="1" applyBorder="1" applyAlignment="1">
      <alignment horizontal="center" vertical="center" wrapText="1"/>
    </xf>
    <xf numFmtId="9" fontId="51" fillId="0" borderId="23" xfId="0" applyNumberFormat="1" applyFont="1" applyBorder="1" applyAlignment="1">
      <alignment horizontal="center" wrapText="1"/>
    </xf>
    <xf numFmtId="10" fontId="51" fillId="0" borderId="23" xfId="0" applyNumberFormat="1" applyFont="1" applyBorder="1" applyAlignment="1">
      <alignment horizontal="center" vertical="center" wrapText="1"/>
    </xf>
    <xf numFmtId="9" fontId="51" fillId="26" borderId="33" xfId="0" applyNumberFormat="1" applyFont="1" applyFill="1" applyBorder="1" applyAlignment="1">
      <alignment horizontal="center" vertical="center" wrapText="1"/>
    </xf>
    <xf numFmtId="9" fontId="51" fillId="26" borderId="23" xfId="0" applyNumberFormat="1" applyFont="1" applyFill="1" applyBorder="1" applyAlignment="1">
      <alignment horizontal="center" vertical="center" wrapText="1"/>
    </xf>
    <xf numFmtId="0" fontId="51" fillId="44" borderId="57" xfId="0" applyFont="1" applyFill="1" applyBorder="1" applyAlignment="1">
      <alignment vertical="center" wrapText="1"/>
    </xf>
    <xf numFmtId="0" fontId="51" fillId="0" borderId="58" xfId="0" applyFont="1" applyBorder="1" applyAlignment="1">
      <alignment wrapText="1"/>
    </xf>
    <xf numFmtId="0" fontId="51" fillId="14" borderId="15" xfId="0" applyFont="1" applyFill="1" applyBorder="1" applyAlignment="1">
      <alignment vertical="center" wrapText="1"/>
    </xf>
    <xf numFmtId="0" fontId="51" fillId="0" borderId="74" xfId="0" applyFont="1" applyBorder="1" applyAlignment="1">
      <alignment wrapText="1"/>
    </xf>
    <xf numFmtId="0" fontId="51" fillId="0" borderId="75" xfId="0" applyFont="1" applyBorder="1" applyAlignment="1">
      <alignment wrapText="1"/>
    </xf>
    <xf numFmtId="165" fontId="52" fillId="40" borderId="33" xfId="0" applyNumberFormat="1" applyFont="1" applyFill="1" applyBorder="1" applyAlignment="1">
      <alignment horizontal="center" vertical="center" wrapText="1"/>
    </xf>
    <xf numFmtId="0" fontId="52" fillId="0" borderId="23" xfId="0" applyFont="1" applyBorder="1" applyAlignment="1">
      <alignment wrapText="1"/>
    </xf>
    <xf numFmtId="0" fontId="51" fillId="16" borderId="21" xfId="0" applyFont="1" applyFill="1" applyBorder="1" applyAlignment="1">
      <alignment wrapText="1"/>
    </xf>
    <xf numFmtId="9" fontId="51" fillId="51" borderId="33" xfId="0" applyNumberFormat="1" applyFont="1" applyFill="1" applyBorder="1" applyAlignment="1">
      <alignment horizontal="center" vertical="center" wrapText="1"/>
    </xf>
    <xf numFmtId="0" fontId="51" fillId="20" borderId="75" xfId="0" applyFont="1" applyFill="1" applyBorder="1" applyAlignment="1">
      <alignment wrapText="1"/>
    </xf>
    <xf numFmtId="9" fontId="51" fillId="19" borderId="33" xfId="0" applyNumberFormat="1" applyFont="1" applyFill="1" applyBorder="1" applyAlignment="1">
      <alignment horizontal="center" vertical="center" wrapText="1"/>
    </xf>
    <xf numFmtId="9" fontId="51" fillId="20" borderId="33" xfId="0" applyNumberFormat="1" applyFont="1" applyFill="1" applyBorder="1" applyAlignment="1">
      <alignment horizontal="center" vertical="center" wrapText="1"/>
    </xf>
    <xf numFmtId="165" fontId="52" fillId="4" borderId="23" xfId="0" applyNumberFormat="1" applyFont="1" applyFill="1" applyBorder="1" applyAlignment="1">
      <alignment horizontal="center" vertical="center" wrapText="1"/>
    </xf>
    <xf numFmtId="0" fontId="51" fillId="0" borderId="75" xfId="0" applyFont="1" applyBorder="1" applyAlignment="1">
      <alignment horizontal="left" vertical="center" wrapText="1"/>
    </xf>
    <xf numFmtId="165" fontId="51" fillId="0" borderId="23" xfId="0" applyNumberFormat="1" applyFont="1" applyBorder="1" applyAlignment="1">
      <alignment horizontal="center" vertical="center" wrapText="1"/>
    </xf>
    <xf numFmtId="0" fontId="51" fillId="0" borderId="76" xfId="0" applyFont="1" applyBorder="1" applyAlignment="1">
      <alignment wrapText="1"/>
    </xf>
    <xf numFmtId="0" fontId="51" fillId="0" borderId="24" xfId="0" applyFont="1" applyBorder="1" applyAlignment="1">
      <alignment wrapText="1"/>
    </xf>
    <xf numFmtId="0" fontId="51" fillId="0" borderId="82" xfId="0" applyFont="1" applyBorder="1" applyAlignment="1">
      <alignment wrapText="1"/>
    </xf>
    <xf numFmtId="0" fontId="51" fillId="0" borderId="87" xfId="0" applyFont="1" applyBorder="1" applyAlignment="1">
      <alignment wrapText="1"/>
    </xf>
    <xf numFmtId="0" fontId="51" fillId="0" borderId="83" xfId="0" applyFont="1" applyBorder="1" applyAlignment="1">
      <alignment wrapText="1"/>
    </xf>
    <xf numFmtId="0" fontId="51" fillId="0" borderId="86" xfId="0" applyFont="1" applyBorder="1" applyAlignment="1">
      <alignment wrapText="1"/>
    </xf>
    <xf numFmtId="0" fontId="51" fillId="0" borderId="88" xfId="0" applyFont="1" applyBorder="1" applyAlignment="1">
      <alignment wrapText="1"/>
    </xf>
    <xf numFmtId="0" fontId="51" fillId="0" borderId="77" xfId="0" applyFont="1" applyBorder="1" applyAlignment="1">
      <alignment wrapText="1"/>
    </xf>
    <xf numFmtId="0" fontId="51" fillId="0" borderId="78" xfId="0" applyFont="1" applyBorder="1" applyAlignment="1">
      <alignment wrapText="1"/>
    </xf>
    <xf numFmtId="0" fontId="51" fillId="0" borderId="79" xfId="0" applyFont="1" applyBorder="1" applyAlignment="1">
      <alignment wrapText="1"/>
    </xf>
    <xf numFmtId="0" fontId="51" fillId="14" borderId="76" xfId="0" applyFont="1" applyFill="1" applyBorder="1" applyAlignment="1">
      <alignment vertical="center" wrapText="1"/>
    </xf>
    <xf numFmtId="2" fontId="51" fillId="0" borderId="23" xfId="0" applyNumberFormat="1" applyFont="1" applyBorder="1" applyAlignment="1">
      <alignment horizontal="center" vertical="center" wrapText="1"/>
    </xf>
    <xf numFmtId="0" fontId="51" fillId="14" borderId="24" xfId="0" applyFont="1" applyFill="1" applyBorder="1" applyAlignment="1">
      <alignment vertical="center" wrapText="1"/>
    </xf>
    <xf numFmtId="0" fontId="51" fillId="14" borderId="77" xfId="0" applyFont="1" applyFill="1" applyBorder="1" applyAlignment="1">
      <alignment vertical="center" wrapText="1"/>
    </xf>
    <xf numFmtId="0" fontId="51" fillId="0" borderId="19" xfId="0" applyFont="1" applyBorder="1" applyAlignment="1">
      <alignment wrapText="1"/>
    </xf>
    <xf numFmtId="0" fontId="52" fillId="0" borderId="19" xfId="0" applyFont="1" applyBorder="1" applyAlignment="1">
      <alignment wrapText="1"/>
    </xf>
    <xf numFmtId="0" fontId="52" fillId="0" borderId="1" xfId="0" applyFont="1" applyBorder="1" applyAlignment="1">
      <alignment wrapText="1"/>
    </xf>
    <xf numFmtId="0" fontId="51" fillId="0" borderId="1" xfId="0" applyFont="1" applyBorder="1" applyAlignment="1">
      <alignment horizontal="right" wrapText="1"/>
    </xf>
    <xf numFmtId="0" fontId="54" fillId="0" borderId="0" xfId="0" applyFont="1"/>
    <xf numFmtId="0" fontId="56" fillId="0" borderId="21" xfId="0" applyFont="1" applyBorder="1" applyAlignment="1">
      <alignment wrapText="1"/>
    </xf>
    <xf numFmtId="0" fontId="56" fillId="0" borderId="55" xfId="0" applyFont="1" applyBorder="1" applyAlignment="1">
      <alignment wrapText="1"/>
    </xf>
    <xf numFmtId="9" fontId="57" fillId="0" borderId="33" xfId="0" applyNumberFormat="1" applyFont="1" applyBorder="1" applyAlignment="1">
      <alignment horizontal="center" vertical="center" wrapText="1"/>
    </xf>
    <xf numFmtId="0" fontId="58" fillId="0" borderId="23" xfId="0" applyFont="1" applyBorder="1"/>
    <xf numFmtId="0" fontId="59" fillId="0" borderId="23" xfId="0" applyFont="1" applyBorder="1"/>
    <xf numFmtId="165" fontId="56" fillId="0" borderId="23" xfId="0" applyNumberFormat="1" applyFont="1" applyBorder="1" applyAlignment="1">
      <alignment wrapText="1"/>
    </xf>
    <xf numFmtId="165" fontId="57" fillId="34" borderId="33" xfId="0" applyNumberFormat="1" applyFont="1" applyFill="1" applyBorder="1" applyAlignment="1">
      <alignment vertical="center" wrapText="1"/>
    </xf>
    <xf numFmtId="0" fontId="56" fillId="0" borderId="14" xfId="0" applyFont="1" applyBorder="1" applyAlignment="1">
      <alignment wrapText="1"/>
    </xf>
    <xf numFmtId="0" fontId="56" fillId="0" borderId="1" xfId="0" applyFont="1" applyBorder="1" applyAlignment="1">
      <alignment wrapText="1"/>
    </xf>
    <xf numFmtId="0" fontId="59" fillId="0" borderId="0" xfId="0" applyFont="1"/>
    <xf numFmtId="9" fontId="51" fillId="26" borderId="33" xfId="0" applyNumberFormat="1" applyFont="1" applyFill="1" applyBorder="1" applyAlignment="1">
      <alignment horizontal="left" vertical="center" wrapText="1"/>
    </xf>
    <xf numFmtId="0" fontId="51" fillId="0" borderId="16" xfId="0" applyFont="1" applyBorder="1" applyAlignment="1">
      <alignment wrapText="1"/>
    </xf>
    <xf numFmtId="0" fontId="51" fillId="20" borderId="23" xfId="0" applyFont="1" applyFill="1" applyBorder="1" applyAlignment="1">
      <alignment wrapText="1"/>
    </xf>
    <xf numFmtId="0" fontId="52" fillId="17" borderId="33" xfId="0" applyFont="1" applyFill="1" applyBorder="1" applyAlignment="1">
      <alignment horizontal="center" vertical="center" wrapText="1"/>
    </xf>
    <xf numFmtId="0" fontId="51" fillId="0" borderId="33" xfId="0" applyFont="1" applyBorder="1" applyAlignment="1">
      <alignment wrapText="1"/>
    </xf>
    <xf numFmtId="9" fontId="51" fillId="0" borderId="23" xfId="0" applyNumberFormat="1" applyFont="1" applyBorder="1" applyAlignment="1">
      <alignment vertical="center" wrapText="1"/>
    </xf>
    <xf numFmtId="10" fontId="51" fillId="0" borderId="23" xfId="0" applyNumberFormat="1" applyFont="1" applyBorder="1" applyAlignment="1">
      <alignment vertical="center" wrapText="1"/>
    </xf>
    <xf numFmtId="10" fontId="52" fillId="35" borderId="23" xfId="0" applyNumberFormat="1" applyFont="1" applyFill="1" applyBorder="1" applyAlignment="1">
      <alignment horizontal="center" vertical="center" wrapText="1"/>
    </xf>
    <xf numFmtId="165" fontId="52" fillId="11" borderId="46" xfId="0" applyNumberFormat="1" applyFont="1" applyFill="1" applyBorder="1" applyAlignment="1">
      <alignment horizontal="center" vertical="center" wrapText="1"/>
    </xf>
    <xf numFmtId="165" fontId="52" fillId="40" borderId="23" xfId="0" applyNumberFormat="1" applyFont="1" applyFill="1" applyBorder="1" applyAlignment="1">
      <alignment horizontal="center" vertical="center" wrapText="1"/>
    </xf>
    <xf numFmtId="9" fontId="52" fillId="13" borderId="30" xfId="0" applyNumberFormat="1" applyFont="1" applyFill="1" applyBorder="1" applyAlignment="1">
      <alignment horizontal="center" vertical="center" wrapText="1"/>
    </xf>
    <xf numFmtId="165" fontId="52" fillId="33" borderId="46" xfId="0" applyNumberFormat="1" applyFont="1" applyFill="1" applyBorder="1" applyAlignment="1">
      <alignment horizontal="center" vertical="center" wrapText="1"/>
    </xf>
    <xf numFmtId="165" fontId="52" fillId="34" borderId="23" xfId="0" applyNumberFormat="1" applyFont="1" applyFill="1" applyBorder="1" applyAlignment="1">
      <alignment horizontal="center" vertical="center" wrapText="1"/>
    </xf>
    <xf numFmtId="0" fontId="51" fillId="14" borderId="56" xfId="0" applyFont="1" applyFill="1" applyBorder="1" applyAlignment="1">
      <alignment vertical="center" wrapText="1"/>
    </xf>
    <xf numFmtId="0" fontId="51" fillId="14" borderId="117" xfId="0" applyFont="1" applyFill="1" applyBorder="1" applyAlignment="1">
      <alignment vertical="center" wrapText="1"/>
    </xf>
    <xf numFmtId="9" fontId="52" fillId="0" borderId="74" xfId="0" applyNumberFormat="1" applyFont="1" applyBorder="1" applyAlignment="1">
      <alignment horizontal="center" vertical="center" wrapText="1"/>
    </xf>
    <xf numFmtId="0" fontId="52" fillId="0" borderId="33" xfId="0" applyFont="1" applyBorder="1" applyAlignment="1">
      <alignment horizontal="center" vertical="center" wrapText="1"/>
    </xf>
    <xf numFmtId="9" fontId="51" fillId="0" borderId="46" xfId="0" applyNumberFormat="1" applyFont="1" applyBorder="1" applyAlignment="1">
      <alignment horizontal="center" vertical="center" wrapText="1"/>
    </xf>
    <xf numFmtId="9" fontId="52" fillId="0" borderId="115" xfId="0" applyNumberFormat="1" applyFont="1" applyBorder="1" applyAlignment="1">
      <alignment horizontal="center" vertical="center" wrapText="1"/>
    </xf>
    <xf numFmtId="165" fontId="52" fillId="0" borderId="115" xfId="0" applyNumberFormat="1" applyFont="1" applyBorder="1" applyAlignment="1">
      <alignment horizontal="center" vertical="center" wrapText="1"/>
    </xf>
    <xf numFmtId="165" fontId="51" fillId="0" borderId="46" xfId="0" applyNumberFormat="1" applyFont="1" applyBorder="1" applyAlignment="1">
      <alignment horizontal="center" vertical="center" wrapText="1"/>
    </xf>
    <xf numFmtId="0" fontId="51" fillId="0" borderId="117" xfId="0" applyFont="1" applyBorder="1" applyAlignment="1">
      <alignment wrapText="1"/>
    </xf>
    <xf numFmtId="9" fontId="52" fillId="13" borderId="118" xfId="0" applyNumberFormat="1" applyFont="1" applyFill="1" applyBorder="1" applyAlignment="1">
      <alignment horizontal="center" vertical="center" wrapText="1"/>
    </xf>
    <xf numFmtId="0" fontId="51" fillId="0" borderId="33" xfId="0" applyFont="1" applyBorder="1" applyAlignment="1">
      <alignment horizontal="center" vertical="center" wrapText="1"/>
    </xf>
    <xf numFmtId="9" fontId="52" fillId="8" borderId="118" xfId="0" applyNumberFormat="1" applyFont="1" applyFill="1" applyBorder="1" applyAlignment="1">
      <alignment horizontal="center" vertical="center" wrapText="1"/>
    </xf>
    <xf numFmtId="9" fontId="51" fillId="51" borderId="23" xfId="0" applyNumberFormat="1" applyFont="1" applyFill="1" applyBorder="1" applyAlignment="1">
      <alignment horizontal="left" vertical="center" wrapText="1"/>
    </xf>
    <xf numFmtId="0" fontId="51" fillId="44" borderId="56" xfId="0" applyFont="1" applyFill="1" applyBorder="1" applyAlignment="1">
      <alignment vertical="center" wrapText="1"/>
    </xf>
    <xf numFmtId="0" fontId="51" fillId="20" borderId="23" xfId="0" applyFont="1" applyFill="1" applyBorder="1" applyAlignment="1">
      <alignment horizontal="center" vertical="center" wrapText="1"/>
    </xf>
    <xf numFmtId="9" fontId="51" fillId="51" borderId="23" xfId="0" applyNumberFormat="1" applyFont="1" applyFill="1" applyBorder="1" applyAlignment="1">
      <alignment horizontal="center" vertical="center" wrapText="1"/>
    </xf>
    <xf numFmtId="0" fontId="51" fillId="44" borderId="117" xfId="0" applyFont="1" applyFill="1" applyBorder="1" applyAlignment="1">
      <alignment vertical="center" wrapText="1"/>
    </xf>
    <xf numFmtId="9" fontId="52" fillId="20" borderId="115" xfId="0" applyNumberFormat="1" applyFont="1" applyFill="1" applyBorder="1" applyAlignment="1">
      <alignment horizontal="center" vertical="center" wrapText="1"/>
    </xf>
    <xf numFmtId="9" fontId="52" fillId="19" borderId="115" xfId="0" applyNumberFormat="1" applyFont="1" applyFill="1" applyBorder="1" applyAlignment="1">
      <alignment horizontal="center" vertical="center" wrapText="1"/>
    </xf>
    <xf numFmtId="0" fontId="51" fillId="20" borderId="117" xfId="0" applyFont="1" applyFill="1" applyBorder="1" applyAlignment="1">
      <alignment wrapText="1"/>
    </xf>
    <xf numFmtId="2" fontId="51" fillId="20" borderId="23" xfId="0" applyNumberFormat="1" applyFont="1" applyFill="1" applyBorder="1" applyAlignment="1">
      <alignment horizontal="center" vertical="center" wrapText="1"/>
    </xf>
    <xf numFmtId="9" fontId="51" fillId="20" borderId="23" xfId="0" applyNumberFormat="1" applyFont="1" applyFill="1" applyBorder="1" applyAlignment="1">
      <alignment horizontal="center" vertical="center" wrapText="1"/>
    </xf>
    <xf numFmtId="167" fontId="51" fillId="0" borderId="23" xfId="0" applyNumberFormat="1" applyFont="1" applyBorder="1" applyAlignment="1">
      <alignment horizontal="center" vertical="center" wrapText="1"/>
    </xf>
    <xf numFmtId="9" fontId="51" fillId="26" borderId="23" xfId="0" applyNumberFormat="1" applyFont="1" applyFill="1" applyBorder="1" applyAlignment="1">
      <alignment horizontal="left" wrapText="1"/>
    </xf>
    <xf numFmtId="0" fontId="50" fillId="0" borderId="23" xfId="0" applyFont="1" applyBorder="1" applyAlignment="1">
      <alignment horizontal="center" vertical="center"/>
    </xf>
    <xf numFmtId="10" fontId="52" fillId="11" borderId="46" xfId="0" applyNumberFormat="1" applyFont="1" applyFill="1" applyBorder="1" applyAlignment="1">
      <alignment horizontal="center" vertical="center" wrapText="1"/>
    </xf>
    <xf numFmtId="10" fontId="52" fillId="33" borderId="46" xfId="0" applyNumberFormat="1" applyFont="1" applyFill="1" applyBorder="1" applyAlignment="1">
      <alignment horizontal="center" vertical="center" wrapText="1"/>
    </xf>
    <xf numFmtId="0" fontId="51" fillId="0" borderId="117" xfId="0" applyFont="1" applyBorder="1" applyAlignment="1">
      <alignment vertical="center" wrapText="1"/>
    </xf>
    <xf numFmtId="9" fontId="51" fillId="26" borderId="23" xfId="0" applyNumberFormat="1" applyFont="1" applyFill="1" applyBorder="1" applyAlignment="1">
      <alignment horizontal="left" vertical="center" wrapText="1"/>
    </xf>
    <xf numFmtId="0" fontId="51" fillId="19" borderId="117" xfId="0" applyFont="1" applyFill="1" applyBorder="1" applyAlignment="1">
      <alignment wrapText="1"/>
    </xf>
    <xf numFmtId="9" fontId="51" fillId="19" borderId="23" xfId="0" applyNumberFormat="1" applyFont="1" applyFill="1" applyBorder="1" applyAlignment="1">
      <alignment horizontal="left" vertical="center" wrapText="1"/>
    </xf>
    <xf numFmtId="0" fontId="50" fillId="14" borderId="13" xfId="0" applyFont="1" applyFill="1" applyBorder="1" applyAlignment="1">
      <alignment horizontal="center" vertical="center"/>
    </xf>
    <xf numFmtId="43" fontId="51" fillId="0" borderId="23" xfId="3" applyFont="1" applyBorder="1" applyAlignment="1">
      <alignment horizontal="center" vertical="center" wrapText="1"/>
    </xf>
    <xf numFmtId="0" fontId="51" fillId="20" borderId="117" xfId="0" applyFont="1" applyFill="1" applyBorder="1" applyAlignment="1">
      <alignment vertical="center" wrapText="1"/>
    </xf>
    <xf numFmtId="165" fontId="52" fillId="32" borderId="23" xfId="0" applyNumberFormat="1" applyFont="1" applyFill="1" applyBorder="1" applyAlignment="1">
      <alignment horizontal="left" vertical="center" wrapText="1"/>
    </xf>
    <xf numFmtId="0" fontId="53" fillId="0" borderId="23" xfId="0" applyFont="1" applyBorder="1" applyAlignment="1">
      <alignment horizontal="center" vertical="center"/>
    </xf>
    <xf numFmtId="10" fontId="51" fillId="0" borderId="46" xfId="0" applyNumberFormat="1" applyFont="1" applyBorder="1" applyAlignment="1">
      <alignment horizontal="center" vertical="center" wrapText="1"/>
    </xf>
    <xf numFmtId="167" fontId="53" fillId="0" borderId="23" xfId="0" applyNumberFormat="1" applyFont="1" applyBorder="1" applyAlignment="1">
      <alignment horizontal="center" vertical="center"/>
    </xf>
    <xf numFmtId="0" fontId="51" fillId="53" borderId="117" xfId="0" applyFont="1" applyFill="1" applyBorder="1" applyAlignment="1">
      <alignment vertical="center" wrapText="1"/>
    </xf>
    <xf numFmtId="9" fontId="52" fillId="54" borderId="115" xfId="0" applyNumberFormat="1" applyFont="1" applyFill="1" applyBorder="1" applyAlignment="1">
      <alignment horizontal="center" vertical="center" wrapText="1"/>
    </xf>
    <xf numFmtId="0" fontId="51" fillId="0" borderId="132" xfId="0" applyFont="1" applyBorder="1" applyAlignment="1">
      <alignment wrapText="1"/>
    </xf>
    <xf numFmtId="0" fontId="53" fillId="20" borderId="23" xfId="0" applyFont="1" applyFill="1" applyBorder="1"/>
    <xf numFmtId="0" fontId="60" fillId="0" borderId="21" xfId="0" applyFont="1" applyBorder="1" applyAlignment="1">
      <alignment wrapText="1"/>
    </xf>
    <xf numFmtId="0" fontId="60" fillId="0" borderId="33" xfId="0" applyFont="1" applyBorder="1" applyAlignment="1">
      <alignment wrapText="1"/>
    </xf>
    <xf numFmtId="9" fontId="62" fillId="0" borderId="23" xfId="0" applyNumberFormat="1" applyFont="1" applyBorder="1" applyAlignment="1">
      <alignment horizontal="center" vertical="center"/>
    </xf>
    <xf numFmtId="0" fontId="63" fillId="0" borderId="23" xfId="0" applyFont="1" applyBorder="1"/>
    <xf numFmtId="165" fontId="60" fillId="0" borderId="23" xfId="0" applyNumberFormat="1" applyFont="1" applyBorder="1" applyAlignment="1">
      <alignment wrapText="1"/>
    </xf>
    <xf numFmtId="10" fontId="61" fillId="34" borderId="23" xfId="0" applyNumberFormat="1" applyFont="1" applyFill="1" applyBorder="1" applyAlignment="1">
      <alignment vertical="center" wrapText="1"/>
    </xf>
    <xf numFmtId="0" fontId="63" fillId="0" borderId="0" xfId="0" applyFont="1"/>
    <xf numFmtId="0" fontId="52" fillId="17" borderId="71" xfId="0" applyFont="1" applyFill="1" applyBorder="1" applyAlignment="1">
      <alignment horizontal="center" vertical="center" wrapText="1"/>
    </xf>
    <xf numFmtId="0" fontId="52" fillId="4" borderId="123" xfId="0" applyFont="1" applyFill="1" applyBorder="1" applyAlignment="1">
      <alignment horizontal="center" vertical="center" wrapText="1"/>
    </xf>
    <xf numFmtId="0" fontId="51" fillId="0" borderId="4" xfId="0" applyFont="1" applyBorder="1" applyAlignment="1">
      <alignment wrapText="1"/>
    </xf>
    <xf numFmtId="0" fontId="51" fillId="0" borderId="18" xfId="0" applyFont="1" applyBorder="1" applyAlignment="1">
      <alignment wrapText="1"/>
    </xf>
    <xf numFmtId="0" fontId="51" fillId="0" borderId="15" xfId="0" applyFont="1" applyBorder="1" applyAlignment="1">
      <alignment wrapText="1"/>
    </xf>
    <xf numFmtId="165" fontId="52" fillId="8" borderId="33" xfId="0" applyNumberFormat="1" applyFont="1" applyFill="1" applyBorder="1" applyAlignment="1">
      <alignment horizontal="center" vertical="center" wrapText="1"/>
    </xf>
    <xf numFmtId="165" fontId="52" fillId="37" borderId="23" xfId="0" applyNumberFormat="1" applyFont="1" applyFill="1" applyBorder="1" applyAlignment="1">
      <alignment horizontal="center" vertical="center" wrapText="1"/>
    </xf>
    <xf numFmtId="9" fontId="52" fillId="13" borderId="114" xfId="0" applyNumberFormat="1" applyFont="1" applyFill="1" applyBorder="1" applyAlignment="1">
      <alignment horizontal="center" vertical="center" wrapText="1"/>
    </xf>
    <xf numFmtId="9" fontId="52" fillId="0" borderId="116" xfId="0" applyNumberFormat="1" applyFont="1" applyBorder="1" applyAlignment="1">
      <alignment horizontal="center" vertical="center" wrapText="1"/>
    </xf>
    <xf numFmtId="9" fontId="52" fillId="13" borderId="42" xfId="0" applyNumberFormat="1" applyFont="1" applyFill="1" applyBorder="1" applyAlignment="1">
      <alignment horizontal="center" vertical="center" wrapText="1"/>
    </xf>
    <xf numFmtId="9" fontId="52" fillId="13" borderId="119" xfId="0" applyNumberFormat="1" applyFont="1" applyFill="1" applyBorder="1" applyAlignment="1">
      <alignment horizontal="center" vertical="center" wrapText="1"/>
    </xf>
    <xf numFmtId="0" fontId="51" fillId="0" borderId="26" xfId="0" applyFont="1" applyBorder="1" applyAlignment="1">
      <alignment wrapText="1"/>
    </xf>
    <xf numFmtId="0" fontId="51" fillId="51" borderId="23" xfId="0" applyFont="1" applyFill="1" applyBorder="1" applyAlignment="1">
      <alignment wrapText="1"/>
    </xf>
    <xf numFmtId="43" fontId="52" fillId="0" borderId="33" xfId="3" applyFont="1" applyBorder="1" applyAlignment="1">
      <alignment horizontal="center" vertical="center" wrapText="1"/>
    </xf>
    <xf numFmtId="0" fontId="51" fillId="20" borderId="15" xfId="0" applyFont="1" applyFill="1" applyBorder="1" applyAlignment="1">
      <alignment wrapText="1"/>
    </xf>
    <xf numFmtId="0" fontId="51" fillId="26" borderId="23" xfId="0" applyFont="1" applyFill="1" applyBorder="1" applyAlignment="1">
      <alignment wrapText="1"/>
    </xf>
    <xf numFmtId="10" fontId="52" fillId="33" borderId="23" xfId="0" applyNumberFormat="1" applyFont="1" applyFill="1" applyBorder="1" applyAlignment="1">
      <alignment horizontal="center" vertical="center" wrapText="1"/>
    </xf>
    <xf numFmtId="3" fontId="50" fillId="20" borderId="23" xfId="0" applyNumberFormat="1" applyFont="1" applyFill="1" applyBorder="1" applyAlignment="1">
      <alignment horizontal="center" vertical="center" wrapText="1"/>
    </xf>
    <xf numFmtId="4" fontId="50" fillId="20" borderId="23" xfId="0" applyNumberFormat="1" applyFont="1" applyFill="1" applyBorder="1" applyAlignment="1">
      <alignment horizontal="center" vertical="center" wrapText="1"/>
    </xf>
    <xf numFmtId="9" fontId="52" fillId="0" borderId="42" xfId="0" applyNumberFormat="1" applyFont="1" applyBorder="1" applyAlignment="1">
      <alignment horizontal="center" vertical="center" wrapText="1"/>
    </xf>
    <xf numFmtId="3" fontId="50" fillId="20" borderId="30" xfId="0" applyNumberFormat="1" applyFont="1" applyFill="1" applyBorder="1" applyAlignment="1">
      <alignment horizontal="center" vertical="center" wrapText="1"/>
    </xf>
    <xf numFmtId="9" fontId="51" fillId="26" borderId="30" xfId="0" applyNumberFormat="1" applyFont="1" applyFill="1" applyBorder="1" applyAlignment="1">
      <alignment horizontal="center" vertical="center" wrapText="1"/>
    </xf>
    <xf numFmtId="9" fontId="51" fillId="26" borderId="50" xfId="0" applyNumberFormat="1" applyFont="1" applyFill="1" applyBorder="1" applyAlignment="1">
      <alignment horizontal="center" vertical="center" wrapText="1"/>
    </xf>
    <xf numFmtId="0" fontId="46" fillId="0" borderId="18" xfId="0" applyFont="1" applyBorder="1" applyAlignment="1">
      <alignment wrapText="1"/>
    </xf>
    <xf numFmtId="9" fontId="26" fillId="0" borderId="119" xfId="0" applyNumberFormat="1" applyFont="1" applyBorder="1" applyAlignment="1">
      <alignment horizontal="center" vertical="center" wrapText="1"/>
    </xf>
    <xf numFmtId="0" fontId="47" fillId="0" borderId="113" xfId="0" applyFont="1" applyBorder="1"/>
    <xf numFmtId="0" fontId="47" fillId="0" borderId="50" xfId="0" applyFont="1" applyBorder="1"/>
    <xf numFmtId="10" fontId="26" fillId="9" borderId="50" xfId="0" applyNumberFormat="1" applyFont="1" applyFill="1" applyBorder="1" applyAlignment="1">
      <alignment vertical="center" wrapText="1"/>
    </xf>
    <xf numFmtId="0" fontId="46" fillId="0" borderId="50" xfId="0" applyFont="1" applyBorder="1" applyAlignment="1">
      <alignment wrapText="1"/>
    </xf>
    <xf numFmtId="0" fontId="46" fillId="0" borderId="14" xfId="0" applyFont="1" applyBorder="1" applyAlignment="1">
      <alignment wrapText="1"/>
    </xf>
    <xf numFmtId="165" fontId="33" fillId="23" borderId="13" xfId="0" applyNumberFormat="1" applyFont="1" applyFill="1" applyBorder="1" applyAlignment="1">
      <alignment horizontal="center" vertical="center"/>
    </xf>
    <xf numFmtId="165" fontId="0" fillId="19" borderId="23" xfId="1" applyNumberFormat="1" applyFont="1" applyFill="1" applyBorder="1" applyAlignment="1">
      <alignment horizontal="center" vertical="center"/>
    </xf>
    <xf numFmtId="165" fontId="0" fillId="49" borderId="23" xfId="1" applyNumberFormat="1" applyFont="1" applyFill="1" applyBorder="1" applyAlignment="1">
      <alignment horizontal="center" vertical="center"/>
    </xf>
    <xf numFmtId="165" fontId="0" fillId="26" borderId="23" xfId="1" applyNumberFormat="1" applyFont="1" applyFill="1" applyBorder="1" applyAlignment="1">
      <alignment horizontal="center" vertical="center"/>
    </xf>
    <xf numFmtId="0" fontId="52" fillId="52" borderId="24" xfId="0" applyFont="1" applyFill="1" applyBorder="1" applyAlignment="1">
      <alignment horizontal="center" vertical="center" wrapText="1"/>
    </xf>
    <xf numFmtId="0" fontId="66" fillId="0" borderId="3" xfId="0" applyFont="1" applyBorder="1" applyAlignment="1">
      <alignment wrapText="1"/>
    </xf>
    <xf numFmtId="0" fontId="67" fillId="0" borderId="3" xfId="0" applyFont="1" applyBorder="1" applyAlignment="1">
      <alignment wrapText="1"/>
    </xf>
    <xf numFmtId="0" fontId="68" fillId="0" borderId="0" xfId="0" applyFont="1"/>
    <xf numFmtId="0" fontId="66" fillId="0" borderId="26" xfId="0" applyFont="1" applyBorder="1" applyAlignment="1">
      <alignment wrapText="1"/>
    </xf>
    <xf numFmtId="0" fontId="67" fillId="3" borderId="129" xfId="0" applyFont="1" applyFill="1" applyBorder="1" applyAlignment="1">
      <alignment horizontal="center" vertical="center" wrapText="1"/>
    </xf>
    <xf numFmtId="0" fontId="67" fillId="4" borderId="146" xfId="0" applyFont="1" applyFill="1" applyBorder="1" applyAlignment="1">
      <alignment horizontal="center" vertical="center" wrapText="1"/>
    </xf>
    <xf numFmtId="0" fontId="67" fillId="4" borderId="147" xfId="0" applyFont="1" applyFill="1" applyBorder="1" applyAlignment="1">
      <alignment horizontal="center" vertical="center" wrapText="1"/>
    </xf>
    <xf numFmtId="0" fontId="69" fillId="4" borderId="147" xfId="0" applyFont="1" applyFill="1" applyBorder="1" applyAlignment="1">
      <alignment horizontal="center" vertical="center" wrapText="1"/>
    </xf>
    <xf numFmtId="0" fontId="67" fillId="57" borderId="147" xfId="0" applyFont="1" applyFill="1" applyBorder="1" applyAlignment="1">
      <alignment horizontal="center" vertical="center" wrapText="1"/>
    </xf>
    <xf numFmtId="0" fontId="69" fillId="57" borderId="147" xfId="0" applyFont="1" applyFill="1" applyBorder="1" applyAlignment="1">
      <alignment horizontal="center" vertical="center" wrapText="1"/>
    </xf>
    <xf numFmtId="0" fontId="67" fillId="6" borderId="148" xfId="0" applyFont="1" applyFill="1" applyBorder="1" applyAlignment="1">
      <alignment horizontal="center" vertical="center" wrapText="1"/>
    </xf>
    <xf numFmtId="0" fontId="69" fillId="6" borderId="24" xfId="0" applyFont="1" applyFill="1" applyBorder="1" applyAlignment="1">
      <alignment horizontal="center" vertical="center" wrapText="1"/>
    </xf>
    <xf numFmtId="0" fontId="67" fillId="52" borderId="149" xfId="0" applyFont="1" applyFill="1" applyBorder="1" applyAlignment="1">
      <alignment horizontal="center" vertical="center" wrapText="1"/>
    </xf>
    <xf numFmtId="0" fontId="67" fillId="52" borderId="26" xfId="0" applyFont="1" applyFill="1" applyBorder="1" applyAlignment="1">
      <alignment horizontal="center" vertical="center" wrapText="1"/>
    </xf>
    <xf numFmtId="0" fontId="67" fillId="52" borderId="24" xfId="0" applyFont="1" applyFill="1" applyBorder="1" applyAlignment="1">
      <alignment horizontal="center" vertical="center" wrapText="1"/>
    </xf>
    <xf numFmtId="0" fontId="67" fillId="52" borderId="151" xfId="0" applyFont="1" applyFill="1" applyBorder="1" applyAlignment="1">
      <alignment horizontal="center" vertical="center" wrapText="1"/>
    </xf>
    <xf numFmtId="0" fontId="66" fillId="0" borderId="14" xfId="0" applyFont="1" applyBorder="1" applyAlignment="1">
      <alignment wrapText="1"/>
    </xf>
    <xf numFmtId="0" fontId="66" fillId="0" borderId="1" xfId="0" applyFont="1" applyBorder="1" applyAlignment="1">
      <alignment wrapText="1"/>
    </xf>
    <xf numFmtId="0" fontId="68" fillId="0" borderId="72" xfId="0" applyFont="1" applyBorder="1"/>
    <xf numFmtId="0" fontId="66" fillId="0" borderId="145" xfId="0" applyFont="1" applyBorder="1" applyAlignment="1">
      <alignment wrapText="1"/>
    </xf>
    <xf numFmtId="0" fontId="66" fillId="0" borderId="19" xfId="0" applyFont="1" applyBorder="1" applyAlignment="1">
      <alignment wrapText="1"/>
    </xf>
    <xf numFmtId="0" fontId="66" fillId="0" borderId="21" xfId="0" applyFont="1" applyBorder="1" applyAlignment="1">
      <alignment wrapText="1"/>
    </xf>
    <xf numFmtId="0" fontId="66" fillId="0" borderId="55" xfId="0" applyFont="1" applyBorder="1" applyAlignment="1">
      <alignment vertical="center" wrapText="1"/>
    </xf>
    <xf numFmtId="9" fontId="67" fillId="8" borderId="23" xfId="0" applyNumberFormat="1" applyFont="1" applyFill="1" applyBorder="1" applyAlignment="1">
      <alignment horizontal="center" vertical="center" wrapText="1"/>
    </xf>
    <xf numFmtId="165" fontId="67" fillId="11" borderId="23" xfId="0" applyNumberFormat="1" applyFont="1" applyFill="1" applyBorder="1" applyAlignment="1">
      <alignment horizontal="center" vertical="center" wrapText="1"/>
    </xf>
    <xf numFmtId="165" fontId="67" fillId="35" borderId="23" xfId="0" applyNumberFormat="1" applyFont="1" applyFill="1" applyBorder="1" applyAlignment="1">
      <alignment horizontal="center" vertical="center" wrapText="1"/>
    </xf>
    <xf numFmtId="165" fontId="67" fillId="41" borderId="23" xfId="0" applyNumberFormat="1" applyFont="1" applyFill="1" applyBorder="1" applyAlignment="1">
      <alignment horizontal="center" vertical="center" wrapText="1"/>
    </xf>
    <xf numFmtId="9" fontId="67" fillId="13" borderId="28" xfId="0" applyNumberFormat="1" applyFont="1" applyFill="1" applyBorder="1" applyAlignment="1">
      <alignment horizontal="center" vertical="center" wrapText="1"/>
    </xf>
    <xf numFmtId="0" fontId="66" fillId="0" borderId="23" xfId="0" applyFont="1" applyBorder="1" applyAlignment="1">
      <alignment wrapText="1"/>
    </xf>
    <xf numFmtId="165" fontId="67" fillId="33" borderId="23" xfId="0" applyNumberFormat="1" applyFont="1" applyFill="1" applyBorder="1" applyAlignment="1">
      <alignment horizontal="center" vertical="center" wrapText="1"/>
    </xf>
    <xf numFmtId="165" fontId="67" fillId="34" borderId="23" xfId="0" applyNumberFormat="1" applyFont="1" applyFill="1" applyBorder="1" applyAlignment="1">
      <alignment horizontal="center" vertical="center" wrapText="1"/>
    </xf>
    <xf numFmtId="0" fontId="67" fillId="0" borderId="13" xfId="0" applyFont="1" applyBorder="1" applyAlignment="1">
      <alignment horizontal="center" vertical="center" wrapText="1"/>
    </xf>
    <xf numFmtId="0" fontId="68" fillId="20" borderId="46" xfId="0" applyFont="1" applyFill="1" applyBorder="1" applyAlignment="1">
      <alignment horizontal="center" vertical="center"/>
    </xf>
    <xf numFmtId="0" fontId="68" fillId="20" borderId="23" xfId="0" applyFont="1" applyFill="1" applyBorder="1" applyAlignment="1">
      <alignment horizontal="center" vertical="center"/>
    </xf>
    <xf numFmtId="167" fontId="66" fillId="0" borderId="28" xfId="0" applyNumberFormat="1" applyFont="1" applyBorder="1" applyAlignment="1">
      <alignment horizontal="center" vertical="center" wrapText="1"/>
    </xf>
    <xf numFmtId="167" fontId="66" fillId="0" borderId="13" xfId="0" applyNumberFormat="1" applyFont="1" applyBorder="1" applyAlignment="1">
      <alignment horizontal="center" vertical="center" wrapText="1"/>
    </xf>
    <xf numFmtId="0" fontId="66" fillId="0" borderId="13" xfId="0" applyFont="1" applyBorder="1" applyAlignment="1">
      <alignment horizontal="center" vertical="center" wrapText="1"/>
    </xf>
    <xf numFmtId="0" fontId="66" fillId="22" borderId="13" xfId="0" applyFont="1" applyFill="1" applyBorder="1" applyAlignment="1">
      <alignment horizontal="center" vertical="center" wrapText="1"/>
    </xf>
    <xf numFmtId="165" fontId="66" fillId="0" borderId="44" xfId="0" applyNumberFormat="1" applyFont="1" applyBorder="1" applyAlignment="1">
      <alignment horizontal="center" vertical="center" wrapText="1"/>
    </xf>
    <xf numFmtId="165" fontId="66" fillId="0" borderId="23" xfId="0" applyNumberFormat="1" applyFont="1" applyBorder="1" applyAlignment="1">
      <alignment horizontal="center" vertical="center" wrapText="1"/>
    </xf>
    <xf numFmtId="9" fontId="66" fillId="26" borderId="23" xfId="0" applyNumberFormat="1" applyFont="1" applyFill="1" applyBorder="1" applyAlignment="1">
      <alignment horizontal="center" vertical="center" wrapText="1"/>
    </xf>
    <xf numFmtId="9" fontId="66" fillId="0" borderId="28" xfId="0" applyNumberFormat="1" applyFont="1" applyBorder="1" applyAlignment="1">
      <alignment horizontal="center" vertical="center" wrapText="1"/>
    </xf>
    <xf numFmtId="9" fontId="66" fillId="0" borderId="13" xfId="0" applyNumberFormat="1" applyFont="1" applyBorder="1" applyAlignment="1">
      <alignment horizontal="center" vertical="center" wrapText="1"/>
    </xf>
    <xf numFmtId="2" fontId="66" fillId="0" borderId="13" xfId="0" applyNumberFormat="1" applyFont="1" applyBorder="1" applyAlignment="1">
      <alignment horizontal="center" vertical="center" wrapText="1"/>
    </xf>
    <xf numFmtId="2" fontId="66" fillId="22" borderId="13" xfId="0" applyNumberFormat="1" applyFont="1" applyFill="1" applyBorder="1" applyAlignment="1">
      <alignment horizontal="center" vertical="center" wrapText="1"/>
    </xf>
    <xf numFmtId="10" fontId="66" fillId="0" borderId="23" xfId="0" applyNumberFormat="1" applyFont="1" applyBorder="1" applyAlignment="1">
      <alignment horizontal="center" vertical="center" wrapText="1"/>
    </xf>
    <xf numFmtId="0" fontId="67" fillId="0" borderId="13" xfId="0" applyFont="1" applyBorder="1" applyAlignment="1">
      <alignment wrapText="1"/>
    </xf>
    <xf numFmtId="0" fontId="66" fillId="0" borderId="44" xfId="0" applyFont="1" applyBorder="1" applyAlignment="1">
      <alignment wrapText="1"/>
    </xf>
    <xf numFmtId="165" fontId="67" fillId="33" borderId="28" xfId="0" applyNumberFormat="1" applyFont="1" applyFill="1" applyBorder="1" applyAlignment="1">
      <alignment horizontal="center" vertical="center" wrapText="1"/>
    </xf>
    <xf numFmtId="165" fontId="67" fillId="33" borderId="13" xfId="0" applyNumberFormat="1" applyFont="1" applyFill="1" applyBorder="1" applyAlignment="1">
      <alignment horizontal="center" vertical="center" wrapText="1"/>
    </xf>
    <xf numFmtId="0" fontId="66" fillId="0" borderId="13" xfId="0" applyFont="1" applyBorder="1" applyAlignment="1">
      <alignment vertical="center" wrapText="1"/>
    </xf>
    <xf numFmtId="0" fontId="66" fillId="0" borderId="44" xfId="0" applyFont="1" applyBorder="1" applyAlignment="1">
      <alignment horizontal="center" vertical="center" wrapText="1"/>
    </xf>
    <xf numFmtId="0" fontId="66" fillId="0" borderId="23" xfId="0" applyFont="1" applyBorder="1" applyAlignment="1">
      <alignment horizontal="center" vertical="center" wrapText="1"/>
    </xf>
    <xf numFmtId="165" fontId="66" fillId="0" borderId="44" xfId="0" applyNumberFormat="1" applyFont="1" applyBorder="1" applyAlignment="1">
      <alignment horizontal="center" wrapText="1"/>
    </xf>
    <xf numFmtId="169" fontId="66" fillId="0" borderId="44" xfId="3" applyNumberFormat="1" applyFont="1" applyBorder="1" applyAlignment="1">
      <alignment horizontal="center" vertical="center" wrapText="1"/>
    </xf>
    <xf numFmtId="169" fontId="66" fillId="0" borderId="23" xfId="3" applyNumberFormat="1" applyFont="1" applyBorder="1" applyAlignment="1">
      <alignment horizontal="center" vertical="center" wrapText="1"/>
    </xf>
    <xf numFmtId="169" fontId="66" fillId="0" borderId="13" xfId="3" applyNumberFormat="1" applyFont="1" applyBorder="1" applyAlignment="1">
      <alignment horizontal="center" vertical="center" wrapText="1"/>
    </xf>
    <xf numFmtId="169" fontId="66" fillId="0" borderId="13" xfId="3" applyNumberFormat="1" applyFont="1" applyBorder="1" applyAlignment="1">
      <alignment vertical="center" wrapText="1"/>
    </xf>
    <xf numFmtId="0" fontId="66" fillId="20" borderId="13" xfId="0" applyFont="1" applyFill="1" applyBorder="1" applyAlignment="1">
      <alignment horizontal="center" vertical="center" wrapText="1"/>
    </xf>
    <xf numFmtId="164" fontId="66" fillId="0" borderId="23" xfId="0" applyNumberFormat="1" applyFont="1" applyBorder="1" applyAlignment="1">
      <alignment horizontal="center" vertical="center" wrapText="1"/>
    </xf>
    <xf numFmtId="165" fontId="67" fillId="13" borderId="28" xfId="0" applyNumberFormat="1" applyFont="1" applyFill="1" applyBorder="1" applyAlignment="1">
      <alignment horizontal="center" vertical="center" wrapText="1"/>
    </xf>
    <xf numFmtId="9" fontId="66" fillId="20" borderId="23" xfId="0" applyNumberFormat="1" applyFont="1" applyFill="1" applyBorder="1" applyAlignment="1">
      <alignment horizontal="center" vertical="center" wrapText="1"/>
    </xf>
    <xf numFmtId="9" fontId="67" fillId="0" borderId="20" xfId="0" applyNumberFormat="1" applyFont="1" applyBorder="1" applyAlignment="1">
      <alignment horizontal="center" vertical="center" wrapText="1"/>
    </xf>
    <xf numFmtId="0" fontId="67" fillId="0" borderId="28" xfId="0" applyFont="1" applyBorder="1" applyAlignment="1">
      <alignment horizontal="center" vertical="center" wrapText="1"/>
    </xf>
    <xf numFmtId="9" fontId="67" fillId="0" borderId="27" xfId="0" applyNumberFormat="1" applyFont="1" applyBorder="1" applyAlignment="1">
      <alignment horizontal="center" vertical="center" wrapText="1"/>
    </xf>
    <xf numFmtId="0" fontId="66" fillId="0" borderId="88" xfId="0" applyFont="1" applyBorder="1" applyAlignment="1">
      <alignment vertical="center" wrapText="1"/>
    </xf>
    <xf numFmtId="9" fontId="67" fillId="8" borderId="28" xfId="0" applyNumberFormat="1" applyFont="1" applyFill="1" applyBorder="1" applyAlignment="1">
      <alignment horizontal="center" vertical="center" wrapText="1"/>
    </xf>
    <xf numFmtId="9" fontId="67" fillId="8" borderId="13" xfId="0" applyNumberFormat="1" applyFont="1" applyFill="1" applyBorder="1" applyAlignment="1">
      <alignment horizontal="center" vertical="center" wrapText="1"/>
    </xf>
    <xf numFmtId="165" fontId="67" fillId="42" borderId="28" xfId="0" applyNumberFormat="1" applyFont="1" applyFill="1" applyBorder="1" applyAlignment="1">
      <alignment horizontal="center" vertical="center" wrapText="1"/>
    </xf>
    <xf numFmtId="165" fontId="67" fillId="11" borderId="13" xfId="0" applyNumberFormat="1" applyFont="1" applyFill="1" applyBorder="1" applyAlignment="1">
      <alignment horizontal="center" vertical="center" wrapText="1"/>
    </xf>
    <xf numFmtId="0" fontId="66" fillId="0" borderId="13" xfId="0" applyFont="1" applyBorder="1" applyAlignment="1">
      <alignment wrapText="1"/>
    </xf>
    <xf numFmtId="165" fontId="67" fillId="35" borderId="44" xfId="0" applyNumberFormat="1" applyFont="1" applyFill="1" applyBorder="1" applyAlignment="1">
      <alignment horizontal="center" vertical="center" wrapText="1"/>
    </xf>
    <xf numFmtId="165" fontId="67" fillId="4" borderId="23" xfId="0" applyNumberFormat="1" applyFont="1" applyFill="1" applyBorder="1" applyAlignment="1">
      <alignment horizontal="center" vertical="center" wrapText="1"/>
    </xf>
    <xf numFmtId="0" fontId="66" fillId="20" borderId="60" xfId="0" applyFont="1" applyFill="1" applyBorder="1" applyAlignment="1">
      <alignment vertical="center" wrapText="1"/>
    </xf>
    <xf numFmtId="0" fontId="66" fillId="0" borderId="56" xfId="0" applyFont="1" applyBorder="1" applyAlignment="1">
      <alignment vertical="center" wrapText="1"/>
    </xf>
    <xf numFmtId="43" fontId="67" fillId="0" borderId="13" xfId="3" applyFont="1" applyBorder="1" applyAlignment="1">
      <alignment horizontal="center" vertical="center" wrapText="1"/>
    </xf>
    <xf numFmtId="165" fontId="66" fillId="0" borderId="13" xfId="1" applyNumberFormat="1" applyFont="1" applyBorder="1" applyAlignment="1">
      <alignment horizontal="center" vertical="center" wrapText="1"/>
    </xf>
    <xf numFmtId="165" fontId="67" fillId="35" borderId="28" xfId="0" applyNumberFormat="1" applyFont="1" applyFill="1" applyBorder="1" applyAlignment="1">
      <alignment horizontal="center" vertical="center" wrapText="1"/>
    </xf>
    <xf numFmtId="165" fontId="67" fillId="37" borderId="13" xfId="0" applyNumberFormat="1" applyFont="1" applyFill="1" applyBorder="1" applyAlignment="1">
      <alignment horizontal="center" vertical="center" wrapText="1"/>
    </xf>
    <xf numFmtId="165" fontId="67" fillId="39" borderId="23" xfId="0" applyNumberFormat="1" applyFont="1" applyFill="1" applyBorder="1" applyAlignment="1">
      <alignment horizontal="center" vertical="center" wrapText="1"/>
    </xf>
    <xf numFmtId="9" fontId="66" fillId="20" borderId="28" xfId="0" applyNumberFormat="1" applyFont="1" applyFill="1" applyBorder="1" applyAlignment="1">
      <alignment horizontal="center" vertical="center" wrapText="1"/>
    </xf>
    <xf numFmtId="9" fontId="66" fillId="20" borderId="13" xfId="0" applyNumberFormat="1" applyFont="1" applyFill="1" applyBorder="1" applyAlignment="1">
      <alignment horizontal="center" vertical="center" wrapText="1"/>
    </xf>
    <xf numFmtId="0" fontId="66" fillId="0" borderId="22" xfId="0" applyFont="1" applyBorder="1" applyAlignment="1">
      <alignment horizontal="center" vertical="center" wrapText="1"/>
    </xf>
    <xf numFmtId="0" fontId="66" fillId="0" borderId="59" xfId="0" applyFont="1" applyBorder="1" applyAlignment="1">
      <alignment vertical="center" wrapText="1"/>
    </xf>
    <xf numFmtId="165" fontId="67" fillId="35" borderId="144" xfId="0" applyNumberFormat="1" applyFont="1" applyFill="1" applyBorder="1" applyAlignment="1">
      <alignment horizontal="center" vertical="center" wrapText="1"/>
    </xf>
    <xf numFmtId="165" fontId="67" fillId="37" borderId="23" xfId="0" applyNumberFormat="1" applyFont="1" applyFill="1" applyBorder="1" applyAlignment="1">
      <alignment horizontal="center" vertical="center" wrapText="1"/>
    </xf>
    <xf numFmtId="165" fontId="67" fillId="33" borderId="44" xfId="0" applyNumberFormat="1" applyFont="1" applyFill="1" applyBorder="1" applyAlignment="1">
      <alignment horizontal="center" vertical="center" wrapText="1"/>
    </xf>
    <xf numFmtId="0" fontId="66" fillId="0" borderId="23" xfId="0" applyFont="1" applyBorder="1" applyAlignment="1">
      <alignment vertical="center" wrapText="1"/>
    </xf>
    <xf numFmtId="9" fontId="66" fillId="0" borderId="0" xfId="0" applyNumberFormat="1" applyFont="1" applyAlignment="1">
      <alignment horizontal="center" vertical="center" wrapText="1"/>
    </xf>
    <xf numFmtId="3" fontId="68" fillId="0" borderId="23" xfId="0" applyNumberFormat="1" applyFont="1" applyBorder="1" applyAlignment="1">
      <alignment horizontal="center" vertical="center" wrapText="1"/>
    </xf>
    <xf numFmtId="165" fontId="66" fillId="0" borderId="144" xfId="0" applyNumberFormat="1" applyFont="1" applyBorder="1" applyAlignment="1">
      <alignment horizontal="center" vertical="center" wrapText="1"/>
    </xf>
    <xf numFmtId="9" fontId="66" fillId="0" borderId="44" xfId="0" applyNumberFormat="1" applyFont="1" applyBorder="1" applyAlignment="1">
      <alignment horizontal="center" vertical="center" wrapText="1"/>
    </xf>
    <xf numFmtId="0" fontId="68" fillId="0" borderId="46" xfId="0" applyFont="1" applyBorder="1" applyAlignment="1">
      <alignment horizontal="center" vertical="center" wrapText="1"/>
    </xf>
    <xf numFmtId="0" fontId="66" fillId="20" borderId="23" xfId="0" applyFont="1" applyFill="1" applyBorder="1" applyAlignment="1">
      <alignment horizontal="center" vertical="center" wrapText="1"/>
    </xf>
    <xf numFmtId="9" fontId="67" fillId="24" borderId="28" xfId="1" applyFont="1" applyFill="1" applyBorder="1" applyAlignment="1">
      <alignment horizontal="center" vertical="center" wrapText="1"/>
    </xf>
    <xf numFmtId="9" fontId="67" fillId="43" borderId="13" xfId="1" applyFont="1" applyFill="1" applyBorder="1" applyAlignment="1">
      <alignment horizontal="center" vertical="center" wrapText="1"/>
    </xf>
    <xf numFmtId="0" fontId="72" fillId="0" borderId="46" xfId="0" applyFont="1" applyBorder="1" applyAlignment="1">
      <alignment horizontal="center" vertical="center" wrapText="1"/>
    </xf>
    <xf numFmtId="0" fontId="72" fillId="0" borderId="23" xfId="0" applyFont="1" applyBorder="1" applyAlignment="1">
      <alignment horizontal="center" vertical="center" wrapText="1"/>
    </xf>
    <xf numFmtId="0" fontId="68" fillId="0" borderId="23" xfId="0" applyFont="1" applyBorder="1" applyAlignment="1">
      <alignment horizontal="center" vertical="center"/>
    </xf>
    <xf numFmtId="9" fontId="66" fillId="0" borderId="89" xfId="0" applyNumberFormat="1" applyFont="1" applyBorder="1" applyAlignment="1">
      <alignment horizontal="center" vertical="center" wrapText="1"/>
    </xf>
    <xf numFmtId="9" fontId="66" fillId="0" borderId="22" xfId="0" applyNumberFormat="1" applyFont="1" applyBorder="1" applyAlignment="1">
      <alignment horizontal="center" vertical="center" wrapText="1"/>
    </xf>
    <xf numFmtId="9" fontId="66" fillId="0" borderId="45" xfId="0" applyNumberFormat="1" applyFont="1" applyBorder="1" applyAlignment="1">
      <alignment horizontal="center" vertical="center" wrapText="1"/>
    </xf>
    <xf numFmtId="9" fontId="66" fillId="0" borderId="144" xfId="0" applyNumberFormat="1" applyFont="1" applyBorder="1" applyAlignment="1">
      <alignment horizontal="center" vertical="center" wrapText="1"/>
    </xf>
    <xf numFmtId="9" fontId="66" fillId="0" borderId="23" xfId="0" applyNumberFormat="1" applyFont="1" applyBorder="1" applyAlignment="1">
      <alignment horizontal="center" vertical="center" wrapText="1"/>
    </xf>
    <xf numFmtId="165" fontId="67" fillId="42" borderId="144" xfId="0" applyNumberFormat="1" applyFont="1" applyFill="1" applyBorder="1" applyAlignment="1">
      <alignment horizontal="center" vertical="center" wrapText="1"/>
    </xf>
    <xf numFmtId="165" fontId="67" fillId="42" borderId="23" xfId="0" applyNumberFormat="1" applyFont="1" applyFill="1" applyBorder="1" applyAlignment="1">
      <alignment horizontal="center" vertical="center" wrapText="1"/>
    </xf>
    <xf numFmtId="0" fontId="66" fillId="20" borderId="23" xfId="0" applyFont="1" applyFill="1" applyBorder="1" applyAlignment="1">
      <alignment wrapText="1"/>
    </xf>
    <xf numFmtId="165" fontId="67" fillId="33" borderId="144" xfId="0" applyNumberFormat="1" applyFont="1" applyFill="1" applyBorder="1" applyAlignment="1">
      <alignment horizontal="center" vertical="center" wrapText="1"/>
    </xf>
    <xf numFmtId="0" fontId="66" fillId="20" borderId="23" xfId="0" applyFont="1" applyFill="1" applyBorder="1" applyAlignment="1">
      <alignment vertical="center" wrapText="1"/>
    </xf>
    <xf numFmtId="0" fontId="73" fillId="20" borderId="23" xfId="0" applyFont="1" applyFill="1" applyBorder="1" applyAlignment="1">
      <alignment horizontal="center" vertical="center" wrapText="1"/>
    </xf>
    <xf numFmtId="0" fontId="66" fillId="20" borderId="46" xfId="0" applyFont="1" applyFill="1" applyBorder="1" applyAlignment="1">
      <alignment horizontal="center" vertical="center" wrapText="1"/>
    </xf>
    <xf numFmtId="9" fontId="66" fillId="0" borderId="143" xfId="0" applyNumberFormat="1" applyFont="1" applyBorder="1" applyAlignment="1">
      <alignment horizontal="center" vertical="center" wrapText="1"/>
    </xf>
    <xf numFmtId="0" fontId="67" fillId="0" borderId="22" xfId="0" applyFont="1" applyBorder="1" applyAlignment="1">
      <alignment horizontal="center" vertical="center" wrapText="1"/>
    </xf>
    <xf numFmtId="165" fontId="66" fillId="0" borderId="150" xfId="0" applyNumberFormat="1" applyFont="1" applyBorder="1" applyAlignment="1">
      <alignment horizontal="center" vertical="center" wrapText="1"/>
    </xf>
    <xf numFmtId="9" fontId="67" fillId="13" borderId="33" xfId="0" applyNumberFormat="1" applyFont="1" applyFill="1" applyBorder="1" applyAlignment="1">
      <alignment horizontal="center" vertical="center" wrapText="1"/>
    </xf>
    <xf numFmtId="0" fontId="67" fillId="0" borderId="23" xfId="0" applyFont="1" applyBorder="1" applyAlignment="1">
      <alignment horizontal="center" vertical="center" wrapText="1"/>
    </xf>
    <xf numFmtId="165" fontId="67" fillId="33" borderId="33" xfId="0" applyNumberFormat="1" applyFont="1" applyFill="1" applyBorder="1" applyAlignment="1">
      <alignment horizontal="center" vertical="center" wrapText="1"/>
    </xf>
    <xf numFmtId="165" fontId="67" fillId="33" borderId="46" xfId="0" applyNumberFormat="1" applyFont="1" applyFill="1" applyBorder="1" applyAlignment="1">
      <alignment horizontal="center" vertical="center" wrapText="1"/>
    </xf>
    <xf numFmtId="9" fontId="66" fillId="0" borderId="33" xfId="0" applyNumberFormat="1" applyFont="1" applyBorder="1" applyAlignment="1">
      <alignment horizontal="center" vertical="center" wrapText="1"/>
    </xf>
    <xf numFmtId="9" fontId="66" fillId="0" borderId="46" xfId="0" applyNumberFormat="1" applyFont="1" applyBorder="1" applyAlignment="1">
      <alignment horizontal="center" vertical="center" wrapText="1"/>
    </xf>
    <xf numFmtId="165" fontId="66" fillId="0" borderId="117" xfId="0" applyNumberFormat="1" applyFont="1" applyBorder="1" applyAlignment="1">
      <alignment horizontal="center" vertical="center" wrapText="1"/>
    </xf>
    <xf numFmtId="0" fontId="67" fillId="0" borderId="19" xfId="0" applyFont="1" applyBorder="1" applyAlignment="1">
      <alignment wrapText="1"/>
    </xf>
    <xf numFmtId="0" fontId="67" fillId="0" borderId="1" xfId="0" applyFont="1" applyBorder="1" applyAlignment="1">
      <alignment wrapText="1"/>
    </xf>
    <xf numFmtId="0" fontId="70" fillId="0" borderId="0" xfId="0" applyFont="1"/>
    <xf numFmtId="164" fontId="51" fillId="0" borderId="1" xfId="0" applyNumberFormat="1" applyFont="1" applyBorder="1" applyAlignment="1">
      <alignment wrapText="1"/>
    </xf>
    <xf numFmtId="0" fontId="51" fillId="0" borderId="2" xfId="0" applyFont="1" applyBorder="1" applyAlignment="1">
      <alignment wrapText="1"/>
    </xf>
    <xf numFmtId="0" fontId="51" fillId="20" borderId="30" xfId="0" applyFont="1" applyFill="1" applyBorder="1" applyAlignment="1">
      <alignment wrapText="1"/>
    </xf>
    <xf numFmtId="0" fontId="51" fillId="0" borderId="48" xfId="0" applyFont="1" applyBorder="1" applyAlignment="1">
      <alignment wrapText="1"/>
    </xf>
    <xf numFmtId="0" fontId="52" fillId="3" borderId="24" xfId="0" applyFont="1" applyFill="1" applyBorder="1" applyAlignment="1">
      <alignment horizontal="center" vertical="center" wrapText="1"/>
    </xf>
    <xf numFmtId="0" fontId="51" fillId="0" borderId="25" xfId="0" applyFont="1" applyBorder="1" applyAlignment="1">
      <alignment vertical="center" wrapText="1"/>
    </xf>
    <xf numFmtId="0" fontId="51" fillId="0" borderId="7" xfId="0" applyFont="1" applyBorder="1" applyAlignment="1">
      <alignment vertical="center" wrapText="1"/>
    </xf>
    <xf numFmtId="0" fontId="51" fillId="0" borderId="8" xfId="0" applyFont="1" applyBorder="1" applyAlignment="1">
      <alignment wrapText="1"/>
    </xf>
    <xf numFmtId="0" fontId="51" fillId="0" borderId="9" xfId="0" applyFont="1" applyBorder="1" applyAlignment="1">
      <alignment wrapText="1"/>
    </xf>
    <xf numFmtId="0" fontId="51" fillId="19" borderId="8" xfId="0" applyFont="1" applyFill="1" applyBorder="1" applyAlignment="1">
      <alignment wrapText="1"/>
    </xf>
    <xf numFmtId="0" fontId="51" fillId="0" borderId="8" xfId="0" applyFont="1" applyBorder="1" applyAlignment="1">
      <alignment vertical="center" wrapText="1"/>
    </xf>
    <xf numFmtId="0" fontId="51" fillId="20" borderId="8" xfId="0" applyFont="1" applyFill="1" applyBorder="1" applyAlignment="1">
      <alignment wrapText="1"/>
    </xf>
    <xf numFmtId="0" fontId="71" fillId="12" borderId="6" xfId="0" applyFont="1" applyFill="1" applyBorder="1" applyAlignment="1">
      <alignment vertical="center" wrapText="1"/>
    </xf>
    <xf numFmtId="0" fontId="71" fillId="12" borderId="7" xfId="0" applyFont="1" applyFill="1" applyBorder="1" applyAlignment="1">
      <alignment vertical="center" wrapText="1"/>
    </xf>
    <xf numFmtId="0" fontId="66" fillId="31" borderId="8" xfId="0" applyFont="1" applyFill="1" applyBorder="1" applyAlignment="1">
      <alignment vertical="center" wrapText="1"/>
    </xf>
    <xf numFmtId="0" fontId="66" fillId="0" borderId="1" xfId="0" applyFont="1" applyBorder="1" applyAlignment="1">
      <alignment horizontal="right" wrapText="1"/>
    </xf>
    <xf numFmtId="0" fontId="67" fillId="0" borderId="3" xfId="0" applyFont="1" applyBorder="1" applyAlignment="1">
      <alignment horizontal="center" wrapText="1"/>
    </xf>
    <xf numFmtId="10" fontId="66" fillId="0" borderId="3" xfId="1" applyNumberFormat="1" applyFont="1" applyBorder="1" applyAlignment="1">
      <alignment wrapText="1"/>
    </xf>
    <xf numFmtId="0" fontId="67" fillId="4" borderId="24" xfId="0" applyFont="1" applyFill="1" applyBorder="1" applyAlignment="1">
      <alignment horizontal="center" vertical="center" wrapText="1"/>
    </xf>
    <xf numFmtId="0" fontId="69" fillId="4" borderId="24" xfId="0" applyFont="1" applyFill="1" applyBorder="1" applyAlignment="1">
      <alignment horizontal="center" vertical="center" wrapText="1"/>
    </xf>
    <xf numFmtId="0" fontId="67" fillId="55" borderId="24" xfId="0" applyFont="1" applyFill="1" applyBorder="1" applyAlignment="1">
      <alignment horizontal="center" vertical="center" wrapText="1"/>
    </xf>
    <xf numFmtId="0" fontId="69" fillId="55" borderId="27" xfId="0" applyFont="1" applyFill="1" applyBorder="1" applyAlignment="1">
      <alignment horizontal="center" vertical="center" wrapText="1"/>
    </xf>
    <xf numFmtId="0" fontId="67" fillId="6" borderId="24" xfId="0" applyFont="1" applyFill="1" applyBorder="1" applyAlignment="1">
      <alignment horizontal="center" vertical="center" wrapText="1"/>
    </xf>
    <xf numFmtId="9" fontId="67" fillId="0" borderId="120" xfId="0" applyNumberFormat="1" applyFont="1" applyBorder="1" applyAlignment="1">
      <alignment horizontal="center" vertical="center" wrapText="1"/>
    </xf>
    <xf numFmtId="0" fontId="68" fillId="0" borderId="37" xfId="0" applyFont="1" applyBorder="1"/>
    <xf numFmtId="0" fontId="68" fillId="0" borderId="43" xfId="0" applyFont="1" applyBorder="1"/>
    <xf numFmtId="165" fontId="67" fillId="9" borderId="25" xfId="0" applyNumberFormat="1" applyFont="1" applyFill="1" applyBorder="1" applyAlignment="1">
      <alignment horizontal="center" vertical="center" wrapText="1"/>
    </xf>
    <xf numFmtId="165" fontId="67" fillId="6" borderId="25" xfId="0" applyNumberFormat="1" applyFont="1" applyFill="1" applyBorder="1" applyAlignment="1">
      <alignment horizontal="center" vertical="center" wrapText="1"/>
    </xf>
    <xf numFmtId="0" fontId="66" fillId="0" borderId="40" xfId="0" applyFont="1" applyBorder="1" applyAlignment="1">
      <alignment vertical="center" wrapText="1"/>
    </xf>
    <xf numFmtId="10" fontId="67" fillId="8" borderId="12" xfId="0" applyNumberFormat="1" applyFont="1" applyFill="1" applyBorder="1" applyAlignment="1">
      <alignment horizontal="center" vertical="center" wrapText="1"/>
    </xf>
    <xf numFmtId="10" fontId="67" fillId="8" borderId="24" xfId="0" applyNumberFormat="1" applyFont="1" applyFill="1" applyBorder="1" applyAlignment="1">
      <alignment horizontal="center" vertical="center" wrapText="1"/>
    </xf>
    <xf numFmtId="165" fontId="67" fillId="35" borderId="7" xfId="0" applyNumberFormat="1" applyFont="1" applyFill="1" applyBorder="1" applyAlignment="1">
      <alignment horizontal="center" vertical="center" wrapText="1"/>
    </xf>
    <xf numFmtId="165" fontId="67" fillId="11" borderId="7" xfId="0" applyNumberFormat="1" applyFont="1" applyFill="1" applyBorder="1" applyAlignment="1">
      <alignment horizontal="center" vertical="center" wrapText="1"/>
    </xf>
    <xf numFmtId="10" fontId="66" fillId="0" borderId="25" xfId="0" applyNumberFormat="1" applyFont="1" applyBorder="1" applyAlignment="1">
      <alignment vertical="center" wrapText="1"/>
    </xf>
    <xf numFmtId="9" fontId="67" fillId="13" borderId="7" xfId="0" applyNumberFormat="1" applyFont="1" applyFill="1" applyBorder="1" applyAlignment="1">
      <alignment horizontal="center" vertical="center" wrapText="1"/>
    </xf>
    <xf numFmtId="0" fontId="66" fillId="0" borderId="25" xfId="0" applyFont="1" applyBorder="1" applyAlignment="1">
      <alignment vertical="center" wrapText="1"/>
    </xf>
    <xf numFmtId="165" fontId="67" fillId="33" borderId="7" xfId="0" applyNumberFormat="1" applyFont="1" applyFill="1" applyBorder="1" applyAlignment="1">
      <alignment horizontal="center" vertical="center" wrapText="1"/>
    </xf>
    <xf numFmtId="0" fontId="66" fillId="0" borderId="7" xfId="0" applyFont="1" applyBorder="1" applyAlignment="1">
      <alignment horizontal="center" vertical="center" wrapText="1"/>
    </xf>
    <xf numFmtId="9" fontId="67" fillId="11" borderId="7" xfId="0" applyNumberFormat="1" applyFont="1" applyFill="1" applyBorder="1" applyAlignment="1">
      <alignment horizontal="center" vertical="center" wrapText="1"/>
    </xf>
    <xf numFmtId="0" fontId="66" fillId="0" borderId="7" xfId="0" applyFont="1" applyBorder="1" applyAlignment="1">
      <alignment vertical="center" wrapText="1"/>
    </xf>
    <xf numFmtId="9" fontId="66" fillId="0" borderId="7" xfId="0" applyNumberFormat="1" applyFont="1" applyBorder="1" applyAlignment="1">
      <alignment horizontal="center" vertical="center" wrapText="1"/>
    </xf>
    <xf numFmtId="10" fontId="67" fillId="8" borderId="7" xfId="0" applyNumberFormat="1" applyFont="1" applyFill="1" applyBorder="1" applyAlignment="1">
      <alignment horizontal="center" vertical="center" wrapText="1"/>
    </xf>
    <xf numFmtId="9" fontId="66" fillId="0" borderId="20" xfId="0" applyNumberFormat="1" applyFont="1" applyBorder="1" applyAlignment="1">
      <alignment horizontal="center" vertical="center" wrapText="1"/>
    </xf>
    <xf numFmtId="0" fontId="66" fillId="0" borderId="20" xfId="0" applyFont="1" applyBorder="1" applyAlignment="1">
      <alignment horizontal="center" vertical="center" wrapText="1"/>
    </xf>
    <xf numFmtId="0" fontId="66" fillId="0" borderId="12" xfId="0" applyFont="1" applyBorder="1" applyAlignment="1">
      <alignment horizontal="center" vertical="center" wrapText="1"/>
    </xf>
    <xf numFmtId="9" fontId="66" fillId="0" borderId="84" xfId="0" applyNumberFormat="1" applyFont="1" applyBorder="1" applyAlignment="1">
      <alignment horizontal="center" vertical="center" wrapText="1"/>
    </xf>
    <xf numFmtId="9" fontId="66" fillId="0" borderId="90" xfId="0" applyNumberFormat="1" applyFont="1" applyBorder="1" applyAlignment="1">
      <alignment horizontal="center" vertical="center" wrapText="1"/>
    </xf>
    <xf numFmtId="0" fontId="66" fillId="0" borderId="90" xfId="0" applyFont="1" applyBorder="1" applyAlignment="1">
      <alignment horizontal="center" vertical="center" wrapText="1"/>
    </xf>
    <xf numFmtId="9" fontId="66" fillId="0" borderId="135" xfId="0" applyNumberFormat="1" applyFont="1" applyBorder="1" applyAlignment="1">
      <alignment horizontal="center" vertical="center" wrapText="1"/>
    </xf>
    <xf numFmtId="0" fontId="66" fillId="0" borderId="49" xfId="0" applyFont="1" applyBorder="1" applyAlignment="1">
      <alignment horizontal="center" vertical="center" wrapText="1"/>
    </xf>
    <xf numFmtId="165" fontId="67" fillId="33" borderId="135" xfId="0" applyNumberFormat="1" applyFont="1" applyFill="1" applyBorder="1" applyAlignment="1">
      <alignment horizontal="center" vertical="center" wrapText="1"/>
    </xf>
    <xf numFmtId="165" fontId="67" fillId="33" borderId="12" xfId="0" applyNumberFormat="1" applyFont="1" applyFill="1" applyBorder="1" applyAlignment="1">
      <alignment horizontal="center" vertical="center" wrapText="1"/>
    </xf>
    <xf numFmtId="165" fontId="67" fillId="33" borderId="74" xfId="0" applyNumberFormat="1" applyFont="1" applyFill="1" applyBorder="1" applyAlignment="1">
      <alignment horizontal="center" vertical="center" wrapText="1"/>
    </xf>
    <xf numFmtId="165" fontId="67" fillId="33" borderId="42" xfId="0" applyNumberFormat="1" applyFont="1" applyFill="1" applyBorder="1" applyAlignment="1">
      <alignment horizontal="center" vertical="center" wrapText="1"/>
    </xf>
    <xf numFmtId="0" fontId="66" fillId="0" borderId="51" xfId="0" applyFont="1" applyBorder="1" applyAlignment="1">
      <alignment vertical="center" wrapText="1"/>
    </xf>
    <xf numFmtId="9" fontId="66" fillId="0" borderId="12" xfId="0" applyNumberFormat="1" applyFont="1" applyBorder="1" applyAlignment="1">
      <alignment horizontal="center" vertical="center" wrapText="1"/>
    </xf>
    <xf numFmtId="9" fontId="66" fillId="0" borderId="115" xfId="0" applyNumberFormat="1" applyFont="1" applyBorder="1" applyAlignment="1">
      <alignment horizontal="center" vertical="center" wrapText="1"/>
    </xf>
    <xf numFmtId="9" fontId="66" fillId="0" borderId="24" xfId="0" applyNumberFormat="1" applyFont="1" applyBorder="1" applyAlignment="1">
      <alignment horizontal="center" vertical="center" wrapText="1"/>
    </xf>
    <xf numFmtId="0" fontId="68" fillId="0" borderId="138" xfId="0" applyFont="1" applyBorder="1" applyAlignment="1">
      <alignment horizontal="center" vertical="center" wrapText="1"/>
    </xf>
    <xf numFmtId="0" fontId="68" fillId="0" borderId="24" xfId="0" applyFont="1" applyBorder="1" applyAlignment="1">
      <alignment horizontal="center" vertical="center" wrapText="1"/>
    </xf>
    <xf numFmtId="0" fontId="68" fillId="0" borderId="39" xfId="0" applyFont="1" applyBorder="1" applyAlignment="1">
      <alignment horizontal="center" vertical="center" wrapText="1"/>
    </xf>
    <xf numFmtId="9" fontId="66" fillId="0" borderId="116" xfId="0" applyNumberFormat="1" applyFont="1" applyBorder="1" applyAlignment="1">
      <alignment horizontal="center" vertical="center" wrapText="1"/>
    </xf>
    <xf numFmtId="0" fontId="66" fillId="0" borderId="12" xfId="0" applyFont="1" applyBorder="1" applyAlignment="1">
      <alignment vertical="center" wrapText="1"/>
    </xf>
    <xf numFmtId="165" fontId="67" fillId="33" borderId="25" xfId="0" applyNumberFormat="1" applyFont="1" applyFill="1" applyBorder="1" applyAlignment="1">
      <alignment horizontal="center" vertical="center" wrapText="1"/>
    </xf>
    <xf numFmtId="165" fontId="66" fillId="0" borderId="12" xfId="1" applyNumberFormat="1" applyFont="1" applyBorder="1" applyAlignment="1">
      <alignment vertical="center" wrapText="1"/>
    </xf>
    <xf numFmtId="10" fontId="67" fillId="33" borderId="7" xfId="0" applyNumberFormat="1" applyFont="1" applyFill="1" applyBorder="1" applyAlignment="1">
      <alignment horizontal="center" vertical="center" wrapText="1"/>
    </xf>
    <xf numFmtId="168" fontId="66" fillId="0" borderId="12" xfId="0" applyNumberFormat="1" applyFont="1" applyBorder="1" applyAlignment="1">
      <alignment horizontal="center" vertical="center" wrapText="1"/>
    </xf>
    <xf numFmtId="167" fontId="66" fillId="0" borderId="7" xfId="0" applyNumberFormat="1" applyFont="1" applyBorder="1" applyAlignment="1">
      <alignment horizontal="center" vertical="center" wrapText="1"/>
    </xf>
    <xf numFmtId="165" fontId="66" fillId="0" borderId="7" xfId="0" applyNumberFormat="1" applyFont="1" applyBorder="1" applyAlignment="1">
      <alignment horizontal="center" vertical="center" wrapText="1"/>
    </xf>
    <xf numFmtId="9" fontId="66" fillId="0" borderId="136" xfId="0" applyNumberFormat="1" applyFont="1" applyBorder="1" applyAlignment="1">
      <alignment horizontal="center" vertical="center" wrapText="1"/>
    </xf>
    <xf numFmtId="9" fontId="66" fillId="0" borderId="137" xfId="0" applyNumberFormat="1" applyFont="1" applyBorder="1" applyAlignment="1">
      <alignment horizontal="center" vertical="center" wrapText="1"/>
    </xf>
    <xf numFmtId="0" fontId="66" fillId="0" borderId="137" xfId="0" applyFont="1" applyBorder="1" applyAlignment="1">
      <alignment horizontal="center" vertical="center" wrapText="1"/>
    </xf>
    <xf numFmtId="9" fontId="66" fillId="0" borderId="25" xfId="0" applyNumberFormat="1" applyFont="1" applyBorder="1" applyAlignment="1">
      <alignment horizontal="center" vertical="center" wrapText="1"/>
    </xf>
    <xf numFmtId="0" fontId="66" fillId="0" borderId="25" xfId="0" applyFont="1" applyBorder="1" applyAlignment="1">
      <alignment horizontal="center" vertical="center" wrapText="1"/>
    </xf>
    <xf numFmtId="0" fontId="66" fillId="0" borderId="20" xfId="0" applyFont="1" applyBorder="1" applyAlignment="1">
      <alignment vertical="center" wrapText="1"/>
    </xf>
    <xf numFmtId="0" fontId="68" fillId="20" borderId="24" xfId="2" applyFont="1" applyFill="1" applyBorder="1" applyAlignment="1">
      <alignment horizontal="center" vertical="center"/>
    </xf>
    <xf numFmtId="10" fontId="66" fillId="0" borderId="7" xfId="0" applyNumberFormat="1" applyFont="1" applyBorder="1" applyAlignment="1">
      <alignment horizontal="center" vertical="center" wrapText="1"/>
    </xf>
    <xf numFmtId="165" fontId="69" fillId="35" borderId="7" xfId="0" applyNumberFormat="1" applyFont="1" applyFill="1" applyBorder="1" applyAlignment="1">
      <alignment horizontal="center" vertical="center" wrapText="1"/>
    </xf>
    <xf numFmtId="165" fontId="67" fillId="39" borderId="7" xfId="0" applyNumberFormat="1" applyFont="1" applyFill="1" applyBorder="1" applyAlignment="1">
      <alignment horizontal="center" vertical="center" wrapText="1"/>
    </xf>
    <xf numFmtId="165" fontId="69" fillId="39" borderId="7" xfId="0" applyNumberFormat="1" applyFont="1" applyFill="1" applyBorder="1" applyAlignment="1">
      <alignment horizontal="center" vertical="center" wrapText="1"/>
    </xf>
    <xf numFmtId="0" fontId="67" fillId="0" borderId="7" xfId="0" applyFont="1" applyBorder="1" applyAlignment="1">
      <alignment horizontal="center" vertical="center" wrapText="1"/>
    </xf>
    <xf numFmtId="0" fontId="67" fillId="0" borderId="1" xfId="0" applyFont="1" applyBorder="1" applyAlignment="1">
      <alignment horizontal="center" wrapText="1"/>
    </xf>
    <xf numFmtId="0" fontId="67" fillId="0" borderId="0" xfId="0" applyFont="1" applyAlignment="1">
      <alignment horizontal="center"/>
    </xf>
    <xf numFmtId="10" fontId="66" fillId="0" borderId="3" xfId="0" applyNumberFormat="1" applyFont="1" applyBorder="1" applyAlignment="1">
      <alignment wrapText="1"/>
    </xf>
    <xf numFmtId="0" fontId="67" fillId="4" borderId="7" xfId="0" applyFont="1" applyFill="1" applyBorder="1" applyAlignment="1">
      <alignment horizontal="center" vertical="center" wrapText="1"/>
    </xf>
    <xf numFmtId="0" fontId="69" fillId="4" borderId="12" xfId="0" applyFont="1" applyFill="1" applyBorder="1" applyAlignment="1">
      <alignment horizontal="center" vertical="center" wrapText="1"/>
    </xf>
    <xf numFmtId="0" fontId="66" fillId="0" borderId="27" xfId="0" applyFont="1" applyBorder="1" applyAlignment="1">
      <alignment vertical="center" wrapText="1"/>
    </xf>
    <xf numFmtId="165" fontId="66" fillId="4" borderId="7" xfId="0" applyNumberFormat="1" applyFont="1" applyFill="1" applyBorder="1" applyAlignment="1">
      <alignment horizontal="center" vertical="center" wrapText="1"/>
    </xf>
    <xf numFmtId="0" fontId="66" fillId="22" borderId="7" xfId="0" applyFont="1" applyFill="1" applyBorder="1" applyAlignment="1">
      <alignment horizontal="center" vertical="center" wrapText="1"/>
    </xf>
    <xf numFmtId="0" fontId="66" fillId="20" borderId="7" xfId="0" applyFont="1" applyFill="1" applyBorder="1" applyAlignment="1">
      <alignment horizontal="center" vertical="center" wrapText="1"/>
    </xf>
    <xf numFmtId="9" fontId="66" fillId="22" borderId="7" xfId="0" applyNumberFormat="1" applyFont="1" applyFill="1" applyBorder="1" applyAlignment="1">
      <alignment horizontal="center" vertical="center" wrapText="1"/>
    </xf>
    <xf numFmtId="165" fontId="67" fillId="4" borderId="7" xfId="0" applyNumberFormat="1" applyFont="1" applyFill="1" applyBorder="1" applyAlignment="1">
      <alignment horizontal="center" vertical="center" wrapText="1"/>
    </xf>
    <xf numFmtId="0" fontId="66" fillId="22" borderId="20" xfId="0" applyFont="1" applyFill="1" applyBorder="1" applyAlignment="1">
      <alignment horizontal="center" vertical="center" wrapText="1"/>
    </xf>
    <xf numFmtId="0" fontId="66" fillId="0" borderId="139" xfId="0" applyFont="1" applyBorder="1" applyAlignment="1">
      <alignment horizontal="center" vertical="center" wrapText="1"/>
    </xf>
    <xf numFmtId="0" fontId="66" fillId="22" borderId="24" xfId="0" applyFont="1" applyFill="1" applyBorder="1" applyAlignment="1">
      <alignment horizontal="center" vertical="center" wrapText="1"/>
    </xf>
    <xf numFmtId="0" fontId="66" fillId="0" borderId="24" xfId="0" applyFont="1" applyBorder="1" applyAlignment="1">
      <alignment horizontal="center" vertical="center" wrapText="1"/>
    </xf>
    <xf numFmtId="0" fontId="66" fillId="0" borderId="24" xfId="0" applyFont="1" applyBorder="1" applyAlignment="1">
      <alignment vertical="center" wrapText="1"/>
    </xf>
    <xf numFmtId="0" fontId="66" fillId="0" borderId="0" xfId="0" applyFont="1" applyAlignment="1">
      <alignment vertical="center" wrapText="1"/>
    </xf>
    <xf numFmtId="0" fontId="68" fillId="0" borderId="140" xfId="0" applyFont="1" applyBorder="1" applyAlignment="1">
      <alignment horizontal="center" vertical="center" wrapText="1"/>
    </xf>
    <xf numFmtId="0" fontId="68" fillId="0" borderId="40" xfId="0" applyFont="1" applyBorder="1" applyAlignment="1">
      <alignment horizontal="center" vertical="center" wrapText="1"/>
    </xf>
    <xf numFmtId="0" fontId="68" fillId="0" borderId="0" xfId="0" applyFont="1" applyAlignment="1">
      <alignment horizontal="center" vertical="center" wrapText="1"/>
    </xf>
    <xf numFmtId="0" fontId="68" fillId="0" borderId="77" xfId="0" applyFont="1" applyBorder="1" applyAlignment="1">
      <alignment horizontal="center" vertical="center" wrapText="1"/>
    </xf>
    <xf numFmtId="0" fontId="68" fillId="0" borderId="72" xfId="0" applyFont="1" applyBorder="1" applyAlignment="1">
      <alignment horizontal="center" vertical="center" wrapText="1"/>
    </xf>
    <xf numFmtId="0" fontId="68" fillId="0" borderId="43" xfId="0" applyFont="1" applyBorder="1" applyAlignment="1">
      <alignment horizontal="center" vertical="center" wrapText="1"/>
    </xf>
    <xf numFmtId="0" fontId="66" fillId="0" borderId="55" xfId="0" applyFont="1" applyBorder="1" applyAlignment="1">
      <alignment horizontal="center" vertical="center" wrapText="1"/>
    </xf>
    <xf numFmtId="170" fontId="66" fillId="0" borderId="7" xfId="0" applyNumberFormat="1" applyFont="1" applyBorder="1" applyAlignment="1">
      <alignment horizontal="center" vertical="center" wrapText="1"/>
    </xf>
    <xf numFmtId="0" fontId="66" fillId="56" borderId="7" xfId="0" applyFont="1" applyFill="1" applyBorder="1" applyAlignment="1">
      <alignment horizontal="center" vertical="center" wrapText="1"/>
    </xf>
    <xf numFmtId="0" fontId="66" fillId="0" borderId="16" xfId="0" applyFont="1" applyBorder="1" applyAlignment="1">
      <alignment wrapText="1"/>
    </xf>
    <xf numFmtId="0" fontId="69" fillId="55" borderId="24" xfId="0" applyFont="1" applyFill="1" applyBorder="1" applyAlignment="1">
      <alignment horizontal="center" vertical="center" wrapText="1"/>
    </xf>
    <xf numFmtId="165" fontId="67" fillId="11" borderId="12" xfId="0" applyNumberFormat="1" applyFont="1" applyFill="1" applyBorder="1" applyAlignment="1">
      <alignment horizontal="center" vertical="center" wrapText="1"/>
    </xf>
    <xf numFmtId="165" fontId="67" fillId="35" borderId="115" xfId="0" applyNumberFormat="1" applyFont="1" applyFill="1" applyBorder="1" applyAlignment="1">
      <alignment horizontal="center" vertical="center" wrapText="1"/>
    </xf>
    <xf numFmtId="165" fontId="67" fillId="33" borderId="115" xfId="0" applyNumberFormat="1" applyFont="1" applyFill="1" applyBorder="1" applyAlignment="1">
      <alignment horizontal="center" vertical="center" wrapText="1"/>
    </xf>
    <xf numFmtId="9" fontId="66" fillId="22" borderId="12" xfId="0" applyNumberFormat="1" applyFont="1" applyFill="1" applyBorder="1" applyAlignment="1">
      <alignment horizontal="center" vertical="center" wrapText="1"/>
    </xf>
    <xf numFmtId="9" fontId="66" fillId="22" borderId="115" xfId="0" applyNumberFormat="1" applyFont="1" applyFill="1" applyBorder="1" applyAlignment="1">
      <alignment horizontal="center" vertical="center" wrapText="1"/>
    </xf>
    <xf numFmtId="9" fontId="66" fillId="22" borderId="116" xfId="0" applyNumberFormat="1" applyFont="1" applyFill="1" applyBorder="1" applyAlignment="1">
      <alignment horizontal="center" vertical="center" wrapText="1"/>
    </xf>
    <xf numFmtId="165" fontId="67" fillId="33" borderId="17" xfId="0" applyNumberFormat="1" applyFont="1" applyFill="1" applyBorder="1" applyAlignment="1">
      <alignment horizontal="center" vertical="center" wrapText="1"/>
    </xf>
    <xf numFmtId="165" fontId="67" fillId="33" borderId="78" xfId="0" applyNumberFormat="1" applyFont="1" applyFill="1" applyBorder="1" applyAlignment="1">
      <alignment horizontal="center" vertical="center" wrapText="1"/>
    </xf>
    <xf numFmtId="165" fontId="67" fillId="35" borderId="12" xfId="0" applyNumberFormat="1" applyFont="1" applyFill="1" applyBorder="1" applyAlignment="1">
      <alignment horizontal="center" vertical="center" wrapText="1"/>
    </xf>
    <xf numFmtId="165" fontId="66" fillId="0" borderId="12" xfId="0" applyNumberFormat="1" applyFont="1" applyBorder="1" applyAlignment="1">
      <alignment horizontal="center" vertical="center" wrapText="1"/>
    </xf>
    <xf numFmtId="165" fontId="66" fillId="0" borderId="115" xfId="0" applyNumberFormat="1" applyFont="1" applyBorder="1" applyAlignment="1">
      <alignment horizontal="center" vertical="center" wrapText="1"/>
    </xf>
    <xf numFmtId="9" fontId="66" fillId="0" borderId="49" xfId="0" applyNumberFormat="1" applyFont="1" applyBorder="1" applyAlignment="1">
      <alignment horizontal="center" vertical="center" wrapText="1"/>
    </xf>
    <xf numFmtId="165" fontId="66" fillId="0" borderId="141" xfId="0" applyNumberFormat="1" applyFont="1" applyBorder="1" applyAlignment="1">
      <alignment horizontal="center" vertical="center" wrapText="1"/>
    </xf>
    <xf numFmtId="165" fontId="67" fillId="4" borderId="12" xfId="0" applyNumberFormat="1" applyFont="1" applyFill="1" applyBorder="1" applyAlignment="1">
      <alignment horizontal="center" vertical="center" wrapText="1"/>
    </xf>
    <xf numFmtId="165" fontId="67" fillId="33" borderId="24" xfId="0" applyNumberFormat="1" applyFont="1" applyFill="1" applyBorder="1" applyAlignment="1">
      <alignment horizontal="center" vertical="center" wrapText="1"/>
    </xf>
    <xf numFmtId="9" fontId="66" fillId="0" borderId="17" xfId="0" applyNumberFormat="1" applyFont="1" applyBorder="1" applyAlignment="1">
      <alignment horizontal="center" vertical="center" wrapText="1"/>
    </xf>
    <xf numFmtId="9" fontId="66" fillId="0" borderId="78" xfId="0" applyNumberFormat="1" applyFont="1" applyBorder="1" applyAlignment="1">
      <alignment horizontal="center" vertical="center" wrapText="1"/>
    </xf>
    <xf numFmtId="9" fontId="66" fillId="0" borderId="141" xfId="0" applyNumberFormat="1" applyFont="1" applyBorder="1" applyAlignment="1">
      <alignment horizontal="center" vertical="center" wrapText="1"/>
    </xf>
    <xf numFmtId="165" fontId="66" fillId="0" borderId="78" xfId="0" applyNumberFormat="1" applyFont="1" applyBorder="1" applyAlignment="1">
      <alignment horizontal="center" vertical="center" wrapText="1"/>
    </xf>
    <xf numFmtId="10" fontId="66" fillId="0" borderId="12" xfId="0" applyNumberFormat="1" applyFont="1" applyBorder="1" applyAlignment="1">
      <alignment horizontal="center" vertical="center" wrapText="1"/>
    </xf>
    <xf numFmtId="10" fontId="66" fillId="0" borderId="115" xfId="0" applyNumberFormat="1" applyFont="1" applyBorder="1" applyAlignment="1">
      <alignment horizontal="center" vertical="center" wrapText="1"/>
    </xf>
    <xf numFmtId="165" fontId="67" fillId="37" borderId="12" xfId="0" applyNumberFormat="1" applyFont="1" applyFill="1" applyBorder="1" applyAlignment="1">
      <alignment horizontal="center" vertical="center" wrapText="1"/>
    </xf>
    <xf numFmtId="165" fontId="67" fillId="35" borderId="24" xfId="0" applyNumberFormat="1" applyFont="1" applyFill="1" applyBorder="1" applyAlignment="1">
      <alignment horizontal="center" vertical="center" wrapText="1"/>
    </xf>
    <xf numFmtId="9" fontId="66" fillId="0" borderId="77" xfId="0" applyNumberFormat="1" applyFont="1" applyBorder="1" applyAlignment="1">
      <alignment horizontal="center" vertical="center" wrapText="1"/>
    </xf>
    <xf numFmtId="0" fontId="66" fillId="0" borderId="3" xfId="0" applyFont="1" applyBorder="1" applyAlignment="1">
      <alignment horizontal="center" wrapText="1"/>
    </xf>
    <xf numFmtId="0" fontId="66" fillId="0" borderId="13" xfId="0" applyFont="1" applyBorder="1" applyAlignment="1">
      <alignment horizontal="center" wrapText="1"/>
    </xf>
    <xf numFmtId="0" fontId="66" fillId="0" borderId="23" xfId="0" applyFont="1" applyBorder="1" applyAlignment="1">
      <alignment horizontal="center" wrapText="1"/>
    </xf>
    <xf numFmtId="0" fontId="66" fillId="20" borderId="23" xfId="0" applyFont="1" applyFill="1" applyBorder="1" applyAlignment="1">
      <alignment horizontal="center" wrapText="1"/>
    </xf>
    <xf numFmtId="0" fontId="66" fillId="0" borderId="19" xfId="0" applyFont="1" applyBorder="1" applyAlignment="1">
      <alignment horizontal="center" wrapText="1"/>
    </xf>
    <xf numFmtId="0" fontId="66" fillId="0" borderId="1" xfId="0" applyFont="1" applyBorder="1" applyAlignment="1">
      <alignment horizontal="center" wrapText="1"/>
    </xf>
    <xf numFmtId="0" fontId="68" fillId="0" borderId="0" xfId="0" applyFont="1" applyAlignment="1">
      <alignment horizontal="center"/>
    </xf>
    <xf numFmtId="165" fontId="67" fillId="4" borderId="44" xfId="0" applyNumberFormat="1" applyFont="1" applyFill="1" applyBorder="1" applyAlignment="1">
      <alignment horizontal="center" vertical="center" wrapText="1"/>
    </xf>
    <xf numFmtId="165" fontId="69" fillId="35" borderId="23" xfId="0" applyNumberFormat="1" applyFont="1" applyFill="1" applyBorder="1" applyAlignment="1">
      <alignment horizontal="center" vertical="center" wrapText="1"/>
    </xf>
    <xf numFmtId="0" fontId="66" fillId="22" borderId="22" xfId="0" applyFont="1" applyFill="1" applyBorder="1" applyAlignment="1">
      <alignment horizontal="center" vertical="center" wrapText="1"/>
    </xf>
    <xf numFmtId="165" fontId="66" fillId="20" borderId="23" xfId="0" applyNumberFormat="1" applyFont="1" applyFill="1" applyBorder="1" applyAlignment="1">
      <alignment horizontal="center" vertical="center" wrapText="1"/>
    </xf>
    <xf numFmtId="165" fontId="69" fillId="35" borderId="28" xfId="0" applyNumberFormat="1" applyFont="1" applyFill="1" applyBorder="1" applyAlignment="1">
      <alignment horizontal="center" vertical="center" wrapText="1"/>
    </xf>
    <xf numFmtId="165" fontId="69" fillId="37" borderId="13" xfId="0" applyNumberFormat="1" applyFont="1" applyFill="1" applyBorder="1" applyAlignment="1">
      <alignment horizontal="center" vertical="center" wrapText="1"/>
    </xf>
    <xf numFmtId="165" fontId="67" fillId="4" borderId="144" xfId="0" applyNumberFormat="1" applyFont="1" applyFill="1" applyBorder="1" applyAlignment="1">
      <alignment horizontal="center" vertical="center" wrapText="1"/>
    </xf>
    <xf numFmtId="165" fontId="69" fillId="37" borderId="23" xfId="0" applyNumberFormat="1" applyFont="1" applyFill="1" applyBorder="1" applyAlignment="1">
      <alignment horizontal="center" vertical="center" wrapText="1"/>
    </xf>
    <xf numFmtId="165" fontId="67" fillId="33" borderId="22" xfId="0" applyNumberFormat="1" applyFont="1" applyFill="1" applyBorder="1" applyAlignment="1">
      <alignment horizontal="center" vertical="center" wrapText="1"/>
    </xf>
    <xf numFmtId="9" fontId="66" fillId="0" borderId="142" xfId="0" applyNumberFormat="1" applyFont="1" applyBorder="1" applyAlignment="1">
      <alignment horizontal="center" vertical="center" wrapText="1"/>
    </xf>
    <xf numFmtId="165" fontId="66" fillId="0" borderId="152" xfId="0" applyNumberFormat="1" applyFont="1" applyBorder="1" applyAlignment="1">
      <alignment horizontal="center" vertical="center" wrapText="1"/>
    </xf>
    <xf numFmtId="165" fontId="67" fillId="4" borderId="117" xfId="0" applyNumberFormat="1" applyFont="1" applyFill="1" applyBorder="1" applyAlignment="1">
      <alignment horizontal="center" vertical="center" wrapText="1"/>
    </xf>
    <xf numFmtId="0" fontId="66" fillId="22" borderId="23" xfId="0" applyFont="1" applyFill="1" applyBorder="1" applyAlignment="1">
      <alignment horizontal="center" vertical="center" wrapText="1"/>
    </xf>
    <xf numFmtId="0" fontId="68" fillId="22" borderId="23" xfId="0" applyFont="1" applyFill="1" applyBorder="1" applyAlignment="1">
      <alignment horizontal="center" vertical="center"/>
    </xf>
    <xf numFmtId="0" fontId="72" fillId="22" borderId="23" xfId="0" applyFont="1" applyFill="1" applyBorder="1" applyAlignment="1">
      <alignment horizontal="center" vertical="center" wrapText="1"/>
    </xf>
    <xf numFmtId="0" fontId="73" fillId="22" borderId="23" xfId="0" applyFont="1" applyFill="1" applyBorder="1" applyAlignment="1">
      <alignment horizontal="center" vertical="center" wrapText="1"/>
    </xf>
    <xf numFmtId="0" fontId="31" fillId="4" borderId="23" xfId="0" applyFont="1" applyFill="1" applyBorder="1" applyAlignment="1">
      <alignment horizontal="center" vertical="center" wrapText="1"/>
    </xf>
    <xf numFmtId="0" fontId="52" fillId="57" borderId="10" xfId="0" applyFont="1" applyFill="1" applyBorder="1" applyAlignment="1">
      <alignment horizontal="center" vertical="center" wrapText="1"/>
    </xf>
    <xf numFmtId="0" fontId="52" fillId="57" borderId="5" xfId="0" applyFont="1" applyFill="1" applyBorder="1" applyAlignment="1">
      <alignment horizontal="center" vertical="center" wrapText="1"/>
    </xf>
    <xf numFmtId="0" fontId="52" fillId="57" borderId="6" xfId="0" applyFont="1" applyFill="1" applyBorder="1" applyAlignment="1">
      <alignment horizontal="center" vertical="center" wrapText="1"/>
    </xf>
    <xf numFmtId="0" fontId="31" fillId="57" borderId="10" xfId="0" applyFont="1" applyFill="1" applyBorder="1" applyAlignment="1">
      <alignment horizontal="center" vertical="center" wrapText="1"/>
    </xf>
    <xf numFmtId="0" fontId="31" fillId="4" borderId="5" xfId="0" applyFont="1" applyFill="1" applyBorder="1" applyAlignment="1">
      <alignment horizontal="center" vertical="center" wrapText="1"/>
    </xf>
    <xf numFmtId="0" fontId="31" fillId="57" borderId="5" xfId="0" applyFont="1" applyFill="1" applyBorder="1" applyAlignment="1">
      <alignment horizontal="center" vertical="center" wrapText="1"/>
    </xf>
    <xf numFmtId="0" fontId="67" fillId="57" borderId="148" xfId="0" applyFont="1" applyFill="1" applyBorder="1" applyAlignment="1">
      <alignment horizontal="center" vertical="center" wrapText="1"/>
    </xf>
    <xf numFmtId="165" fontId="57" fillId="9" borderId="23" xfId="0" applyNumberFormat="1" applyFont="1" applyFill="1" applyBorder="1" applyAlignment="1">
      <alignment horizontal="center" vertical="center" wrapText="1"/>
    </xf>
    <xf numFmtId="165" fontId="57" fillId="6" borderId="23" xfId="0" applyNumberFormat="1" applyFont="1" applyFill="1" applyBorder="1" applyAlignment="1">
      <alignment horizontal="center" vertical="center" wrapText="1"/>
    </xf>
    <xf numFmtId="165" fontId="74" fillId="9" borderId="23" xfId="0" applyNumberFormat="1" applyFont="1" applyFill="1" applyBorder="1" applyAlignment="1">
      <alignment horizontal="center" vertical="center" wrapText="1"/>
    </xf>
    <xf numFmtId="165" fontId="74" fillId="6" borderId="23" xfId="0" applyNumberFormat="1" applyFont="1" applyFill="1" applyBorder="1" applyAlignment="1">
      <alignment horizontal="center" vertical="center" wrapText="1"/>
    </xf>
    <xf numFmtId="0" fontId="51" fillId="56" borderId="23" xfId="0" applyFont="1" applyFill="1" applyBorder="1" applyAlignment="1">
      <alignment horizontal="center" vertical="center" wrapText="1"/>
    </xf>
    <xf numFmtId="165" fontId="31" fillId="35" borderId="23" xfId="0" applyNumberFormat="1" applyFont="1" applyFill="1" applyBorder="1" applyAlignment="1">
      <alignment horizontal="center" vertical="center" wrapText="1"/>
    </xf>
    <xf numFmtId="2" fontId="51" fillId="56" borderId="23" xfId="0" applyNumberFormat="1" applyFont="1" applyFill="1" applyBorder="1" applyAlignment="1">
      <alignment horizontal="center" vertical="center" wrapText="1"/>
    </xf>
    <xf numFmtId="0" fontId="50" fillId="14" borderId="0" xfId="0" applyFont="1" applyFill="1" applyAlignment="1">
      <alignment horizontal="center" vertical="center"/>
    </xf>
    <xf numFmtId="165" fontId="52" fillId="35" borderId="46" xfId="0" applyNumberFormat="1" applyFont="1" applyFill="1" applyBorder="1" applyAlignment="1">
      <alignment horizontal="center" vertical="center" wrapText="1"/>
    </xf>
    <xf numFmtId="0" fontId="67" fillId="52" borderId="35" xfId="0" applyFont="1" applyFill="1" applyBorder="1" applyAlignment="1">
      <alignment horizontal="center" vertical="center" wrapText="1"/>
    </xf>
    <xf numFmtId="0" fontId="67" fillId="52" borderId="42" xfId="0" applyFont="1" applyFill="1" applyBorder="1" applyAlignment="1">
      <alignment horizontal="center" vertical="center" wrapText="1"/>
    </xf>
    <xf numFmtId="0" fontId="67" fillId="52" borderId="153" xfId="0" applyFont="1" applyFill="1" applyBorder="1" applyAlignment="1">
      <alignment horizontal="center" vertical="center" wrapText="1"/>
    </xf>
    <xf numFmtId="0" fontId="53" fillId="0" borderId="23" xfId="0" applyFont="1" applyBorder="1"/>
    <xf numFmtId="165" fontId="61" fillId="9" borderId="23" xfId="0" applyNumberFormat="1" applyFont="1" applyFill="1" applyBorder="1" applyAlignment="1">
      <alignment horizontal="center" vertical="center" wrapText="1"/>
    </xf>
    <xf numFmtId="165" fontId="61" fillId="6" borderId="23" xfId="0" applyNumberFormat="1" applyFont="1" applyFill="1" applyBorder="1" applyAlignment="1">
      <alignment horizontal="center" vertical="center" wrapText="1"/>
    </xf>
    <xf numFmtId="10" fontId="61" fillId="9" borderId="23" xfId="0" applyNumberFormat="1" applyFont="1" applyFill="1" applyBorder="1" applyAlignment="1">
      <alignment horizontal="center" vertical="center" wrapText="1"/>
    </xf>
    <xf numFmtId="10" fontId="61" fillId="6" borderId="46" xfId="0" applyNumberFormat="1" applyFont="1" applyFill="1" applyBorder="1" applyAlignment="1">
      <alignment horizontal="center" vertical="center" wrapText="1"/>
    </xf>
    <xf numFmtId="0" fontId="54" fillId="19" borderId="23" xfId="0" applyFont="1" applyFill="1" applyBorder="1" applyAlignment="1">
      <alignment vertical="center" wrapText="1"/>
    </xf>
    <xf numFmtId="0" fontId="51" fillId="22" borderId="23" xfId="0" applyFont="1" applyFill="1" applyBorder="1" applyAlignment="1">
      <alignment horizontal="center" vertical="center" wrapText="1"/>
    </xf>
    <xf numFmtId="2" fontId="51" fillId="22" borderId="23" xfId="0" applyNumberFormat="1" applyFont="1" applyFill="1" applyBorder="1" applyAlignment="1">
      <alignment horizontal="center" vertical="center" wrapText="1"/>
    </xf>
    <xf numFmtId="0" fontId="50" fillId="22" borderId="23" xfId="0" applyFont="1" applyFill="1" applyBorder="1" applyAlignment="1">
      <alignment horizontal="center" vertical="center" wrapText="1"/>
    </xf>
    <xf numFmtId="43" fontId="51" fillId="22" borderId="23" xfId="3" applyFont="1" applyFill="1" applyBorder="1" applyAlignment="1">
      <alignment horizontal="center" vertical="center" wrapText="1"/>
    </xf>
    <xf numFmtId="0" fontId="53" fillId="22" borderId="23" xfId="0" applyFont="1" applyFill="1" applyBorder="1" applyAlignment="1">
      <alignment horizontal="center" vertical="center"/>
    </xf>
    <xf numFmtId="167" fontId="53" fillId="22" borderId="23" xfId="0" applyNumberFormat="1" applyFont="1" applyFill="1" applyBorder="1" applyAlignment="1">
      <alignment horizontal="center" vertical="center"/>
    </xf>
    <xf numFmtId="9" fontId="51" fillId="22" borderId="23" xfId="0" applyNumberFormat="1" applyFont="1" applyFill="1" applyBorder="1" applyAlignment="1">
      <alignment horizontal="center" vertical="center" wrapText="1"/>
    </xf>
    <xf numFmtId="0" fontId="52" fillId="4" borderId="15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4" borderId="26" xfId="0" applyFont="1" applyFill="1" applyBorder="1" applyAlignment="1">
      <alignment horizontal="center" vertical="center" wrapText="1"/>
    </xf>
    <xf numFmtId="0" fontId="52" fillId="58" borderId="146" xfId="0" applyFont="1" applyFill="1" applyBorder="1" applyAlignment="1">
      <alignment horizontal="center" vertical="center" wrapText="1"/>
    </xf>
    <xf numFmtId="0" fontId="52" fillId="4" borderId="70" xfId="0" applyFont="1" applyFill="1" applyBorder="1" applyAlignment="1">
      <alignment horizontal="center" vertical="center" wrapText="1"/>
    </xf>
    <xf numFmtId="0" fontId="31" fillId="4" borderId="147" xfId="0" applyFont="1" applyFill="1" applyBorder="1" applyAlignment="1">
      <alignment horizontal="center" vertical="center" wrapText="1"/>
    </xf>
    <xf numFmtId="0" fontId="52" fillId="58" borderId="147" xfId="0" applyFont="1" applyFill="1" applyBorder="1" applyAlignment="1">
      <alignment horizontal="center" vertical="center" wrapText="1"/>
    </xf>
    <xf numFmtId="0" fontId="31" fillId="58" borderId="147" xfId="0" applyFont="1" applyFill="1" applyBorder="1" applyAlignment="1">
      <alignment horizontal="center" vertical="center" wrapText="1"/>
    </xf>
    <xf numFmtId="0" fontId="52" fillId="4" borderId="147" xfId="0" applyFont="1" applyFill="1" applyBorder="1" applyAlignment="1">
      <alignment horizontal="center" vertical="center" wrapText="1"/>
    </xf>
    <xf numFmtId="0" fontId="31" fillId="4" borderId="155" xfId="0" applyFont="1" applyFill="1" applyBorder="1" applyAlignment="1">
      <alignment horizontal="center" vertical="center" wrapText="1"/>
    </xf>
    <xf numFmtId="0" fontId="52" fillId="58" borderId="12" xfId="0" applyFont="1" applyFill="1" applyBorder="1" applyAlignment="1">
      <alignment horizontal="center" vertical="center" wrapText="1"/>
    </xf>
    <xf numFmtId="166" fontId="51" fillId="0" borderId="23" xfId="0" applyNumberFormat="1" applyFont="1" applyBorder="1" applyAlignment="1">
      <alignment wrapText="1"/>
    </xf>
    <xf numFmtId="10" fontId="26" fillId="9" borderId="50" xfId="0" applyNumberFormat="1" applyFont="1" applyFill="1" applyBorder="1" applyAlignment="1">
      <alignment horizontal="center" vertical="center" wrapText="1"/>
    </xf>
    <xf numFmtId="10" fontId="26" fillId="6" borderId="50" xfId="0" applyNumberFormat="1" applyFont="1" applyFill="1" applyBorder="1" applyAlignment="1">
      <alignment horizontal="center" vertical="center" wrapText="1"/>
    </xf>
    <xf numFmtId="0" fontId="52" fillId="19" borderId="23" xfId="0" applyFont="1" applyFill="1" applyBorder="1" applyAlignment="1">
      <alignment wrapText="1"/>
    </xf>
    <xf numFmtId="0" fontId="42" fillId="0" borderId="21" xfId="0" applyFont="1" applyBorder="1" applyAlignment="1">
      <alignment wrapText="1"/>
    </xf>
    <xf numFmtId="0" fontId="42" fillId="0" borderId="3" xfId="0" applyFont="1" applyBorder="1" applyAlignment="1">
      <alignment wrapText="1"/>
    </xf>
    <xf numFmtId="0" fontId="42" fillId="20" borderId="3" xfId="0" applyFont="1" applyFill="1" applyBorder="1" applyAlignment="1">
      <alignment wrapText="1"/>
    </xf>
    <xf numFmtId="0" fontId="42" fillId="0" borderId="50" xfId="0" applyFont="1" applyBorder="1" applyAlignment="1">
      <alignment wrapText="1"/>
    </xf>
    <xf numFmtId="9" fontId="45" fillId="0" borderId="31" xfId="0" applyNumberFormat="1" applyFont="1" applyBorder="1" applyAlignment="1">
      <alignment horizontal="center" vertical="center"/>
    </xf>
    <xf numFmtId="0" fontId="43" fillId="0" borderId="50" xfId="0" applyFont="1" applyBorder="1"/>
    <xf numFmtId="0" fontId="46" fillId="0" borderId="50" xfId="0" applyFont="1" applyBorder="1" applyAlignment="1">
      <alignment horizontal="center" wrapText="1"/>
    </xf>
    <xf numFmtId="10" fontId="39" fillId="34" borderId="50" xfId="0" applyNumberFormat="1" applyFont="1" applyFill="1" applyBorder="1" applyAlignment="1">
      <alignment vertical="center" wrapText="1"/>
    </xf>
    <xf numFmtId="0" fontId="42" fillId="0" borderId="145" xfId="0" applyFont="1" applyBorder="1" applyAlignment="1">
      <alignment wrapText="1"/>
    </xf>
    <xf numFmtId="0" fontId="39" fillId="17" borderId="71" xfId="0" applyFont="1" applyFill="1" applyBorder="1" applyAlignment="1">
      <alignment horizontal="center" vertical="center" wrapText="1"/>
    </xf>
    <xf numFmtId="0" fontId="39" fillId="4" borderId="147" xfId="0" applyFont="1" applyFill="1" applyBorder="1" applyAlignment="1">
      <alignment horizontal="center" vertical="center" wrapText="1"/>
    </xf>
    <xf numFmtId="0" fontId="39" fillId="6" borderId="148" xfId="0" applyFont="1" applyFill="1" applyBorder="1" applyAlignment="1">
      <alignment horizontal="center" vertical="center" wrapText="1"/>
    </xf>
    <xf numFmtId="0" fontId="39" fillId="52" borderId="123" xfId="0" applyFont="1" applyFill="1" applyBorder="1" applyAlignment="1">
      <alignment horizontal="center" vertical="center" wrapText="1"/>
    </xf>
    <xf numFmtId="0" fontId="39" fillId="58" borderId="147" xfId="0" applyFont="1" applyFill="1" applyBorder="1" applyAlignment="1">
      <alignment horizontal="center" vertical="center" wrapText="1"/>
    </xf>
    <xf numFmtId="0" fontId="75" fillId="6" borderId="24" xfId="0" applyFont="1" applyFill="1" applyBorder="1" applyAlignment="1">
      <alignment horizontal="center" vertical="center" wrapText="1"/>
    </xf>
    <xf numFmtId="0" fontId="42" fillId="0" borderId="23" xfId="0" applyFont="1" applyBorder="1" applyAlignment="1">
      <alignment horizontal="center" vertical="center" wrapText="1"/>
    </xf>
    <xf numFmtId="165" fontId="39" fillId="4" borderId="23" xfId="0" applyNumberFormat="1" applyFont="1" applyFill="1" applyBorder="1" applyAlignment="1">
      <alignment horizontal="center" vertical="center" wrapText="1"/>
    </xf>
    <xf numFmtId="0" fontId="39" fillId="22" borderId="23" xfId="0" applyFont="1" applyFill="1" applyBorder="1" applyAlignment="1">
      <alignment horizontal="center" vertical="center" wrapText="1"/>
    </xf>
    <xf numFmtId="3" fontId="50" fillId="22" borderId="23" xfId="0" applyNumberFormat="1" applyFont="1" applyFill="1" applyBorder="1" applyAlignment="1">
      <alignment horizontal="center" vertical="center" wrapText="1"/>
    </xf>
    <xf numFmtId="4" fontId="50" fillId="22" borderId="23" xfId="0" applyNumberFormat="1" applyFont="1" applyFill="1" applyBorder="1" applyAlignment="1">
      <alignment horizontal="center" vertical="center" wrapText="1"/>
    </xf>
    <xf numFmtId="0" fontId="67" fillId="0" borderId="12" xfId="0" applyFont="1" applyBorder="1" applyAlignment="1">
      <alignment horizontal="center" vertical="center" wrapText="1"/>
    </xf>
    <xf numFmtId="0" fontId="68" fillId="20" borderId="120" xfId="2" applyFont="1" applyFill="1" applyBorder="1" applyAlignment="1">
      <alignment horizontal="center" vertical="center"/>
    </xf>
    <xf numFmtId="0" fontId="66" fillId="0" borderId="74" xfId="0" applyFont="1" applyBorder="1" applyAlignment="1">
      <alignment horizontal="center" vertical="center" wrapText="1"/>
    </xf>
    <xf numFmtId="0" fontId="66" fillId="0" borderId="116" xfId="0" applyFont="1" applyBorder="1" applyAlignment="1">
      <alignment horizontal="center" vertical="center" wrapText="1"/>
    </xf>
    <xf numFmtId="0" fontId="31" fillId="5" borderId="10" xfId="0" applyFont="1" applyFill="1" applyBorder="1" applyAlignment="1">
      <alignment horizontal="center" vertical="center" wrapText="1"/>
    </xf>
    <xf numFmtId="9" fontId="51" fillId="26" borderId="46" xfId="0" applyNumberFormat="1" applyFont="1" applyFill="1" applyBorder="1" applyAlignment="1">
      <alignment horizontal="center" vertical="center" wrapText="1"/>
    </xf>
    <xf numFmtId="2" fontId="66" fillId="0" borderId="7" xfId="0" applyNumberFormat="1" applyFont="1" applyBorder="1" applyAlignment="1">
      <alignment horizontal="center" vertical="center" wrapText="1"/>
    </xf>
    <xf numFmtId="0" fontId="54" fillId="26" borderId="23" xfId="0" applyFont="1" applyFill="1" applyBorder="1" applyAlignment="1">
      <alignment vertical="center"/>
    </xf>
    <xf numFmtId="0" fontId="51" fillId="19" borderId="23" xfId="0" applyFont="1" applyFill="1" applyBorder="1" applyAlignment="1">
      <alignment horizontal="center" vertical="center" wrapText="1"/>
    </xf>
    <xf numFmtId="0" fontId="54" fillId="19" borderId="23" xfId="0" applyFont="1" applyFill="1" applyBorder="1" applyAlignment="1">
      <alignment vertical="center"/>
    </xf>
    <xf numFmtId="0" fontId="53" fillId="19" borderId="23" xfId="0" applyFont="1" applyFill="1" applyBorder="1" applyAlignment="1">
      <alignment horizontal="left" vertical="center" wrapText="1"/>
    </xf>
    <xf numFmtId="0" fontId="54" fillId="26" borderId="23" xfId="0" applyFont="1" applyFill="1" applyBorder="1" applyAlignment="1">
      <alignment horizontal="center" vertical="center"/>
    </xf>
    <xf numFmtId="9" fontId="52" fillId="26" borderId="23" xfId="0" applyNumberFormat="1" applyFont="1" applyFill="1" applyBorder="1" applyAlignment="1">
      <alignment horizontal="left" vertical="center" wrapText="1"/>
    </xf>
    <xf numFmtId="0" fontId="51" fillId="0" borderId="145" xfId="0" applyFont="1" applyBorder="1" applyAlignment="1">
      <alignment wrapText="1"/>
    </xf>
    <xf numFmtId="9" fontId="52" fillId="26" borderId="23" xfId="0" applyNumberFormat="1" applyFont="1" applyFill="1" applyBorder="1" applyAlignment="1">
      <alignment horizontal="center" vertical="center" wrapText="1"/>
    </xf>
    <xf numFmtId="0" fontId="54" fillId="19" borderId="23" xfId="0" applyFont="1" applyFill="1" applyBorder="1" applyAlignment="1">
      <alignment horizontal="left" vertical="center" wrapText="1"/>
    </xf>
    <xf numFmtId="0" fontId="66" fillId="0" borderId="48" xfId="0" applyFont="1" applyBorder="1" applyAlignment="1">
      <alignment wrapText="1"/>
    </xf>
    <xf numFmtId="0" fontId="67" fillId="26" borderId="23" xfId="0" applyFont="1" applyFill="1" applyBorder="1" applyAlignment="1">
      <alignment vertical="center" wrapText="1"/>
    </xf>
    <xf numFmtId="167" fontId="51" fillId="22" borderId="23" xfId="0" applyNumberFormat="1" applyFont="1" applyFill="1" applyBorder="1" applyAlignment="1">
      <alignment horizontal="center" vertical="center" wrapText="1"/>
    </xf>
    <xf numFmtId="170" fontId="66" fillId="22" borderId="13" xfId="0" applyNumberFormat="1" applyFont="1" applyFill="1" applyBorder="1" applyAlignment="1">
      <alignment horizontal="center" vertical="center" wrapText="1"/>
    </xf>
    <xf numFmtId="9" fontId="66" fillId="26" borderId="46" xfId="0" applyNumberFormat="1" applyFont="1" applyFill="1" applyBorder="1" applyAlignment="1">
      <alignment horizontal="center" vertical="center" wrapText="1"/>
    </xf>
    <xf numFmtId="0" fontId="67" fillId="19" borderId="23" xfId="0" applyFont="1" applyFill="1" applyBorder="1" applyAlignment="1">
      <alignment vertical="center" wrapText="1"/>
    </xf>
    <xf numFmtId="9" fontId="67" fillId="26" borderId="23" xfId="0" applyNumberFormat="1" applyFont="1" applyFill="1" applyBorder="1" applyAlignment="1">
      <alignment horizontal="center" vertical="center" wrapText="1"/>
    </xf>
    <xf numFmtId="1" fontId="66" fillId="22" borderId="13" xfId="0" applyNumberFormat="1" applyFont="1" applyFill="1" applyBorder="1" applyAlignment="1">
      <alignment horizontal="center" vertical="center" wrapText="1"/>
    </xf>
    <xf numFmtId="2" fontId="66" fillId="0" borderId="13" xfId="0" applyNumberFormat="1" applyFont="1" applyBorder="1" applyAlignment="1">
      <alignment vertical="center" wrapText="1"/>
    </xf>
    <xf numFmtId="1" fontId="66" fillId="0" borderId="13" xfId="0" applyNumberFormat="1" applyFont="1" applyBorder="1" applyAlignment="1">
      <alignment vertical="center" wrapText="1"/>
    </xf>
    <xf numFmtId="10" fontId="67" fillId="33" borderId="23" xfId="0" applyNumberFormat="1" applyFont="1" applyFill="1" applyBorder="1" applyAlignment="1">
      <alignment horizontal="center" vertical="center" wrapText="1"/>
    </xf>
    <xf numFmtId="0" fontId="52" fillId="19" borderId="7" xfId="0" applyFont="1" applyFill="1" applyBorder="1" applyAlignment="1">
      <alignment vertical="center" wrapText="1"/>
    </xf>
    <xf numFmtId="0" fontId="52" fillId="51" borderId="7" xfId="0" applyFont="1" applyFill="1" applyBorder="1" applyAlignment="1">
      <alignment vertical="center" wrapText="1"/>
    </xf>
    <xf numFmtId="0" fontId="77" fillId="0" borderId="4" xfId="0" applyFont="1" applyBorder="1" applyAlignment="1">
      <alignment wrapText="1"/>
    </xf>
    <xf numFmtId="0" fontId="77" fillId="0" borderId="7" xfId="0" applyFont="1" applyBorder="1" applyAlignment="1">
      <alignment vertical="center" wrapText="1"/>
    </xf>
    <xf numFmtId="0" fontId="77" fillId="0" borderId="1" xfId="0" applyFont="1" applyBorder="1" applyAlignment="1">
      <alignment wrapText="1"/>
    </xf>
    <xf numFmtId="0" fontId="79" fillId="0" borderId="0" xfId="0" applyFont="1"/>
    <xf numFmtId="0" fontId="68" fillId="0" borderId="24" xfId="0" applyFont="1" applyBorder="1"/>
    <xf numFmtId="9" fontId="52" fillId="26" borderId="24" xfId="0" applyNumberFormat="1" applyFont="1" applyFill="1" applyBorder="1" applyAlignment="1">
      <alignment horizontal="center" vertical="center" wrapText="1"/>
    </xf>
    <xf numFmtId="9" fontId="42" fillId="26" borderId="120" xfId="0" applyNumberFormat="1" applyFont="1" applyFill="1" applyBorder="1" applyAlignment="1">
      <alignment horizontal="center" vertical="center" wrapText="1"/>
    </xf>
    <xf numFmtId="0" fontId="42" fillId="0" borderId="48" xfId="0" applyFont="1" applyBorder="1" applyAlignment="1">
      <alignment wrapText="1"/>
    </xf>
    <xf numFmtId="0" fontId="39" fillId="26" borderId="24" xfId="0" applyFont="1" applyFill="1" applyBorder="1" applyAlignment="1">
      <alignment vertical="center" wrapText="1"/>
    </xf>
    <xf numFmtId="9" fontId="66" fillId="0" borderId="7" xfId="0" applyNumberFormat="1" applyFont="1" applyBorder="1" applyAlignment="1">
      <alignment vertical="center" wrapText="1"/>
    </xf>
    <xf numFmtId="0" fontId="51" fillId="0" borderId="156" xfId="0" applyFont="1" applyBorder="1" applyAlignment="1">
      <alignment wrapText="1"/>
    </xf>
    <xf numFmtId="0" fontId="52" fillId="19" borderId="24" xfId="0" applyFont="1" applyFill="1" applyBorder="1" applyAlignment="1">
      <alignment vertical="center" wrapText="1"/>
    </xf>
    <xf numFmtId="0" fontId="52" fillId="26" borderId="24" xfId="0" applyFont="1" applyFill="1" applyBorder="1" applyAlignment="1">
      <alignment vertical="center" wrapText="1"/>
    </xf>
    <xf numFmtId="0" fontId="52" fillId="19" borderId="77" xfId="0" applyFont="1" applyFill="1" applyBorder="1" applyAlignment="1">
      <alignment wrapText="1"/>
    </xf>
    <xf numFmtId="9" fontId="51" fillId="20" borderId="117" xfId="0" applyNumberFormat="1" applyFont="1" applyFill="1" applyBorder="1" applyAlignment="1">
      <alignment horizontal="center" vertical="center" wrapText="1"/>
    </xf>
    <xf numFmtId="0" fontId="52" fillId="19" borderId="24" xfId="0" applyFont="1" applyFill="1" applyBorder="1" applyAlignment="1">
      <alignment wrapText="1"/>
    </xf>
    <xf numFmtId="0" fontId="52" fillId="26" borderId="24" xfId="0" applyFont="1" applyFill="1" applyBorder="1" applyAlignment="1">
      <alignment horizontal="left" vertical="center" wrapText="1"/>
    </xf>
    <xf numFmtId="0" fontId="52" fillId="19" borderId="24" xfId="0" applyFont="1" applyFill="1" applyBorder="1" applyAlignment="1">
      <alignment horizontal="left" vertical="center" wrapText="1"/>
    </xf>
    <xf numFmtId="0" fontId="42" fillId="0" borderId="156" xfId="0" applyFont="1" applyBorder="1" applyAlignment="1">
      <alignment wrapText="1"/>
    </xf>
    <xf numFmtId="0" fontId="39" fillId="19" borderId="24" xfId="0" applyFont="1" applyFill="1" applyBorder="1" applyAlignment="1">
      <alignment vertical="center" wrapText="1"/>
    </xf>
    <xf numFmtId="9" fontId="42" fillId="20" borderId="46" xfId="0" applyNumberFormat="1" applyFont="1" applyFill="1" applyBorder="1" applyAlignment="1">
      <alignment horizontal="center" vertical="center" wrapText="1"/>
    </xf>
    <xf numFmtId="0" fontId="39" fillId="19" borderId="43" xfId="0" applyFont="1" applyFill="1" applyBorder="1" applyAlignment="1">
      <alignment vertical="center" wrapText="1"/>
    </xf>
    <xf numFmtId="9" fontId="39" fillId="26" borderId="24" xfId="0" applyNumberFormat="1" applyFont="1" applyFill="1" applyBorder="1" applyAlignment="1">
      <alignment horizontal="center" vertical="center" wrapText="1"/>
    </xf>
    <xf numFmtId="9" fontId="39" fillId="26" borderId="43" xfId="0" applyNumberFormat="1" applyFont="1" applyFill="1" applyBorder="1" applyAlignment="1">
      <alignment horizontal="center" vertical="center" wrapText="1"/>
    </xf>
    <xf numFmtId="0" fontId="39" fillId="26" borderId="42" xfId="0" applyFont="1" applyFill="1" applyBorder="1" applyAlignment="1">
      <alignment vertical="center" wrapText="1"/>
    </xf>
    <xf numFmtId="0" fontId="66" fillId="0" borderId="0" xfId="0" applyFont="1" applyAlignment="1">
      <alignment wrapText="1"/>
    </xf>
    <xf numFmtId="0" fontId="67" fillId="57" borderId="26" xfId="0" applyFont="1" applyFill="1" applyBorder="1" applyAlignment="1">
      <alignment horizontal="center" vertical="center" wrapText="1"/>
    </xf>
    <xf numFmtId="0" fontId="52" fillId="52" borderId="27" xfId="0" applyFont="1" applyFill="1" applyBorder="1" applyAlignment="1">
      <alignment horizontal="center" vertical="center" wrapText="1"/>
    </xf>
    <xf numFmtId="10" fontId="52" fillId="34" borderId="113" xfId="0" applyNumberFormat="1" applyFont="1" applyFill="1" applyBorder="1" applyAlignment="1">
      <alignment vertical="center" wrapText="1"/>
    </xf>
    <xf numFmtId="0" fontId="53" fillId="20" borderId="33" xfId="0" applyFont="1" applyFill="1" applyBorder="1"/>
    <xf numFmtId="9" fontId="77" fillId="26" borderId="33" xfId="0" applyNumberFormat="1" applyFont="1" applyFill="1" applyBorder="1" applyAlignment="1">
      <alignment horizontal="center" vertical="center" wrapText="1"/>
    </xf>
    <xf numFmtId="165" fontId="52" fillId="34" borderId="121" xfId="0" applyNumberFormat="1" applyFont="1" applyFill="1" applyBorder="1" applyAlignment="1">
      <alignment horizontal="center" vertical="center" wrapText="1"/>
    </xf>
    <xf numFmtId="9" fontId="51" fillId="26" borderId="27" xfId="0" applyNumberFormat="1" applyFont="1" applyFill="1" applyBorder="1" applyAlignment="1">
      <alignment horizontal="center" vertical="center" wrapText="1"/>
    </xf>
    <xf numFmtId="9" fontId="51" fillId="26" borderId="117" xfId="0" applyNumberFormat="1" applyFont="1" applyFill="1" applyBorder="1" applyAlignment="1">
      <alignment horizontal="center" vertical="center" wrapText="1"/>
    </xf>
    <xf numFmtId="9" fontId="51" fillId="51" borderId="33" xfId="0" applyNumberFormat="1" applyFont="1" applyFill="1" applyBorder="1" applyAlignment="1">
      <alignment horizontal="left" vertical="center" wrapText="1"/>
    </xf>
    <xf numFmtId="165" fontId="67" fillId="11" borderId="115" xfId="0" applyNumberFormat="1" applyFont="1" applyFill="1" applyBorder="1" applyAlignment="1">
      <alignment horizontal="center" vertical="center" wrapText="1"/>
    </xf>
    <xf numFmtId="165" fontId="67" fillId="37" borderId="115" xfId="0" applyNumberFormat="1" applyFont="1" applyFill="1" applyBorder="1" applyAlignment="1">
      <alignment horizontal="center" vertical="center" wrapText="1"/>
    </xf>
    <xf numFmtId="0" fontId="69" fillId="57" borderId="24" xfId="0" applyFont="1" applyFill="1" applyBorder="1" applyAlignment="1">
      <alignment horizontal="center" vertical="center" wrapText="1"/>
    </xf>
    <xf numFmtId="9" fontId="52" fillId="19" borderId="24" xfId="0" applyNumberFormat="1" applyFont="1" applyFill="1" applyBorder="1" applyAlignment="1">
      <alignment horizontal="left" vertical="center" wrapText="1"/>
    </xf>
    <xf numFmtId="0" fontId="69" fillId="57" borderId="148" xfId="0" applyFont="1" applyFill="1" applyBorder="1" applyAlignment="1">
      <alignment horizontal="center" vertical="center" wrapText="1"/>
    </xf>
    <xf numFmtId="9" fontId="67" fillId="26" borderId="23" xfId="0" applyNumberFormat="1" applyFont="1" applyFill="1" applyBorder="1" applyAlignment="1">
      <alignment horizontal="left" vertical="center" wrapText="1"/>
    </xf>
    <xf numFmtId="9" fontId="51" fillId="51" borderId="117" xfId="0" applyNumberFormat="1" applyFont="1" applyFill="1" applyBorder="1" applyAlignment="1">
      <alignment horizontal="center" vertical="center" wrapText="1"/>
    </xf>
    <xf numFmtId="165" fontId="52" fillId="34" borderId="117" xfId="0" applyNumberFormat="1" applyFont="1" applyFill="1" applyBorder="1" applyAlignment="1">
      <alignment horizontal="center" vertical="center" wrapText="1"/>
    </xf>
    <xf numFmtId="0" fontId="52" fillId="26" borderId="42" xfId="0" applyFont="1" applyFill="1" applyBorder="1" applyAlignment="1">
      <alignment horizontal="left" vertical="center" wrapText="1"/>
    </xf>
    <xf numFmtId="0" fontId="52" fillId="26" borderId="43" xfId="0" applyFont="1" applyFill="1" applyBorder="1" applyAlignment="1">
      <alignment horizontal="left" vertical="center" wrapText="1"/>
    </xf>
    <xf numFmtId="9" fontId="52" fillId="26" borderId="43" xfId="0" applyNumberFormat="1" applyFont="1" applyFill="1" applyBorder="1" applyAlignment="1">
      <alignment horizontal="left" vertical="center" wrapText="1"/>
    </xf>
    <xf numFmtId="0" fontId="51" fillId="0" borderId="156" xfId="0" applyFont="1" applyBorder="1" applyAlignment="1">
      <alignment vertical="center" wrapText="1"/>
    </xf>
    <xf numFmtId="0" fontId="51" fillId="0" borderId="0" xfId="0" applyFont="1" applyAlignment="1">
      <alignment wrapText="1"/>
    </xf>
    <xf numFmtId="0" fontId="31" fillId="57" borderId="6" xfId="0" applyFont="1" applyFill="1" applyBorder="1" applyAlignment="1">
      <alignment horizontal="center" vertical="center" wrapText="1"/>
    </xf>
    <xf numFmtId="0" fontId="50" fillId="14" borderId="44" xfId="0" applyFont="1" applyFill="1" applyBorder="1" applyAlignment="1">
      <alignment horizontal="center" vertical="center"/>
    </xf>
    <xf numFmtId="0" fontId="50" fillId="14" borderId="23" xfId="0" applyFont="1" applyFill="1" applyBorder="1" applyAlignment="1">
      <alignment horizontal="center" vertical="center"/>
    </xf>
    <xf numFmtId="0" fontId="31" fillId="58" borderId="23" xfId="0" applyFont="1" applyFill="1" applyBorder="1" applyAlignment="1">
      <alignment horizontal="center" vertical="center" wrapText="1"/>
    </xf>
    <xf numFmtId="0" fontId="51" fillId="0" borderId="46" xfId="0" applyFont="1" applyBorder="1" applyAlignment="1">
      <alignment wrapText="1"/>
    </xf>
    <xf numFmtId="0" fontId="51" fillId="0" borderId="50" xfId="0" applyFont="1" applyBorder="1" applyAlignment="1">
      <alignment wrapText="1"/>
    </xf>
    <xf numFmtId="0" fontId="66" fillId="0" borderId="3" xfId="0" applyFont="1" applyBorder="1" applyAlignment="1">
      <alignment vertical="center" wrapText="1"/>
    </xf>
    <xf numFmtId="0" fontId="66" fillId="0" borderId="91" xfId="0" applyFont="1" applyBorder="1" applyAlignment="1">
      <alignment vertical="center" wrapText="1"/>
    </xf>
    <xf numFmtId="0" fontId="66" fillId="0" borderId="58" xfId="0" applyFont="1" applyBorder="1" applyAlignment="1">
      <alignment vertical="center" wrapText="1"/>
    </xf>
    <xf numFmtId="0" fontId="66" fillId="0" borderId="42" xfId="0" applyFont="1" applyBorder="1" applyAlignment="1">
      <alignment vertical="center" wrapText="1"/>
    </xf>
    <xf numFmtId="0" fontId="66" fillId="0" borderId="87" xfId="0" applyFont="1" applyBorder="1" applyAlignment="1">
      <alignment vertical="center" wrapText="1"/>
    </xf>
    <xf numFmtId="0" fontId="66" fillId="0" borderId="83" xfId="0" applyFont="1" applyBorder="1" applyAlignment="1">
      <alignment vertical="center" wrapText="1"/>
    </xf>
    <xf numFmtId="0" fontId="66" fillId="0" borderId="77" xfId="0" applyFont="1" applyBorder="1" applyAlignment="1">
      <alignment vertical="center" wrapText="1"/>
    </xf>
    <xf numFmtId="0" fontId="66" fillId="20" borderId="24" xfId="0" applyFont="1" applyFill="1" applyBorder="1" applyAlignment="1">
      <alignment vertical="center" wrapText="1"/>
    </xf>
    <xf numFmtId="0" fontId="66" fillId="0" borderId="60" xfId="0" applyFont="1" applyBorder="1" applyAlignment="1">
      <alignment vertical="center" wrapText="1"/>
    </xf>
    <xf numFmtId="0" fontId="66" fillId="0" borderId="66" xfId="0" applyFont="1" applyBorder="1" applyAlignment="1">
      <alignment vertical="center" wrapText="1"/>
    </xf>
    <xf numFmtId="0" fontId="66" fillId="0" borderId="78" xfId="0" applyFont="1" applyBorder="1" applyAlignment="1">
      <alignment vertical="center" wrapText="1"/>
    </xf>
    <xf numFmtId="0" fontId="66" fillId="0" borderId="75" xfId="0" applyFont="1" applyBorder="1" applyAlignment="1">
      <alignment vertical="center" wrapText="1"/>
    </xf>
    <xf numFmtId="0" fontId="66" fillId="0" borderId="76" xfId="0" applyFont="1" applyBorder="1" applyAlignment="1">
      <alignment vertical="center" wrapText="1"/>
    </xf>
    <xf numFmtId="0" fontId="66" fillId="0" borderId="82" xfId="0" applyFont="1" applyBorder="1" applyAlignment="1">
      <alignment vertical="center" wrapText="1"/>
    </xf>
    <xf numFmtId="0" fontId="66" fillId="0" borderId="80" xfId="0" applyFont="1" applyBorder="1" applyAlignment="1">
      <alignment vertical="center" wrapText="1"/>
    </xf>
    <xf numFmtId="0" fontId="66" fillId="20" borderId="56" xfId="0" applyFont="1" applyFill="1" applyBorder="1" applyAlignment="1">
      <alignment vertical="center" wrapText="1"/>
    </xf>
    <xf numFmtId="0" fontId="66" fillId="0" borderId="78" xfId="0" applyFont="1" applyBorder="1" applyAlignment="1">
      <alignment horizontal="center" vertical="center" wrapText="1"/>
    </xf>
    <xf numFmtId="0" fontId="66" fillId="0" borderId="75"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6" xfId="0" applyFont="1" applyBorder="1" applyAlignment="1">
      <alignment horizontal="center" vertical="center" wrapText="1"/>
    </xf>
    <xf numFmtId="0" fontId="66" fillId="20" borderId="56" xfId="0" applyFont="1" applyFill="1" applyBorder="1" applyAlignment="1">
      <alignment horizontal="center" vertical="center" wrapText="1"/>
    </xf>
    <xf numFmtId="0" fontId="66" fillId="0" borderId="58" xfId="0" applyFont="1" applyBorder="1" applyAlignment="1">
      <alignment horizontal="center" vertical="center" wrapText="1"/>
    </xf>
    <xf numFmtId="0" fontId="66" fillId="0" borderId="77" xfId="0" applyFont="1" applyBorder="1" applyAlignment="1">
      <alignment horizontal="center" vertical="center" wrapText="1"/>
    </xf>
    <xf numFmtId="0" fontId="66" fillId="0" borderId="76" xfId="0" applyFont="1" applyBorder="1" applyAlignment="1">
      <alignment horizontal="center" vertical="center" wrapText="1"/>
    </xf>
    <xf numFmtId="0" fontId="66" fillId="0" borderId="82" xfId="0" applyFont="1" applyBorder="1" applyAlignment="1">
      <alignment horizontal="center" vertical="center" wrapText="1"/>
    </xf>
    <xf numFmtId="0" fontId="66" fillId="0" borderId="79" xfId="0" applyFont="1" applyBorder="1" applyAlignment="1">
      <alignment vertical="center" wrapText="1"/>
    </xf>
    <xf numFmtId="0" fontId="66" fillId="0" borderId="63" xfId="0" applyFont="1" applyBorder="1" applyAlignment="1">
      <alignment vertical="center" wrapText="1"/>
    </xf>
    <xf numFmtId="0" fontId="66" fillId="0" borderId="19" xfId="0" applyFont="1" applyBorder="1" applyAlignment="1">
      <alignment vertical="center" wrapText="1"/>
    </xf>
    <xf numFmtId="0" fontId="66" fillId="0" borderId="1" xfId="0" applyFont="1" applyBorder="1" applyAlignment="1">
      <alignment vertical="center" wrapText="1"/>
    </xf>
    <xf numFmtId="0" fontId="68" fillId="0" borderId="0" xfId="0" applyFont="1" applyAlignment="1">
      <alignment vertical="center"/>
    </xf>
    <xf numFmtId="0" fontId="67" fillId="19" borderId="24" xfId="0" applyFont="1" applyFill="1" applyBorder="1" applyAlignment="1">
      <alignment wrapText="1"/>
    </xf>
    <xf numFmtId="0" fontId="66" fillId="19" borderId="23" xfId="0" applyFont="1" applyFill="1" applyBorder="1" applyAlignment="1">
      <alignment horizontal="center" vertical="center" wrapText="1"/>
    </xf>
    <xf numFmtId="0" fontId="67" fillId="19" borderId="24" xfId="0" applyFont="1" applyFill="1" applyBorder="1" applyAlignment="1">
      <alignment vertical="center" wrapText="1"/>
    </xf>
    <xf numFmtId="9" fontId="67" fillId="26" borderId="24" xfId="0" applyNumberFormat="1" applyFont="1" applyFill="1" applyBorder="1" applyAlignment="1">
      <alignment horizontal="center" vertical="center" wrapText="1"/>
    </xf>
    <xf numFmtId="9" fontId="67" fillId="26" borderId="42" xfId="0" applyNumberFormat="1" applyFont="1" applyFill="1" applyBorder="1" applyAlignment="1">
      <alignment horizontal="center" vertical="center" wrapText="1"/>
    </xf>
    <xf numFmtId="0" fontId="66" fillId="0" borderId="157" xfId="0" applyFont="1" applyBorder="1" applyAlignment="1">
      <alignment wrapText="1"/>
    </xf>
    <xf numFmtId="165" fontId="66" fillId="0" borderId="7" xfId="1" applyNumberFormat="1" applyFont="1" applyBorder="1" applyAlignment="1">
      <alignment horizontal="center" vertical="center" wrapText="1"/>
    </xf>
    <xf numFmtId="9" fontId="52" fillId="26" borderId="33" xfId="0" applyNumberFormat="1" applyFont="1" applyFill="1" applyBorder="1" applyAlignment="1">
      <alignment horizontal="center" vertical="center" wrapText="1"/>
    </xf>
    <xf numFmtId="9" fontId="52" fillId="19" borderId="33" xfId="0" applyNumberFormat="1" applyFont="1" applyFill="1" applyBorder="1" applyAlignment="1">
      <alignment horizontal="left" vertical="center" wrapText="1"/>
    </xf>
    <xf numFmtId="0" fontId="52" fillId="19" borderId="23" xfId="0" applyFont="1" applyFill="1" applyBorder="1" applyAlignment="1">
      <alignment vertical="center" wrapText="1"/>
    </xf>
    <xf numFmtId="0" fontId="51" fillId="20" borderId="26" xfId="0" applyFont="1" applyFill="1" applyBorder="1" applyAlignment="1">
      <alignment wrapText="1"/>
    </xf>
    <xf numFmtId="165" fontId="66" fillId="19" borderId="23" xfId="0" applyNumberFormat="1" applyFont="1" applyFill="1" applyBorder="1" applyAlignment="1">
      <alignment horizontal="center" vertical="center" wrapText="1"/>
    </xf>
    <xf numFmtId="0" fontId="78" fillId="0" borderId="21" xfId="0" applyFont="1" applyBorder="1" applyAlignment="1">
      <alignment wrapText="1"/>
    </xf>
    <xf numFmtId="0" fontId="80" fillId="0" borderId="13" xfId="0" applyFont="1" applyBorder="1" applyAlignment="1">
      <alignment horizontal="center" vertical="center" wrapText="1"/>
    </xf>
    <xf numFmtId="0" fontId="78" fillId="0" borderId="44" xfId="0" applyFont="1" applyBorder="1" applyAlignment="1">
      <alignment horizontal="center" vertical="center" wrapText="1"/>
    </xf>
    <xf numFmtId="0" fontId="78" fillId="0" borderId="23" xfId="0" applyFont="1" applyBorder="1" applyAlignment="1">
      <alignment horizontal="center" vertical="center" wrapText="1"/>
    </xf>
    <xf numFmtId="9" fontId="78" fillId="0" borderId="28" xfId="0" applyNumberFormat="1" applyFont="1" applyBorder="1" applyAlignment="1">
      <alignment horizontal="center" vertical="center" wrapText="1"/>
    </xf>
    <xf numFmtId="9" fontId="78" fillId="0" borderId="13" xfId="0" applyNumberFormat="1" applyFont="1" applyBorder="1" applyAlignment="1">
      <alignment horizontal="center" vertical="center" wrapText="1"/>
    </xf>
    <xf numFmtId="9" fontId="78" fillId="26" borderId="23" xfId="0" applyNumberFormat="1" applyFont="1" applyFill="1" applyBorder="1" applyAlignment="1">
      <alignment horizontal="center" vertical="center" wrapText="1"/>
    </xf>
    <xf numFmtId="0" fontId="78" fillId="0" borderId="1" xfId="0" applyFont="1" applyBorder="1" applyAlignment="1">
      <alignment wrapText="1"/>
    </xf>
    <xf numFmtId="0" fontId="81" fillId="0" borderId="0" xfId="0" applyFont="1"/>
    <xf numFmtId="1" fontId="66" fillId="0" borderId="13" xfId="0" applyNumberFormat="1" applyFont="1" applyBorder="1" applyAlignment="1">
      <alignment horizontal="center" vertical="center" wrapText="1"/>
    </xf>
    <xf numFmtId="9" fontId="67" fillId="19" borderId="24" xfId="0" applyNumberFormat="1" applyFont="1" applyFill="1" applyBorder="1" applyAlignment="1">
      <alignment horizontal="left" vertical="center" wrapText="1"/>
    </xf>
    <xf numFmtId="170" fontId="51" fillId="0" borderId="23" xfId="0" applyNumberFormat="1" applyFont="1" applyBorder="1" applyAlignment="1">
      <alignment horizontal="center" vertical="center" wrapText="1"/>
    </xf>
    <xf numFmtId="0" fontId="52" fillId="19" borderId="33" xfId="0" applyFont="1" applyFill="1" applyBorder="1" applyAlignment="1">
      <alignment horizontal="center" vertical="center" wrapText="1"/>
    </xf>
    <xf numFmtId="0" fontId="52" fillId="19" borderId="23" xfId="0" applyFont="1" applyFill="1" applyBorder="1" applyAlignment="1">
      <alignment horizontal="left" vertical="center" wrapText="1"/>
    </xf>
    <xf numFmtId="9" fontId="51" fillId="26" borderId="46" xfId="0" applyNumberFormat="1" applyFont="1" applyFill="1" applyBorder="1" applyAlignment="1">
      <alignment horizontal="left" vertical="center" wrapText="1"/>
    </xf>
    <xf numFmtId="0" fontId="52" fillId="19" borderId="30" xfId="0" applyFont="1" applyFill="1" applyBorder="1" applyAlignment="1">
      <alignment horizontal="left" vertical="center" wrapText="1"/>
    </xf>
    <xf numFmtId="0" fontId="52" fillId="19" borderId="50" xfId="0" applyFont="1" applyFill="1" applyBorder="1" applyAlignment="1">
      <alignment wrapText="1"/>
    </xf>
    <xf numFmtId="9" fontId="67" fillId="26" borderId="24" xfId="0" applyNumberFormat="1" applyFont="1" applyFill="1" applyBorder="1" applyAlignment="1">
      <alignment horizontal="left" vertical="center" wrapText="1"/>
    </xf>
    <xf numFmtId="9" fontId="67" fillId="26" borderId="42" xfId="0" applyNumberFormat="1" applyFont="1" applyFill="1" applyBorder="1" applyAlignment="1">
      <alignment horizontal="left" vertical="center" wrapText="1"/>
    </xf>
    <xf numFmtId="9" fontId="15" fillId="0" borderId="23" xfId="1" applyFont="1" applyBorder="1" applyAlignment="1">
      <alignment horizontal="center" vertical="center"/>
    </xf>
    <xf numFmtId="0" fontId="85" fillId="0" borderId="0" xfId="0" applyFont="1"/>
    <xf numFmtId="0" fontId="82" fillId="0" borderId="21" xfId="0" applyFont="1" applyBorder="1" applyAlignment="1">
      <alignment wrapText="1"/>
    </xf>
    <xf numFmtId="0" fontId="82" fillId="0" borderId="55" xfId="0" applyFont="1" applyBorder="1" applyAlignment="1">
      <alignment vertical="center" wrapText="1"/>
    </xf>
    <xf numFmtId="9" fontId="83" fillId="8" borderId="33" xfId="0" applyNumberFormat="1" applyFont="1" applyFill="1" applyBorder="1" applyAlignment="1">
      <alignment horizontal="center" vertical="center" wrapText="1"/>
    </xf>
    <xf numFmtId="9" fontId="83" fillId="8" borderId="23" xfId="0" applyNumberFormat="1" applyFont="1" applyFill="1" applyBorder="1" applyAlignment="1">
      <alignment horizontal="center" vertical="center" wrapText="1"/>
    </xf>
    <xf numFmtId="9" fontId="82" fillId="0" borderId="46" xfId="0" applyNumberFormat="1" applyFont="1" applyBorder="1" applyAlignment="1">
      <alignment vertical="center" wrapText="1"/>
    </xf>
    <xf numFmtId="165" fontId="83" fillId="36" borderId="33" xfId="0" applyNumberFormat="1" applyFont="1" applyFill="1" applyBorder="1" applyAlignment="1">
      <alignment horizontal="center" vertical="center" wrapText="1"/>
    </xf>
    <xf numFmtId="165" fontId="83" fillId="38" borderId="23" xfId="0" applyNumberFormat="1" applyFont="1" applyFill="1" applyBorder="1" applyAlignment="1">
      <alignment horizontal="center" vertical="center" wrapText="1"/>
    </xf>
    <xf numFmtId="165" fontId="86" fillId="38" borderId="23" xfId="0" applyNumberFormat="1" applyFont="1" applyFill="1" applyBorder="1" applyAlignment="1">
      <alignment horizontal="center" vertical="center" wrapText="1"/>
    </xf>
    <xf numFmtId="0" fontId="82" fillId="0" borderId="50" xfId="0" applyFont="1" applyBorder="1" applyAlignment="1">
      <alignment horizontal="center" wrapText="1"/>
    </xf>
    <xf numFmtId="0" fontId="82" fillId="0" borderId="50" xfId="0" applyFont="1" applyBorder="1" applyAlignment="1">
      <alignment wrapText="1"/>
    </xf>
    <xf numFmtId="165" fontId="83" fillId="35" borderId="120" xfId="0" applyNumberFormat="1" applyFont="1" applyFill="1" applyBorder="1" applyAlignment="1">
      <alignment horizontal="center" vertical="center" wrapText="1"/>
    </xf>
    <xf numFmtId="165" fontId="83" fillId="11" borderId="23" xfId="0" applyNumberFormat="1" applyFont="1" applyFill="1" applyBorder="1" applyAlignment="1">
      <alignment horizontal="center" vertical="center" wrapText="1"/>
    </xf>
    <xf numFmtId="165" fontId="83" fillId="35" borderId="23" xfId="0" applyNumberFormat="1" applyFont="1" applyFill="1" applyBorder="1" applyAlignment="1">
      <alignment horizontal="center" vertical="center" wrapText="1"/>
    </xf>
    <xf numFmtId="165" fontId="83" fillId="41" borderId="23" xfId="0" applyNumberFormat="1" applyFont="1" applyFill="1" applyBorder="1" applyAlignment="1">
      <alignment horizontal="center" vertical="center" wrapText="1"/>
    </xf>
    <xf numFmtId="0" fontId="82" fillId="0" borderId="1" xfId="0" applyFont="1" applyBorder="1" applyAlignment="1">
      <alignment wrapText="1"/>
    </xf>
    <xf numFmtId="9" fontId="83" fillId="13" borderId="28" xfId="0" applyNumberFormat="1" applyFont="1" applyFill="1" applyBorder="1" applyAlignment="1">
      <alignment horizontal="center" vertical="center" wrapText="1"/>
    </xf>
    <xf numFmtId="0" fontId="83" fillId="0" borderId="29" xfId="0" applyFont="1" applyBorder="1" applyAlignment="1">
      <alignment wrapText="1"/>
    </xf>
    <xf numFmtId="0" fontId="82" fillId="0" borderId="142" xfId="0" applyFont="1" applyBorder="1" applyAlignment="1">
      <alignment wrapText="1"/>
    </xf>
    <xf numFmtId="0" fontId="82" fillId="0" borderId="23" xfId="0" applyFont="1" applyBorder="1" applyAlignment="1">
      <alignment wrapText="1"/>
    </xf>
    <xf numFmtId="165" fontId="83" fillId="33" borderId="143" xfId="0" applyNumberFormat="1" applyFont="1" applyFill="1" applyBorder="1" applyAlignment="1">
      <alignment horizontal="center" vertical="center" wrapText="1"/>
    </xf>
    <xf numFmtId="165" fontId="83" fillId="33" borderId="29" xfId="0" applyNumberFormat="1" applyFont="1" applyFill="1" applyBorder="1" applyAlignment="1">
      <alignment horizontal="center" vertical="center" wrapText="1"/>
    </xf>
    <xf numFmtId="0" fontId="82" fillId="0" borderId="29" xfId="0" applyFont="1" applyBorder="1" applyAlignment="1">
      <alignment horizontal="center" vertical="center" wrapText="1"/>
    </xf>
    <xf numFmtId="0" fontId="82" fillId="0" borderId="29" xfId="0" applyFont="1" applyBorder="1" applyAlignment="1">
      <alignment vertical="center" wrapText="1"/>
    </xf>
    <xf numFmtId="165" fontId="83" fillId="4" borderId="142" xfId="0" applyNumberFormat="1" applyFont="1" applyFill="1" applyBorder="1" applyAlignment="1">
      <alignment horizontal="center" vertical="center" wrapText="1"/>
    </xf>
    <xf numFmtId="165" fontId="83" fillId="4" borderId="23" xfId="0" applyNumberFormat="1" applyFont="1" applyFill="1" applyBorder="1" applyAlignment="1">
      <alignment horizontal="center" vertical="center" wrapText="1"/>
    </xf>
    <xf numFmtId="165" fontId="83" fillId="33" borderId="23" xfId="0" applyNumberFormat="1" applyFont="1" applyFill="1" applyBorder="1" applyAlignment="1">
      <alignment horizontal="center" vertical="center" wrapText="1"/>
    </xf>
    <xf numFmtId="165" fontId="83" fillId="34" borderId="23" xfId="0" applyNumberFormat="1" applyFont="1" applyFill="1" applyBorder="1" applyAlignment="1">
      <alignment horizontal="center" vertical="center" wrapText="1"/>
    </xf>
    <xf numFmtId="0" fontId="82" fillId="0" borderId="3" xfId="0" applyFont="1" applyBorder="1" applyAlignment="1">
      <alignment wrapText="1"/>
    </xf>
    <xf numFmtId="9" fontId="52" fillId="19" borderId="23" xfId="0" applyNumberFormat="1" applyFont="1" applyFill="1" applyBorder="1" applyAlignment="1">
      <alignment horizontal="left" vertical="center" wrapText="1"/>
    </xf>
    <xf numFmtId="0" fontId="51" fillId="19" borderId="20" xfId="0" applyFont="1" applyFill="1" applyBorder="1" applyAlignment="1">
      <alignment vertical="center" wrapText="1"/>
    </xf>
    <xf numFmtId="0" fontId="52" fillId="51" borderId="158" xfId="0" applyFont="1" applyFill="1" applyBorder="1" applyAlignment="1">
      <alignment vertical="center" wrapText="1"/>
    </xf>
    <xf numFmtId="9" fontId="52" fillId="26" borderId="30" xfId="0" applyNumberFormat="1" applyFont="1" applyFill="1" applyBorder="1" applyAlignment="1">
      <alignment horizontal="left" vertical="center" wrapText="1"/>
    </xf>
    <xf numFmtId="9" fontId="52" fillId="26" borderId="50" xfId="0" applyNumberFormat="1" applyFont="1" applyFill="1" applyBorder="1" applyAlignment="1">
      <alignment horizontal="left" vertical="center" wrapText="1"/>
    </xf>
    <xf numFmtId="0" fontId="51" fillId="0" borderId="158" xfId="0" applyFont="1" applyBorder="1" applyAlignment="1">
      <alignment vertical="center" wrapText="1"/>
    </xf>
    <xf numFmtId="9" fontId="52" fillId="26" borderId="24" xfId="0" applyNumberFormat="1" applyFont="1" applyFill="1" applyBorder="1" applyAlignment="1">
      <alignment horizontal="left" vertical="center" wrapText="1"/>
    </xf>
    <xf numFmtId="0" fontId="52" fillId="51" borderId="24" xfId="0" applyFont="1" applyFill="1" applyBorder="1" applyAlignment="1">
      <alignment vertical="center" wrapText="1"/>
    </xf>
    <xf numFmtId="9" fontId="66" fillId="20" borderId="7" xfId="0" applyNumberFormat="1" applyFont="1" applyFill="1" applyBorder="1" applyAlignment="1">
      <alignment horizontal="center" vertical="center" wrapText="1"/>
    </xf>
    <xf numFmtId="0" fontId="52" fillId="0" borderId="7" xfId="0" applyFont="1" applyBorder="1" applyAlignment="1">
      <alignment horizontal="left" vertical="center" wrapText="1"/>
    </xf>
    <xf numFmtId="165" fontId="67" fillId="59" borderId="115" xfId="0" applyNumberFormat="1" applyFont="1" applyFill="1" applyBorder="1" applyAlignment="1">
      <alignment horizontal="center" vertical="center" wrapText="1"/>
    </xf>
    <xf numFmtId="9" fontId="52" fillId="26" borderId="33" xfId="0" applyNumberFormat="1" applyFont="1" applyFill="1" applyBorder="1" applyAlignment="1">
      <alignment horizontal="left" vertical="center" wrapText="1"/>
    </xf>
    <xf numFmtId="165" fontId="69" fillId="11" borderId="7" xfId="0" applyNumberFormat="1" applyFont="1" applyFill="1" applyBorder="1" applyAlignment="1">
      <alignment horizontal="center" vertical="center" wrapText="1"/>
    </xf>
    <xf numFmtId="165" fontId="67" fillId="59" borderId="23" xfId="0" applyNumberFormat="1" applyFont="1" applyFill="1" applyBorder="1" applyAlignment="1">
      <alignment horizontal="center" vertical="center" wrapText="1"/>
    </xf>
    <xf numFmtId="165" fontId="67" fillId="34" borderId="46" xfId="0" applyNumberFormat="1" applyFont="1" applyFill="1" applyBorder="1" applyAlignment="1">
      <alignment horizontal="center" vertical="center" wrapText="1"/>
    </xf>
    <xf numFmtId="0" fontId="67" fillId="51" borderId="1" xfId="0" applyFont="1" applyFill="1" applyBorder="1" applyAlignment="1">
      <alignment vertical="center" wrapText="1"/>
    </xf>
    <xf numFmtId="0" fontId="67" fillId="51" borderId="24" xfId="0" applyFont="1" applyFill="1" applyBorder="1" applyAlignment="1">
      <alignment wrapText="1"/>
    </xf>
    <xf numFmtId="0" fontId="54" fillId="26" borderId="23" xfId="0" applyFont="1" applyFill="1" applyBorder="1" applyAlignment="1">
      <alignment horizontal="left" vertical="center" wrapText="1"/>
    </xf>
    <xf numFmtId="0" fontId="54" fillId="26" borderId="23" xfId="0" applyFont="1" applyFill="1" applyBorder="1" applyAlignment="1">
      <alignment vertical="center" wrapText="1"/>
    </xf>
    <xf numFmtId="0" fontId="77" fillId="0" borderId="21" xfId="0" applyFont="1" applyBorder="1" applyAlignment="1">
      <alignment wrapText="1"/>
    </xf>
    <xf numFmtId="0" fontId="77" fillId="0" borderId="23" xfId="0" applyFont="1" applyBorder="1" applyAlignment="1">
      <alignment horizontal="center" vertical="center" wrapText="1"/>
    </xf>
    <xf numFmtId="9" fontId="77" fillId="0" borderId="23" xfId="0" applyNumberFormat="1" applyFont="1" applyBorder="1" applyAlignment="1">
      <alignment horizontal="center" vertical="center" wrapText="1"/>
    </xf>
    <xf numFmtId="9" fontId="77" fillId="26" borderId="23" xfId="0" applyNumberFormat="1" applyFont="1" applyFill="1" applyBorder="1" applyAlignment="1">
      <alignment horizontal="center" vertical="center" wrapText="1"/>
    </xf>
    <xf numFmtId="0" fontId="79" fillId="0" borderId="23" xfId="0" applyFont="1" applyBorder="1"/>
    <xf numFmtId="165" fontId="5" fillId="0" borderId="13" xfId="0" applyNumberFormat="1" applyFont="1" applyBorder="1" applyAlignment="1">
      <alignment horizontal="center" vertical="center"/>
    </xf>
    <xf numFmtId="165" fontId="6" fillId="0" borderId="13" xfId="0" applyNumberFormat="1" applyFont="1" applyBorder="1" applyAlignment="1">
      <alignment horizontal="center" vertical="center"/>
    </xf>
    <xf numFmtId="165" fontId="6" fillId="0" borderId="44" xfId="0" applyNumberFormat="1" applyFont="1" applyBorder="1" applyAlignment="1">
      <alignment horizontal="center" vertical="center"/>
    </xf>
    <xf numFmtId="10" fontId="21" fillId="45" borderId="20" xfId="0" applyNumberFormat="1" applyFont="1" applyFill="1" applyBorder="1" applyAlignment="1">
      <alignment horizontal="center" vertical="center" wrapText="1"/>
    </xf>
    <xf numFmtId="165" fontId="49" fillId="0" borderId="39" xfId="1" applyNumberFormat="1" applyFont="1" applyBorder="1" applyAlignment="1">
      <alignment horizontal="center" vertical="center" wrapText="1"/>
    </xf>
    <xf numFmtId="165" fontId="25" fillId="42" borderId="23" xfId="0" applyNumberFormat="1" applyFont="1" applyFill="1" applyBorder="1" applyAlignment="1">
      <alignment horizontal="center" vertical="center" wrapText="1"/>
    </xf>
    <xf numFmtId="165" fontId="92" fillId="24" borderId="110" xfId="1" applyNumberFormat="1" applyFont="1" applyFill="1" applyBorder="1" applyAlignment="1">
      <alignment horizontal="center" vertical="center" wrapText="1"/>
    </xf>
    <xf numFmtId="165" fontId="67" fillId="59" borderId="115" xfId="0" applyNumberFormat="1" applyFont="1" applyFill="1" applyBorder="1" applyAlignment="1">
      <alignment horizontal="left" vertical="center" wrapText="1"/>
    </xf>
    <xf numFmtId="165" fontId="27" fillId="20" borderId="97" xfId="0" applyNumberFormat="1" applyFont="1" applyFill="1" applyBorder="1" applyAlignment="1">
      <alignment horizontal="center" vertical="center"/>
    </xf>
    <xf numFmtId="165" fontId="27" fillId="20" borderId="98" xfId="0" applyNumberFormat="1" applyFont="1" applyFill="1" applyBorder="1" applyAlignment="1">
      <alignment horizontal="center" vertical="center"/>
    </xf>
    <xf numFmtId="10" fontId="93" fillId="9" borderId="50" xfId="0" applyNumberFormat="1" applyFont="1" applyFill="1" applyBorder="1" applyAlignment="1">
      <alignment horizontal="center" vertical="center" wrapText="1"/>
    </xf>
    <xf numFmtId="10" fontId="93" fillId="6" borderId="50" xfId="0" applyNumberFormat="1" applyFont="1" applyFill="1" applyBorder="1" applyAlignment="1">
      <alignment horizontal="center" vertical="center" wrapText="1"/>
    </xf>
    <xf numFmtId="0" fontId="0" fillId="0" borderId="35" xfId="0" applyBorder="1"/>
    <xf numFmtId="0" fontId="12" fillId="61" borderId="24" xfId="0" applyFont="1" applyFill="1" applyBorder="1" applyAlignment="1">
      <alignment horizontal="center" vertical="center" wrapText="1"/>
    </xf>
    <xf numFmtId="165" fontId="0" fillId="0" borderId="0" xfId="0" applyNumberFormat="1"/>
    <xf numFmtId="165" fontId="95" fillId="19" borderId="110" xfId="1" applyNumberFormat="1" applyFont="1" applyFill="1" applyBorder="1" applyAlignment="1">
      <alignment horizontal="center" vertical="center" wrapText="1"/>
    </xf>
    <xf numFmtId="165" fontId="12" fillId="0" borderId="23" xfId="0" applyNumberFormat="1" applyFont="1" applyBorder="1" applyAlignment="1">
      <alignment horizontal="center" vertical="center"/>
    </xf>
    <xf numFmtId="0" fontId="12" fillId="50" borderId="23" xfId="0" applyFont="1" applyFill="1" applyBorder="1" applyAlignment="1">
      <alignment horizontal="center" wrapText="1"/>
    </xf>
    <xf numFmtId="0" fontId="12" fillId="50" borderId="23" xfId="0" applyFont="1" applyFill="1" applyBorder="1" applyAlignment="1">
      <alignment horizontal="center" vertical="center" wrapText="1"/>
    </xf>
    <xf numFmtId="165" fontId="12" fillId="19" borderId="23" xfId="1" applyNumberFormat="1" applyFont="1" applyFill="1" applyBorder="1" applyAlignment="1">
      <alignment horizontal="center"/>
    </xf>
    <xf numFmtId="165" fontId="12" fillId="0" borderId="23" xfId="0" applyNumberFormat="1" applyFont="1" applyBorder="1" applyAlignment="1">
      <alignment horizontal="center"/>
    </xf>
    <xf numFmtId="10" fontId="12" fillId="0" borderId="23" xfId="0" applyNumberFormat="1" applyFont="1" applyBorder="1" applyAlignment="1">
      <alignment horizontal="center" vertical="center"/>
    </xf>
    <xf numFmtId="165" fontId="0" fillId="0" borderId="0" xfId="1" applyNumberFormat="1" applyFont="1" applyAlignment="1">
      <alignment horizontal="left"/>
    </xf>
    <xf numFmtId="0" fontId="12" fillId="61" borderId="23" xfId="0" applyFont="1" applyFill="1" applyBorder="1" applyAlignment="1">
      <alignment horizontal="center" wrapText="1"/>
    </xf>
    <xf numFmtId="0" fontId="12" fillId="63" borderId="23" xfId="0" applyFont="1" applyFill="1" applyBorder="1" applyAlignment="1">
      <alignment horizontal="center" wrapText="1"/>
    </xf>
    <xf numFmtId="165" fontId="12" fillId="26" borderId="23" xfId="1" applyNumberFormat="1" applyFont="1" applyFill="1" applyBorder="1" applyAlignment="1">
      <alignment horizontal="center"/>
    </xf>
    <xf numFmtId="165" fontId="0" fillId="25" borderId="23" xfId="1" applyNumberFormat="1" applyFont="1" applyFill="1" applyBorder="1" applyAlignment="1">
      <alignment horizontal="center" vertical="center"/>
    </xf>
    <xf numFmtId="165" fontId="0" fillId="29" borderId="23" xfId="1" applyNumberFormat="1" applyFont="1" applyFill="1" applyBorder="1" applyAlignment="1">
      <alignment horizontal="center" vertical="center"/>
    </xf>
    <xf numFmtId="165" fontId="96" fillId="20" borderId="23" xfId="0" applyNumberFormat="1" applyFont="1" applyFill="1" applyBorder="1" applyAlignment="1">
      <alignment horizontal="center" vertical="center"/>
    </xf>
    <xf numFmtId="0" fontId="0" fillId="20" borderId="23" xfId="0" applyFill="1" applyBorder="1"/>
    <xf numFmtId="165" fontId="96" fillId="19" borderId="23" xfId="0" applyNumberFormat="1" applyFont="1" applyFill="1" applyBorder="1" applyAlignment="1">
      <alignment horizontal="center" vertical="center"/>
    </xf>
    <xf numFmtId="165" fontId="12" fillId="0" borderId="23" xfId="1" applyNumberFormat="1" applyFont="1" applyBorder="1" applyAlignment="1">
      <alignment horizontal="center" vertical="center"/>
    </xf>
    <xf numFmtId="165" fontId="28" fillId="26" borderId="23" xfId="1" applyNumberFormat="1" applyFont="1" applyFill="1" applyBorder="1" applyAlignment="1">
      <alignment horizontal="center" vertical="center"/>
    </xf>
    <xf numFmtId="165" fontId="28" fillId="49" borderId="23" xfId="1" applyNumberFormat="1" applyFont="1" applyFill="1" applyBorder="1" applyAlignment="1">
      <alignment horizontal="center" vertical="center"/>
    </xf>
    <xf numFmtId="0" fontId="98" fillId="0" borderId="0" xfId="0" applyFont="1"/>
    <xf numFmtId="0" fontId="97" fillId="18" borderId="28" xfId="0" applyFont="1" applyFill="1" applyBorder="1" applyAlignment="1">
      <alignment horizontal="center" vertical="center" wrapText="1"/>
    </xf>
    <xf numFmtId="0" fontId="97" fillId="6" borderId="13" xfId="0" applyFont="1" applyFill="1" applyBorder="1" applyAlignment="1">
      <alignment horizontal="center" vertical="center" wrapText="1"/>
    </xf>
    <xf numFmtId="165" fontId="6" fillId="0" borderId="23" xfId="0" applyNumberFormat="1" applyFont="1" applyBorder="1" applyAlignment="1">
      <alignment horizontal="center" vertical="center"/>
    </xf>
    <xf numFmtId="165" fontId="99" fillId="0" borderId="28" xfId="0" applyNumberFormat="1" applyFont="1" applyBorder="1" applyAlignment="1">
      <alignment horizontal="center" vertical="center"/>
    </xf>
    <xf numFmtId="0" fontId="97" fillId="18" borderId="160" xfId="0" applyFont="1" applyFill="1" applyBorder="1" applyAlignment="1">
      <alignment horizontal="center" vertical="center" wrapText="1"/>
    </xf>
    <xf numFmtId="0" fontId="97" fillId="6" borderId="161" xfId="0" applyFont="1" applyFill="1" applyBorder="1" applyAlignment="1">
      <alignment horizontal="center" vertical="center" wrapText="1"/>
    </xf>
    <xf numFmtId="0" fontId="97" fillId="18" borderId="161" xfId="0" applyFont="1" applyFill="1" applyBorder="1" applyAlignment="1">
      <alignment horizontal="center" vertical="center" wrapText="1"/>
    </xf>
    <xf numFmtId="0" fontId="86" fillId="18" borderId="161" xfId="0" applyFont="1" applyFill="1" applyBorder="1" applyAlignment="1">
      <alignment horizontal="center" vertical="center" wrapText="1"/>
    </xf>
    <xf numFmtId="0" fontId="97" fillId="18" borderId="163" xfId="0" applyFont="1" applyFill="1" applyBorder="1" applyAlignment="1">
      <alignment horizontal="center" vertical="center" wrapText="1"/>
    </xf>
    <xf numFmtId="0" fontId="86" fillId="18" borderId="163" xfId="0" applyFont="1" applyFill="1" applyBorder="1" applyAlignment="1">
      <alignment horizontal="center" vertical="center" wrapText="1"/>
    </xf>
    <xf numFmtId="0" fontId="86" fillId="18" borderId="164" xfId="0" applyFont="1" applyFill="1" applyBorder="1" applyAlignment="1">
      <alignment horizontal="center" vertical="center" wrapText="1"/>
    </xf>
    <xf numFmtId="0" fontId="97" fillId="47" borderId="161" xfId="0" applyFont="1" applyFill="1" applyBorder="1" applyAlignment="1">
      <alignment horizontal="center" vertical="center" wrapText="1"/>
    </xf>
    <xf numFmtId="0" fontId="83" fillId="60" borderId="161" xfId="0" applyFont="1" applyFill="1" applyBorder="1" applyAlignment="1">
      <alignment horizontal="center" vertical="center" wrapText="1"/>
    </xf>
    <xf numFmtId="0" fontId="83" fillId="47" borderId="162" xfId="0" applyFont="1" applyFill="1" applyBorder="1" applyAlignment="1">
      <alignment horizontal="center" vertical="center" wrapText="1"/>
    </xf>
    <xf numFmtId="0" fontId="97" fillId="60" borderId="165" xfId="0" applyFont="1" applyFill="1" applyBorder="1" applyAlignment="1">
      <alignment horizontal="center" vertical="center" wrapText="1"/>
    </xf>
    <xf numFmtId="0" fontId="4" fillId="0" borderId="166" xfId="0" applyFont="1" applyBorder="1" applyAlignment="1">
      <alignment wrapText="1"/>
    </xf>
    <xf numFmtId="0" fontId="4" fillId="4" borderId="168" xfId="0" applyFont="1" applyFill="1" applyBorder="1" applyAlignment="1">
      <alignment horizontal="left" vertical="center" wrapText="1"/>
    </xf>
    <xf numFmtId="165" fontId="6" fillId="0" borderId="167" xfId="0" applyNumberFormat="1" applyFont="1" applyBorder="1" applyAlignment="1">
      <alignment horizontal="center" vertical="center"/>
    </xf>
    <xf numFmtId="0" fontId="4" fillId="4" borderId="169" xfId="0" applyFont="1" applyFill="1" applyBorder="1" applyAlignment="1">
      <alignment horizontal="left" vertical="center" wrapText="1"/>
    </xf>
    <xf numFmtId="9" fontId="7" fillId="0" borderId="170" xfId="0" applyNumberFormat="1" applyFont="1" applyBorder="1" applyAlignment="1">
      <alignment horizontal="center"/>
    </xf>
    <xf numFmtId="165" fontId="6" fillId="0" borderId="170" xfId="0" applyNumberFormat="1" applyFont="1" applyBorder="1" applyAlignment="1">
      <alignment horizontal="center" vertical="center"/>
    </xf>
    <xf numFmtId="165" fontId="5" fillId="0" borderId="170" xfId="0" applyNumberFormat="1" applyFont="1" applyBorder="1" applyAlignment="1">
      <alignment horizontal="center" vertical="center"/>
    </xf>
    <xf numFmtId="165" fontId="33" fillId="23" borderId="170" xfId="0" applyNumberFormat="1" applyFont="1" applyFill="1" applyBorder="1" applyAlignment="1">
      <alignment horizontal="center" vertical="center"/>
    </xf>
    <xf numFmtId="165" fontId="6" fillId="0" borderId="171" xfId="0" applyNumberFormat="1" applyFont="1" applyBorder="1" applyAlignment="1">
      <alignment horizontal="center" vertical="center"/>
    </xf>
    <xf numFmtId="165" fontId="6" fillId="0" borderId="172" xfId="0" applyNumberFormat="1" applyFont="1" applyBorder="1" applyAlignment="1">
      <alignment horizontal="center" vertical="center"/>
    </xf>
    <xf numFmtId="165" fontId="99" fillId="0" borderId="173" xfId="0" applyNumberFormat="1" applyFont="1" applyBorder="1" applyAlignment="1">
      <alignment horizontal="center" vertical="center"/>
    </xf>
    <xf numFmtId="165" fontId="6" fillId="0" borderId="174" xfId="0" applyNumberFormat="1" applyFont="1" applyBorder="1" applyAlignment="1">
      <alignment horizontal="center" vertical="center"/>
    </xf>
    <xf numFmtId="0" fontId="86" fillId="18" borderId="162" xfId="0" applyFont="1" applyFill="1" applyBorder="1" applyAlignment="1">
      <alignment horizontal="center" vertical="center" wrapText="1"/>
    </xf>
    <xf numFmtId="165" fontId="12" fillId="64" borderId="0" xfId="0" applyNumberFormat="1" applyFont="1" applyFill="1" applyAlignment="1">
      <alignment horizontal="center" vertical="center"/>
    </xf>
    <xf numFmtId="165" fontId="0" fillId="64" borderId="23" xfId="0" applyNumberFormat="1" applyFill="1" applyBorder="1" applyAlignment="1">
      <alignment horizontal="center" vertical="center"/>
    </xf>
    <xf numFmtId="0" fontId="12" fillId="0" borderId="159" xfId="0" applyFont="1" applyBorder="1"/>
    <xf numFmtId="0" fontId="12" fillId="50" borderId="159" xfId="0" applyFont="1" applyFill="1" applyBorder="1" applyAlignment="1">
      <alignment horizontal="center" wrapText="1"/>
    </xf>
    <xf numFmtId="0" fontId="28" fillId="0" borderId="159" xfId="0" applyFont="1" applyBorder="1" applyAlignment="1">
      <alignment wrapText="1"/>
    </xf>
    <xf numFmtId="0" fontId="36" fillId="0" borderId="159" xfId="0" applyFont="1" applyBorder="1" applyAlignment="1">
      <alignment wrapText="1"/>
    </xf>
    <xf numFmtId="9" fontId="67" fillId="8" borderId="24" xfId="1" applyFont="1" applyFill="1" applyBorder="1" applyAlignment="1">
      <alignment horizontal="center" vertical="center" wrapText="1"/>
    </xf>
    <xf numFmtId="168" fontId="0" fillId="0" borderId="0" xfId="0" applyNumberFormat="1"/>
    <xf numFmtId="165" fontId="12" fillId="19" borderId="23" xfId="1" applyNumberFormat="1" applyFont="1" applyFill="1" applyBorder="1" applyAlignment="1">
      <alignment horizontal="center" vertical="center"/>
    </xf>
    <xf numFmtId="165" fontId="12" fillId="64" borderId="23" xfId="0" applyNumberFormat="1" applyFont="1" applyFill="1" applyBorder="1" applyAlignment="1">
      <alignment horizontal="center" vertical="center"/>
    </xf>
    <xf numFmtId="165" fontId="74" fillId="9" borderId="7" xfId="0" applyNumberFormat="1" applyFont="1" applyFill="1" applyBorder="1" applyAlignment="1">
      <alignment horizontal="center" vertical="center" wrapText="1"/>
    </xf>
    <xf numFmtId="165" fontId="74" fillId="6" borderId="25" xfId="0" applyNumberFormat="1" applyFont="1" applyFill="1" applyBorder="1" applyAlignment="1">
      <alignment horizontal="center" vertical="center" wrapText="1"/>
    </xf>
    <xf numFmtId="165" fontId="74" fillId="6" borderId="17" xfId="0" applyNumberFormat="1" applyFont="1" applyFill="1" applyBorder="1" applyAlignment="1">
      <alignment horizontal="center" vertical="center" wrapText="1"/>
    </xf>
    <xf numFmtId="165" fontId="74" fillId="9" borderId="78" xfId="0" applyNumberFormat="1" applyFont="1" applyFill="1" applyBorder="1" applyAlignment="1">
      <alignment horizontal="center" vertical="center" wrapText="1"/>
    </xf>
    <xf numFmtId="165" fontId="74" fillId="32" borderId="17" xfId="0" applyNumberFormat="1" applyFont="1" applyFill="1" applyBorder="1" applyAlignment="1">
      <alignment horizontal="center" vertical="center" wrapText="1"/>
    </xf>
    <xf numFmtId="10" fontId="67" fillId="4" borderId="44" xfId="0" applyNumberFormat="1" applyFont="1" applyFill="1" applyBorder="1" applyAlignment="1">
      <alignment horizontal="center" vertical="center" wrapText="1"/>
    </xf>
    <xf numFmtId="43" fontId="66" fillId="0" borderId="44" xfId="3" applyFont="1" applyBorder="1" applyAlignment="1">
      <alignment horizontal="center" vertical="center" wrapText="1"/>
    </xf>
    <xf numFmtId="165" fontId="74" fillId="21" borderId="13" xfId="0" applyNumberFormat="1" applyFont="1" applyFill="1" applyBorder="1" applyAlignment="1">
      <alignment horizontal="center" vertical="center"/>
    </xf>
    <xf numFmtId="165" fontId="27" fillId="23" borderId="13" xfId="0" applyNumberFormat="1" applyFont="1" applyFill="1" applyBorder="1" applyAlignment="1">
      <alignment horizontal="center" vertical="center"/>
    </xf>
    <xf numFmtId="165" fontId="74" fillId="21" borderId="44" xfId="0" applyNumberFormat="1" applyFont="1" applyFill="1" applyBorder="1" applyAlignment="1">
      <alignment horizontal="center" vertical="center"/>
    </xf>
    <xf numFmtId="165" fontId="74" fillId="21" borderId="23" xfId="0" applyNumberFormat="1" applyFont="1" applyFill="1" applyBorder="1" applyAlignment="1">
      <alignment horizontal="center" vertical="center"/>
    </xf>
    <xf numFmtId="165" fontId="74" fillId="46" borderId="13" xfId="0" applyNumberFormat="1" applyFont="1" applyFill="1" applyBorder="1" applyAlignment="1">
      <alignment horizontal="center" vertical="center"/>
    </xf>
    <xf numFmtId="165" fontId="74" fillId="46" borderId="44" xfId="0" applyNumberFormat="1" applyFont="1" applyFill="1" applyBorder="1" applyAlignment="1">
      <alignment horizontal="center" vertical="center"/>
    </xf>
    <xf numFmtId="165" fontId="74" fillId="46" borderId="167" xfId="0" applyNumberFormat="1" applyFont="1" applyFill="1" applyBorder="1" applyAlignment="1">
      <alignment horizontal="center" vertical="center"/>
    </xf>
    <xf numFmtId="10" fontId="74" fillId="32" borderId="74" xfId="0" applyNumberFormat="1" applyFont="1" applyFill="1" applyBorder="1" applyAlignment="1">
      <alignment horizontal="center" vertical="center" wrapText="1"/>
    </xf>
    <xf numFmtId="165" fontId="74" fillId="21" borderId="28" xfId="0" applyNumberFormat="1" applyFont="1" applyFill="1" applyBorder="1" applyAlignment="1">
      <alignment horizontal="center" vertical="center"/>
    </xf>
    <xf numFmtId="0" fontId="13" fillId="51" borderId="0" xfId="0" applyFont="1" applyFill="1" applyAlignment="1">
      <alignment vertical="center" wrapText="1"/>
    </xf>
    <xf numFmtId="165" fontId="67" fillId="59" borderId="24" xfId="0" applyNumberFormat="1" applyFont="1" applyFill="1" applyBorder="1" applyAlignment="1">
      <alignment horizontal="center" vertical="center" wrapText="1"/>
    </xf>
    <xf numFmtId="165" fontId="52" fillId="59" borderId="23" xfId="0" applyNumberFormat="1" applyFont="1" applyFill="1" applyBorder="1" applyAlignment="1">
      <alignment horizontal="center" vertical="center" wrapText="1"/>
    </xf>
    <xf numFmtId="165" fontId="52" fillId="65" borderId="23" xfId="0" applyNumberFormat="1" applyFont="1" applyFill="1" applyBorder="1" applyAlignment="1">
      <alignment horizontal="center" vertical="center" wrapText="1"/>
    </xf>
    <xf numFmtId="0" fontId="83" fillId="51" borderId="24" xfId="0" applyFont="1" applyFill="1" applyBorder="1" applyAlignment="1">
      <alignment vertical="center" wrapText="1"/>
    </xf>
    <xf numFmtId="164" fontId="84" fillId="0" borderId="23" xfId="0" applyNumberFormat="1" applyFont="1" applyBorder="1" applyAlignment="1">
      <alignment horizontal="center" vertical="center"/>
    </xf>
    <xf numFmtId="0" fontId="39" fillId="51" borderId="48" xfId="0" applyFont="1" applyFill="1" applyBorder="1" applyAlignment="1">
      <alignment horizontal="center" vertical="center" wrapText="1"/>
    </xf>
    <xf numFmtId="164" fontId="17" fillId="48" borderId="100" xfId="0" applyNumberFormat="1" applyFont="1" applyFill="1" applyBorder="1" applyAlignment="1">
      <alignment horizontal="center" vertical="center"/>
    </xf>
    <xf numFmtId="10" fontId="74" fillId="6" borderId="23" xfId="0" applyNumberFormat="1" applyFont="1" applyFill="1" applyBorder="1" applyAlignment="1">
      <alignment horizontal="center" vertical="center" wrapText="1"/>
    </xf>
    <xf numFmtId="10" fontId="29" fillId="43" borderId="110" xfId="1" applyNumberFormat="1" applyFont="1" applyFill="1" applyBorder="1" applyAlignment="1">
      <alignment horizontal="center" vertical="center" wrapText="1"/>
    </xf>
    <xf numFmtId="165" fontId="17" fillId="48" borderId="100" xfId="0" applyNumberFormat="1" applyFont="1" applyFill="1" applyBorder="1" applyAlignment="1">
      <alignment horizontal="center" vertical="center"/>
    </xf>
    <xf numFmtId="165" fontId="83" fillId="8" borderId="23" xfId="1" applyNumberFormat="1" applyFont="1" applyFill="1" applyBorder="1" applyAlignment="1">
      <alignment horizontal="center" vertical="center" wrapText="1"/>
    </xf>
    <xf numFmtId="0" fontId="100" fillId="0" borderId="132" xfId="0" applyFont="1" applyBorder="1" applyAlignment="1">
      <alignment wrapText="1"/>
    </xf>
    <xf numFmtId="0" fontId="100" fillId="0" borderId="91" xfId="0" applyFont="1" applyBorder="1" applyAlignment="1">
      <alignment vertical="center" wrapText="1"/>
    </xf>
    <xf numFmtId="9" fontId="101" fillId="0" borderId="113" xfId="0" applyNumberFormat="1" applyFont="1" applyBorder="1" applyAlignment="1">
      <alignment horizontal="center" vertical="center" wrapText="1"/>
    </xf>
    <xf numFmtId="0" fontId="102" fillId="0" borderId="50" xfId="0" applyFont="1" applyBorder="1"/>
    <xf numFmtId="0" fontId="103" fillId="0" borderId="120" xfId="0" applyFont="1" applyBorder="1"/>
    <xf numFmtId="0" fontId="103" fillId="0" borderId="50" xfId="0" applyFont="1" applyBorder="1"/>
    <xf numFmtId="10" fontId="101" fillId="35" borderId="25" xfId="0" applyNumberFormat="1" applyFont="1" applyFill="1" applyBorder="1" applyAlignment="1">
      <alignment horizontal="center" vertical="center" wrapText="1"/>
    </xf>
    <xf numFmtId="10" fontId="101" fillId="6" borderId="17" xfId="0" applyNumberFormat="1" applyFont="1" applyFill="1" applyBorder="1" applyAlignment="1">
      <alignment horizontal="center" vertical="center" wrapText="1"/>
    </xf>
    <xf numFmtId="10" fontId="101" fillId="6" borderId="24" xfId="0" applyNumberFormat="1" applyFont="1" applyFill="1" applyBorder="1" applyAlignment="1">
      <alignment horizontal="center" vertical="center" wrapText="1"/>
    </xf>
    <xf numFmtId="0" fontId="100" fillId="0" borderId="72" xfId="0" applyFont="1" applyBorder="1" applyAlignment="1">
      <alignment horizontal="center" wrapText="1"/>
    </xf>
    <xf numFmtId="0" fontId="100" fillId="0" borderId="24" xfId="0" applyFont="1" applyBorder="1" applyAlignment="1">
      <alignment wrapText="1"/>
    </xf>
    <xf numFmtId="0" fontId="100" fillId="0" borderId="72" xfId="0" applyFont="1" applyBorder="1" applyAlignment="1">
      <alignment wrapText="1"/>
    </xf>
    <xf numFmtId="165" fontId="101" fillId="40" borderId="50" xfId="0" applyNumberFormat="1" applyFont="1" applyFill="1" applyBorder="1" applyAlignment="1">
      <alignment vertical="center" wrapText="1"/>
    </xf>
    <xf numFmtId="0" fontId="100" fillId="0" borderId="145" xfId="0" applyFont="1" applyBorder="1" applyAlignment="1">
      <alignment wrapText="1"/>
    </xf>
    <xf numFmtId="0" fontId="100" fillId="0" borderId="19" xfId="0" applyFont="1" applyBorder="1" applyAlignment="1">
      <alignment wrapText="1"/>
    </xf>
    <xf numFmtId="0" fontId="103" fillId="0" borderId="0" xfId="0" applyFont="1"/>
    <xf numFmtId="165" fontId="0" fillId="0" borderId="0" xfId="1" applyNumberFormat="1" applyFont="1"/>
    <xf numFmtId="0" fontId="0" fillId="19" borderId="0" xfId="0" applyFill="1"/>
    <xf numFmtId="165" fontId="0" fillId="19" borderId="0" xfId="1" applyNumberFormat="1" applyFont="1" applyFill="1"/>
    <xf numFmtId="0" fontId="108" fillId="61" borderId="23" xfId="0" applyFont="1" applyFill="1" applyBorder="1" applyAlignment="1">
      <alignment horizontal="center" vertical="center" wrapText="1"/>
    </xf>
    <xf numFmtId="0" fontId="106" fillId="0" borderId="23" xfId="0" applyFont="1" applyBorder="1" applyAlignment="1">
      <alignment wrapText="1"/>
    </xf>
    <xf numFmtId="172" fontId="0" fillId="0" borderId="23" xfId="0" applyNumberFormat="1" applyBorder="1"/>
    <xf numFmtId="171" fontId="106" fillId="0" borderId="23" xfId="0" applyNumberFormat="1" applyFont="1" applyBorder="1"/>
    <xf numFmtId="172" fontId="106" fillId="0" borderId="23" xfId="0" applyNumberFormat="1" applyFont="1" applyBorder="1"/>
    <xf numFmtId="0" fontId="106" fillId="0" borderId="23" xfId="0" applyFont="1" applyBorder="1"/>
    <xf numFmtId="171" fontId="107" fillId="0" borderId="23" xfId="0" applyNumberFormat="1" applyFont="1" applyBorder="1"/>
    <xf numFmtId="172" fontId="107" fillId="0" borderId="23" xfId="0" applyNumberFormat="1" applyFont="1" applyBorder="1"/>
    <xf numFmtId="0" fontId="107" fillId="0" borderId="23" xfId="0" applyFont="1" applyBorder="1"/>
    <xf numFmtId="172" fontId="106" fillId="19" borderId="23" xfId="0" applyNumberFormat="1" applyFont="1" applyFill="1" applyBorder="1"/>
    <xf numFmtId="165" fontId="106" fillId="0" borderId="23" xfId="1" applyNumberFormat="1" applyFont="1" applyBorder="1"/>
    <xf numFmtId="165" fontId="0" fillId="0" borderId="23" xfId="1" applyNumberFormat="1" applyFont="1" applyBorder="1"/>
    <xf numFmtId="0" fontId="0" fillId="19" borderId="23" xfId="0" applyFill="1" applyBorder="1"/>
    <xf numFmtId="171" fontId="106" fillId="19" borderId="23" xfId="0" applyNumberFormat="1" applyFont="1" applyFill="1" applyBorder="1"/>
    <xf numFmtId="165" fontId="0" fillId="0" borderId="23" xfId="0" applyNumberFormat="1" applyBorder="1"/>
    <xf numFmtId="10" fontId="106" fillId="0" borderId="23" xfId="0" applyNumberFormat="1" applyFont="1" applyBorder="1"/>
    <xf numFmtId="10" fontId="0" fillId="0" borderId="23" xfId="0" applyNumberFormat="1" applyBorder="1"/>
    <xf numFmtId="171" fontId="107" fillId="19" borderId="23" xfId="0" applyNumberFormat="1" applyFont="1" applyFill="1" applyBorder="1"/>
    <xf numFmtId="0" fontId="107" fillId="19" borderId="23" xfId="0" applyFont="1" applyFill="1" applyBorder="1"/>
    <xf numFmtId="0" fontId="109" fillId="0" borderId="23" xfId="0" applyFont="1" applyBorder="1" applyAlignment="1">
      <alignment wrapText="1"/>
    </xf>
    <xf numFmtId="0" fontId="110" fillId="0" borderId="23" xfId="0" applyFont="1" applyBorder="1" applyAlignment="1">
      <alignment wrapText="1"/>
    </xf>
    <xf numFmtId="0" fontId="106" fillId="0" borderId="46" xfId="0" applyFont="1" applyBorder="1" applyAlignment="1">
      <alignment wrapText="1"/>
    </xf>
    <xf numFmtId="0" fontId="106" fillId="0" borderId="33" xfId="0" applyFont="1" applyBorder="1" applyAlignment="1">
      <alignment wrapText="1"/>
    </xf>
    <xf numFmtId="0" fontId="108" fillId="29" borderId="30" xfId="0" applyFont="1" applyFill="1" applyBorder="1" applyAlignment="1">
      <alignment horizontal="center" vertical="center" wrapText="1"/>
    </xf>
    <xf numFmtId="0" fontId="108" fillId="25" borderId="23" xfId="0" applyFont="1" applyFill="1" applyBorder="1" applyAlignment="1">
      <alignment vertical="center" wrapText="1"/>
    </xf>
    <xf numFmtId="172" fontId="12" fillId="25" borderId="23" xfId="0" applyNumberFormat="1" applyFont="1" applyFill="1" applyBorder="1" applyAlignment="1">
      <alignment vertical="center"/>
    </xf>
    <xf numFmtId="0" fontId="12" fillId="25" borderId="23" xfId="0" applyFont="1" applyFill="1" applyBorder="1" applyAlignment="1">
      <alignment vertical="center"/>
    </xf>
    <xf numFmtId="172" fontId="109" fillId="0" borderId="23" xfId="0" applyNumberFormat="1" applyFont="1" applyBorder="1"/>
    <xf numFmtId="0" fontId="109" fillId="0" borderId="23" xfId="0" applyFont="1" applyBorder="1"/>
    <xf numFmtId="0" fontId="113" fillId="0" borderId="0" xfId="0" applyFont="1"/>
    <xf numFmtId="165" fontId="39" fillId="66" borderId="74" xfId="0" applyNumberFormat="1" applyFont="1" applyFill="1" applyBorder="1" applyAlignment="1">
      <alignment horizontal="center" vertical="center" wrapText="1"/>
    </xf>
    <xf numFmtId="165" fontId="39" fillId="66" borderId="75" xfId="0" applyNumberFormat="1" applyFont="1" applyFill="1" applyBorder="1" applyAlignment="1">
      <alignment horizontal="center" vertical="center" wrapText="1"/>
    </xf>
    <xf numFmtId="165" fontId="39" fillId="66" borderId="76" xfId="0" applyNumberFormat="1" applyFont="1" applyFill="1" applyBorder="1" applyAlignment="1">
      <alignment horizontal="center" vertical="center" wrapText="1"/>
    </xf>
    <xf numFmtId="165" fontId="108" fillId="64" borderId="24" xfId="0" applyNumberFormat="1" applyFont="1" applyFill="1" applyBorder="1" applyAlignment="1">
      <alignment horizontal="center" vertical="center" wrapText="1"/>
    </xf>
    <xf numFmtId="165" fontId="111" fillId="64" borderId="24" xfId="0" applyNumberFormat="1" applyFont="1" applyFill="1" applyBorder="1" applyAlignment="1">
      <alignment horizontal="center" vertical="center" wrapText="1"/>
    </xf>
    <xf numFmtId="165" fontId="108" fillId="64" borderId="23" xfId="0" applyNumberFormat="1" applyFont="1" applyFill="1" applyBorder="1" applyAlignment="1">
      <alignment vertical="center" wrapText="1"/>
    </xf>
    <xf numFmtId="165" fontId="112" fillId="64" borderId="24" xfId="0" applyNumberFormat="1" applyFont="1" applyFill="1" applyBorder="1" applyAlignment="1">
      <alignment horizontal="center" vertical="center" wrapText="1"/>
    </xf>
    <xf numFmtId="0" fontId="51" fillId="31" borderId="8" xfId="0" applyFont="1" applyFill="1" applyBorder="1" applyAlignment="1">
      <alignment vertical="center" wrapText="1"/>
    </xf>
    <xf numFmtId="0" fontId="51" fillId="31" borderId="67" xfId="0" applyFont="1" applyFill="1" applyBorder="1" applyAlignment="1">
      <alignment vertical="center" wrapText="1"/>
    </xf>
    <xf numFmtId="0" fontId="51" fillId="31" borderId="68" xfId="0" applyFont="1" applyFill="1" applyBorder="1" applyAlignment="1">
      <alignment vertical="center" wrapText="1"/>
    </xf>
    <xf numFmtId="0" fontId="78" fillId="14" borderId="8" xfId="0" applyFont="1" applyFill="1" applyBorder="1" applyAlignment="1">
      <alignment vertical="center" wrapText="1"/>
    </xf>
    <xf numFmtId="0" fontId="78" fillId="44" borderId="8" xfId="0" applyFont="1" applyFill="1" applyBorder="1" applyAlignment="1">
      <alignment vertical="center" wrapText="1"/>
    </xf>
    <xf numFmtId="0" fontId="78" fillId="14" borderId="57" xfId="0" applyFont="1" applyFill="1" applyBorder="1" applyAlignment="1">
      <alignment vertical="center" wrapText="1"/>
    </xf>
    <xf numFmtId="0" fontId="78" fillId="14" borderId="61" xfId="0" applyFont="1" applyFill="1" applyBorder="1" applyAlignment="1">
      <alignment vertical="center" wrapText="1"/>
    </xf>
    <xf numFmtId="0" fontId="78" fillId="14" borderId="62" xfId="0" applyFont="1" applyFill="1" applyBorder="1" applyAlignment="1">
      <alignment vertical="center" wrapText="1"/>
    </xf>
    <xf numFmtId="0" fontId="77" fillId="14" borderId="57" xfId="0" applyFont="1" applyFill="1" applyBorder="1" applyAlignment="1">
      <alignment vertical="center" wrapText="1"/>
    </xf>
    <xf numFmtId="0" fontId="77" fillId="14" borderId="15" xfId="0" applyFont="1" applyFill="1" applyBorder="1" applyAlignment="1">
      <alignment vertical="center" wrapText="1"/>
    </xf>
    <xf numFmtId="0" fontId="77" fillId="14" borderId="64" xfId="0" applyFont="1" applyFill="1" applyBorder="1" applyAlignment="1">
      <alignment vertical="center" wrapText="1"/>
    </xf>
    <xf numFmtId="0" fontId="77" fillId="14" borderId="16" xfId="0" applyFont="1" applyFill="1" applyBorder="1" applyAlignment="1">
      <alignment vertical="center" wrapText="1"/>
    </xf>
    <xf numFmtId="0" fontId="77" fillId="14" borderId="84" xfId="0" applyFont="1" applyFill="1" applyBorder="1" applyAlignment="1">
      <alignment vertical="center" wrapText="1"/>
    </xf>
    <xf numFmtId="0" fontId="77" fillId="14" borderId="85" xfId="0" applyFont="1" applyFill="1" applyBorder="1" applyAlignment="1">
      <alignment vertical="center" wrapText="1"/>
    </xf>
    <xf numFmtId="0" fontId="77" fillId="14" borderId="61" xfId="0" applyFont="1" applyFill="1" applyBorder="1" applyAlignment="1">
      <alignment vertical="center" wrapText="1"/>
    </xf>
    <xf numFmtId="0" fontId="77" fillId="14" borderId="73" xfId="0" applyFont="1" applyFill="1" applyBorder="1" applyAlignment="1">
      <alignment vertical="center" wrapText="1"/>
    </xf>
    <xf numFmtId="0" fontId="77" fillId="14" borderId="70" xfId="0" applyFont="1" applyFill="1" applyBorder="1" applyAlignment="1">
      <alignment vertical="center" wrapText="1"/>
    </xf>
    <xf numFmtId="0" fontId="77" fillId="14" borderId="71" xfId="0" applyFont="1" applyFill="1" applyBorder="1" applyAlignment="1">
      <alignment vertical="center" wrapText="1"/>
    </xf>
    <xf numFmtId="0" fontId="77" fillId="14" borderId="81" xfId="0" applyFont="1" applyFill="1" applyBorder="1" applyAlignment="1">
      <alignment vertical="center" wrapText="1"/>
    </xf>
    <xf numFmtId="0" fontId="77" fillId="14" borderId="18" xfId="0" applyFont="1" applyFill="1" applyBorder="1" applyAlignment="1">
      <alignment vertical="center" wrapText="1"/>
    </xf>
    <xf numFmtId="0" fontId="77" fillId="14" borderId="56" xfId="0" applyFont="1" applyFill="1" applyBorder="1" applyAlignment="1">
      <alignment vertical="center" wrapText="1"/>
    </xf>
    <xf numFmtId="0" fontId="77" fillId="44" borderId="57" xfId="0" applyFont="1" applyFill="1" applyBorder="1" applyAlignment="1">
      <alignment vertical="center" wrapText="1"/>
    </xf>
    <xf numFmtId="0" fontId="77" fillId="44" borderId="56" xfId="0" applyFont="1" applyFill="1" applyBorder="1" applyAlignment="1">
      <alignment vertical="center" wrapText="1"/>
    </xf>
    <xf numFmtId="0" fontId="77" fillId="14" borderId="8" xfId="0" applyFont="1" applyFill="1" applyBorder="1" applyAlignment="1">
      <alignment vertical="center" wrapText="1"/>
    </xf>
    <xf numFmtId="0" fontId="114" fillId="14" borderId="8" xfId="0" applyFont="1" applyFill="1" applyBorder="1" applyAlignment="1">
      <alignment vertical="center" wrapText="1"/>
    </xf>
    <xf numFmtId="0" fontId="114" fillId="14" borderId="15" xfId="0" applyFont="1" applyFill="1" applyBorder="1" applyAlignment="1">
      <alignment vertical="center" wrapText="1"/>
    </xf>
    <xf numFmtId="0" fontId="114" fillId="44" borderId="8" xfId="0" applyFont="1" applyFill="1" applyBorder="1" applyAlignment="1">
      <alignment vertical="center" wrapText="1"/>
    </xf>
    <xf numFmtId="0" fontId="114" fillId="44" borderId="15" xfId="0" applyFont="1" applyFill="1" applyBorder="1" applyAlignment="1">
      <alignment vertical="center" wrapText="1"/>
    </xf>
    <xf numFmtId="164" fontId="18" fillId="0" borderId="0" xfId="1" applyNumberFormat="1" applyFont="1" applyAlignment="1"/>
    <xf numFmtId="165" fontId="115" fillId="67" borderId="23" xfId="0" applyNumberFormat="1" applyFont="1" applyFill="1" applyBorder="1" applyAlignment="1">
      <alignment horizontal="center" vertical="center"/>
    </xf>
    <xf numFmtId="0" fontId="116" fillId="0" borderId="25" xfId="0" applyFont="1" applyBorder="1" applyAlignment="1">
      <alignment horizontal="center" vertical="center" wrapText="1"/>
    </xf>
    <xf numFmtId="0" fontId="117" fillId="26" borderId="25" xfId="0" applyFont="1" applyFill="1" applyBorder="1" applyAlignment="1">
      <alignment horizontal="center" vertical="center" wrapText="1"/>
    </xf>
    <xf numFmtId="0" fontId="117" fillId="27" borderId="25" xfId="0" applyFont="1" applyFill="1" applyBorder="1" applyAlignment="1">
      <alignment horizontal="center" vertical="center" wrapText="1"/>
    </xf>
    <xf numFmtId="0" fontId="117" fillId="19" borderId="25" xfId="0" applyFont="1" applyFill="1" applyBorder="1" applyAlignment="1">
      <alignment horizontal="center" vertical="center" wrapText="1"/>
    </xf>
    <xf numFmtId="0" fontId="117" fillId="28" borderId="25" xfId="0" applyFont="1" applyFill="1" applyBorder="1" applyAlignment="1">
      <alignment horizontal="center" vertical="center" wrapText="1"/>
    </xf>
    <xf numFmtId="0" fontId="117" fillId="25" borderId="25" xfId="0" applyFont="1" applyFill="1" applyBorder="1" applyAlignment="1">
      <alignment horizontal="center" vertical="center" wrapText="1"/>
    </xf>
    <xf numFmtId="0" fontId="53" fillId="19" borderId="23" xfId="0" applyFont="1" applyFill="1" applyBorder="1"/>
    <xf numFmtId="43" fontId="51" fillId="19" borderId="23" xfId="3" applyFont="1" applyFill="1" applyBorder="1" applyAlignment="1">
      <alignment horizontal="center" vertical="center" wrapText="1"/>
    </xf>
    <xf numFmtId="0" fontId="53" fillId="0" borderId="50" xfId="0" applyFont="1" applyBorder="1"/>
    <xf numFmtId="0" fontId="51" fillId="0" borderId="20" xfId="0" applyFont="1" applyBorder="1" applyAlignment="1">
      <alignment vertical="center" wrapText="1"/>
    </xf>
    <xf numFmtId="0" fontId="39" fillId="26" borderId="1" xfId="0" applyFont="1" applyFill="1" applyBorder="1" applyAlignment="1">
      <alignment vertical="center" wrapText="1"/>
    </xf>
    <xf numFmtId="9" fontId="39" fillId="26" borderId="50" xfId="0" applyNumberFormat="1" applyFont="1" applyFill="1" applyBorder="1" applyAlignment="1">
      <alignment horizontal="left" vertical="center" wrapText="1"/>
    </xf>
    <xf numFmtId="0" fontId="66" fillId="31" borderId="70" xfId="0" applyFont="1" applyFill="1" applyBorder="1" applyAlignment="1">
      <alignment vertical="center" wrapText="1"/>
    </xf>
    <xf numFmtId="0" fontId="66" fillId="31" borderId="71" xfId="0" applyFont="1" applyFill="1" applyBorder="1" applyAlignment="1">
      <alignment vertical="center" wrapText="1"/>
    </xf>
    <xf numFmtId="167" fontId="66" fillId="22" borderId="13" xfId="0" applyNumberFormat="1" applyFont="1" applyFill="1" applyBorder="1" applyAlignment="1">
      <alignment horizontal="center" vertical="center" wrapText="1"/>
    </xf>
    <xf numFmtId="0" fontId="52" fillId="26" borderId="120" xfId="0" applyFont="1" applyFill="1" applyBorder="1" applyAlignment="1">
      <alignment vertical="center" wrapText="1"/>
    </xf>
    <xf numFmtId="0" fontId="52" fillId="26" borderId="42" xfId="0" applyFont="1" applyFill="1" applyBorder="1" applyAlignment="1">
      <alignment vertical="center" wrapText="1"/>
    </xf>
    <xf numFmtId="0" fontId="51" fillId="19" borderId="23" xfId="0" applyFont="1" applyFill="1" applyBorder="1" applyAlignment="1">
      <alignment wrapText="1"/>
    </xf>
    <xf numFmtId="9" fontId="67" fillId="0" borderId="25" xfId="0" applyNumberFormat="1" applyFont="1" applyBorder="1" applyAlignment="1">
      <alignment horizontal="center" vertical="center" wrapText="1"/>
    </xf>
    <xf numFmtId="165" fontId="15" fillId="0" borderId="0" xfId="0" applyNumberFormat="1" applyFont="1"/>
    <xf numFmtId="10" fontId="12" fillId="20" borderId="23" xfId="0" applyNumberFormat="1" applyFont="1" applyFill="1" applyBorder="1" applyAlignment="1">
      <alignment horizontal="center"/>
    </xf>
    <xf numFmtId="165" fontId="0" fillId="20" borderId="23" xfId="1" applyNumberFormat="1" applyFont="1" applyFill="1" applyBorder="1" applyAlignment="1">
      <alignment horizontal="center" vertical="center"/>
    </xf>
    <xf numFmtId="165" fontId="12" fillId="26" borderId="23" xfId="0" applyNumberFormat="1" applyFont="1" applyFill="1" applyBorder="1" applyAlignment="1">
      <alignment horizontal="center"/>
    </xf>
    <xf numFmtId="165" fontId="12" fillId="29" borderId="23" xfId="1" applyNumberFormat="1" applyFont="1" applyFill="1" applyBorder="1" applyAlignment="1">
      <alignment horizontal="center" wrapText="1"/>
    </xf>
    <xf numFmtId="165" fontId="0" fillId="26" borderId="23" xfId="1" applyNumberFormat="1" applyFont="1" applyFill="1" applyBorder="1" applyAlignment="1">
      <alignment horizontal="center"/>
    </xf>
    <xf numFmtId="165" fontId="12" fillId="26" borderId="23" xfId="1" applyNumberFormat="1" applyFont="1" applyFill="1" applyBorder="1" applyAlignment="1">
      <alignment horizontal="center" vertical="center"/>
    </xf>
    <xf numFmtId="165" fontId="54" fillId="26" borderId="23" xfId="1" applyNumberFormat="1" applyFont="1" applyFill="1" applyBorder="1" applyAlignment="1">
      <alignment horizontal="center" vertical="center"/>
    </xf>
    <xf numFmtId="165" fontId="113" fillId="26" borderId="23" xfId="0" applyNumberFormat="1" applyFont="1" applyFill="1" applyBorder="1" applyAlignment="1">
      <alignment horizontal="center" vertical="center"/>
    </xf>
    <xf numFmtId="165" fontId="0" fillId="19" borderId="159" xfId="1" applyNumberFormat="1" applyFont="1" applyFill="1" applyBorder="1" applyAlignment="1">
      <alignment horizontal="center" vertical="center"/>
    </xf>
    <xf numFmtId="0" fontId="78" fillId="26" borderId="24" xfId="0" applyFont="1" applyFill="1" applyBorder="1" applyAlignment="1">
      <alignment horizontal="center" vertical="center" wrapText="1"/>
    </xf>
    <xf numFmtId="0" fontId="119" fillId="20" borderId="0" xfId="0" applyFont="1" applyFill="1" applyAlignment="1">
      <alignment vertical="center" wrapText="1"/>
    </xf>
    <xf numFmtId="165" fontId="66" fillId="0" borderId="49" xfId="0" applyNumberFormat="1" applyFont="1" applyBorder="1" applyAlignment="1">
      <alignment horizontal="center" vertical="center" wrapText="1"/>
    </xf>
    <xf numFmtId="0" fontId="51" fillId="44" borderId="8" xfId="0" applyFont="1" applyFill="1" applyBorder="1" applyAlignment="1">
      <alignment vertical="center" wrapText="1"/>
    </xf>
    <xf numFmtId="0" fontId="77" fillId="0" borderId="78" xfId="0" applyFont="1" applyBorder="1" applyAlignment="1">
      <alignment wrapText="1"/>
    </xf>
    <xf numFmtId="0" fontId="88" fillId="0" borderId="23" xfId="0" applyFont="1" applyBorder="1" applyAlignment="1">
      <alignment horizontal="center" vertical="center" wrapText="1"/>
    </xf>
    <xf numFmtId="0" fontId="77" fillId="56" borderId="23" xfId="0" applyFont="1" applyFill="1" applyBorder="1" applyAlignment="1">
      <alignment horizontal="center" vertical="center" wrapText="1"/>
    </xf>
    <xf numFmtId="0" fontId="88" fillId="26" borderId="24" xfId="0" applyFont="1" applyFill="1" applyBorder="1" applyAlignment="1">
      <alignment horizontal="left" vertical="center" wrapText="1"/>
    </xf>
    <xf numFmtId="0" fontId="88" fillId="26" borderId="24" xfId="0" applyFont="1" applyFill="1" applyBorder="1" applyAlignment="1">
      <alignment vertical="center" wrapText="1"/>
    </xf>
    <xf numFmtId="0" fontId="66" fillId="29" borderId="7" xfId="0" applyFont="1" applyFill="1" applyBorder="1" applyAlignment="1">
      <alignment horizontal="center" vertical="center" wrapText="1"/>
    </xf>
    <xf numFmtId="165" fontId="66" fillId="20" borderId="7" xfId="0" applyNumberFormat="1" applyFont="1" applyFill="1" applyBorder="1" applyAlignment="1">
      <alignment horizontal="center" vertical="center" wrapText="1"/>
    </xf>
    <xf numFmtId="0" fontId="77" fillId="31" borderId="57" xfId="0" applyFont="1" applyFill="1" applyBorder="1" applyAlignment="1">
      <alignment vertical="center" wrapText="1"/>
    </xf>
    <xf numFmtId="0" fontId="77" fillId="31" borderId="56" xfId="0" applyFont="1" applyFill="1" applyBorder="1" applyAlignment="1">
      <alignment vertical="center" wrapText="1"/>
    </xf>
    <xf numFmtId="0" fontId="78" fillId="14" borderId="67" xfId="0" applyFont="1" applyFill="1" applyBorder="1" applyAlignment="1">
      <alignment vertical="center" wrapText="1"/>
    </xf>
    <xf numFmtId="0" fontId="78" fillId="14" borderId="68" xfId="0" applyFont="1" applyFill="1" applyBorder="1" applyAlignment="1">
      <alignment vertical="center" wrapText="1"/>
    </xf>
    <xf numFmtId="0" fontId="78" fillId="14" borderId="70" xfId="0" applyFont="1" applyFill="1" applyBorder="1" applyAlignment="1">
      <alignment vertical="center" wrapText="1"/>
    </xf>
    <xf numFmtId="0" fontId="78" fillId="14" borderId="71" xfId="0" applyFont="1" applyFill="1" applyBorder="1" applyAlignment="1">
      <alignment vertical="center" wrapText="1"/>
    </xf>
    <xf numFmtId="0" fontId="78" fillId="14" borderId="37" xfId="0" applyFont="1" applyFill="1" applyBorder="1" applyAlignment="1">
      <alignment vertical="center" wrapText="1"/>
    </xf>
    <xf numFmtId="0" fontId="78" fillId="14" borderId="24" xfId="0" applyFont="1" applyFill="1" applyBorder="1" applyAlignment="1">
      <alignment vertical="center" wrapText="1"/>
    </xf>
    <xf numFmtId="0" fontId="78" fillId="14" borderId="15" xfId="0" applyFont="1" applyFill="1" applyBorder="1" applyAlignment="1">
      <alignment vertical="center" wrapText="1"/>
    </xf>
    <xf numFmtId="0" fontId="78" fillId="44" borderId="57" xfId="0" applyFont="1" applyFill="1" applyBorder="1" applyAlignment="1">
      <alignment vertical="center" wrapText="1"/>
    </xf>
    <xf numFmtId="0" fontId="78" fillId="44" borderId="15" xfId="0" applyFont="1" applyFill="1" applyBorder="1" applyAlignment="1">
      <alignment vertical="center" wrapText="1"/>
    </xf>
    <xf numFmtId="0" fontId="77" fillId="14" borderId="67" xfId="0" applyFont="1" applyFill="1" applyBorder="1" applyAlignment="1">
      <alignment vertical="center" wrapText="1"/>
    </xf>
    <xf numFmtId="0" fontId="77" fillId="14" borderId="68" xfId="0" applyFont="1" applyFill="1" applyBorder="1" applyAlignment="1">
      <alignment vertical="center" wrapText="1"/>
    </xf>
    <xf numFmtId="0" fontId="54" fillId="26" borderId="46" xfId="0" applyFont="1" applyFill="1" applyBorder="1" applyAlignment="1">
      <alignment vertical="center"/>
    </xf>
    <xf numFmtId="0" fontId="53" fillId="0" borderId="33" xfId="0" applyFont="1" applyBorder="1"/>
    <xf numFmtId="0" fontId="53" fillId="0" borderId="30" xfId="0" applyFont="1" applyBorder="1"/>
    <xf numFmtId="9" fontId="52" fillId="26" borderId="26" xfId="0" applyNumberFormat="1" applyFont="1" applyFill="1" applyBorder="1" applyAlignment="1">
      <alignment horizontal="center" vertical="center" wrapText="1"/>
    </xf>
    <xf numFmtId="0" fontId="52" fillId="26" borderId="26" xfId="0" applyFont="1" applyFill="1" applyBorder="1" applyAlignment="1">
      <alignment vertical="center" wrapText="1"/>
    </xf>
    <xf numFmtId="9" fontId="52" fillId="26" borderId="46" xfId="0" applyNumberFormat="1" applyFont="1" applyFill="1" applyBorder="1" applyAlignment="1">
      <alignment horizontal="center" vertical="center" wrapText="1"/>
    </xf>
    <xf numFmtId="0" fontId="52" fillId="19" borderId="26" xfId="0" applyFont="1" applyFill="1" applyBorder="1" applyAlignment="1">
      <alignment vertical="center" wrapText="1"/>
    </xf>
    <xf numFmtId="0" fontId="54" fillId="26" borderId="36" xfId="0" applyFont="1" applyFill="1" applyBorder="1" applyAlignment="1">
      <alignment vertical="center"/>
    </xf>
    <xf numFmtId="0" fontId="53" fillId="0" borderId="31" xfId="0" applyFont="1" applyBorder="1"/>
    <xf numFmtId="0" fontId="54" fillId="26" borderId="24" xfId="0" applyFont="1" applyFill="1" applyBorder="1" applyAlignment="1">
      <alignment vertical="center"/>
    </xf>
    <xf numFmtId="0" fontId="42" fillId="20" borderId="46" xfId="0" applyFont="1" applyFill="1" applyBorder="1" applyAlignment="1">
      <alignment wrapText="1"/>
    </xf>
    <xf numFmtId="9" fontId="52" fillId="20" borderId="116" xfId="0" applyNumberFormat="1" applyFont="1" applyFill="1" applyBorder="1" applyAlignment="1">
      <alignment horizontal="center" vertical="center" wrapText="1"/>
    </xf>
    <xf numFmtId="0" fontId="78" fillId="14" borderId="64" xfId="0" applyFont="1" applyFill="1" applyBorder="1" applyAlignment="1">
      <alignment vertical="center" wrapText="1"/>
    </xf>
    <xf numFmtId="0" fontId="78" fillId="14" borderId="16" xfId="0" applyFont="1" applyFill="1" applyBorder="1" applyAlignment="1">
      <alignment vertical="center" wrapText="1"/>
    </xf>
    <xf numFmtId="0" fontId="66" fillId="31" borderId="57" xfId="0" applyFont="1" applyFill="1" applyBorder="1" applyAlignment="1">
      <alignment vertical="center" wrapText="1"/>
    </xf>
    <xf numFmtId="0" fontId="67" fillId="25" borderId="1" xfId="0" applyFont="1" applyFill="1" applyBorder="1" applyAlignment="1">
      <alignment vertical="center" wrapText="1"/>
    </xf>
    <xf numFmtId="3" fontId="68" fillId="22" borderId="23" xfId="0" applyNumberFormat="1" applyFont="1" applyFill="1" applyBorder="1" applyAlignment="1">
      <alignment horizontal="center" vertical="center" wrapText="1"/>
    </xf>
    <xf numFmtId="0" fontId="67" fillId="25" borderId="24" xfId="0" applyFont="1" applyFill="1" applyBorder="1" applyAlignment="1">
      <alignment vertical="center" wrapText="1"/>
    </xf>
    <xf numFmtId="0" fontId="78" fillId="44" borderId="70" xfId="0" applyFont="1" applyFill="1" applyBorder="1" applyAlignment="1">
      <alignment vertical="center" wrapText="1"/>
    </xf>
    <xf numFmtId="0" fontId="78" fillId="44" borderId="71" xfId="0" applyFont="1" applyFill="1" applyBorder="1" applyAlignment="1">
      <alignment vertical="center" wrapText="1"/>
    </xf>
    <xf numFmtId="0" fontId="51" fillId="31" borderId="57" xfId="0" applyFont="1" applyFill="1" applyBorder="1" applyAlignment="1">
      <alignment vertical="center" wrapText="1"/>
    </xf>
    <xf numFmtId="0" fontId="51" fillId="31" borderId="56" xfId="0" applyFont="1" applyFill="1" applyBorder="1" applyAlignment="1">
      <alignment vertical="center" wrapText="1"/>
    </xf>
    <xf numFmtId="9" fontId="52" fillId="26" borderId="46" xfId="0" applyNumberFormat="1" applyFont="1" applyFill="1" applyBorder="1" applyAlignment="1">
      <alignment horizontal="left" vertical="center" wrapText="1"/>
    </xf>
    <xf numFmtId="0" fontId="51" fillId="0" borderId="30" xfId="0" applyFont="1" applyBorder="1" applyAlignment="1">
      <alignment wrapText="1"/>
    </xf>
    <xf numFmtId="0" fontId="77" fillId="44" borderId="8" xfId="0" applyFont="1" applyFill="1" applyBorder="1" applyAlignment="1">
      <alignment vertical="center" wrapText="1"/>
    </xf>
    <xf numFmtId="0" fontId="77" fillId="31" borderId="8" xfId="0" applyFont="1" applyFill="1" applyBorder="1" applyAlignment="1">
      <alignment vertical="center" wrapText="1"/>
    </xf>
    <xf numFmtId="0" fontId="51" fillId="31" borderId="15" xfId="0" applyFont="1" applyFill="1" applyBorder="1" applyAlignment="1">
      <alignment vertical="center" wrapText="1"/>
    </xf>
    <xf numFmtId="0" fontId="77" fillId="44" borderId="15" xfId="0" applyFont="1" applyFill="1" applyBorder="1" applyAlignment="1">
      <alignment vertical="center" wrapText="1"/>
    </xf>
    <xf numFmtId="0" fontId="77" fillId="31" borderId="15" xfId="0" applyFont="1" applyFill="1" applyBorder="1" applyAlignment="1">
      <alignment vertical="center" wrapText="1"/>
    </xf>
    <xf numFmtId="0" fontId="51" fillId="54" borderId="23" xfId="0" applyFont="1" applyFill="1" applyBorder="1" applyAlignment="1">
      <alignment horizontal="center" vertical="center" wrapText="1"/>
    </xf>
    <xf numFmtId="10" fontId="83" fillId="33" borderId="23" xfId="0" applyNumberFormat="1" applyFont="1" applyFill="1" applyBorder="1" applyAlignment="1">
      <alignment horizontal="center" vertical="center" wrapText="1"/>
    </xf>
    <xf numFmtId="10" fontId="66" fillId="0" borderId="13" xfId="1" applyNumberFormat="1" applyFont="1" applyBorder="1" applyAlignment="1">
      <alignment horizontal="center" vertical="center" wrapText="1"/>
    </xf>
    <xf numFmtId="169" fontId="66" fillId="22" borderId="13" xfId="3" applyNumberFormat="1" applyFont="1" applyFill="1" applyBorder="1" applyAlignment="1">
      <alignment horizontal="center" vertical="center" wrapText="1"/>
    </xf>
    <xf numFmtId="0" fontId="66" fillId="31" borderId="24" xfId="0" applyFont="1" applyFill="1" applyBorder="1" applyAlignment="1">
      <alignment vertical="center" wrapText="1"/>
    </xf>
    <xf numFmtId="0" fontId="66" fillId="31" borderId="72" xfId="0" applyFont="1" applyFill="1" applyBorder="1" applyAlignment="1">
      <alignment vertical="center" wrapText="1"/>
    </xf>
    <xf numFmtId="9" fontId="67" fillId="26" borderId="46" xfId="0" applyNumberFormat="1" applyFont="1" applyFill="1" applyBorder="1" applyAlignment="1">
      <alignment horizontal="center" vertical="center" wrapText="1"/>
    </xf>
    <xf numFmtId="0" fontId="78" fillId="44" borderId="64" xfId="0" applyFont="1" applyFill="1" applyBorder="1" applyAlignment="1">
      <alignment vertical="center" wrapText="1"/>
    </xf>
    <xf numFmtId="0" fontId="78" fillId="44" borderId="16" xfId="0" applyFont="1" applyFill="1" applyBorder="1" applyAlignment="1">
      <alignment vertical="center" wrapText="1"/>
    </xf>
    <xf numFmtId="9" fontId="39" fillId="26" borderId="120" xfId="0" applyNumberFormat="1" applyFont="1" applyFill="1" applyBorder="1" applyAlignment="1">
      <alignment horizontal="center" vertical="center" wrapText="1"/>
    </xf>
    <xf numFmtId="0" fontId="77" fillId="44" borderId="64" xfId="0" applyFont="1" applyFill="1" applyBorder="1" applyAlignment="1">
      <alignment vertical="center" wrapText="1"/>
    </xf>
    <xf numFmtId="0" fontId="77" fillId="44" borderId="16" xfId="0" applyFont="1" applyFill="1" applyBorder="1" applyAlignment="1">
      <alignment vertical="center" wrapText="1"/>
    </xf>
    <xf numFmtId="0" fontId="77" fillId="44" borderId="70" xfId="0" applyFont="1" applyFill="1" applyBorder="1" applyAlignment="1">
      <alignment vertical="center" wrapText="1"/>
    </xf>
    <xf numFmtId="0" fontId="77" fillId="44" borderId="71" xfId="0" applyFont="1" applyFill="1" applyBorder="1" applyAlignment="1">
      <alignment vertical="center" wrapText="1"/>
    </xf>
    <xf numFmtId="0" fontId="77" fillId="44" borderId="67" xfId="0" applyFont="1" applyFill="1" applyBorder="1" applyAlignment="1">
      <alignment vertical="center" wrapText="1"/>
    </xf>
    <xf numFmtId="0" fontId="77" fillId="44" borderId="68" xfId="0" applyFont="1" applyFill="1" applyBorder="1" applyAlignment="1">
      <alignment vertical="center" wrapText="1"/>
    </xf>
    <xf numFmtId="44" fontId="51" fillId="0" borderId="23" xfId="4" applyFont="1" applyBorder="1" applyAlignment="1">
      <alignment vertical="center" wrapText="1"/>
    </xf>
    <xf numFmtId="0" fontId="78" fillId="31" borderId="8" xfId="0" applyFont="1" applyFill="1" applyBorder="1" applyAlignment="1">
      <alignment vertical="center" wrapText="1"/>
    </xf>
    <xf numFmtId="165" fontId="66" fillId="22" borderId="13" xfId="1" applyNumberFormat="1" applyFont="1" applyFill="1" applyBorder="1" applyAlignment="1">
      <alignment horizontal="center" vertical="center" wrapText="1"/>
    </xf>
    <xf numFmtId="0" fontId="78" fillId="14" borderId="133" xfId="0" applyFont="1" applyFill="1" applyBorder="1" applyAlignment="1">
      <alignment vertical="center" wrapText="1"/>
    </xf>
    <xf numFmtId="0" fontId="78" fillId="14" borderId="134" xfId="0" applyFont="1" applyFill="1" applyBorder="1" applyAlignment="1">
      <alignment vertical="center" wrapText="1"/>
    </xf>
    <xf numFmtId="2" fontId="53" fillId="0" borderId="23" xfId="0" applyNumberFormat="1" applyFont="1" applyBorder="1" applyAlignment="1">
      <alignment horizontal="center" vertical="center"/>
    </xf>
    <xf numFmtId="2" fontId="53" fillId="22" borderId="23" xfId="0" applyNumberFormat="1" applyFont="1" applyFill="1" applyBorder="1" applyAlignment="1">
      <alignment horizontal="center" vertical="center"/>
    </xf>
    <xf numFmtId="165" fontId="51" fillId="20" borderId="23" xfId="0" applyNumberFormat="1" applyFont="1" applyFill="1" applyBorder="1" applyAlignment="1">
      <alignment horizontal="center" vertical="center" wrapText="1"/>
    </xf>
    <xf numFmtId="0" fontId="114" fillId="31" borderId="8" xfId="0" applyFont="1" applyFill="1" applyBorder="1" applyAlignment="1">
      <alignment vertical="center" wrapText="1"/>
    </xf>
    <xf numFmtId="0" fontId="114" fillId="31" borderId="15" xfId="0" applyFont="1" applyFill="1" applyBorder="1" applyAlignment="1">
      <alignment vertical="center" wrapText="1"/>
    </xf>
    <xf numFmtId="10" fontId="115" fillId="67" borderId="23" xfId="0" applyNumberFormat="1" applyFont="1" applyFill="1" applyBorder="1" applyAlignment="1">
      <alignment horizontal="center" vertical="center"/>
    </xf>
    <xf numFmtId="165" fontId="0" fillId="68" borderId="23" xfId="0" applyNumberFormat="1" applyFill="1" applyBorder="1" applyAlignment="1">
      <alignment horizontal="center" vertical="center"/>
    </xf>
    <xf numFmtId="0" fontId="66" fillId="22" borderId="139" xfId="0" applyFont="1" applyFill="1" applyBorder="1" applyAlignment="1">
      <alignment horizontal="center" vertical="center" wrapText="1"/>
    </xf>
    <xf numFmtId="0" fontId="68" fillId="22" borderId="140" xfId="0" applyFont="1" applyFill="1" applyBorder="1" applyAlignment="1">
      <alignment horizontal="center" vertical="center" wrapText="1"/>
    </xf>
    <xf numFmtId="0" fontId="66" fillId="19" borderId="12" xfId="0" applyFont="1" applyFill="1" applyBorder="1" applyAlignment="1">
      <alignment horizontal="center" vertical="center" wrapText="1"/>
    </xf>
    <xf numFmtId="0" fontId="68" fillId="22" borderId="0" xfId="0" applyFont="1" applyFill="1" applyAlignment="1">
      <alignment horizontal="center" vertical="center" wrapText="1"/>
    </xf>
    <xf numFmtId="0" fontId="68" fillId="22" borderId="72" xfId="0" applyFont="1" applyFill="1" applyBorder="1" applyAlignment="1">
      <alignment horizontal="center" vertical="center" wrapText="1"/>
    </xf>
    <xf numFmtId="167" fontId="66" fillId="22" borderId="7" xfId="0" applyNumberFormat="1" applyFont="1" applyFill="1" applyBorder="1" applyAlignment="1">
      <alignment horizontal="center" vertical="center" wrapText="1"/>
    </xf>
    <xf numFmtId="0" fontId="66" fillId="22" borderId="137" xfId="0" applyFont="1" applyFill="1" applyBorder="1" applyAlignment="1">
      <alignment horizontal="center" vertical="center" wrapText="1"/>
    </xf>
    <xf numFmtId="0" fontId="66" fillId="25" borderId="23" xfId="0" applyFont="1" applyFill="1" applyBorder="1" applyAlignment="1">
      <alignment horizontal="center" vertical="center" wrapText="1"/>
    </xf>
    <xf numFmtId="0" fontId="66" fillId="0" borderId="46" xfId="0" applyFont="1" applyBorder="1" applyAlignment="1">
      <alignment horizontal="center" vertical="center" wrapText="1"/>
    </xf>
    <xf numFmtId="165" fontId="67" fillId="33" borderId="89" xfId="0" applyNumberFormat="1" applyFont="1" applyFill="1" applyBorder="1" applyAlignment="1">
      <alignment horizontal="center" vertical="center" wrapText="1"/>
    </xf>
    <xf numFmtId="0" fontId="78" fillId="14" borderId="129" xfId="0" applyFont="1" applyFill="1" applyBorder="1" applyAlignment="1">
      <alignment vertical="center" wrapText="1"/>
    </xf>
    <xf numFmtId="164" fontId="121" fillId="0" borderId="0" xfId="1" applyNumberFormat="1" applyFont="1" applyAlignment="1"/>
    <xf numFmtId="0" fontId="15" fillId="0" borderId="23" xfId="0" applyFont="1" applyBorder="1" applyAlignment="1">
      <alignment horizontal="center"/>
    </xf>
    <xf numFmtId="0" fontId="28" fillId="50" borderId="23" xfId="0" applyFont="1" applyFill="1" applyBorder="1" applyAlignment="1">
      <alignment horizontal="center" vertical="center" wrapText="1"/>
    </xf>
    <xf numFmtId="165" fontId="28" fillId="0" borderId="0" xfId="0" applyNumberFormat="1" applyFont="1" applyAlignment="1">
      <alignment horizontal="center" vertical="center"/>
    </xf>
    <xf numFmtId="165" fontId="28" fillId="19" borderId="23" xfId="0" applyNumberFormat="1" applyFont="1" applyFill="1" applyBorder="1" applyAlignment="1">
      <alignment horizontal="center" vertical="center"/>
    </xf>
    <xf numFmtId="165" fontId="28" fillId="0" borderId="23" xfId="0" applyNumberFormat="1" applyFont="1" applyBorder="1" applyAlignment="1">
      <alignment horizontal="center" vertical="center"/>
    </xf>
    <xf numFmtId="0" fontId="15" fillId="0" borderId="23" xfId="0" applyFont="1" applyBorder="1" applyAlignment="1">
      <alignment wrapText="1"/>
    </xf>
    <xf numFmtId="165" fontId="15" fillId="0" borderId="23" xfId="0" applyNumberFormat="1" applyFont="1" applyBorder="1" applyAlignment="1">
      <alignment horizontal="center" vertical="center"/>
    </xf>
    <xf numFmtId="165" fontId="15" fillId="26" borderId="23" xfId="0" applyNumberFormat="1" applyFont="1" applyFill="1" applyBorder="1" applyAlignment="1">
      <alignment horizontal="center" vertical="center"/>
    </xf>
    <xf numFmtId="165" fontId="15" fillId="29" borderId="23" xfId="0" applyNumberFormat="1" applyFont="1" applyFill="1" applyBorder="1" applyAlignment="1">
      <alignment horizontal="center" vertical="center"/>
    </xf>
    <xf numFmtId="165" fontId="15" fillId="49" borderId="23" xfId="0" applyNumberFormat="1" applyFont="1" applyFill="1" applyBorder="1" applyAlignment="1">
      <alignment horizontal="center" vertical="center"/>
    </xf>
    <xf numFmtId="165" fontId="15" fillId="19" borderId="23" xfId="0" applyNumberFormat="1" applyFont="1" applyFill="1" applyBorder="1" applyAlignment="1">
      <alignment horizontal="center" vertical="center"/>
    </xf>
    <xf numFmtId="165" fontId="113" fillId="26" borderId="23" xfId="1" applyNumberFormat="1" applyFont="1" applyFill="1" applyBorder="1" applyAlignment="1">
      <alignment horizontal="center" vertical="center"/>
    </xf>
    <xf numFmtId="165" fontId="0" fillId="68" borderId="23" xfId="1" applyNumberFormat="1" applyFont="1" applyFill="1" applyBorder="1" applyAlignment="1">
      <alignment horizontal="center" vertical="center"/>
    </xf>
    <xf numFmtId="165" fontId="12" fillId="29" borderId="23" xfId="1" applyNumberFormat="1" applyFont="1" applyFill="1" applyBorder="1" applyAlignment="1">
      <alignment horizontal="center" vertical="center"/>
    </xf>
    <xf numFmtId="10" fontId="12" fillId="68" borderId="23" xfId="0" applyNumberFormat="1" applyFont="1" applyFill="1" applyBorder="1" applyAlignment="1">
      <alignment horizontal="center" vertical="center"/>
    </xf>
    <xf numFmtId="165" fontId="0" fillId="26" borderId="159" xfId="1" applyNumberFormat="1" applyFont="1" applyFill="1" applyBorder="1" applyAlignment="1">
      <alignment horizontal="center" vertical="center"/>
    </xf>
    <xf numFmtId="165" fontId="28" fillId="29" borderId="23" xfId="1" applyNumberFormat="1" applyFont="1" applyFill="1" applyBorder="1" applyAlignment="1">
      <alignment horizontal="center" vertical="center"/>
    </xf>
    <xf numFmtId="165" fontId="12" fillId="68" borderId="23" xfId="0" applyNumberFormat="1" applyFont="1" applyFill="1" applyBorder="1" applyAlignment="1">
      <alignment horizontal="center" vertical="center"/>
    </xf>
    <xf numFmtId="165" fontId="12" fillId="29" borderId="159" xfId="1" applyNumberFormat="1" applyFont="1" applyFill="1" applyBorder="1" applyAlignment="1">
      <alignment horizontal="center" vertical="center"/>
    </xf>
    <xf numFmtId="165" fontId="74" fillId="9" borderId="24" xfId="0" applyNumberFormat="1" applyFont="1" applyFill="1" applyBorder="1" applyAlignment="1">
      <alignment horizontal="center" vertical="center" wrapText="1"/>
    </xf>
    <xf numFmtId="165" fontId="74" fillId="6" borderId="42" xfId="0" applyNumberFormat="1" applyFont="1" applyFill="1" applyBorder="1" applyAlignment="1">
      <alignment horizontal="center" vertical="center" wrapText="1"/>
    </xf>
    <xf numFmtId="165" fontId="74" fillId="9" borderId="42" xfId="0" applyNumberFormat="1" applyFont="1" applyFill="1" applyBorder="1" applyAlignment="1">
      <alignment horizontal="center" vertical="center" wrapText="1"/>
    </xf>
    <xf numFmtId="173" fontId="34" fillId="0" borderId="0" xfId="1" applyNumberFormat="1" applyFont="1" applyAlignment="1"/>
    <xf numFmtId="173" fontId="123" fillId="0" borderId="0" xfId="0" applyNumberFormat="1" applyFont="1"/>
    <xf numFmtId="0" fontId="124" fillId="0" borderId="40" xfId="0" applyFont="1" applyBorder="1" applyAlignment="1">
      <alignment vertical="center"/>
    </xf>
    <xf numFmtId="0" fontId="77" fillId="31" borderId="70" xfId="0" applyFont="1" applyFill="1" applyBorder="1" applyAlignment="1">
      <alignment vertical="center" wrapText="1"/>
    </xf>
    <xf numFmtId="0" fontId="77" fillId="31" borderId="71" xfId="0" applyFont="1" applyFill="1" applyBorder="1" applyAlignment="1">
      <alignment vertical="center" wrapText="1"/>
    </xf>
    <xf numFmtId="0" fontId="77" fillId="31" borderId="67" xfId="0" applyFont="1" applyFill="1" applyBorder="1" applyAlignment="1">
      <alignment vertical="center" wrapText="1"/>
    </xf>
    <xf numFmtId="0" fontId="77" fillId="31" borderId="68" xfId="0" applyFont="1" applyFill="1" applyBorder="1" applyAlignment="1">
      <alignment vertical="center" wrapText="1"/>
    </xf>
    <xf numFmtId="0" fontId="66" fillId="20" borderId="43" xfId="0" applyFont="1" applyFill="1" applyBorder="1" applyAlignment="1">
      <alignment horizontal="center" vertical="center" wrapText="1"/>
    </xf>
    <xf numFmtId="0" fontId="78" fillId="31" borderId="81" xfId="0" applyFont="1" applyFill="1" applyBorder="1" applyAlignment="1">
      <alignment vertical="center" wrapText="1"/>
    </xf>
    <xf numFmtId="0" fontId="78" fillId="31" borderId="18" xfId="0" applyFont="1" applyFill="1" applyBorder="1" applyAlignment="1">
      <alignment vertical="center" wrapText="1"/>
    </xf>
    <xf numFmtId="0" fontId="54" fillId="26" borderId="24" xfId="0" applyFont="1" applyFill="1" applyBorder="1" applyAlignment="1">
      <alignment horizontal="center" vertical="center" wrapText="1"/>
    </xf>
    <xf numFmtId="10" fontId="76" fillId="24" borderId="110" xfId="1" applyNumberFormat="1" applyFont="1" applyFill="1" applyBorder="1" applyAlignment="1">
      <alignment horizontal="center" vertical="center" wrapText="1"/>
    </xf>
    <xf numFmtId="0" fontId="22" fillId="0" borderId="34" xfId="0" applyFont="1" applyBorder="1" applyAlignment="1">
      <alignment horizontal="justify" vertical="center" wrapText="1"/>
    </xf>
    <xf numFmtId="0" fontId="66" fillId="44" borderId="8" xfId="0" applyFont="1" applyFill="1" applyBorder="1" applyAlignment="1">
      <alignment vertical="center" wrapText="1"/>
    </xf>
    <xf numFmtId="0" fontId="1" fillId="0" borderId="23" xfId="0" applyFont="1" applyBorder="1"/>
    <xf numFmtId="0" fontId="1" fillId="0" borderId="23" xfId="0" applyFont="1" applyBorder="1" applyAlignment="1">
      <alignment wrapText="1"/>
    </xf>
    <xf numFmtId="0" fontId="0" fillId="0" borderId="23" xfId="0" applyBorder="1" applyAlignment="1">
      <alignment vertical="center" wrapText="1"/>
    </xf>
    <xf numFmtId="0" fontId="51" fillId="0" borderId="7" xfId="0" applyFont="1" applyBorder="1" applyAlignment="1">
      <alignment wrapText="1"/>
    </xf>
    <xf numFmtId="9" fontId="67" fillId="0" borderId="7" xfId="0" applyNumberFormat="1" applyFont="1" applyBorder="1" applyAlignment="1">
      <alignment horizontal="center" vertical="center" wrapText="1"/>
    </xf>
    <xf numFmtId="3" fontId="67" fillId="0" borderId="7" xfId="0" applyNumberFormat="1" applyFont="1" applyBorder="1" applyAlignment="1">
      <alignment horizontal="center" vertical="center" wrapText="1"/>
    </xf>
    <xf numFmtId="9" fontId="66" fillId="0" borderId="7" xfId="1" applyFont="1" applyBorder="1" applyAlignment="1">
      <alignment horizontal="center" vertical="center" wrapText="1"/>
    </xf>
    <xf numFmtId="165" fontId="66" fillId="0" borderId="7" xfId="1" applyNumberFormat="1" applyFont="1" applyBorder="1" applyAlignment="1">
      <alignment vertical="center" wrapText="1"/>
    </xf>
    <xf numFmtId="165" fontId="67" fillId="0" borderId="7" xfId="0" applyNumberFormat="1" applyFont="1" applyBorder="1" applyAlignment="1">
      <alignment horizontal="center" vertical="center" wrapText="1"/>
    </xf>
    <xf numFmtId="0" fontId="67" fillId="20" borderId="7" xfId="0" applyFont="1" applyFill="1" applyBorder="1" applyAlignment="1">
      <alignment horizontal="center" vertical="center" wrapText="1"/>
    </xf>
    <xf numFmtId="168" fontId="66" fillId="0" borderId="7" xfId="0" applyNumberFormat="1" applyFont="1" applyBorder="1" applyAlignment="1">
      <alignment horizontal="center" vertical="center" wrapText="1"/>
    </xf>
    <xf numFmtId="10" fontId="67" fillId="0" borderId="7" xfId="0" applyNumberFormat="1" applyFont="1" applyBorder="1" applyAlignment="1">
      <alignment horizontal="center" vertical="center" wrapText="1"/>
    </xf>
    <xf numFmtId="9" fontId="67" fillId="20" borderId="7" xfId="0" applyNumberFormat="1" applyFont="1" applyFill="1" applyBorder="1" applyAlignment="1">
      <alignment horizontal="center" vertical="center" wrapText="1"/>
    </xf>
    <xf numFmtId="0" fontId="66" fillId="19" borderId="7" xfId="0" applyFont="1" applyFill="1" applyBorder="1" applyAlignment="1">
      <alignment horizontal="center" vertical="center" wrapText="1"/>
    </xf>
    <xf numFmtId="9" fontId="52" fillId="0" borderId="7" xfId="0" applyNumberFormat="1" applyFont="1" applyBorder="1" applyAlignment="1">
      <alignment horizontal="center" vertical="center" wrapText="1"/>
    </xf>
    <xf numFmtId="9" fontId="52" fillId="20" borderId="7" xfId="0" applyNumberFormat="1" applyFont="1" applyFill="1" applyBorder="1" applyAlignment="1">
      <alignment horizontal="center" vertical="center" wrapText="1"/>
    </xf>
    <xf numFmtId="9" fontId="88" fillId="0" borderId="7" xfId="0" applyNumberFormat="1" applyFont="1" applyBorder="1" applyAlignment="1">
      <alignment horizontal="center" vertical="center" wrapText="1"/>
    </xf>
    <xf numFmtId="164" fontId="8" fillId="0" borderId="24" xfId="1" applyNumberFormat="1" applyFont="1" applyBorder="1" applyAlignment="1">
      <alignment vertical="center"/>
    </xf>
    <xf numFmtId="0" fontId="1" fillId="0" borderId="0" xfId="0" applyFont="1"/>
    <xf numFmtId="10" fontId="1" fillId="0" borderId="0" xfId="0" applyNumberFormat="1" applyFont="1"/>
    <xf numFmtId="0" fontId="1" fillId="0" borderId="0" xfId="0" applyFont="1" applyAlignment="1">
      <alignment wrapText="1"/>
    </xf>
    <xf numFmtId="0" fontId="1" fillId="0" borderId="23" xfId="0" applyFont="1" applyBorder="1" applyAlignment="1">
      <alignment horizontal="left" vertical="center" wrapText="1"/>
    </xf>
    <xf numFmtId="165" fontId="1" fillId="49" borderId="23" xfId="1" applyNumberFormat="1" applyFont="1" applyFill="1" applyBorder="1" applyAlignment="1">
      <alignment horizontal="center" wrapText="1"/>
    </xf>
    <xf numFmtId="165" fontId="1" fillId="26" borderId="23" xfId="1" applyNumberFormat="1" applyFont="1" applyFill="1" applyBorder="1" applyAlignment="1">
      <alignment horizontal="center" wrapText="1"/>
    </xf>
    <xf numFmtId="165" fontId="1" fillId="19" borderId="23" xfId="1" applyNumberFormat="1" applyFont="1" applyFill="1" applyBorder="1" applyAlignment="1">
      <alignment horizontal="center" wrapText="1"/>
    </xf>
    <xf numFmtId="165" fontId="1" fillId="29" borderId="23" xfId="1" applyNumberFormat="1" applyFont="1" applyFill="1" applyBorder="1" applyAlignment="1">
      <alignment horizontal="center" wrapText="1"/>
    </xf>
    <xf numFmtId="165" fontId="1" fillId="25" borderId="23" xfId="1" applyNumberFormat="1" applyFont="1" applyFill="1" applyBorder="1" applyAlignment="1">
      <alignment horizontal="center" wrapText="1"/>
    </xf>
    <xf numFmtId="165" fontId="1" fillId="0" borderId="0" xfId="1" applyNumberFormat="1" applyFont="1" applyAlignment="1">
      <alignment horizontal="left" wrapText="1"/>
    </xf>
    <xf numFmtId="0" fontId="1" fillId="0" borderId="0" xfId="0" applyFont="1" applyAlignment="1">
      <alignment vertical="center" wrapText="1"/>
    </xf>
    <xf numFmtId="0" fontId="71" fillId="12" borderId="6" xfId="0" applyFont="1" applyFill="1" applyBorder="1" applyAlignment="1">
      <alignment vertical="center" wrapText="1"/>
    </xf>
    <xf numFmtId="0" fontId="66" fillId="0" borderId="7" xfId="0" applyFont="1" applyBorder="1" applyAlignment="1"/>
    <xf numFmtId="0" fontId="67" fillId="15" borderId="6" xfId="0" applyFont="1" applyFill="1" applyBorder="1" applyAlignment="1">
      <alignment horizontal="center" vertical="center" wrapText="1"/>
    </xf>
    <xf numFmtId="0" fontId="67" fillId="2" borderId="26" xfId="0" applyFont="1" applyFill="1" applyBorder="1" applyAlignment="1">
      <alignment horizontal="center" vertical="center" wrapText="1"/>
    </xf>
    <xf numFmtId="0" fontId="66" fillId="0" borderId="27" xfId="0" applyFont="1" applyBorder="1" applyAlignment="1"/>
    <xf numFmtId="0" fontId="67" fillId="7" borderId="41" xfId="0" applyFont="1" applyFill="1" applyBorder="1" applyAlignment="1">
      <alignment horizontal="left" vertical="center" wrapText="1"/>
    </xf>
    <xf numFmtId="0" fontId="66" fillId="0" borderId="25" xfId="0" applyFont="1" applyBorder="1" applyAlignment="1"/>
    <xf numFmtId="0" fontId="67" fillId="10" borderId="6" xfId="0" applyFont="1" applyFill="1" applyBorder="1" applyAlignment="1">
      <alignment horizontal="center" vertical="center" wrapText="1"/>
    </xf>
    <xf numFmtId="0" fontId="71" fillId="12" borderId="54" xfId="0" applyFont="1" applyFill="1" applyBorder="1" applyAlignment="1">
      <alignment vertical="center" wrapText="1"/>
    </xf>
    <xf numFmtId="0" fontId="66" fillId="0" borderId="12" xfId="0" applyFont="1" applyBorder="1" applyAlignment="1"/>
    <xf numFmtId="0" fontId="67" fillId="10" borderId="65" xfId="0" applyFont="1" applyFill="1" applyBorder="1" applyAlignment="1">
      <alignment vertical="center" wrapText="1"/>
    </xf>
    <xf numFmtId="0" fontId="66" fillId="0" borderId="49" xfId="0" applyFont="1" applyBorder="1" applyAlignment="1"/>
    <xf numFmtId="0" fontId="71" fillId="12" borderId="26" xfId="0" applyFont="1" applyFill="1" applyBorder="1" applyAlignment="1">
      <alignment vertical="center" wrapText="1"/>
    </xf>
    <xf numFmtId="0" fontId="66" fillId="0" borderId="72" xfId="0" applyFont="1" applyBorder="1" applyAlignment="1"/>
    <xf numFmtId="0" fontId="71" fillId="12" borderId="69" xfId="0" applyFont="1" applyFill="1" applyBorder="1" applyAlignment="1">
      <alignment vertical="center" wrapText="1"/>
    </xf>
    <xf numFmtId="0" fontId="66" fillId="0" borderId="17" xfId="0" applyFont="1" applyBorder="1" applyAlignment="1"/>
    <xf numFmtId="0" fontId="71" fillId="12" borderId="65" xfId="0" applyFont="1" applyFill="1" applyBorder="1" applyAlignment="1">
      <alignment vertical="center" wrapText="1"/>
    </xf>
    <xf numFmtId="0" fontId="67" fillId="10" borderId="54" xfId="0" applyFont="1" applyFill="1" applyBorder="1" applyAlignment="1">
      <alignment vertical="center" wrapText="1"/>
    </xf>
    <xf numFmtId="0" fontId="87" fillId="12" borderId="54" xfId="0" applyFont="1" applyFill="1" applyBorder="1" applyAlignment="1">
      <alignment vertical="center" wrapText="1"/>
    </xf>
    <xf numFmtId="0" fontId="82" fillId="0" borderId="7" xfId="0" applyFont="1" applyBorder="1" applyAlignment="1"/>
    <xf numFmtId="0" fontId="66" fillId="0" borderId="146" xfId="0" applyFont="1" applyBorder="1" applyAlignment="1"/>
    <xf numFmtId="0" fontId="101" fillId="7" borderId="69" xfId="0" applyFont="1" applyFill="1" applyBorder="1" applyAlignment="1">
      <alignment horizontal="center" vertical="center" wrapText="1"/>
    </xf>
    <xf numFmtId="0" fontId="100" fillId="0" borderId="25" xfId="0" applyFont="1" applyBorder="1" applyAlignment="1"/>
    <xf numFmtId="0" fontId="104" fillId="10" borderId="54" xfId="0" applyFont="1" applyFill="1" applyBorder="1" applyAlignment="1">
      <alignment vertical="center" wrapText="1"/>
    </xf>
    <xf numFmtId="0" fontId="105" fillId="0" borderId="7" xfId="0" applyFont="1" applyBorder="1" applyAlignment="1"/>
    <xf numFmtId="0" fontId="52" fillId="19" borderId="42" xfId="0" applyFont="1" applyFill="1" applyBorder="1" applyAlignment="1">
      <alignment horizontal="left" vertical="center" wrapText="1"/>
    </xf>
    <xf numFmtId="0" fontId="52" fillId="19" borderId="77" xfId="0" applyFont="1" applyFill="1" applyBorder="1" applyAlignment="1">
      <alignment horizontal="left" vertical="center" wrapText="1"/>
    </xf>
    <xf numFmtId="0" fontId="52" fillId="19" borderId="43" xfId="0" applyFont="1" applyFill="1" applyBorder="1" applyAlignment="1">
      <alignment horizontal="left" vertical="center" wrapText="1"/>
    </xf>
    <xf numFmtId="0" fontId="55" fillId="12" borderId="69" xfId="0" applyFont="1" applyFill="1" applyBorder="1" applyAlignment="1">
      <alignment vertical="center" wrapText="1"/>
    </xf>
    <xf numFmtId="0" fontId="51" fillId="0" borderId="17" xfId="0" applyFont="1" applyBorder="1" applyAlignment="1"/>
    <xf numFmtId="0" fontId="52" fillId="10" borderId="26" xfId="0" applyFont="1" applyFill="1" applyBorder="1" applyAlignment="1">
      <alignment vertical="center" wrapText="1"/>
    </xf>
    <xf numFmtId="0" fontId="51" fillId="0" borderId="72" xfId="0" applyFont="1" applyBorder="1" applyAlignment="1"/>
    <xf numFmtId="0" fontId="55" fillId="12" borderId="26" xfId="0" applyFont="1" applyFill="1" applyBorder="1" applyAlignment="1">
      <alignment vertical="center" wrapText="1"/>
    </xf>
    <xf numFmtId="0" fontId="55" fillId="12" borderId="54" xfId="0" applyFont="1" applyFill="1" applyBorder="1" applyAlignment="1">
      <alignment vertical="center" wrapText="1"/>
    </xf>
    <xf numFmtId="0" fontId="51" fillId="0" borderId="12" xfId="0" applyFont="1" applyBorder="1" applyAlignment="1"/>
    <xf numFmtId="0" fontId="55" fillId="12" borderId="37" xfId="0" applyFont="1" applyFill="1" applyBorder="1" applyAlignment="1">
      <alignment vertical="center" wrapText="1"/>
    </xf>
    <xf numFmtId="0" fontId="51" fillId="0" borderId="0" xfId="0" applyFont="1" applyAlignment="1"/>
    <xf numFmtId="0" fontId="52" fillId="10" borderId="54" xfId="0" applyFont="1" applyFill="1" applyBorder="1" applyAlignment="1">
      <alignment vertical="center" wrapText="1"/>
    </xf>
    <xf numFmtId="0" fontId="52" fillId="2" borderId="51" xfId="0" applyFont="1" applyFill="1" applyBorder="1" applyAlignment="1">
      <alignment horizontal="center" vertical="center" wrapText="1"/>
    </xf>
    <xf numFmtId="0" fontId="52" fillId="2" borderId="52" xfId="0" applyFont="1" applyFill="1" applyBorder="1" applyAlignment="1">
      <alignment horizontal="center" vertical="center" wrapText="1"/>
    </xf>
    <xf numFmtId="0" fontId="57" fillId="7" borderId="54" xfId="0" applyFont="1" applyFill="1" applyBorder="1" applyAlignment="1">
      <alignment horizontal="center" vertical="center" wrapText="1"/>
    </xf>
    <xf numFmtId="0" fontId="56" fillId="0" borderId="7" xfId="0" applyFont="1" applyBorder="1" applyAlignment="1"/>
    <xf numFmtId="0" fontId="51" fillId="0" borderId="7" xfId="0" applyFont="1" applyBorder="1" applyAlignment="1"/>
    <xf numFmtId="0" fontId="51" fillId="0" borderId="55" xfId="0" applyFont="1" applyBorder="1" applyAlignment="1"/>
    <xf numFmtId="0" fontId="52" fillId="2" borderId="92" xfId="0" applyFont="1" applyFill="1" applyBorder="1" applyAlignment="1">
      <alignment horizontal="center" vertical="center" wrapText="1"/>
    </xf>
    <xf numFmtId="0" fontId="64" fillId="7" borderId="54" xfId="0" applyFont="1" applyFill="1" applyBorder="1" applyAlignment="1">
      <alignment horizontal="center" vertical="center" wrapText="1"/>
    </xf>
    <xf numFmtId="0" fontId="65" fillId="0" borderId="55" xfId="0" applyFont="1" applyBorder="1" applyAlignment="1"/>
    <xf numFmtId="0" fontId="55" fillId="12" borderId="6" xfId="0" applyFont="1" applyFill="1" applyBorder="1" applyAlignment="1">
      <alignment vertical="center" wrapText="1"/>
    </xf>
    <xf numFmtId="0" fontId="52" fillId="10" borderId="6" xfId="0" applyFont="1" applyFill="1" applyBorder="1" applyAlignment="1">
      <alignment vertical="center" wrapText="1"/>
    </xf>
    <xf numFmtId="0" fontId="52" fillId="2" borderId="26" xfId="0" applyFont="1" applyFill="1" applyBorder="1" applyAlignment="1">
      <alignment horizontal="center" vertical="center" wrapText="1"/>
    </xf>
    <xf numFmtId="0" fontId="52" fillId="2" borderId="122" xfId="0" applyFont="1" applyFill="1" applyBorder="1" applyAlignment="1">
      <alignment horizontal="center" vertical="center" wrapText="1"/>
    </xf>
    <xf numFmtId="0" fontId="26" fillId="7" borderId="41" xfId="0" applyFont="1" applyFill="1" applyBorder="1" applyAlignment="1">
      <alignment horizontal="center" vertical="center" wrapText="1"/>
    </xf>
    <xf numFmtId="0" fontId="46" fillId="0" borderId="25" xfId="0" applyFont="1" applyBorder="1" applyAlignment="1"/>
    <xf numFmtId="0" fontId="44" fillId="12" borderId="6" xfId="0" applyFont="1" applyFill="1" applyBorder="1" applyAlignment="1">
      <alignment vertical="center" wrapText="1"/>
    </xf>
    <xf numFmtId="0" fontId="42" fillId="0" borderId="12" xfId="0" applyFont="1" applyBorder="1" applyAlignment="1"/>
    <xf numFmtId="0" fontId="39" fillId="2" borderId="26" xfId="0" applyFont="1" applyFill="1" applyBorder="1" applyAlignment="1">
      <alignment horizontal="center" vertical="center" wrapText="1"/>
    </xf>
    <xf numFmtId="0" fontId="42" fillId="0" borderId="146" xfId="0" applyFont="1" applyBorder="1" applyAlignment="1"/>
    <xf numFmtId="0" fontId="39" fillId="7" borderId="41" xfId="0" applyFont="1" applyFill="1" applyBorder="1" applyAlignment="1">
      <alignment horizontal="center" vertical="center" wrapText="1"/>
    </xf>
    <xf numFmtId="0" fontId="42" fillId="0" borderId="17" xfId="0" applyFont="1" applyBorder="1" applyAlignment="1"/>
    <xf numFmtId="0" fontId="39" fillId="10" borderId="6" xfId="0" applyFont="1" applyFill="1" applyBorder="1" applyAlignment="1">
      <alignment vertical="center" wrapText="1"/>
    </xf>
    <xf numFmtId="9" fontId="7" fillId="0" borderId="97" xfId="0" applyNumberFormat="1" applyFont="1" applyBorder="1" applyAlignment="1">
      <alignment horizontal="center" vertical="center"/>
    </xf>
    <xf numFmtId="9" fontId="7" fillId="0" borderId="23" xfId="0" applyNumberFormat="1" applyFont="1" applyBorder="1" applyAlignment="1">
      <alignment horizontal="center" vertical="center"/>
    </xf>
    <xf numFmtId="9" fontId="7" fillId="0" borderId="103" xfId="0" applyNumberFormat="1" applyFont="1" applyBorder="1" applyAlignment="1">
      <alignment horizontal="center" vertical="center"/>
    </xf>
    <xf numFmtId="9" fontId="7" fillId="0" borderId="31" xfId="0" applyNumberFormat="1" applyFont="1" applyBorder="1" applyAlignment="1">
      <alignment horizontal="center" vertical="center"/>
    </xf>
    <xf numFmtId="9" fontId="7" fillId="0" borderId="102" xfId="0" applyNumberFormat="1" applyFont="1" applyBorder="1" applyAlignment="1">
      <alignment horizontal="center" vertical="center"/>
    </xf>
    <xf numFmtId="9" fontId="7" fillId="0" borderId="105" xfId="0" applyNumberFormat="1" applyFont="1" applyBorder="1" applyAlignment="1">
      <alignment horizontal="center" vertical="center"/>
    </xf>
    <xf numFmtId="9" fontId="7" fillId="0" borderId="32" xfId="0" applyNumberFormat="1" applyFont="1" applyBorder="1" applyAlignment="1">
      <alignment horizontal="center" vertical="center"/>
    </xf>
    <xf numFmtId="9" fontId="7" fillId="0" borderId="106" xfId="0" applyNumberFormat="1" applyFont="1" applyBorder="1" applyAlignment="1">
      <alignment horizontal="center" vertical="center"/>
    </xf>
    <xf numFmtId="9" fontId="7" fillId="0" borderId="96" xfId="0" applyNumberFormat="1" applyFont="1" applyBorder="1" applyAlignment="1">
      <alignment horizontal="center" vertical="center"/>
    </xf>
    <xf numFmtId="0" fontId="12" fillId="19" borderId="93" xfId="0" applyFont="1" applyFill="1" applyBorder="1" applyAlignment="1">
      <alignment horizontal="center" vertical="center" wrapText="1"/>
    </xf>
    <xf numFmtId="0" fontId="12" fillId="19" borderId="94" xfId="0" applyFont="1" applyFill="1" applyBorder="1" applyAlignment="1">
      <alignment horizontal="center" vertical="center" wrapText="1"/>
    </xf>
    <xf numFmtId="0" fontId="12" fillId="19" borderId="35" xfId="0" applyFont="1" applyFill="1" applyBorder="1" applyAlignment="1">
      <alignment horizontal="center" vertical="center" wrapText="1"/>
    </xf>
    <xf numFmtId="0" fontId="12" fillId="19" borderId="36" xfId="0" applyFont="1" applyFill="1" applyBorder="1" applyAlignment="1">
      <alignment horizontal="center" vertical="center" wrapText="1"/>
    </xf>
    <xf numFmtId="0" fontId="12" fillId="19" borderId="37" xfId="0" applyFont="1" applyFill="1" applyBorder="1" applyAlignment="1">
      <alignment horizontal="center" vertical="center" wrapText="1"/>
    </xf>
    <xf numFmtId="0" fontId="12" fillId="19" borderId="38" xfId="0" applyFont="1" applyFill="1" applyBorder="1" applyAlignment="1">
      <alignment horizontal="center" vertical="center" wrapText="1"/>
    </xf>
    <xf numFmtId="0" fontId="12" fillId="19" borderId="39" xfId="0" applyFont="1" applyFill="1" applyBorder="1" applyAlignment="1">
      <alignment horizontal="center" vertical="center" wrapText="1"/>
    </xf>
    <xf numFmtId="0" fontId="12" fillId="19" borderId="40" xfId="0" applyFont="1" applyFill="1" applyBorder="1" applyAlignment="1">
      <alignment horizontal="center" vertical="center" wrapText="1"/>
    </xf>
    <xf numFmtId="10" fontId="49" fillId="0" borderId="42" xfId="0" applyNumberFormat="1" applyFont="1" applyBorder="1" applyAlignment="1">
      <alignment horizontal="center" vertical="center" wrapText="1"/>
    </xf>
    <xf numFmtId="10" fontId="49" fillId="0" borderId="43" xfId="0" applyNumberFormat="1" applyFont="1" applyBorder="1" applyAlignment="1">
      <alignment horizontal="center" vertical="center" wrapText="1"/>
    </xf>
    <xf numFmtId="0" fontId="49" fillId="0" borderId="42" xfId="0" applyFont="1" applyBorder="1" applyAlignment="1">
      <alignment horizontal="center" vertical="center" wrapText="1"/>
    </xf>
    <xf numFmtId="0" fontId="49" fillId="0" borderId="43" xfId="0" applyFont="1" applyBorder="1" applyAlignment="1">
      <alignment horizontal="center" vertical="center" wrapText="1"/>
    </xf>
    <xf numFmtId="10" fontId="12" fillId="0" borderId="42" xfId="1" applyNumberFormat="1" applyFont="1" applyBorder="1" applyAlignment="1">
      <alignment horizontal="center" vertical="center" wrapText="1"/>
    </xf>
    <xf numFmtId="10" fontId="12" fillId="0" borderId="43" xfId="1" applyNumberFormat="1" applyFont="1" applyBorder="1" applyAlignment="1">
      <alignment horizontal="center" vertical="center" wrapText="1"/>
    </xf>
    <xf numFmtId="10" fontId="12" fillId="0" borderId="35" xfId="1" applyNumberFormat="1" applyFont="1" applyBorder="1" applyAlignment="1">
      <alignment horizontal="center" vertical="center" wrapText="1"/>
    </xf>
    <xf numFmtId="10" fontId="12" fillId="0" borderId="175" xfId="1" applyNumberFormat="1" applyFont="1" applyBorder="1" applyAlignment="1">
      <alignment horizontal="center" vertical="center" wrapText="1"/>
    </xf>
    <xf numFmtId="10" fontId="12" fillId="0" borderId="36" xfId="1" applyNumberFormat="1" applyFont="1" applyBorder="1" applyAlignment="1">
      <alignment horizontal="center" vertical="center" wrapText="1"/>
    </xf>
    <xf numFmtId="10" fontId="12" fillId="0" borderId="39" xfId="1" applyNumberFormat="1" applyFont="1" applyBorder="1" applyAlignment="1">
      <alignment horizontal="center" vertical="center" wrapText="1"/>
    </xf>
    <xf numFmtId="10" fontId="12" fillId="0" borderId="140" xfId="1" applyNumberFormat="1" applyFont="1" applyBorder="1" applyAlignment="1">
      <alignment horizontal="center" vertical="center" wrapText="1"/>
    </xf>
    <xf numFmtId="10" fontId="12" fillId="0" borderId="40" xfId="1" applyNumberFormat="1" applyFont="1" applyBorder="1" applyAlignment="1">
      <alignment horizontal="center" vertical="center" wrapText="1"/>
    </xf>
    <xf numFmtId="10" fontId="90" fillId="62" borderId="42" xfId="0" applyNumberFormat="1" applyFont="1" applyFill="1" applyBorder="1" applyAlignment="1">
      <alignment horizontal="center" vertical="center"/>
    </xf>
    <xf numFmtId="10" fontId="90" fillId="62" borderId="43" xfId="0" applyNumberFormat="1" applyFont="1" applyFill="1" applyBorder="1" applyAlignment="1">
      <alignment horizontal="center" vertical="center"/>
    </xf>
    <xf numFmtId="10" fontId="17" fillId="62" borderId="42" xfId="1" applyNumberFormat="1" applyFont="1" applyFill="1" applyBorder="1" applyAlignment="1">
      <alignment horizontal="center" vertical="center"/>
    </xf>
    <xf numFmtId="10" fontId="17" fillId="62" borderId="43" xfId="1" applyNumberFormat="1" applyFont="1" applyFill="1" applyBorder="1" applyAlignment="1">
      <alignment horizontal="center" vertical="center"/>
    </xf>
    <xf numFmtId="10" fontId="12" fillId="0" borderId="77" xfId="1" applyNumberFormat="1" applyFont="1" applyBorder="1" applyAlignment="1">
      <alignment horizontal="center" vertical="center" wrapText="1"/>
    </xf>
    <xf numFmtId="10" fontId="89" fillId="62" borderId="42" xfId="0" applyNumberFormat="1" applyFont="1" applyFill="1" applyBorder="1" applyAlignment="1">
      <alignment horizontal="center" vertical="center"/>
    </xf>
    <xf numFmtId="10" fontId="89" fillId="62" borderId="77" xfId="0" applyNumberFormat="1" applyFont="1" applyFill="1" applyBorder="1" applyAlignment="1">
      <alignment horizontal="center" vertical="center"/>
    </xf>
    <xf numFmtId="10" fontId="89" fillId="62" borderId="43" xfId="0" applyNumberFormat="1" applyFont="1" applyFill="1" applyBorder="1" applyAlignment="1">
      <alignment horizontal="center" vertical="center"/>
    </xf>
    <xf numFmtId="0" fontId="19" fillId="19" borderId="6" xfId="0" applyFont="1" applyFill="1" applyBorder="1" applyAlignment="1">
      <alignment horizontal="center" vertical="center" wrapText="1"/>
    </xf>
    <xf numFmtId="0" fontId="19" fillId="19" borderId="12" xfId="0" applyFont="1" applyFill="1" applyBorder="1" applyAlignment="1">
      <alignment horizontal="center" vertical="center" wrapText="1"/>
    </xf>
    <xf numFmtId="0" fontId="19" fillId="19" borderId="7" xfId="0" applyFont="1" applyFill="1" applyBorder="1" applyAlignment="1">
      <alignment horizontal="center" vertical="center" wrapText="1"/>
    </xf>
    <xf numFmtId="10" fontId="122" fillId="19" borderId="42" xfId="0" applyNumberFormat="1" applyFont="1" applyFill="1" applyBorder="1" applyAlignment="1">
      <alignment horizontal="center" vertical="center" wrapText="1"/>
    </xf>
    <xf numFmtId="10" fontId="122" fillId="19" borderId="77" xfId="0" applyNumberFormat="1" applyFont="1" applyFill="1" applyBorder="1" applyAlignment="1">
      <alignment horizontal="center" vertical="center" wrapText="1"/>
    </xf>
    <xf numFmtId="10" fontId="122" fillId="19" borderId="43" xfId="0" applyNumberFormat="1" applyFont="1" applyFill="1" applyBorder="1" applyAlignment="1">
      <alignment horizontal="center" vertical="center" wrapText="1"/>
    </xf>
    <xf numFmtId="165" fontId="91" fillId="19" borderId="42" xfId="0" applyNumberFormat="1" applyFont="1" applyFill="1" applyBorder="1" applyAlignment="1">
      <alignment horizontal="center" vertical="center" wrapText="1"/>
    </xf>
    <xf numFmtId="165" fontId="91" fillId="19" borderId="77" xfId="0" applyNumberFormat="1" applyFont="1" applyFill="1" applyBorder="1" applyAlignment="1">
      <alignment horizontal="center" vertical="center" wrapText="1"/>
    </xf>
    <xf numFmtId="165" fontId="91" fillId="19" borderId="43" xfId="0" applyNumberFormat="1" applyFont="1" applyFill="1" applyBorder="1" applyAlignment="1">
      <alignment horizontal="center" vertical="center" wrapText="1"/>
    </xf>
    <xf numFmtId="0" fontId="22" fillId="0" borderId="10" xfId="0" applyFont="1" applyBorder="1" applyAlignment="1">
      <alignment horizontal="justify" vertical="center" wrapText="1"/>
    </xf>
    <xf numFmtId="0" fontId="22" fillId="0" borderId="34" xfId="0" applyFont="1" applyBorder="1" applyAlignment="1">
      <alignment horizontal="justify" vertical="center" wrapText="1"/>
    </xf>
    <xf numFmtId="165" fontId="17" fillId="62" borderId="42" xfId="1" applyNumberFormat="1" applyFont="1" applyFill="1" applyBorder="1" applyAlignment="1">
      <alignment horizontal="center" vertical="center"/>
    </xf>
    <xf numFmtId="165" fontId="17" fillId="62" borderId="43" xfId="1" applyNumberFormat="1" applyFont="1" applyFill="1" applyBorder="1" applyAlignment="1">
      <alignment horizontal="center" vertical="center"/>
    </xf>
    <xf numFmtId="0" fontId="22" fillId="0" borderId="124" xfId="0" applyFont="1" applyBorder="1" applyAlignment="1">
      <alignment horizontal="justify" vertical="center" wrapText="1"/>
    </xf>
    <xf numFmtId="0" fontId="22" fillId="0" borderId="81" xfId="0" applyFont="1" applyBorder="1" applyAlignment="1">
      <alignment horizontal="justify" vertical="center" wrapText="1"/>
    </xf>
    <xf numFmtId="0" fontId="22" fillId="29" borderId="10" xfId="0" applyFont="1" applyFill="1" applyBorder="1" applyAlignment="1">
      <alignment horizontal="justify" vertical="center" wrapText="1"/>
    </xf>
    <xf numFmtId="0" fontId="22" fillId="29" borderId="34" xfId="0" applyFont="1" applyFill="1" applyBorder="1" applyAlignment="1">
      <alignment horizontal="justify" vertical="center" wrapText="1"/>
    </xf>
    <xf numFmtId="0" fontId="22" fillId="0" borderId="125" xfId="0" applyFont="1" applyBorder="1" applyAlignment="1">
      <alignment horizontal="justify" vertical="center" wrapText="1"/>
    </xf>
    <xf numFmtId="0" fontId="22" fillId="0" borderId="126" xfId="0" applyFont="1" applyBorder="1" applyAlignment="1">
      <alignment horizontal="justify" vertical="center" wrapText="1"/>
    </xf>
    <xf numFmtId="10" fontId="17" fillId="62" borderId="35" xfId="1" applyNumberFormat="1" applyFont="1" applyFill="1" applyBorder="1" applyAlignment="1">
      <alignment horizontal="center" vertical="center"/>
    </xf>
    <xf numFmtId="10" fontId="17" fillId="62" borderId="36" xfId="1" applyNumberFormat="1" applyFont="1" applyFill="1" applyBorder="1" applyAlignment="1">
      <alignment horizontal="center" vertical="center"/>
    </xf>
    <xf numFmtId="10" fontId="17" fillId="62" borderId="39" xfId="1" applyNumberFormat="1" applyFont="1" applyFill="1" applyBorder="1" applyAlignment="1">
      <alignment horizontal="center" vertical="center"/>
    </xf>
    <xf numFmtId="10" fontId="17" fillId="62" borderId="40" xfId="1" applyNumberFormat="1" applyFont="1" applyFill="1" applyBorder="1" applyAlignment="1">
      <alignment horizontal="center" vertical="center"/>
    </xf>
    <xf numFmtId="10" fontId="118" fillId="62" borderId="42" xfId="0" applyNumberFormat="1" applyFont="1" applyFill="1" applyBorder="1" applyAlignment="1">
      <alignment horizontal="center" vertical="center"/>
    </xf>
    <xf numFmtId="10" fontId="118" fillId="62" borderId="43" xfId="0" applyNumberFormat="1" applyFont="1" applyFill="1" applyBorder="1" applyAlignment="1">
      <alignment horizontal="center" vertical="center"/>
    </xf>
    <xf numFmtId="0" fontId="22" fillId="26" borderId="10" xfId="0" applyFont="1" applyFill="1" applyBorder="1" applyAlignment="1">
      <alignment horizontal="justify" vertical="center" wrapText="1"/>
    </xf>
    <xf numFmtId="0" fontId="22" fillId="26" borderId="34" xfId="0" applyFont="1" applyFill="1" applyBorder="1" applyAlignment="1">
      <alignment horizontal="justify" vertical="center" wrapText="1"/>
    </xf>
    <xf numFmtId="0" fontId="12" fillId="0" borderId="42" xfId="0" applyFont="1" applyBorder="1" applyAlignment="1">
      <alignment horizontal="left" vertical="center" wrapText="1"/>
    </xf>
    <xf numFmtId="0" fontId="12" fillId="0" borderId="43" xfId="0" applyFont="1" applyBorder="1" applyAlignment="1">
      <alignment horizontal="left" vertical="center" wrapText="1"/>
    </xf>
    <xf numFmtId="10" fontId="16" fillId="29" borderId="42" xfId="1" applyNumberFormat="1" applyFont="1" applyFill="1" applyBorder="1" applyAlignment="1">
      <alignment horizontal="center" vertical="center"/>
    </xf>
    <xf numFmtId="10" fontId="16" fillId="29" borderId="43" xfId="1" applyNumberFormat="1" applyFont="1" applyFill="1" applyBorder="1" applyAlignment="1">
      <alignment horizontal="center" vertical="center"/>
    </xf>
    <xf numFmtId="0" fontId="12" fillId="61" borderId="26" xfId="0" applyFont="1" applyFill="1" applyBorder="1" applyAlignment="1">
      <alignment horizontal="center" vertical="center" wrapText="1"/>
    </xf>
    <xf numFmtId="0" fontId="12" fillId="61" borderId="27" xfId="0" applyFont="1" applyFill="1" applyBorder="1" applyAlignment="1">
      <alignment horizontal="center" vertical="center" wrapText="1"/>
    </xf>
    <xf numFmtId="0" fontId="94" fillId="29" borderId="35" xfId="0" applyFont="1" applyFill="1" applyBorder="1" applyAlignment="1">
      <alignment horizontal="center" vertical="center" wrapText="1"/>
    </xf>
    <xf numFmtId="0" fontId="94" fillId="29" borderId="36" xfId="0" applyFont="1" applyFill="1" applyBorder="1" applyAlignment="1">
      <alignment horizontal="center" vertical="center" wrapText="1"/>
    </xf>
    <xf numFmtId="0" fontId="94" fillId="29" borderId="39" xfId="0" applyFont="1" applyFill="1" applyBorder="1" applyAlignment="1">
      <alignment horizontal="center" vertical="center" wrapText="1"/>
    </xf>
    <xf numFmtId="0" fontId="94" fillId="29" borderId="40" xfId="0" applyFont="1" applyFill="1" applyBorder="1" applyAlignment="1">
      <alignment horizontal="center" vertical="center" wrapText="1"/>
    </xf>
    <xf numFmtId="0" fontId="12" fillId="48" borderId="47" xfId="0" applyFont="1" applyFill="1" applyBorder="1" applyAlignment="1">
      <alignment horizontal="center" vertical="center" wrapText="1"/>
    </xf>
    <xf numFmtId="0" fontId="12" fillId="48" borderId="130" xfId="0" applyFont="1" applyFill="1" applyBorder="1" applyAlignment="1">
      <alignment horizontal="center" vertical="center" wrapText="1"/>
    </xf>
    <xf numFmtId="0" fontId="12" fillId="48" borderId="121" xfId="0" applyFont="1" applyFill="1" applyBorder="1" applyAlignment="1">
      <alignment horizontal="center" vertical="center" wrapText="1"/>
    </xf>
    <xf numFmtId="0" fontId="12" fillId="48" borderId="120" xfId="0" applyFont="1" applyFill="1" applyBorder="1" applyAlignment="1">
      <alignment horizontal="center" vertical="center" wrapText="1"/>
    </xf>
    <xf numFmtId="0" fontId="12" fillId="48" borderId="131" xfId="0" applyFont="1" applyFill="1" applyBorder="1" applyAlignment="1">
      <alignment horizontal="center" vertical="center" wrapText="1"/>
    </xf>
    <xf numFmtId="0" fontId="12" fillId="48" borderId="113" xfId="0" applyFont="1" applyFill="1" applyBorder="1" applyAlignment="1">
      <alignment horizontal="center" vertical="center" wrapText="1"/>
    </xf>
    <xf numFmtId="0" fontId="12" fillId="19" borderId="23" xfId="0" applyFont="1" applyFill="1" applyBorder="1" applyAlignment="1">
      <alignment horizontal="center" vertical="center" wrapText="1"/>
    </xf>
    <xf numFmtId="0" fontId="12" fillId="50" borderId="23" xfId="0" applyFont="1" applyFill="1" applyBorder="1" applyAlignment="1">
      <alignment horizontal="center" vertical="center"/>
    </xf>
    <xf numFmtId="0" fontId="12" fillId="48" borderId="47" xfId="0" applyFont="1" applyFill="1" applyBorder="1" applyAlignment="1">
      <alignment horizontal="center" vertical="justify" wrapText="1"/>
    </xf>
    <xf numFmtId="0" fontId="12" fillId="48" borderId="130" xfId="0" applyFont="1" applyFill="1" applyBorder="1" applyAlignment="1">
      <alignment horizontal="center" vertical="justify" wrapText="1"/>
    </xf>
    <xf numFmtId="0" fontId="12" fillId="48" borderId="121" xfId="0" applyFont="1" applyFill="1" applyBorder="1" applyAlignment="1">
      <alignment horizontal="center" vertical="justify" wrapText="1"/>
    </xf>
    <xf numFmtId="0" fontId="12" fillId="48" borderId="120" xfId="0" applyFont="1" applyFill="1" applyBorder="1" applyAlignment="1">
      <alignment horizontal="center" vertical="justify" wrapText="1"/>
    </xf>
    <xf numFmtId="0" fontId="12" fillId="48" borderId="131" xfId="0" applyFont="1" applyFill="1" applyBorder="1" applyAlignment="1">
      <alignment horizontal="center" vertical="justify" wrapText="1"/>
    </xf>
    <xf numFmtId="0" fontId="12" fillId="48" borderId="113" xfId="0" applyFont="1" applyFill="1" applyBorder="1" applyAlignment="1">
      <alignment horizontal="center" vertical="justify" wrapText="1"/>
    </xf>
    <xf numFmtId="0" fontId="28" fillId="19" borderId="23" xfId="0" applyFont="1" applyFill="1" applyBorder="1" applyAlignment="1">
      <alignment horizontal="center" vertical="center" wrapText="1"/>
    </xf>
  </cellXfs>
  <cellStyles count="5">
    <cellStyle name="Millares" xfId="3" builtinId="3"/>
    <cellStyle name="Moneda" xfId="4" builtinId="4"/>
    <cellStyle name="Normal" xfId="0" builtinId="0"/>
    <cellStyle name="Normal 2" xfId="2" xr:uid="{00000000-0005-0000-0000-000003000000}"/>
    <cellStyle name="Porcentaje" xfId="1" builtinId="5"/>
  </cellStyles>
  <dxfs count="1">
    <dxf>
      <fill>
        <patternFill patternType="solid">
          <fgColor rgb="FFCFE2F3"/>
          <bgColor rgb="FFCFE2F3"/>
        </patternFill>
      </fill>
    </dxf>
  </dxfs>
  <tableStyles count="0" defaultTableStyle="TableStyleMedium2" defaultPivotStyle="PivotStyleLight16"/>
  <colors>
    <mruColors>
      <color rgb="FFFF9999"/>
      <color rgb="FFFF7C80"/>
      <color rgb="FFCC0066"/>
      <color rgb="FF6639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2"/>
                </a:solidFill>
                <a:latin typeface="+mn-lt"/>
                <a:ea typeface="+mn-ea"/>
                <a:cs typeface="+mn-cs"/>
              </a:defRPr>
            </a:pPr>
            <a:r>
              <a:rPr lang="es-CO" sz="2800"/>
              <a:t>LOGRO OBTENIDO  CORTE </a:t>
            </a:r>
            <a:r>
              <a:rPr lang="es-CO" sz="2800" baseline="0"/>
              <a:t>  JUNIO</a:t>
            </a:r>
            <a:r>
              <a:rPr lang="es-CO" sz="2800"/>
              <a:t> 2025 RESPECTO AL CUATRIENIO. LINEAS ESTRATEGICAS.</a:t>
            </a:r>
          </a:p>
        </c:rich>
      </c:tx>
      <c:overlay val="0"/>
      <c:spPr>
        <a:noFill/>
        <a:ln>
          <a:noFill/>
        </a:ln>
        <a:effectLst/>
      </c:spPr>
      <c:txPr>
        <a:bodyPr rot="0" spcFirstLastPara="1" vertOverflow="ellipsis" vert="horz" wrap="square" anchor="ctr" anchorCtr="1"/>
        <a:lstStyle/>
        <a:p>
          <a:pPr>
            <a:defRPr sz="2800" b="1" i="0" u="none" strike="noStrike" kern="1200" baseline="0">
              <a:solidFill>
                <a:schemeClr val="tx2"/>
              </a:solidFill>
              <a:latin typeface="+mn-lt"/>
              <a:ea typeface="+mn-ea"/>
              <a:cs typeface="+mn-cs"/>
            </a:defRPr>
          </a:pPr>
          <a:endParaRPr lang="es-CO"/>
        </a:p>
      </c:txPr>
    </c:title>
    <c:autoTitleDeleted val="0"/>
    <c:plotArea>
      <c:layout/>
      <c:barChart>
        <c:barDir val="col"/>
        <c:grouping val="clustered"/>
        <c:varyColors val="0"/>
        <c:ser>
          <c:idx val="0"/>
          <c:order val="0"/>
          <c:tx>
            <c:strRef>
              <c:f>'SEGUIMIENTO DEL PLAN DE DESARRO'!$K$2</c:f>
              <c:strCache>
                <c:ptCount val="1"/>
                <c:pt idx="0">
                  <c:v>AVANCE ACUMULADO  CORTE  JUNIO 2025 RESPECTO AL CUATRIENIO</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0-AB1B-4A44-8E69-583E8FE5124E}"/>
              </c:ext>
            </c:extLst>
          </c:dPt>
          <c:dPt>
            <c:idx val="1"/>
            <c:invertIfNegative val="0"/>
            <c:bubble3D val="0"/>
            <c:spPr>
              <a:solidFill>
                <a:srgbClr val="FFFF00"/>
              </a:solidFill>
              <a:ln>
                <a:noFill/>
              </a:ln>
              <a:effectLst/>
            </c:spPr>
            <c:extLst>
              <c:ext xmlns:c16="http://schemas.microsoft.com/office/drawing/2014/chart" uri="{C3380CC4-5D6E-409C-BE32-E72D297353CC}">
                <c16:uniqueId val="{00000001-AB1B-4A44-8E69-583E8FE5124E}"/>
              </c:ext>
            </c:extLst>
          </c:dPt>
          <c:dPt>
            <c:idx val="2"/>
            <c:invertIfNegative val="0"/>
            <c:bubble3D val="0"/>
            <c:spPr>
              <a:solidFill>
                <a:srgbClr val="92D050"/>
              </a:solidFill>
              <a:ln>
                <a:noFill/>
              </a:ln>
              <a:effectLst/>
            </c:spPr>
            <c:extLst>
              <c:ext xmlns:c16="http://schemas.microsoft.com/office/drawing/2014/chart" uri="{C3380CC4-5D6E-409C-BE32-E72D297353CC}">
                <c16:uniqueId val="{00000003-AB1B-4A44-8E69-583E8FE5124E}"/>
              </c:ext>
            </c:extLst>
          </c:dPt>
          <c:dPt>
            <c:idx val="3"/>
            <c:invertIfNegative val="0"/>
            <c:bubble3D val="0"/>
            <c:spPr>
              <a:solidFill>
                <a:srgbClr val="FFFF00"/>
              </a:solidFill>
              <a:ln>
                <a:noFill/>
              </a:ln>
              <a:effectLst/>
            </c:spPr>
            <c:extLst>
              <c:ext xmlns:c16="http://schemas.microsoft.com/office/drawing/2014/chart" uri="{C3380CC4-5D6E-409C-BE32-E72D297353CC}">
                <c16:uniqueId val="{00000006-AB1B-4A44-8E69-583E8FE5124E}"/>
              </c:ext>
            </c:extLst>
          </c:dPt>
          <c:dPt>
            <c:idx val="4"/>
            <c:invertIfNegative val="0"/>
            <c:bubble3D val="0"/>
            <c:spPr>
              <a:solidFill>
                <a:srgbClr val="FFFF00"/>
              </a:solidFill>
              <a:ln>
                <a:noFill/>
              </a:ln>
              <a:effectLst/>
            </c:spPr>
            <c:extLst>
              <c:ext xmlns:c16="http://schemas.microsoft.com/office/drawing/2014/chart" uri="{C3380CC4-5D6E-409C-BE32-E72D297353CC}">
                <c16:uniqueId val="{0000000C-AB1B-4A44-8E69-583E8FE5124E}"/>
              </c:ext>
            </c:extLst>
          </c:dPt>
          <c:dPt>
            <c:idx val="5"/>
            <c:invertIfNegative val="0"/>
            <c:bubble3D val="0"/>
            <c:spPr>
              <a:solidFill>
                <a:srgbClr val="FFFF00"/>
              </a:solidFill>
              <a:ln>
                <a:noFill/>
              </a:ln>
              <a:effectLst/>
            </c:spPr>
            <c:extLst>
              <c:ext xmlns:c16="http://schemas.microsoft.com/office/drawing/2014/chart" uri="{C3380CC4-5D6E-409C-BE32-E72D297353CC}">
                <c16:uniqueId val="{00000010-AB1B-4A44-8E69-583E8FE5124E}"/>
              </c:ext>
            </c:extLst>
          </c:dPt>
          <c:dPt>
            <c:idx val="6"/>
            <c:invertIfNegative val="0"/>
            <c:bubble3D val="0"/>
            <c:spPr>
              <a:solidFill>
                <a:srgbClr val="FF7C80"/>
              </a:solidFill>
              <a:ln>
                <a:noFill/>
              </a:ln>
              <a:effectLst/>
            </c:spPr>
            <c:extLst>
              <c:ext xmlns:c16="http://schemas.microsoft.com/office/drawing/2014/chart" uri="{C3380CC4-5D6E-409C-BE32-E72D297353CC}">
                <c16:uniqueId val="{00000011-AB1B-4A44-8E69-583E8FE5124E}"/>
              </c:ext>
            </c:extLst>
          </c:dPt>
          <c:dLbls>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DESARRO'!$K$3:$K$9</c:f>
              <c:numCache>
                <c:formatCode>0.0%</c:formatCode>
                <c:ptCount val="7"/>
                <c:pt idx="0" formatCode="0.00%">
                  <c:v>0.31348901775979898</c:v>
                </c:pt>
                <c:pt idx="1">
                  <c:v>0.34188930071628293</c:v>
                </c:pt>
                <c:pt idx="2">
                  <c:v>0.3533651236549824</c:v>
                </c:pt>
                <c:pt idx="3">
                  <c:v>0.33753168969468023</c:v>
                </c:pt>
                <c:pt idx="4">
                  <c:v>0.32826692545655778</c:v>
                </c:pt>
                <c:pt idx="5">
                  <c:v>0.34508245592517955</c:v>
                </c:pt>
                <c:pt idx="6">
                  <c:v>0.17479861111111111</c:v>
                </c:pt>
              </c:numCache>
            </c:numRef>
          </c:val>
          <c:extLst>
            <c:ext xmlns:c16="http://schemas.microsoft.com/office/drawing/2014/chart" uri="{C3380CC4-5D6E-409C-BE32-E72D297353CC}">
              <c16:uniqueId val="{00000000-1806-4801-B684-B4D48E14E30B}"/>
            </c:ext>
          </c:extLst>
        </c:ser>
        <c:dLbls>
          <c:showLegendKey val="0"/>
          <c:showVal val="0"/>
          <c:showCatName val="0"/>
          <c:showSerName val="0"/>
          <c:showPercent val="0"/>
          <c:showBubbleSize val="0"/>
        </c:dLbls>
        <c:gapWidth val="100"/>
        <c:overlap val="-24"/>
        <c:axId val="425495288"/>
        <c:axId val="425495680"/>
      </c:barChart>
      <c:catAx>
        <c:axId val="425495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2200" b="1" i="0" u="none" strike="noStrike" kern="1200" baseline="0">
                <a:solidFill>
                  <a:schemeClr val="tx2"/>
                </a:solidFill>
                <a:latin typeface="+mn-lt"/>
                <a:ea typeface="+mn-ea"/>
                <a:cs typeface="+mn-cs"/>
              </a:defRPr>
            </a:pPr>
            <a:endParaRPr lang="es-CO"/>
          </a:p>
        </c:txPr>
        <c:crossAx val="425495680"/>
        <c:crosses val="autoZero"/>
        <c:auto val="1"/>
        <c:lblAlgn val="ctr"/>
        <c:lblOffset val="100"/>
        <c:noMultiLvlLbl val="0"/>
      </c:catAx>
      <c:valAx>
        <c:axId val="425495680"/>
        <c:scaling>
          <c:orientation val="minMax"/>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2100" b="0" i="0" u="none" strike="noStrike" kern="1200" baseline="0">
                <a:solidFill>
                  <a:schemeClr val="tx2"/>
                </a:solidFill>
                <a:latin typeface="+mn-lt"/>
                <a:ea typeface="+mn-ea"/>
                <a:cs typeface="+mn-cs"/>
              </a:defRPr>
            </a:pPr>
            <a:endParaRPr lang="es-CO"/>
          </a:p>
        </c:txPr>
        <c:crossAx val="425495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CONSTRUCCIÓN DE PAZ, DERECHOS HUMANOS Y CONVIVENCIA.  PROGRAMAS. </a:t>
            </a:r>
            <a:r>
              <a:rPr lang="es-CO" sz="1200" b="1" i="0" u="none" strike="noStrike" baseline="0">
                <a:effectLst/>
              </a:rPr>
              <a:t> JUNIO </a:t>
            </a:r>
            <a:r>
              <a:rPr lang="en-US"/>
              <a:t> 2025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HUMANA'!$E$47</c:f>
              <c:strCache>
                <c:ptCount val="1"/>
                <c:pt idx="0">
                  <c:v>AVANCE CUATRIENIO COMPONENTE IMPULSOR CONSTRUCCIÓN DE PAZ, DERECHOS HUMANOS Y CONVIVENCIA. CORTE  JUNIO 2025</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9277-4A5F-822C-32DA1E4F09A0}"/>
              </c:ext>
            </c:extLst>
          </c:dPt>
          <c:dPt>
            <c:idx val="1"/>
            <c:invertIfNegative val="0"/>
            <c:bubble3D val="0"/>
            <c:spPr>
              <a:solidFill>
                <a:srgbClr val="00B050"/>
              </a:solidFill>
              <a:ln>
                <a:noFill/>
              </a:ln>
              <a:effectLst/>
            </c:spPr>
            <c:extLst>
              <c:ext xmlns:c16="http://schemas.microsoft.com/office/drawing/2014/chart" uri="{C3380CC4-5D6E-409C-BE32-E72D297353CC}">
                <c16:uniqueId val="{00000003-E7DC-472A-AFBC-CCA92A1F9F7F}"/>
              </c:ext>
            </c:extLst>
          </c:dPt>
          <c:dPt>
            <c:idx val="3"/>
            <c:invertIfNegative val="0"/>
            <c:bubble3D val="0"/>
            <c:spPr>
              <a:solidFill>
                <a:srgbClr val="92D050"/>
              </a:solidFill>
              <a:ln>
                <a:noFill/>
              </a:ln>
              <a:effectLst/>
            </c:spPr>
            <c:extLst>
              <c:ext xmlns:c16="http://schemas.microsoft.com/office/drawing/2014/chart" uri="{C3380CC4-5D6E-409C-BE32-E72D297353CC}">
                <c16:uniqueId val="{0000000F-7834-431A-9D22-4DF8F1E02A6A}"/>
              </c:ext>
            </c:extLst>
          </c:dPt>
          <c:dPt>
            <c:idx val="4"/>
            <c:invertIfNegative val="0"/>
            <c:bubble3D val="0"/>
            <c:spPr>
              <a:solidFill>
                <a:srgbClr val="FF0000"/>
              </a:solidFill>
              <a:ln>
                <a:noFill/>
              </a:ln>
              <a:effectLst/>
            </c:spPr>
            <c:extLst>
              <c:ext xmlns:c16="http://schemas.microsoft.com/office/drawing/2014/chart" uri="{C3380CC4-5D6E-409C-BE32-E72D297353CC}">
                <c16:uniqueId val="{00000004-E7DC-472A-AFBC-CCA92A1F9F7F}"/>
              </c:ext>
            </c:extLst>
          </c:dPt>
          <c:dPt>
            <c:idx val="5"/>
            <c:invertIfNegative val="0"/>
            <c:bubble3D val="0"/>
            <c:spPr>
              <a:solidFill>
                <a:srgbClr val="92D050"/>
              </a:solidFill>
              <a:ln>
                <a:noFill/>
              </a:ln>
              <a:effectLst/>
            </c:spPr>
            <c:extLst>
              <c:ext xmlns:c16="http://schemas.microsoft.com/office/drawing/2014/chart" uri="{C3380CC4-5D6E-409C-BE32-E72D297353CC}">
                <c16:uniqueId val="{00000007-E7DC-472A-AFBC-CCA92A1F9F7F}"/>
              </c:ext>
            </c:extLst>
          </c:dPt>
          <c:dPt>
            <c:idx val="6"/>
            <c:invertIfNegative val="0"/>
            <c:bubble3D val="0"/>
            <c:spPr>
              <a:solidFill>
                <a:srgbClr val="92D050"/>
              </a:solidFill>
              <a:ln>
                <a:noFill/>
              </a:ln>
              <a:effectLst/>
            </c:spPr>
            <c:extLst>
              <c:ext xmlns:c16="http://schemas.microsoft.com/office/drawing/2014/chart" uri="{C3380CC4-5D6E-409C-BE32-E72D297353CC}">
                <c16:uniqueId val="{00000008-E7DC-472A-AFBC-CCA92A1F9F7F}"/>
              </c:ext>
            </c:extLst>
          </c:dPt>
          <c:dPt>
            <c:idx val="7"/>
            <c:invertIfNegative val="0"/>
            <c:bubble3D val="0"/>
            <c:spPr>
              <a:solidFill>
                <a:srgbClr val="FFFF00"/>
              </a:solidFill>
              <a:ln>
                <a:noFill/>
              </a:ln>
              <a:effectLst/>
            </c:spPr>
            <c:extLst>
              <c:ext xmlns:c16="http://schemas.microsoft.com/office/drawing/2014/chart" uri="{C3380CC4-5D6E-409C-BE32-E72D297353CC}">
                <c16:uniqueId val="{0000000A-F86C-460B-8801-1D5F8B7F4B90}"/>
              </c:ext>
            </c:extLst>
          </c:dPt>
          <c:dPt>
            <c:idx val="8"/>
            <c:invertIfNegative val="0"/>
            <c:bubble3D val="0"/>
            <c:spPr>
              <a:solidFill>
                <a:srgbClr val="FFFF00"/>
              </a:solidFill>
              <a:ln>
                <a:noFill/>
              </a:ln>
              <a:effectLst/>
            </c:spPr>
            <c:extLst>
              <c:ext xmlns:c16="http://schemas.microsoft.com/office/drawing/2014/chart" uri="{C3380CC4-5D6E-409C-BE32-E72D297353CC}">
                <c16:uniqueId val="{0000000D-12F6-441F-BF3A-BFF84524F3CC}"/>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HUMANA'!$C$48:$C$56</c:f>
              <c:strCache>
                <c:ptCount val="9"/>
                <c:pt idx="0">
                  <c:v>Construccion de paz, Derechos Humanos y Convivencia
</c:v>
                </c:pt>
                <c:pt idx="1">
                  <c:v> UNA VIDA LIBRE DE VIOLENCIA PARA LAS MUJERES</c:v>
                </c:pt>
                <c:pt idx="2">
                  <c:v> DERECHO A LA PAZ Y CONVIVENCIA CON EQUIDAD DE GÉNERO</c:v>
                </c:pt>
                <c:pt idx="3">
                  <c:v>CARTAGENA AVANZA EN CONVIVENCIA</c:v>
                </c:pt>
                <c:pt idx="4">
                  <c:v> AVANZANDO EN EL FORTALECIMIENTO DE CASAS DE JUSTICIA, COMISARÍAS DE FAMILIA E INSPECCIONES DE POLICÍA</c:v>
                </c:pt>
                <c:pt idx="5">
                  <c:v> ATENCIÓN INTEGRAL A JÓVENES EN SITUACIÓN DE RIESGO SOCIAL</c:v>
                </c:pt>
                <c:pt idx="6">
                  <c:v>ASISTENCIA, ATENCIÓN Y REPARACIÓN EFECTIVA E INTEGRAL A LAS VÍCTIMAS DEL CONFLICTO ARMADO</c:v>
                </c:pt>
                <c:pt idx="7">
                  <c:v>DERECHOS HUMANOS PARA LA VIDA DIGNA</c:v>
                </c:pt>
                <c:pt idx="8">
                  <c:v>SISTEMA PENITENCIARIO Y CARCELARIO EN EL MARCO DE LOS DERECHOS HUMANOS</c:v>
                </c:pt>
              </c:strCache>
            </c:strRef>
          </c:cat>
          <c:val>
            <c:numRef>
              <c:f>'GRAFICAS SEGURIDAD HUMANA'!$E$48:$E$56</c:f>
              <c:numCache>
                <c:formatCode>0.0%</c:formatCode>
                <c:ptCount val="9"/>
                <c:pt idx="0">
                  <c:v>0.34966418650793651</c:v>
                </c:pt>
                <c:pt idx="1">
                  <c:v>0.55993333333333328</c:v>
                </c:pt>
                <c:pt idx="2">
                  <c:v>0.33499999999999996</c:v>
                </c:pt>
                <c:pt idx="3">
                  <c:v>0.4375</c:v>
                </c:pt>
                <c:pt idx="4">
                  <c:v>0.12428571428571428</c:v>
                </c:pt>
                <c:pt idx="5">
                  <c:v>0.3669</c:v>
                </c:pt>
                <c:pt idx="6">
                  <c:v>0.36224999999999996</c:v>
                </c:pt>
                <c:pt idx="7">
                  <c:v>0.27811111111111114</c:v>
                </c:pt>
                <c:pt idx="8">
                  <c:v>0.33333333333333331</c:v>
                </c:pt>
              </c:numCache>
            </c:numRef>
          </c:val>
          <c:extLst>
            <c:ext xmlns:c16="http://schemas.microsoft.com/office/drawing/2014/chart" uri="{C3380CC4-5D6E-409C-BE32-E72D297353CC}">
              <c16:uniqueId val="{00000000-9277-4A5F-822C-32DA1E4F09A0}"/>
            </c:ext>
          </c:extLst>
        </c:ser>
        <c:dLbls>
          <c:showLegendKey val="0"/>
          <c:showVal val="0"/>
          <c:showCatName val="0"/>
          <c:showSerName val="0"/>
          <c:showPercent val="0"/>
          <c:showBubbleSize val="0"/>
        </c:dLbls>
        <c:gapWidth val="219"/>
        <c:overlap val="-27"/>
        <c:axId val="428037472"/>
        <c:axId val="428040608"/>
      </c:barChart>
      <c:catAx>
        <c:axId val="42803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8040608"/>
        <c:crosses val="autoZero"/>
        <c:auto val="1"/>
        <c:lblAlgn val="ctr"/>
        <c:lblOffset val="100"/>
        <c:noMultiLvlLbl val="0"/>
      </c:catAx>
      <c:valAx>
        <c:axId val="4280406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37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SALUD PÚBLICA Y ASEGURAMIENTO.  PROGRAMAS. </a:t>
            </a:r>
            <a:r>
              <a:rPr lang="es-CO" sz="1200" b="1" i="0" u="none" strike="noStrike" baseline="0">
                <a:effectLst/>
              </a:rPr>
              <a:t> JUNIO </a:t>
            </a:r>
            <a:r>
              <a:rPr lang="en-US" baseline="0"/>
              <a:t> 2025</a:t>
            </a:r>
            <a:endParaRPr lang="en-US"/>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HUMANA'!$E$59</c:f>
              <c:strCache>
                <c:ptCount val="1"/>
                <c:pt idx="0">
                  <c:v>AVANCE CUATRIENIO COMPONENTE IMPULSOR SALUD PÚBLICA Y ASEGURAMIENTO. CORTE  JUNIO 2025</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0860-4ACE-B6E6-8A57B7D36831}"/>
              </c:ext>
            </c:extLst>
          </c:dPt>
          <c:dPt>
            <c:idx val="1"/>
            <c:invertIfNegative val="0"/>
            <c:bubble3D val="0"/>
            <c:spPr>
              <a:solidFill>
                <a:srgbClr val="FFFF00"/>
              </a:solidFill>
              <a:ln>
                <a:noFill/>
              </a:ln>
              <a:effectLst/>
            </c:spPr>
            <c:extLst>
              <c:ext xmlns:c16="http://schemas.microsoft.com/office/drawing/2014/chart" uri="{C3380CC4-5D6E-409C-BE32-E72D297353CC}">
                <c16:uniqueId val="{00000008-CAC7-4B68-BD78-04312D546A9F}"/>
              </c:ext>
            </c:extLst>
          </c:dPt>
          <c:dPt>
            <c:idx val="2"/>
            <c:invertIfNegative val="0"/>
            <c:bubble3D val="0"/>
            <c:spPr>
              <a:solidFill>
                <a:srgbClr val="FF7C80"/>
              </a:solidFill>
              <a:ln>
                <a:noFill/>
              </a:ln>
              <a:effectLst/>
            </c:spPr>
            <c:extLst>
              <c:ext xmlns:c16="http://schemas.microsoft.com/office/drawing/2014/chart" uri="{C3380CC4-5D6E-409C-BE32-E72D297353CC}">
                <c16:uniqueId val="{00000003-9256-4C99-98CD-90B583FDCB4E}"/>
              </c:ext>
            </c:extLst>
          </c:dPt>
          <c:dPt>
            <c:idx val="3"/>
            <c:invertIfNegative val="0"/>
            <c:bubble3D val="0"/>
            <c:spPr>
              <a:solidFill>
                <a:srgbClr val="FF7C80"/>
              </a:solidFill>
              <a:ln>
                <a:noFill/>
              </a:ln>
              <a:effectLst/>
            </c:spPr>
            <c:extLst>
              <c:ext xmlns:c16="http://schemas.microsoft.com/office/drawing/2014/chart" uri="{C3380CC4-5D6E-409C-BE32-E72D297353CC}">
                <c16:uniqueId val="{00000007-CAC7-4B68-BD78-04312D546A9F}"/>
              </c:ext>
            </c:extLst>
          </c:dPt>
          <c:dPt>
            <c:idx val="4"/>
            <c:invertIfNegative val="0"/>
            <c:bubble3D val="0"/>
            <c:spPr>
              <a:solidFill>
                <a:srgbClr val="92D050"/>
              </a:solidFill>
              <a:ln>
                <a:noFill/>
              </a:ln>
              <a:effectLst/>
            </c:spPr>
            <c:extLst>
              <c:ext xmlns:c16="http://schemas.microsoft.com/office/drawing/2014/chart" uri="{C3380CC4-5D6E-409C-BE32-E72D297353CC}">
                <c16:uniqueId val="{00000004-2FEC-4A0E-B80C-BD52157813CF}"/>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HUMANA'!$C$60:$C$65</c:f>
              <c:strCache>
                <c:ptCount val="6"/>
                <c:pt idx="0">
                  <c:v> Salud Pública y Aseguramiento
</c:v>
                </c:pt>
                <c:pt idx="1">
                  <c:v> SALUD CON COBERTURA, ACCESIBILIDAD, CALIDAD E INCLUSIÓN</c:v>
                </c:pt>
                <c:pt idx="2">
                  <c:v> DERECHOS EN SALUD Y PROMOCIÓN SOCIAL</c:v>
                </c:pt>
                <c:pt idx="3">
                  <c:v> FORTALECIMIENTO DEL CENTRO REGULADOR DE URGENCIAS, EMERGENCIAS Y DESASTRES EN EL DISTRITO DE CARTAGENA - CRUED</c:v>
                </c:pt>
                <c:pt idx="4">
                  <c:v>SALUD PÚBLICA</c:v>
                </c:pt>
                <c:pt idx="5">
                  <c:v>CEMENTERIOS</c:v>
                </c:pt>
              </c:strCache>
            </c:strRef>
          </c:cat>
          <c:val>
            <c:numRef>
              <c:f>'GRAFICAS SEGURIDAD HUMANA'!$E$60:$E$65</c:f>
              <c:numCache>
                <c:formatCode>0.0%</c:formatCode>
                <c:ptCount val="6"/>
                <c:pt idx="0">
                  <c:v>0.28721175892609924</c:v>
                </c:pt>
                <c:pt idx="1">
                  <c:v>0.32766876343400347</c:v>
                </c:pt>
                <c:pt idx="2">
                  <c:v>0.2276</c:v>
                </c:pt>
                <c:pt idx="3">
                  <c:v>0.23275862068965517</c:v>
                </c:pt>
                <c:pt idx="4">
                  <c:v>0.36678141050683744</c:v>
                </c:pt>
                <c:pt idx="5">
                  <c:v>0.28125</c:v>
                </c:pt>
              </c:numCache>
            </c:numRef>
          </c:val>
          <c:extLst>
            <c:ext xmlns:c16="http://schemas.microsoft.com/office/drawing/2014/chart" uri="{C3380CC4-5D6E-409C-BE32-E72D297353CC}">
              <c16:uniqueId val="{00000000-0860-4ACE-B6E6-8A57B7D36831}"/>
            </c:ext>
          </c:extLst>
        </c:ser>
        <c:dLbls>
          <c:showLegendKey val="0"/>
          <c:showVal val="0"/>
          <c:showCatName val="0"/>
          <c:showSerName val="0"/>
          <c:showPercent val="0"/>
          <c:showBubbleSize val="0"/>
        </c:dLbls>
        <c:gapWidth val="219"/>
        <c:overlap val="-27"/>
        <c:axId val="428037864"/>
        <c:axId val="428040216"/>
      </c:barChart>
      <c:catAx>
        <c:axId val="428037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28040216"/>
        <c:crosses val="autoZero"/>
        <c:auto val="1"/>
        <c:lblAlgn val="ctr"/>
        <c:lblOffset val="100"/>
        <c:noMultiLvlLbl val="0"/>
      </c:catAx>
      <c:valAx>
        <c:axId val="4280402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8037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ATENCIÓN INTEGRAL A GRUPOS DE ESPECIAL PROTECCIÓN.  PROGRAMAS.</a:t>
            </a:r>
            <a:r>
              <a:rPr lang="en-US" baseline="0"/>
              <a:t> </a:t>
            </a:r>
            <a:r>
              <a:rPr lang="en-US"/>
              <a:t>CORTE</a:t>
            </a:r>
            <a:r>
              <a:rPr lang="es-CO" sz="1200" b="1" i="0" u="none" strike="noStrike" baseline="0">
                <a:effectLst/>
              </a:rPr>
              <a:t> JUNIO </a:t>
            </a:r>
            <a:r>
              <a:rPr lang="en-US" baseline="0"/>
              <a:t> 2025</a:t>
            </a:r>
            <a:endParaRPr lang="en-US"/>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5064907673228918E-2"/>
          <c:y val="0.12627385368527666"/>
          <c:w val="0.96361372738973361"/>
          <c:h val="0.71081731510674684"/>
        </c:manualLayout>
      </c:layout>
      <c:barChart>
        <c:barDir val="col"/>
        <c:grouping val="clustered"/>
        <c:varyColors val="0"/>
        <c:ser>
          <c:idx val="0"/>
          <c:order val="0"/>
          <c:tx>
            <c:strRef>
              <c:f>'GRAFICAS SEGURIDAD HUMANA'!$E$69</c:f>
              <c:strCache>
                <c:ptCount val="1"/>
                <c:pt idx="0">
                  <c:v>AVANCE CUATRIENIO COMPONENTE IMPULSOR ATENCIÓN INTEGRAL A GRUPOS DE ESPECIAL PROTECCIÓN.   CORTE  JUNIO 2025</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4242-4241-9CB4-4A3AF86C8F09}"/>
              </c:ext>
            </c:extLst>
          </c:dPt>
          <c:dPt>
            <c:idx val="1"/>
            <c:invertIfNegative val="0"/>
            <c:bubble3D val="0"/>
            <c:spPr>
              <a:solidFill>
                <a:srgbClr val="FFFF00"/>
              </a:solidFill>
              <a:ln>
                <a:noFill/>
              </a:ln>
              <a:effectLst/>
            </c:spPr>
            <c:extLst>
              <c:ext xmlns:c16="http://schemas.microsoft.com/office/drawing/2014/chart" uri="{C3380CC4-5D6E-409C-BE32-E72D297353CC}">
                <c16:uniqueId val="{0000000A-AFC7-4A64-8FDC-435E03BF83F4}"/>
              </c:ext>
            </c:extLst>
          </c:dPt>
          <c:dPt>
            <c:idx val="2"/>
            <c:invertIfNegative val="0"/>
            <c:bubble3D val="0"/>
            <c:spPr>
              <a:solidFill>
                <a:srgbClr val="FF7C80"/>
              </a:solidFill>
              <a:ln>
                <a:noFill/>
              </a:ln>
              <a:effectLst/>
            </c:spPr>
            <c:extLst>
              <c:ext xmlns:c16="http://schemas.microsoft.com/office/drawing/2014/chart" uri="{C3380CC4-5D6E-409C-BE32-E72D297353CC}">
                <c16:uniqueId val="{00000002-E6E8-4DDC-A71F-3BD800F29E13}"/>
              </c:ext>
            </c:extLst>
          </c:dPt>
          <c:dPt>
            <c:idx val="3"/>
            <c:invertIfNegative val="0"/>
            <c:bubble3D val="0"/>
            <c:spPr>
              <a:solidFill>
                <a:srgbClr val="FFFF00"/>
              </a:solidFill>
              <a:ln>
                <a:noFill/>
              </a:ln>
              <a:effectLst/>
            </c:spPr>
            <c:extLst>
              <c:ext xmlns:c16="http://schemas.microsoft.com/office/drawing/2014/chart" uri="{C3380CC4-5D6E-409C-BE32-E72D297353CC}">
                <c16:uniqueId val="{00000003-E6E8-4DDC-A71F-3BD800F29E13}"/>
              </c:ext>
            </c:extLst>
          </c:dPt>
          <c:dPt>
            <c:idx val="4"/>
            <c:invertIfNegative val="0"/>
            <c:bubble3D val="0"/>
            <c:spPr>
              <a:solidFill>
                <a:srgbClr val="00B050"/>
              </a:solidFill>
              <a:ln>
                <a:noFill/>
              </a:ln>
              <a:effectLst/>
            </c:spPr>
            <c:extLst>
              <c:ext xmlns:c16="http://schemas.microsoft.com/office/drawing/2014/chart" uri="{C3380CC4-5D6E-409C-BE32-E72D297353CC}">
                <c16:uniqueId val="{00000005-E6E8-4DDC-A71F-3BD800F29E13}"/>
              </c:ext>
            </c:extLst>
          </c:dPt>
          <c:dPt>
            <c:idx val="5"/>
            <c:invertIfNegative val="0"/>
            <c:bubble3D val="0"/>
            <c:spPr>
              <a:solidFill>
                <a:srgbClr val="92D050"/>
              </a:solidFill>
              <a:ln>
                <a:noFill/>
              </a:ln>
              <a:effectLst/>
            </c:spPr>
            <c:extLst>
              <c:ext xmlns:c16="http://schemas.microsoft.com/office/drawing/2014/chart" uri="{C3380CC4-5D6E-409C-BE32-E72D297353CC}">
                <c16:uniqueId val="{00000006-E6E8-4DDC-A71F-3BD800F29E13}"/>
              </c:ext>
            </c:extLst>
          </c:dPt>
          <c:dPt>
            <c:idx val="6"/>
            <c:invertIfNegative val="0"/>
            <c:bubble3D val="0"/>
            <c:spPr>
              <a:solidFill>
                <a:srgbClr val="92D050"/>
              </a:solidFill>
              <a:ln>
                <a:noFill/>
              </a:ln>
              <a:effectLst/>
            </c:spPr>
            <c:extLst>
              <c:ext xmlns:c16="http://schemas.microsoft.com/office/drawing/2014/chart" uri="{C3380CC4-5D6E-409C-BE32-E72D297353CC}">
                <c16:uniqueId val="{00000012-49BE-4BC7-8149-E34DD7858BFB}"/>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HUMANA'!$C$70:$C$76</c:f>
              <c:strCache>
                <c:ptCount val="7"/>
                <c:pt idx="0">
                  <c:v>Atención Integral a Grupos de Especial Protección
</c:v>
                </c:pt>
                <c:pt idx="1">
                  <c:v> FORTALECIMIENTO A LA PROTECCIÓN DIGNA DE LAS PERSONAS MAYORES EN EL DISTRITO DE CARTAGENA</c:v>
                </c:pt>
                <c:pt idx="2">
                  <c:v> ASISTENCIA SOCIAL E INCLUYENTE A LAS PERSONAS CON DISCAPACIDAD Y/O SU FAMILIA O CUIDADORES PARA LA SEGURIDAD HUMANA Y BIENESTAR SOCIAL</c:v>
                </c:pt>
                <c:pt idx="3">
                  <c:v> UNIDOS PARA LA INCLUSIÓN PRODUCTIVA DE LAS PERSONAS CON DISCAPACIDAD</c:v>
                </c:pt>
                <c:pt idx="4">
                  <c:v> CIUDADANOS HABITANTES DE CALLE CON PROTECCIÓN SOCIAL Y GARANTÍA DE DERECHOS</c:v>
                </c:pt>
                <c:pt idx="5">
                  <c:v> ATENCIÓN INTEGRAL AL MIGRANTE</c:v>
                </c:pt>
                <c:pt idx="6">
                  <c:v> CARTAGENA DIVERSA</c:v>
                </c:pt>
              </c:strCache>
            </c:strRef>
          </c:cat>
          <c:val>
            <c:numRef>
              <c:f>'GRAFICAS SEGURIDAD HUMANA'!$E$70:$E$76</c:f>
              <c:numCache>
                <c:formatCode>0.0%</c:formatCode>
                <c:ptCount val="7"/>
                <c:pt idx="0">
                  <c:v>0.34606870713027416</c:v>
                </c:pt>
                <c:pt idx="1">
                  <c:v>0.33444201468746987</c:v>
                </c:pt>
                <c:pt idx="2">
                  <c:v>0.18829663962920046</c:v>
                </c:pt>
                <c:pt idx="3">
                  <c:v>0.25708333333333333</c:v>
                </c:pt>
                <c:pt idx="4">
                  <c:v>0.46875</c:v>
                </c:pt>
                <c:pt idx="5">
                  <c:v>0.35094025513164118</c:v>
                </c:pt>
                <c:pt idx="6">
                  <c:v>0.3644</c:v>
                </c:pt>
              </c:numCache>
            </c:numRef>
          </c:val>
          <c:extLst>
            <c:ext xmlns:c16="http://schemas.microsoft.com/office/drawing/2014/chart" uri="{C3380CC4-5D6E-409C-BE32-E72D297353CC}">
              <c16:uniqueId val="{00000000-4242-4241-9CB4-4A3AF86C8F09}"/>
            </c:ext>
          </c:extLst>
        </c:ser>
        <c:dLbls>
          <c:showLegendKey val="0"/>
          <c:showVal val="0"/>
          <c:showCatName val="0"/>
          <c:showSerName val="0"/>
          <c:showPercent val="0"/>
          <c:showBubbleSize val="0"/>
        </c:dLbls>
        <c:gapWidth val="219"/>
        <c:overlap val="-27"/>
        <c:axId val="428041392"/>
        <c:axId val="428041784"/>
      </c:barChart>
      <c:catAx>
        <c:axId val="42804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28041784"/>
        <c:crosses val="autoZero"/>
        <c:auto val="1"/>
        <c:lblAlgn val="ctr"/>
        <c:lblOffset val="100"/>
        <c:noMultiLvlLbl val="0"/>
      </c:catAx>
      <c:valAx>
        <c:axId val="4280417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4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SUPERACIÓN DE LA POBREZA EXTREMA Y SOBERANIA ALIMENTARIA. PROGRAMAS. CORTE </a:t>
            </a:r>
            <a:r>
              <a:rPr lang="es-CO" sz="1200" b="1" i="0" u="none" strike="noStrike" baseline="0">
                <a:effectLst/>
              </a:rPr>
              <a:t> JUNIO </a:t>
            </a:r>
            <a:r>
              <a:rPr lang="en-US" baseline="0"/>
              <a:t> 2025</a:t>
            </a:r>
            <a:endParaRPr lang="en-US"/>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HUMANA'!$E$81</c:f>
              <c:strCache>
                <c:ptCount val="1"/>
                <c:pt idx="0">
                  <c:v>AVANCE CUATRIENIO COMPONENTE IMPULSOR  SUPERACIÓN DE LA POBREZA EXTREMA Y SOBERANIA ALIMENTARIA.  CORTE  JUNIO 2025</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8EAA-4F49-AEDC-207F114B66FE}"/>
              </c:ext>
            </c:extLst>
          </c:dPt>
          <c:dPt>
            <c:idx val="1"/>
            <c:invertIfNegative val="0"/>
            <c:bubble3D val="0"/>
            <c:spPr>
              <a:solidFill>
                <a:srgbClr val="FF7C80"/>
              </a:solidFill>
              <a:ln>
                <a:noFill/>
              </a:ln>
              <a:effectLst/>
            </c:spPr>
            <c:extLst>
              <c:ext xmlns:c16="http://schemas.microsoft.com/office/drawing/2014/chart" uri="{C3380CC4-5D6E-409C-BE32-E72D297353CC}">
                <c16:uniqueId val="{00000002-012E-4108-B7CB-22BEB9982FAA}"/>
              </c:ext>
            </c:extLst>
          </c:dPt>
          <c:dPt>
            <c:idx val="2"/>
            <c:invertIfNegative val="0"/>
            <c:bubble3D val="0"/>
            <c:spPr>
              <a:solidFill>
                <a:srgbClr val="00B050"/>
              </a:solidFill>
              <a:ln>
                <a:noFill/>
              </a:ln>
              <a:effectLst/>
            </c:spPr>
            <c:extLst>
              <c:ext xmlns:c16="http://schemas.microsoft.com/office/drawing/2014/chart" uri="{C3380CC4-5D6E-409C-BE32-E72D297353CC}">
                <c16:uniqueId val="{00000014-06D9-452A-85EB-144BE27212A7}"/>
              </c:ext>
            </c:extLst>
          </c:dPt>
          <c:dPt>
            <c:idx val="3"/>
            <c:invertIfNegative val="0"/>
            <c:bubble3D val="0"/>
            <c:spPr>
              <a:solidFill>
                <a:srgbClr val="FF7C80"/>
              </a:solidFill>
              <a:ln>
                <a:noFill/>
              </a:ln>
              <a:effectLst/>
            </c:spPr>
            <c:extLst>
              <c:ext xmlns:c16="http://schemas.microsoft.com/office/drawing/2014/chart" uri="{C3380CC4-5D6E-409C-BE32-E72D297353CC}">
                <c16:uniqueId val="{00000004-012E-4108-B7CB-22BEB9982FAA}"/>
              </c:ext>
            </c:extLst>
          </c:dPt>
          <c:dPt>
            <c:idx val="4"/>
            <c:invertIfNegative val="0"/>
            <c:bubble3D val="0"/>
            <c:spPr>
              <a:solidFill>
                <a:srgbClr val="FF0000"/>
              </a:solidFill>
              <a:ln>
                <a:noFill/>
              </a:ln>
              <a:effectLst/>
            </c:spPr>
            <c:extLst>
              <c:ext xmlns:c16="http://schemas.microsoft.com/office/drawing/2014/chart" uri="{C3380CC4-5D6E-409C-BE32-E72D297353CC}">
                <c16:uniqueId val="{00000014-C081-449F-8018-E0AAD8A03517}"/>
              </c:ext>
            </c:extLst>
          </c:dPt>
          <c:dPt>
            <c:idx val="5"/>
            <c:invertIfNegative val="0"/>
            <c:bubble3D val="0"/>
            <c:spPr>
              <a:solidFill>
                <a:srgbClr val="FF7C80"/>
              </a:solidFill>
              <a:ln>
                <a:noFill/>
              </a:ln>
              <a:effectLst/>
            </c:spPr>
            <c:extLst>
              <c:ext xmlns:c16="http://schemas.microsoft.com/office/drawing/2014/chart" uri="{C3380CC4-5D6E-409C-BE32-E72D297353CC}">
                <c16:uniqueId val="{00000005-012E-4108-B7CB-22BEB9982FAA}"/>
              </c:ext>
            </c:extLst>
          </c:dPt>
          <c:dPt>
            <c:idx val="6"/>
            <c:invertIfNegative val="0"/>
            <c:bubble3D val="0"/>
            <c:spPr>
              <a:solidFill>
                <a:srgbClr val="FF0000"/>
              </a:solidFill>
              <a:ln>
                <a:noFill/>
              </a:ln>
              <a:effectLst/>
            </c:spPr>
            <c:extLst>
              <c:ext xmlns:c16="http://schemas.microsoft.com/office/drawing/2014/chart" uri="{C3380CC4-5D6E-409C-BE32-E72D297353CC}">
                <c16:uniqueId val="{00000008-012E-4108-B7CB-22BEB9982FAA}"/>
              </c:ext>
            </c:extLst>
          </c:dPt>
          <c:dPt>
            <c:idx val="7"/>
            <c:invertIfNegative val="0"/>
            <c:bubble3D val="0"/>
            <c:spPr>
              <a:solidFill>
                <a:srgbClr val="FFFF00"/>
              </a:solidFill>
              <a:ln>
                <a:noFill/>
              </a:ln>
              <a:effectLst/>
            </c:spPr>
            <c:extLst>
              <c:ext xmlns:c16="http://schemas.microsoft.com/office/drawing/2014/chart" uri="{C3380CC4-5D6E-409C-BE32-E72D297353CC}">
                <c16:uniqueId val="{00000003-012E-4108-B7CB-22BEB9982FAA}"/>
              </c:ext>
            </c:extLst>
          </c:dPt>
          <c:dPt>
            <c:idx val="8"/>
            <c:invertIfNegative val="0"/>
            <c:bubble3D val="0"/>
            <c:spPr>
              <a:solidFill>
                <a:srgbClr val="FFFF00"/>
              </a:solidFill>
              <a:ln>
                <a:noFill/>
              </a:ln>
              <a:effectLst/>
            </c:spPr>
            <c:extLst>
              <c:ext xmlns:c16="http://schemas.microsoft.com/office/drawing/2014/chart" uri="{C3380CC4-5D6E-409C-BE32-E72D297353CC}">
                <c16:uniqueId val="{00000015-06D9-452A-85EB-144BE27212A7}"/>
              </c:ext>
            </c:extLst>
          </c:dPt>
          <c:dPt>
            <c:idx val="9"/>
            <c:invertIfNegative val="0"/>
            <c:bubble3D val="0"/>
            <c:spPr>
              <a:solidFill>
                <a:srgbClr val="00B050"/>
              </a:solidFill>
              <a:ln>
                <a:noFill/>
              </a:ln>
              <a:effectLst/>
            </c:spPr>
            <c:extLst>
              <c:ext xmlns:c16="http://schemas.microsoft.com/office/drawing/2014/chart" uri="{C3380CC4-5D6E-409C-BE32-E72D297353CC}">
                <c16:uniqueId val="{00000016-06D9-452A-85EB-144BE27212A7}"/>
              </c:ext>
            </c:extLst>
          </c:dPt>
          <c:dPt>
            <c:idx val="10"/>
            <c:invertIfNegative val="0"/>
            <c:bubble3D val="0"/>
            <c:spPr>
              <a:solidFill>
                <a:srgbClr val="FFFF00"/>
              </a:solidFill>
              <a:ln>
                <a:noFill/>
              </a:ln>
              <a:effectLst/>
            </c:spPr>
            <c:extLst>
              <c:ext xmlns:c16="http://schemas.microsoft.com/office/drawing/2014/chart" uri="{C3380CC4-5D6E-409C-BE32-E72D297353CC}">
                <c16:uniqueId val="{00000006-012E-4108-B7CB-22BEB9982FA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HUMANA'!$C$82:$C$93</c:f>
              <c:strCache>
                <c:ptCount val="12"/>
                <c:pt idx="0">
                  <c:v>Superación de la pobreza extrema y soberanía alimentaria
</c:v>
                </c:pt>
                <c:pt idx="1">
                  <c:v> IDENTIFICACIÓN PARA LA SUPERACIÓN DE LA POBREZA EXTREMA</c:v>
                </c:pt>
                <c:pt idx="2">
                  <c:v> SALUD PARA LA SUPERACIÓN DE LA POBREZA EXTREMA</c:v>
                </c:pt>
                <c:pt idx="3">
                  <c:v> EDUCACIÓN PARA LA SUPERACIÓN DE LA POBREZA EXTREMA</c:v>
                </c:pt>
                <c:pt idx="4">
                  <c:v> HABITABILIDAD PARA LA SUPERACIÓN DE LA POBREZA EXTREMA</c:v>
                </c:pt>
                <c:pt idx="5">
                  <c:v> INGRESO Y TRABAJO PARA LA SUPERACIÓN DE LA POBREZA EXTREMA</c:v>
                </c:pt>
                <c:pt idx="6">
                  <c:v> BANCARIZACIÓN PARA LA SUPERACIÓN DE LA POBREZA EXTREMA</c:v>
                </c:pt>
                <c:pt idx="7">
                  <c:v> DINÁMICA FAMILIAR PARA LA SUPERACIÓN DE LA POBREZA EXTREMA</c:v>
                </c:pt>
                <c:pt idx="8">
                  <c:v> SEGURIDAD ALIMENTARIA Y NUTRICIÓN PARA LA SUPERACIÓN DE LA POBREZA EXTREMA</c:v>
                </c:pt>
                <c:pt idx="9">
                  <c:v> ACCESO A LA JUSTICIA PARA LA SUPERACIÓN DE LA POBREZA EXTREMA</c:v>
                </c:pt>
                <c:pt idx="10">
                  <c:v> FORTALECIMIENTO INSTITUCIONAL PARA LA SUPERACIÓN DE LA POBREZA EXTREMA</c:v>
                </c:pt>
                <c:pt idx="11">
                  <c:v> FORTALECIMIENTO INSTITUCIONAL DE RENTA CIUDADANA, RENTA JOVEN Y COLOMBIA MAYOR PARA LA SUPERACIÓN DE LA POBREZA EXTREMA</c:v>
                </c:pt>
              </c:strCache>
            </c:strRef>
          </c:cat>
          <c:val>
            <c:numRef>
              <c:f>'GRAFICAS SEGURIDAD HUMANA'!$E$82:$E$93</c:f>
              <c:numCache>
                <c:formatCode>0.0%</c:formatCode>
                <c:ptCount val="12"/>
                <c:pt idx="0">
                  <c:v>0.28132744900710766</c:v>
                </c:pt>
                <c:pt idx="1">
                  <c:v>0.18733522727272728</c:v>
                </c:pt>
                <c:pt idx="2">
                  <c:v>0.70928888888888897</c:v>
                </c:pt>
                <c:pt idx="3">
                  <c:v>0.20480867479173093</c:v>
                </c:pt>
                <c:pt idx="4">
                  <c:v>6.3399999999999998E-2</c:v>
                </c:pt>
                <c:pt idx="5">
                  <c:v>0.19610328947368422</c:v>
                </c:pt>
                <c:pt idx="6">
                  <c:v>0.02</c:v>
                </c:pt>
                <c:pt idx="7">
                  <c:v>0.34927960927960927</c:v>
                </c:pt>
                <c:pt idx="8">
                  <c:v>0.27825</c:v>
                </c:pt>
                <c:pt idx="9">
                  <c:v>0.57352941176470584</c:v>
                </c:pt>
                <c:pt idx="10">
                  <c:v>0.27222222222222225</c:v>
                </c:pt>
                <c:pt idx="11">
                  <c:v>0.24038461538461539</c:v>
                </c:pt>
              </c:numCache>
            </c:numRef>
          </c:val>
          <c:extLst>
            <c:ext xmlns:c16="http://schemas.microsoft.com/office/drawing/2014/chart" uri="{C3380CC4-5D6E-409C-BE32-E72D297353CC}">
              <c16:uniqueId val="{00000000-8EAA-4F49-AEDC-207F114B66FE}"/>
            </c:ext>
          </c:extLst>
        </c:ser>
        <c:dLbls>
          <c:showLegendKey val="0"/>
          <c:showVal val="0"/>
          <c:showCatName val="0"/>
          <c:showSerName val="0"/>
          <c:showPercent val="0"/>
          <c:showBubbleSize val="0"/>
        </c:dLbls>
        <c:gapWidth val="219"/>
        <c:overlap val="-27"/>
        <c:axId val="428042568"/>
        <c:axId val="428035120"/>
      </c:barChart>
      <c:catAx>
        <c:axId val="42804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28035120"/>
        <c:crosses val="autoZero"/>
        <c:auto val="1"/>
        <c:lblAlgn val="ctr"/>
        <c:lblOffset val="100"/>
        <c:noMultiLvlLbl val="0"/>
      </c:catAx>
      <c:valAx>
        <c:axId val="4280351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42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Seguridad Ciudadana y Orden Público  Avance ponderado </a:t>
            </a:r>
            <a:r>
              <a:rPr lang="es-CO" sz="1200" b="1" i="0" u="none" strike="noStrike" baseline="0">
                <a:effectLst/>
              </a:rPr>
              <a:t> JUNIO </a:t>
            </a:r>
            <a:r>
              <a:rPr lang="en-US" sz="1200" b="1" i="0" baseline="0">
                <a:effectLst/>
              </a:rPr>
              <a:t>o 2025</a:t>
            </a:r>
            <a:endParaRPr lang="es-CO"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HUMANA'!$D$31</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HUMANA'!$C$32:$C$37</c:f>
              <c:strCache>
                <c:ptCount val="6"/>
                <c:pt idx="0">
                  <c:v> Seguridad Ciudadana y Orden Público 
</c:v>
                </c:pt>
                <c:pt idx="1">
                  <c:v> PLAN ESTRATÉGICO DE SEGURIDAD INTEGRAL TITAN 24</c:v>
                </c:pt>
                <c:pt idx="2">
                  <c:v>EL CUERPO DE BOMBEROS AVANZA</c:v>
                </c:pt>
                <c:pt idx="3">
                  <c:v>SEGURIDAD YA CON DOTACIÓN A LOS ORGANISMOS DE SEGURIDAD, SOCORRO, JUSTICIA Y CONVIVENCIA Y TECNOLOGÍA PARA LA PREVENCIÓN</c:v>
                </c:pt>
                <c:pt idx="4">
                  <c:v> SEGURIDAD YA EN LAS PLAYAS DE CARTAGENA</c:v>
                </c:pt>
                <c:pt idx="5">
                  <c:v> EDUCACIÓN, CULTURA Y SEGURIDAD VIAL PARA AVANZAR</c:v>
                </c:pt>
              </c:strCache>
            </c:strRef>
          </c:cat>
          <c:val>
            <c:numRef>
              <c:f>'GRAFICAS SEGURIDAD HUMANA'!$D$32:$D$37</c:f>
              <c:numCache>
                <c:formatCode>0.0%</c:formatCode>
                <c:ptCount val="6"/>
                <c:pt idx="0" formatCode="0.00%">
                  <c:v>0.41274628372019412</c:v>
                </c:pt>
                <c:pt idx="1">
                  <c:v>0.34500000000000003</c:v>
                </c:pt>
                <c:pt idx="2">
                  <c:v>0.64999999999999991</c:v>
                </c:pt>
                <c:pt idx="3">
                  <c:v>0.23201677906731377</c:v>
                </c:pt>
                <c:pt idx="4">
                  <c:v>0.77499999999999991</c:v>
                </c:pt>
                <c:pt idx="5">
                  <c:v>0.47391249999999996</c:v>
                </c:pt>
              </c:numCache>
            </c:numRef>
          </c:val>
          <c:extLst>
            <c:ext xmlns:c16="http://schemas.microsoft.com/office/drawing/2014/chart" uri="{C3380CC4-5D6E-409C-BE32-E72D297353CC}">
              <c16:uniqueId val="{00000000-056A-4ED6-9772-735BCC710DA3}"/>
            </c:ext>
          </c:extLst>
        </c:ser>
        <c:dLbls>
          <c:showLegendKey val="0"/>
          <c:showVal val="0"/>
          <c:showCatName val="0"/>
          <c:showSerName val="0"/>
          <c:showPercent val="0"/>
          <c:showBubbleSize val="0"/>
        </c:dLbls>
        <c:gapWidth val="219"/>
        <c:overlap val="-27"/>
        <c:axId val="428228552"/>
        <c:axId val="428226984"/>
      </c:barChart>
      <c:catAx>
        <c:axId val="428228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6984"/>
        <c:crosses val="autoZero"/>
        <c:auto val="1"/>
        <c:lblAlgn val="ctr"/>
        <c:lblOffset val="100"/>
        <c:noMultiLvlLbl val="0"/>
      </c:catAx>
      <c:valAx>
        <c:axId val="4282269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8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Construccion de paz, Derechos Humanos y Convivencia Avance Ponderado </a:t>
            </a:r>
            <a:r>
              <a:rPr lang="es-CO" sz="1200" b="1" i="0" u="none" strike="noStrike" baseline="0">
                <a:effectLst/>
              </a:rPr>
              <a:t> JUNIO </a:t>
            </a:r>
            <a:r>
              <a:rPr lang="es-ES" sz="1200" b="1" i="0" u="none" strike="noStrike" baseline="0">
                <a:effectLst/>
              </a:rPr>
              <a:t> 2025</a:t>
            </a:r>
            <a:endParaRPr lang="es-CO" sz="12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HUMANA'!$D$47</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HUMANA'!$C$48:$C$56</c:f>
              <c:strCache>
                <c:ptCount val="9"/>
                <c:pt idx="0">
                  <c:v>Construccion de paz, Derechos Humanos y Convivencia
</c:v>
                </c:pt>
                <c:pt idx="1">
                  <c:v> UNA VIDA LIBRE DE VIOLENCIA PARA LAS MUJERES</c:v>
                </c:pt>
                <c:pt idx="2">
                  <c:v> DERECHO A LA PAZ Y CONVIVENCIA CON EQUIDAD DE GÉNERO</c:v>
                </c:pt>
                <c:pt idx="3">
                  <c:v>CARTAGENA AVANZA EN CONVIVENCIA</c:v>
                </c:pt>
                <c:pt idx="4">
                  <c:v> AVANZANDO EN EL FORTALECIMIENTO DE CASAS DE JUSTICIA, COMISARÍAS DE FAMILIA E INSPECCIONES DE POLICÍA</c:v>
                </c:pt>
                <c:pt idx="5">
                  <c:v> ATENCIÓN INTEGRAL A JÓVENES EN SITUACIÓN DE RIESGO SOCIAL</c:v>
                </c:pt>
                <c:pt idx="6">
                  <c:v>ASISTENCIA, ATENCIÓN Y REPARACIÓN EFECTIVA E INTEGRAL A LAS VÍCTIMAS DEL CONFLICTO ARMADO</c:v>
                </c:pt>
                <c:pt idx="7">
                  <c:v>DERECHOS HUMANOS PARA LA VIDA DIGNA</c:v>
                </c:pt>
                <c:pt idx="8">
                  <c:v>SISTEMA PENITENCIARIO Y CARCELARIO EN EL MARCO DE LOS DERECHOS HUMANOS</c:v>
                </c:pt>
              </c:strCache>
            </c:strRef>
          </c:cat>
          <c:val>
            <c:numRef>
              <c:f>'GRAFICAS SEGURIDAD HUMANA'!$D$48:$D$56</c:f>
              <c:numCache>
                <c:formatCode>0.0%</c:formatCode>
                <c:ptCount val="9"/>
                <c:pt idx="0">
                  <c:v>0.31228099999999998</c:v>
                </c:pt>
                <c:pt idx="1">
                  <c:v>0.67142000000000002</c:v>
                </c:pt>
                <c:pt idx="2">
                  <c:v>0.38600000000000001</c:v>
                </c:pt>
                <c:pt idx="3">
                  <c:v>0.41249999999999998</c:v>
                </c:pt>
                <c:pt idx="4">
                  <c:v>5.3666666666666668E-2</c:v>
                </c:pt>
                <c:pt idx="5">
                  <c:v>0.2359</c:v>
                </c:pt>
                <c:pt idx="6">
                  <c:v>0.21375000000000002</c:v>
                </c:pt>
                <c:pt idx="7">
                  <c:v>0.27533000000000002</c:v>
                </c:pt>
                <c:pt idx="8">
                  <c:v>0.1875</c:v>
                </c:pt>
              </c:numCache>
            </c:numRef>
          </c:val>
          <c:extLst>
            <c:ext xmlns:c16="http://schemas.microsoft.com/office/drawing/2014/chart" uri="{C3380CC4-5D6E-409C-BE32-E72D297353CC}">
              <c16:uniqueId val="{00000000-49D2-4A34-9E95-80AB36FC2CFB}"/>
            </c:ext>
          </c:extLst>
        </c:ser>
        <c:dLbls>
          <c:showLegendKey val="0"/>
          <c:showVal val="0"/>
          <c:showCatName val="0"/>
          <c:showSerName val="0"/>
          <c:showPercent val="0"/>
          <c:showBubbleSize val="0"/>
        </c:dLbls>
        <c:gapWidth val="219"/>
        <c:overlap val="-27"/>
        <c:axId val="428230904"/>
        <c:axId val="428229728"/>
      </c:barChart>
      <c:catAx>
        <c:axId val="42823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28229728"/>
        <c:crosses val="autoZero"/>
        <c:auto val="1"/>
        <c:lblAlgn val="ctr"/>
        <c:lblOffset val="100"/>
        <c:noMultiLvlLbl val="0"/>
      </c:catAx>
      <c:valAx>
        <c:axId val="4282297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30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Salud Pública y Aseguramiento Avance </a:t>
            </a:r>
            <a:r>
              <a:rPr lang="en-US" sz="1200" b="1" i="0" baseline="0">
                <a:effectLst/>
              </a:rPr>
              <a:t>ponderado </a:t>
            </a:r>
            <a:r>
              <a:rPr lang="es-CO" sz="1200" b="1" i="0" u="none" strike="noStrike" baseline="0">
                <a:effectLst/>
              </a:rPr>
              <a:t> JUNIO </a:t>
            </a:r>
            <a:r>
              <a:rPr lang="en-US" sz="1200" b="1" i="0" u="none" strike="noStrike" baseline="0">
                <a:effectLst/>
              </a:rPr>
              <a:t> 2025</a:t>
            </a:r>
            <a:endParaRPr lang="es-CO" sz="12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HUMANA'!$D$59</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HUMANA'!$C$60:$C$65</c:f>
              <c:strCache>
                <c:ptCount val="6"/>
                <c:pt idx="0">
                  <c:v> Salud Pública y Aseguramiento
</c:v>
                </c:pt>
                <c:pt idx="1">
                  <c:v> SALUD CON COBERTURA, ACCESIBILIDAD, CALIDAD E INCLUSIÓN</c:v>
                </c:pt>
                <c:pt idx="2">
                  <c:v> DERECHOS EN SALUD Y PROMOCIÓN SOCIAL</c:v>
                </c:pt>
                <c:pt idx="3">
                  <c:v> FORTALECIMIENTO DEL CENTRO REGULADOR DE URGENCIAS, EMERGENCIAS Y DESASTRES EN EL DISTRITO DE CARTAGENA - CRUED</c:v>
                </c:pt>
                <c:pt idx="4">
                  <c:v>SALUD PÚBLICA</c:v>
                </c:pt>
                <c:pt idx="5">
                  <c:v>CEMENTERIOS</c:v>
                </c:pt>
              </c:strCache>
            </c:strRef>
          </c:cat>
          <c:val>
            <c:numRef>
              <c:f>'GRAFICAS SEGURIDAD HUMANA'!$D$60:$D$65</c:f>
              <c:numCache>
                <c:formatCode>0.0%</c:formatCode>
                <c:ptCount val="6"/>
                <c:pt idx="0">
                  <c:v>0.28043974578809849</c:v>
                </c:pt>
                <c:pt idx="1">
                  <c:v>0.25439207525236118</c:v>
                </c:pt>
                <c:pt idx="2">
                  <c:v>0.24562</c:v>
                </c:pt>
                <c:pt idx="3">
                  <c:v>9.3103448275862075E-2</c:v>
                </c:pt>
                <c:pt idx="4">
                  <c:v>0.36570043655546475</c:v>
                </c:pt>
                <c:pt idx="5">
                  <c:v>0.22499999999999998</c:v>
                </c:pt>
              </c:numCache>
            </c:numRef>
          </c:val>
          <c:extLst>
            <c:ext xmlns:c16="http://schemas.microsoft.com/office/drawing/2014/chart" uri="{C3380CC4-5D6E-409C-BE32-E72D297353CC}">
              <c16:uniqueId val="{00000000-0423-4C87-AC5A-49301F7B9490}"/>
            </c:ext>
          </c:extLst>
        </c:ser>
        <c:dLbls>
          <c:showLegendKey val="0"/>
          <c:showVal val="0"/>
          <c:showCatName val="0"/>
          <c:showSerName val="0"/>
          <c:showPercent val="0"/>
          <c:showBubbleSize val="0"/>
        </c:dLbls>
        <c:gapWidth val="219"/>
        <c:overlap val="-27"/>
        <c:axId val="428227768"/>
        <c:axId val="428228160"/>
      </c:barChart>
      <c:catAx>
        <c:axId val="428227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8160"/>
        <c:crosses val="autoZero"/>
        <c:auto val="1"/>
        <c:lblAlgn val="ctr"/>
        <c:lblOffset val="100"/>
        <c:noMultiLvlLbl val="0"/>
      </c:catAx>
      <c:valAx>
        <c:axId val="428228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7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Atención Integral a Grupos de Especial Protección Avance </a:t>
            </a:r>
            <a:r>
              <a:rPr lang="en-US" sz="1200" b="1" i="0" baseline="0">
                <a:effectLst/>
              </a:rPr>
              <a:t>ponderado </a:t>
            </a:r>
            <a:r>
              <a:rPr lang="es-CO" sz="1200" b="1" i="0" u="none" strike="noStrike" baseline="0">
                <a:effectLst/>
              </a:rPr>
              <a:t> JUNIO </a:t>
            </a:r>
            <a:r>
              <a:rPr lang="en-US" sz="1200" b="1" i="0" u="none" strike="noStrike" baseline="0">
                <a:effectLst/>
              </a:rPr>
              <a:t> 2025</a:t>
            </a:r>
            <a:endParaRPr lang="es-CO" sz="1200" b="1">
              <a:effectLst/>
            </a:endParaRPr>
          </a:p>
        </c:rich>
      </c:tx>
      <c:layout>
        <c:manualLayout>
          <c:xMode val="edge"/>
          <c:yMode val="edge"/>
          <c:x val="0.1880334332412414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HUMANA'!$D$69</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HUMANA'!$C$70:$C$76</c:f>
              <c:strCache>
                <c:ptCount val="7"/>
                <c:pt idx="0">
                  <c:v>Atención Integral a Grupos de Especial Protección
</c:v>
                </c:pt>
                <c:pt idx="1">
                  <c:v> FORTALECIMIENTO A LA PROTECCIÓN DIGNA DE LAS PERSONAS MAYORES EN EL DISTRITO DE CARTAGENA</c:v>
                </c:pt>
                <c:pt idx="2">
                  <c:v> ASISTENCIA SOCIAL E INCLUYENTE A LAS PERSONAS CON DISCAPACIDAD Y/O SU FAMILIA O CUIDADORES PARA LA SEGURIDAD HUMANA Y BIENESTAR SOCIAL</c:v>
                </c:pt>
                <c:pt idx="3">
                  <c:v> UNIDOS PARA LA INCLUSIÓN PRODUCTIVA DE LAS PERSONAS CON DISCAPACIDAD</c:v>
                </c:pt>
                <c:pt idx="4">
                  <c:v> CIUDADANOS HABITANTES DE CALLE CON PROTECCIÓN SOCIAL Y GARANTÍA DE DERECHOS</c:v>
                </c:pt>
                <c:pt idx="5">
                  <c:v> ATENCIÓN INTEGRAL AL MIGRANTE</c:v>
                </c:pt>
                <c:pt idx="6">
                  <c:v> CARTAGENA DIVERSA</c:v>
                </c:pt>
              </c:strCache>
            </c:strRef>
          </c:cat>
          <c:val>
            <c:numRef>
              <c:f>'GRAFICAS SEGURIDAD HUMANA'!$D$70:$D$76</c:f>
              <c:numCache>
                <c:formatCode>0.0%</c:formatCode>
                <c:ptCount val="7"/>
                <c:pt idx="0">
                  <c:v>0.28079297278084014</c:v>
                </c:pt>
                <c:pt idx="1">
                  <c:v>0.24358114655205626</c:v>
                </c:pt>
                <c:pt idx="2">
                  <c:v>0.33893395133256082</c:v>
                </c:pt>
                <c:pt idx="3">
                  <c:v>0.26300000000000001</c:v>
                </c:pt>
                <c:pt idx="4">
                  <c:v>0.35625000000000001</c:v>
                </c:pt>
                <c:pt idx="5">
                  <c:v>0.1863990640783334</c:v>
                </c:pt>
                <c:pt idx="6">
                  <c:v>0.25960000000000005</c:v>
                </c:pt>
              </c:numCache>
            </c:numRef>
          </c:val>
          <c:extLst>
            <c:ext xmlns:c16="http://schemas.microsoft.com/office/drawing/2014/chart" uri="{C3380CC4-5D6E-409C-BE32-E72D297353CC}">
              <c16:uniqueId val="{00000000-F9AB-4D95-BA80-8DE526F7631F}"/>
            </c:ext>
          </c:extLst>
        </c:ser>
        <c:dLbls>
          <c:showLegendKey val="0"/>
          <c:showVal val="0"/>
          <c:showCatName val="0"/>
          <c:showSerName val="0"/>
          <c:showPercent val="0"/>
          <c:showBubbleSize val="0"/>
        </c:dLbls>
        <c:gapWidth val="219"/>
        <c:overlap val="-27"/>
        <c:axId val="428224632"/>
        <c:axId val="428231296"/>
      </c:barChart>
      <c:catAx>
        <c:axId val="428224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31296"/>
        <c:crosses val="autoZero"/>
        <c:auto val="1"/>
        <c:lblAlgn val="ctr"/>
        <c:lblOffset val="100"/>
        <c:noMultiLvlLbl val="0"/>
      </c:catAx>
      <c:valAx>
        <c:axId val="428231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4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Superación de la pobreza extrema y soberanía alimentaria </a:t>
            </a:r>
            <a:r>
              <a:rPr lang="en-US" sz="1200" b="1" i="0" baseline="0">
                <a:effectLst/>
              </a:rPr>
              <a:t>Avance ponderado corte </a:t>
            </a:r>
            <a:r>
              <a:rPr lang="es-CO" sz="1200" b="1" i="0" u="none" strike="noStrike" baseline="0">
                <a:effectLst/>
              </a:rPr>
              <a:t> JUNIO </a:t>
            </a:r>
            <a:r>
              <a:rPr lang="en-US" sz="1200" b="1" i="0" u="none" strike="noStrike" baseline="0">
                <a:effectLst/>
              </a:rPr>
              <a:t> </a:t>
            </a:r>
            <a:r>
              <a:rPr lang="en-US" sz="1200" b="1" i="0" baseline="0">
                <a:effectLst/>
              </a:rPr>
              <a:t> </a:t>
            </a:r>
            <a:r>
              <a:rPr lang="en-US" sz="1300" b="1" i="0" baseline="0">
                <a:effectLst/>
              </a:rPr>
              <a:t>2025</a:t>
            </a:r>
            <a:endParaRPr lang="es-CO" sz="13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HUMANA'!$D$81</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HUMANA'!$C$82:$C$93</c:f>
              <c:strCache>
                <c:ptCount val="12"/>
                <c:pt idx="0">
                  <c:v>Superación de la pobreza extrema y soberanía alimentaria
</c:v>
                </c:pt>
                <c:pt idx="1">
                  <c:v> IDENTIFICACIÓN PARA LA SUPERACIÓN DE LA POBREZA EXTREMA</c:v>
                </c:pt>
                <c:pt idx="2">
                  <c:v> SALUD PARA LA SUPERACIÓN DE LA POBREZA EXTREMA</c:v>
                </c:pt>
                <c:pt idx="3">
                  <c:v> EDUCACIÓN PARA LA SUPERACIÓN DE LA POBREZA EXTREMA</c:v>
                </c:pt>
                <c:pt idx="4">
                  <c:v> HABITABILIDAD PARA LA SUPERACIÓN DE LA POBREZA EXTREMA</c:v>
                </c:pt>
                <c:pt idx="5">
                  <c:v> INGRESO Y TRABAJO PARA LA SUPERACIÓN DE LA POBREZA EXTREMA</c:v>
                </c:pt>
                <c:pt idx="6">
                  <c:v> BANCARIZACIÓN PARA LA SUPERACIÓN DE LA POBREZA EXTREMA</c:v>
                </c:pt>
                <c:pt idx="7">
                  <c:v> DINÁMICA FAMILIAR PARA LA SUPERACIÓN DE LA POBREZA EXTREMA</c:v>
                </c:pt>
                <c:pt idx="8">
                  <c:v> SEGURIDAD ALIMENTARIA Y NUTRICIÓN PARA LA SUPERACIÓN DE LA POBREZA EXTREMA</c:v>
                </c:pt>
                <c:pt idx="9">
                  <c:v> ACCESO A LA JUSTICIA PARA LA SUPERACIÓN DE LA POBREZA EXTREMA</c:v>
                </c:pt>
                <c:pt idx="10">
                  <c:v> FORTALECIMIENTO INSTITUCIONAL PARA LA SUPERACIÓN DE LA POBREZA EXTREMA</c:v>
                </c:pt>
                <c:pt idx="11">
                  <c:v> FORTALECIMIENTO INSTITUCIONAL DE RENTA CIUDADANA, RENTA JOVEN Y COLOMBIA MAYOR PARA LA SUPERACIÓN DE LA POBREZA EXTREMA</c:v>
                </c:pt>
              </c:strCache>
            </c:strRef>
          </c:cat>
          <c:val>
            <c:numRef>
              <c:f>'GRAFICAS SEGURIDAD HUMANA'!$D$82:$D$93</c:f>
              <c:numCache>
                <c:formatCode>0.0%</c:formatCode>
                <c:ptCount val="12"/>
                <c:pt idx="0">
                  <c:v>0.2790745770380203</c:v>
                </c:pt>
                <c:pt idx="1">
                  <c:v>0.22045113636363634</c:v>
                </c:pt>
                <c:pt idx="2">
                  <c:v>0.69518000000000002</c:v>
                </c:pt>
                <c:pt idx="3">
                  <c:v>0.22222551126195619</c:v>
                </c:pt>
                <c:pt idx="4">
                  <c:v>6.3399999999999998E-2</c:v>
                </c:pt>
                <c:pt idx="5">
                  <c:v>0.19356046052631579</c:v>
                </c:pt>
                <c:pt idx="6">
                  <c:v>1.2E-2</c:v>
                </c:pt>
                <c:pt idx="7">
                  <c:v>0.3579194139194139</c:v>
                </c:pt>
                <c:pt idx="8">
                  <c:v>0.15861666666666666</c:v>
                </c:pt>
                <c:pt idx="9">
                  <c:v>0.59558823529411775</c:v>
                </c:pt>
                <c:pt idx="10">
                  <c:v>0.27944444444444444</c:v>
                </c:pt>
                <c:pt idx="11">
                  <c:v>0.24230769230769231</c:v>
                </c:pt>
              </c:numCache>
            </c:numRef>
          </c:val>
          <c:extLst>
            <c:ext xmlns:c16="http://schemas.microsoft.com/office/drawing/2014/chart" uri="{C3380CC4-5D6E-409C-BE32-E72D297353CC}">
              <c16:uniqueId val="{00000000-FB42-486C-8859-F2569F5CEE8B}"/>
            </c:ext>
          </c:extLst>
        </c:ser>
        <c:dLbls>
          <c:showLegendKey val="0"/>
          <c:showVal val="0"/>
          <c:showCatName val="0"/>
          <c:showSerName val="0"/>
          <c:showPercent val="0"/>
          <c:showBubbleSize val="0"/>
        </c:dLbls>
        <c:gapWidth val="219"/>
        <c:overlap val="-27"/>
        <c:axId val="428229336"/>
        <c:axId val="428231688"/>
      </c:barChart>
      <c:catAx>
        <c:axId val="428229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428231688"/>
        <c:crosses val="autoZero"/>
        <c:auto val="1"/>
        <c:lblAlgn val="ctr"/>
        <c:lblOffset val="100"/>
        <c:noMultiLvlLbl val="0"/>
      </c:catAx>
      <c:valAx>
        <c:axId val="4282316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9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ESTRATEGICA SEGURIDAD HUMANA COMPARATIVO </a:t>
            </a:r>
            <a:r>
              <a:rPr lang="es-CO" b="1" baseline="0"/>
              <a:t> </a:t>
            </a:r>
            <a:r>
              <a:rPr lang="es-CO" b="1"/>
              <a:t>DICIEMBRE 2024 - JUNIO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HUMANA'!$D$4</c:f>
              <c:strCache>
                <c:ptCount val="1"/>
                <c:pt idx="0">
                  <c:v>ESPERADO  AL CUATRIENIO CORTE DICIEMBRE 2025</c:v>
                </c:pt>
              </c:strCache>
            </c:strRef>
          </c:tx>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HUMANA'!$D$5:$D$10</c:f>
              <c:numCache>
                <c:formatCode>0.0%</c:formatCode>
                <c:ptCount val="6"/>
                <c:pt idx="0">
                  <c:v>0.6123413604111696</c:v>
                </c:pt>
                <c:pt idx="1">
                  <c:v>0.85079477210897558</c:v>
                </c:pt>
                <c:pt idx="2">
                  <c:v>0.57512473701403577</c:v>
                </c:pt>
                <c:pt idx="3">
                  <c:v>0.54395347999674115</c:v>
                </c:pt>
                <c:pt idx="4">
                  <c:v>0.59259900218694317</c:v>
                </c:pt>
                <c:pt idx="5">
                  <c:v>0.46951250879731499</c:v>
                </c:pt>
              </c:numCache>
            </c:numRef>
          </c:val>
          <c:extLst>
            <c:ext xmlns:c16="http://schemas.microsoft.com/office/drawing/2014/chart" uri="{C3380CC4-5D6E-409C-BE32-E72D297353CC}">
              <c16:uniqueId val="{00000000-1B77-4F60-BAD1-3CFCB1A32D99}"/>
            </c:ext>
          </c:extLst>
        </c:ser>
        <c:ser>
          <c:idx val="1"/>
          <c:order val="1"/>
          <c:tx>
            <c:strRef>
              <c:f>'GRAFICAS SEGURIDAD HUMANA'!$E$4</c:f>
              <c:strCache>
                <c:ptCount val="1"/>
                <c:pt idx="0">
                  <c:v>LOGRO VIGENCIA  CORTE  JUNIO 2025 RESPECTO AL CUATRIENIO</c:v>
                </c:pt>
              </c:strCache>
            </c:strRef>
          </c:tx>
          <c:spPr>
            <a:solidFill>
              <a:srgbClr val="00B05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6-7AD2-4D23-AAD4-68CCD020C8A4}"/>
              </c:ext>
            </c:extLst>
          </c:dPt>
          <c:dPt>
            <c:idx val="1"/>
            <c:invertIfNegative val="0"/>
            <c:bubble3D val="0"/>
            <c:spPr>
              <a:solidFill>
                <a:srgbClr val="00B050"/>
              </a:solidFill>
              <a:ln>
                <a:noFill/>
              </a:ln>
              <a:effectLst/>
            </c:spPr>
            <c:extLst>
              <c:ext xmlns:c16="http://schemas.microsoft.com/office/drawing/2014/chart" uri="{C3380CC4-5D6E-409C-BE32-E72D297353CC}">
                <c16:uniqueId val="{0000000D-BD84-4460-A27B-914F6B693402}"/>
              </c:ext>
            </c:extLst>
          </c:dPt>
          <c:dPt>
            <c:idx val="2"/>
            <c:invertIfNegative val="0"/>
            <c:bubble3D val="0"/>
            <c:spPr>
              <a:solidFill>
                <a:srgbClr val="92D050"/>
              </a:solidFill>
              <a:ln>
                <a:noFill/>
              </a:ln>
              <a:effectLst/>
            </c:spPr>
            <c:extLst>
              <c:ext xmlns:c16="http://schemas.microsoft.com/office/drawing/2014/chart" uri="{C3380CC4-5D6E-409C-BE32-E72D297353CC}">
                <c16:uniqueId val="{00000007-7AD2-4D23-AAD4-68CCD020C8A4}"/>
              </c:ext>
            </c:extLst>
          </c:dPt>
          <c:dPt>
            <c:idx val="3"/>
            <c:invertIfNegative val="0"/>
            <c:bubble3D val="0"/>
            <c:spPr>
              <a:solidFill>
                <a:srgbClr val="FFFF00"/>
              </a:solidFill>
              <a:ln>
                <a:noFill/>
              </a:ln>
              <a:effectLst/>
            </c:spPr>
            <c:extLst>
              <c:ext xmlns:c16="http://schemas.microsoft.com/office/drawing/2014/chart" uri="{C3380CC4-5D6E-409C-BE32-E72D297353CC}">
                <c16:uniqueId val="{00000001-8801-4487-AF41-40FCA1B4ACFF}"/>
              </c:ext>
            </c:extLst>
          </c:dPt>
          <c:dPt>
            <c:idx val="4"/>
            <c:invertIfNegative val="0"/>
            <c:bubble3D val="0"/>
            <c:spPr>
              <a:solidFill>
                <a:srgbClr val="FFFF00"/>
              </a:solidFill>
              <a:ln>
                <a:noFill/>
              </a:ln>
              <a:effectLst/>
            </c:spPr>
            <c:extLst>
              <c:ext xmlns:c16="http://schemas.microsoft.com/office/drawing/2014/chart" uri="{C3380CC4-5D6E-409C-BE32-E72D297353CC}">
                <c16:uniqueId val="{00000008-7AD2-4D23-AAD4-68CCD020C8A4}"/>
              </c:ext>
            </c:extLst>
          </c:dPt>
          <c:dPt>
            <c:idx val="5"/>
            <c:invertIfNegative val="0"/>
            <c:bubble3D val="0"/>
            <c:spPr>
              <a:solidFill>
                <a:srgbClr val="FFFF00"/>
              </a:solidFill>
              <a:ln>
                <a:noFill/>
              </a:ln>
              <a:effectLst/>
            </c:spPr>
            <c:extLst>
              <c:ext xmlns:c16="http://schemas.microsoft.com/office/drawing/2014/chart" uri="{C3380CC4-5D6E-409C-BE32-E72D297353CC}">
                <c16:uniqueId val="{00000000-8801-4487-AF41-40FCA1B4ACF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HUMANA'!$E$5:$E$10</c:f>
              <c:numCache>
                <c:formatCode>0.0%</c:formatCode>
                <c:ptCount val="6"/>
                <c:pt idx="0">
                  <c:v>0.34188930071628293</c:v>
                </c:pt>
                <c:pt idx="1">
                  <c:v>0.49461278874289327</c:v>
                </c:pt>
                <c:pt idx="2">
                  <c:v>0.34966418650793651</c:v>
                </c:pt>
                <c:pt idx="3">
                  <c:v>0.28721175892609924</c:v>
                </c:pt>
                <c:pt idx="4">
                  <c:v>0.34606870713027416</c:v>
                </c:pt>
                <c:pt idx="5">
                  <c:v>0.28132744900710766</c:v>
                </c:pt>
              </c:numCache>
            </c:numRef>
          </c:val>
          <c:extLst>
            <c:ext xmlns:c16="http://schemas.microsoft.com/office/drawing/2014/chart" uri="{C3380CC4-5D6E-409C-BE32-E72D297353CC}">
              <c16:uniqueId val="{00000001-1B77-4F60-BAD1-3CFCB1A32D99}"/>
            </c:ext>
          </c:extLst>
        </c:ser>
        <c:ser>
          <c:idx val="2"/>
          <c:order val="2"/>
          <c:tx>
            <c:strRef>
              <c:f>'GRAFICAS SEGURIDAD HUMANA'!$F$4</c:f>
              <c:strCache>
                <c:ptCount val="1"/>
                <c:pt idx="0">
                  <c:v>LOGRO VIGENCIA  CORTE DICIEMBRE  2024 RESPECTO AL CUATRIENIO</c:v>
                </c:pt>
              </c:strCache>
            </c:strRef>
          </c:tx>
          <c:spPr>
            <a:solidFill>
              <a:srgbClr val="66399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HUMANA'!$F$5:$F$10</c:f>
              <c:numCache>
                <c:formatCode>0.0%</c:formatCode>
                <c:ptCount val="6"/>
                <c:pt idx="0">
                  <c:v>0.25472941442069297</c:v>
                </c:pt>
                <c:pt idx="1">
                  <c:v>0.40033301822466277</c:v>
                </c:pt>
                <c:pt idx="2">
                  <c:v>0.25041408617424243</c:v>
                </c:pt>
                <c:pt idx="3">
                  <c:v>0.20515575037857808</c:v>
                </c:pt>
                <c:pt idx="4">
                  <c:v>0.24621230380461609</c:v>
                </c:pt>
                <c:pt idx="5">
                  <c:v>0.17153191352136538</c:v>
                </c:pt>
              </c:numCache>
            </c:numRef>
          </c:val>
          <c:extLst>
            <c:ext xmlns:c16="http://schemas.microsoft.com/office/drawing/2014/chart" uri="{C3380CC4-5D6E-409C-BE32-E72D297353CC}">
              <c16:uniqueId val="{00000002-1B77-4F60-BAD1-3CFCB1A32D99}"/>
            </c:ext>
          </c:extLst>
        </c:ser>
        <c:dLbls>
          <c:showLegendKey val="0"/>
          <c:showVal val="0"/>
          <c:showCatName val="0"/>
          <c:showSerName val="0"/>
          <c:showPercent val="0"/>
          <c:showBubbleSize val="0"/>
        </c:dLbls>
        <c:gapWidth val="219"/>
        <c:overlap val="-27"/>
        <c:axId val="428224240"/>
        <c:axId val="428225808"/>
      </c:barChart>
      <c:catAx>
        <c:axId val="42822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8225808"/>
        <c:crosses val="autoZero"/>
        <c:auto val="1"/>
        <c:lblAlgn val="ctr"/>
        <c:lblOffset val="100"/>
        <c:noMultiLvlLbl val="0"/>
      </c:catAx>
      <c:valAx>
        <c:axId val="4282258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428224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3200" b="1"/>
              <a:t>AVANCE</a:t>
            </a:r>
            <a:r>
              <a:rPr lang="es-CO" sz="3200" b="1" baseline="0"/>
              <a:t> ESPERADO ACUMULADO CUATRIENIO  2025  - LOGRO ALCANZADO ACUMULADO CUATRIENIO  JUNIO 2025. LINEAS ESTRATEGICAS.</a:t>
            </a:r>
            <a:endParaRPr lang="es-CO" sz="32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052880145467711E-2"/>
          <c:y val="0.11955631399317407"/>
          <c:w val="0.97481232361628778"/>
          <c:h val="0.72866016321338678"/>
        </c:manualLayout>
      </c:layout>
      <c:bar3DChart>
        <c:barDir val="col"/>
        <c:grouping val="clustered"/>
        <c:varyColors val="0"/>
        <c:ser>
          <c:idx val="0"/>
          <c:order val="0"/>
          <c:tx>
            <c:strRef>
              <c:f>'SEGUIMIENTO DEL PLAN DE DESARRO'!$F$2</c:f>
              <c:strCache>
                <c:ptCount val="1"/>
                <c:pt idx="0">
                  <c:v>AVANCE ESPERADO ACUMULADO CUATRIENIO 2024 - 2025</c:v>
                </c:pt>
              </c:strCache>
            </c:strRef>
          </c:tx>
          <c:spPr>
            <a:solidFill>
              <a:schemeClr val="accent1"/>
            </a:solidFill>
            <a:ln>
              <a:noFill/>
            </a:ln>
            <a:effectLst/>
            <a:sp3d/>
          </c:spPr>
          <c:invertIfNegative val="0"/>
          <c:dLbls>
            <c:dLbl>
              <c:idx val="0"/>
              <c:layout>
                <c:manualLayout>
                  <c:x val="1.0449312257020485E-2"/>
                  <c:y val="-4.6729189081110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63-408B-AE44-FBB22E109B6F}"/>
                </c:ext>
              </c:extLst>
            </c:dLbl>
            <c:dLbl>
              <c:idx val="1"/>
              <c:layout>
                <c:manualLayout>
                  <c:x val="1.0908136482939633E-2"/>
                  <c:y val="-2.2688495558369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63-408B-AE44-FBB22E109B6F}"/>
                </c:ext>
              </c:extLst>
            </c:dLbl>
            <c:dLbl>
              <c:idx val="2"/>
              <c:layout>
                <c:manualLayout>
                  <c:x val="1.671891327063741E-2"/>
                  <c:y val="-1.3651877133105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63-408B-AE44-FBB22E109B6F}"/>
                </c:ext>
              </c:extLst>
            </c:dLbl>
            <c:dLbl>
              <c:idx val="3"/>
              <c:layout>
                <c:manualLayout>
                  <c:x val="1.0449320794148304E-2"/>
                  <c:y val="-1.1376564277588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663-408B-AE44-FBB22E109B6F}"/>
                </c:ext>
              </c:extLst>
            </c:dLbl>
            <c:dLbl>
              <c:idx val="4"/>
              <c:layout>
                <c:manualLayout>
                  <c:x val="1.3584117032392972E-2"/>
                  <c:y val="-1.5927189988623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663-408B-AE44-FBB22E109B6F}"/>
                </c:ext>
              </c:extLst>
            </c:dLbl>
            <c:dLbl>
              <c:idx val="5"/>
              <c:layout>
                <c:manualLayout>
                  <c:x val="1.6260099066564049E-2"/>
                  <c:y val="-3.129583257957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663-408B-AE44-FBB22E109B6F}"/>
                </c:ext>
              </c:extLst>
            </c:dLbl>
            <c:dLbl>
              <c:idx val="6"/>
              <c:layout>
                <c:manualLayout>
                  <c:x val="1.671891327063741E-2"/>
                  <c:y val="-6.82593856655290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663-408B-AE44-FBB22E109B6F}"/>
                </c:ext>
              </c:extLst>
            </c:dLbl>
            <c:spPr>
              <a:no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DESARRO'!$F$3:$F$9</c:f>
              <c:numCache>
                <c:formatCode>0.0%</c:formatCode>
                <c:ptCount val="7"/>
                <c:pt idx="0">
                  <c:v>0.5020023857457443</c:v>
                </c:pt>
                <c:pt idx="1">
                  <c:v>0.61218984525965447</c:v>
                </c:pt>
                <c:pt idx="2">
                  <c:v>0.54684174372440431</c:v>
                </c:pt>
                <c:pt idx="3">
                  <c:v>0.57077618047162071</c:v>
                </c:pt>
                <c:pt idx="4">
                  <c:v>0.45762029306363849</c:v>
                </c:pt>
                <c:pt idx="5">
                  <c:v>0.49805847417737026</c:v>
                </c:pt>
                <c:pt idx="6">
                  <c:v>0.32652777777777775</c:v>
                </c:pt>
              </c:numCache>
            </c:numRef>
          </c:val>
          <c:extLst>
            <c:ext xmlns:c16="http://schemas.microsoft.com/office/drawing/2014/chart" uri="{C3380CC4-5D6E-409C-BE32-E72D297353CC}">
              <c16:uniqueId val="{00000000-B663-408B-AE44-FBB22E109B6F}"/>
            </c:ext>
          </c:extLst>
        </c:ser>
        <c:ser>
          <c:idx val="1"/>
          <c:order val="1"/>
          <c:tx>
            <c:strRef>
              <c:f>'SEGUIMIENTO DEL PLAN DE DESARRO'!$K$2</c:f>
              <c:strCache>
                <c:ptCount val="1"/>
                <c:pt idx="0">
                  <c:v>AVANCE ACUMULADO  CORTE  JUNIO 2025 RESPECTO AL CUATRIENIO</c:v>
                </c:pt>
              </c:strCache>
            </c:strRef>
          </c:tx>
          <c:spPr>
            <a:solidFill>
              <a:schemeClr val="accent2"/>
            </a:solidFill>
            <a:ln>
              <a:noFill/>
            </a:ln>
            <a:effectLst/>
            <a:sp3d/>
          </c:spPr>
          <c:invertIfNegative val="0"/>
          <c:dLbls>
            <c:dLbl>
              <c:idx val="0"/>
              <c:layout>
                <c:manualLayout>
                  <c:x val="1.8808777429467103E-2"/>
                  <c:y val="-2.9579067121729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63-408B-AE44-FBB22E109B6F}"/>
                </c:ext>
              </c:extLst>
            </c:dLbl>
            <c:dLbl>
              <c:idx val="1"/>
              <c:layout>
                <c:manualLayout>
                  <c:x val="1.7763845350052286E-2"/>
                  <c:y val="-2.0477815699658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63-408B-AE44-FBB22E109B6F}"/>
                </c:ext>
              </c:extLst>
            </c:dLbl>
            <c:dLbl>
              <c:idx val="2"/>
              <c:layout>
                <c:manualLayout>
                  <c:x val="2.0898641588296761E-2"/>
                  <c:y val="-2.2753128555176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663-408B-AE44-FBB22E109B6F}"/>
                </c:ext>
              </c:extLst>
            </c:dLbl>
            <c:dLbl>
              <c:idx val="3"/>
              <c:layout>
                <c:manualLayout>
                  <c:x val="2.8213166144200628E-2"/>
                  <c:y val="-2.502844141069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663-408B-AE44-FBB22E109B6F}"/>
                </c:ext>
              </c:extLst>
            </c:dLbl>
            <c:dLbl>
              <c:idx val="4"/>
              <c:layout>
                <c:manualLayout>
                  <c:x val="2.1943573667711522E-2"/>
                  <c:y val="-2.2753128555176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663-408B-AE44-FBB22E109B6F}"/>
                </c:ext>
              </c:extLst>
            </c:dLbl>
            <c:dLbl>
              <c:idx val="5"/>
              <c:layout>
                <c:manualLayout>
                  <c:x val="2.4033437826541274E-2"/>
                  <c:y val="-2.9579067121729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663-408B-AE44-FBB22E109B6F}"/>
                </c:ext>
              </c:extLst>
            </c:dLbl>
            <c:dLbl>
              <c:idx val="6"/>
              <c:layout>
                <c:manualLayout>
                  <c:x val="1.7763845350052248E-2"/>
                  <c:y val="-1.592718998862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663-408B-AE44-FBB22E109B6F}"/>
                </c:ext>
              </c:extLst>
            </c:dLbl>
            <c:spPr>
              <a:no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DESARRO'!$K$3:$K$9</c:f>
              <c:numCache>
                <c:formatCode>0.0%</c:formatCode>
                <c:ptCount val="7"/>
                <c:pt idx="0" formatCode="0.00%">
                  <c:v>0.31348901775979898</c:v>
                </c:pt>
                <c:pt idx="1">
                  <c:v>0.34188930071628293</c:v>
                </c:pt>
                <c:pt idx="2">
                  <c:v>0.3533651236549824</c:v>
                </c:pt>
                <c:pt idx="3">
                  <c:v>0.33753168969468023</c:v>
                </c:pt>
                <c:pt idx="4">
                  <c:v>0.32826692545655778</c:v>
                </c:pt>
                <c:pt idx="5">
                  <c:v>0.34508245592517955</c:v>
                </c:pt>
                <c:pt idx="6">
                  <c:v>0.17479861111111111</c:v>
                </c:pt>
              </c:numCache>
            </c:numRef>
          </c:val>
          <c:extLst>
            <c:ext xmlns:c16="http://schemas.microsoft.com/office/drawing/2014/chart" uri="{C3380CC4-5D6E-409C-BE32-E72D297353CC}">
              <c16:uniqueId val="{00000001-B663-408B-AE44-FBB22E109B6F}"/>
            </c:ext>
          </c:extLst>
        </c:ser>
        <c:dLbls>
          <c:showLegendKey val="0"/>
          <c:showVal val="0"/>
          <c:showCatName val="0"/>
          <c:showSerName val="0"/>
          <c:showPercent val="0"/>
          <c:showBubbleSize val="0"/>
        </c:dLbls>
        <c:gapWidth val="150"/>
        <c:shape val="box"/>
        <c:axId val="42060016"/>
        <c:axId val="42060848"/>
        <c:axId val="0"/>
      </c:bar3DChart>
      <c:catAx>
        <c:axId val="42060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42060848"/>
        <c:crosses val="autoZero"/>
        <c:auto val="1"/>
        <c:lblAlgn val="ctr"/>
        <c:lblOffset val="100"/>
        <c:noMultiLvlLbl val="0"/>
      </c:catAx>
      <c:valAx>
        <c:axId val="420608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4206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VIDA DIGNA </a:t>
            </a:r>
            <a:r>
              <a:rPr lang="es-CO" sz="1100" b="1" i="0" u="none" strike="noStrike" baseline="0">
                <a:effectLst/>
              </a:rPr>
              <a:t>JUNIO 2025</a:t>
            </a:r>
            <a:endParaRPr lang="es-CO"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'!$D$4</c:f>
              <c:strCache>
                <c:ptCount val="1"/>
                <c:pt idx="0">
                  <c:v>ESPERADO  AL CUATRIENIO CORTE DICIEMBRE 2025</c:v>
                </c:pt>
              </c:strCache>
            </c:strRef>
          </c:tx>
          <c:spPr>
            <a:solidFill>
              <a:schemeClr val="tx2">
                <a:lumMod val="65000"/>
                <a:lumOff val="35000"/>
              </a:schemeClr>
            </a:solidFill>
            <a:ln>
              <a:noFill/>
            </a:ln>
            <a:effectLst/>
          </c:spPr>
          <c:invertIfNegative val="0"/>
          <c:dPt>
            <c:idx val="0"/>
            <c:invertIfNegative val="0"/>
            <c:bubble3D val="0"/>
            <c:spPr>
              <a:solidFill>
                <a:schemeClr val="tx2">
                  <a:lumMod val="65000"/>
                  <a:lumOff val="35000"/>
                </a:schemeClr>
              </a:solidFill>
              <a:ln>
                <a:noFill/>
              </a:ln>
              <a:effectLst/>
            </c:spPr>
            <c:extLst>
              <c:ext xmlns:c16="http://schemas.microsoft.com/office/drawing/2014/chart" uri="{C3380CC4-5D6E-409C-BE32-E72D297353CC}">
                <c16:uniqueId val="{00000001-6B3B-4907-A15B-5224CC03114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'!$D$5:$D$11</c:f>
              <c:numCache>
                <c:formatCode>0.0%</c:formatCode>
                <c:ptCount val="7"/>
                <c:pt idx="0">
                  <c:v>0.53896320341939341</c:v>
                </c:pt>
                <c:pt idx="1">
                  <c:v>0.47305009896863803</c:v>
                </c:pt>
                <c:pt idx="2">
                  <c:v>0.48195707299092011</c:v>
                </c:pt>
                <c:pt idx="3">
                  <c:v>0.45039542483660128</c:v>
                </c:pt>
                <c:pt idx="4">
                  <c:v>0.6175572285863945</c:v>
                </c:pt>
                <c:pt idx="5">
                  <c:v>0.5512547869858142</c:v>
                </c:pt>
                <c:pt idx="6">
                  <c:v>0.65956460814799245</c:v>
                </c:pt>
              </c:numCache>
            </c:numRef>
          </c:val>
          <c:extLst>
            <c:ext xmlns:c16="http://schemas.microsoft.com/office/drawing/2014/chart" uri="{C3380CC4-5D6E-409C-BE32-E72D297353CC}">
              <c16:uniqueId val="{00000000-33E6-47EB-A365-58958BF7B656}"/>
            </c:ext>
          </c:extLst>
        </c:ser>
        <c:ser>
          <c:idx val="1"/>
          <c:order val="1"/>
          <c:tx>
            <c:strRef>
              <c:f>'GRAFICAS VIDA DIGNA '!$E$4</c:f>
              <c:strCache>
                <c:ptCount val="1"/>
                <c:pt idx="0">
                  <c:v>LOGRO VIGENCIA  CORTE JUNIO 2025 RESPECTO AL CUATRIENIO</c:v>
                </c:pt>
              </c:strCache>
            </c:strRef>
          </c:tx>
          <c:spPr>
            <a:solidFill>
              <a:srgbClr val="FFFF00"/>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E-17E4-4F84-9765-CD5E0AE80E52}"/>
              </c:ext>
            </c:extLst>
          </c:dPt>
          <c:dPt>
            <c:idx val="1"/>
            <c:invertIfNegative val="0"/>
            <c:bubble3D val="0"/>
            <c:spPr>
              <a:solidFill>
                <a:srgbClr val="92D050"/>
              </a:solidFill>
              <a:ln>
                <a:noFill/>
              </a:ln>
              <a:effectLst/>
            </c:spPr>
            <c:extLst>
              <c:ext xmlns:c16="http://schemas.microsoft.com/office/drawing/2014/chart" uri="{C3380CC4-5D6E-409C-BE32-E72D297353CC}">
                <c16:uniqueId val="{0000000C-532B-4FCA-9CB3-60C1949D9DBF}"/>
              </c:ext>
            </c:extLst>
          </c:dPt>
          <c:dPt>
            <c:idx val="2"/>
            <c:invertIfNegative val="0"/>
            <c:bubble3D val="0"/>
            <c:spPr>
              <a:solidFill>
                <a:srgbClr val="FF7C80"/>
              </a:solidFill>
              <a:ln>
                <a:noFill/>
              </a:ln>
              <a:effectLst/>
            </c:spPr>
            <c:extLst>
              <c:ext xmlns:c16="http://schemas.microsoft.com/office/drawing/2014/chart" uri="{C3380CC4-5D6E-409C-BE32-E72D297353CC}">
                <c16:uniqueId val="{0000000A-DBF4-4219-A2B6-01F51F733681}"/>
              </c:ext>
            </c:extLst>
          </c:dPt>
          <c:dPt>
            <c:idx val="3"/>
            <c:invertIfNegative val="0"/>
            <c:bubble3D val="0"/>
            <c:spPr>
              <a:solidFill>
                <a:srgbClr val="FF7C80"/>
              </a:solidFill>
              <a:ln>
                <a:noFill/>
              </a:ln>
              <a:effectLst/>
            </c:spPr>
            <c:extLst>
              <c:ext xmlns:c16="http://schemas.microsoft.com/office/drawing/2014/chart" uri="{C3380CC4-5D6E-409C-BE32-E72D297353CC}">
                <c16:uniqueId val="{00000009-DBF4-4219-A2B6-01F51F733681}"/>
              </c:ext>
            </c:extLst>
          </c:dPt>
          <c:dPt>
            <c:idx val="4"/>
            <c:invertIfNegative val="0"/>
            <c:bubble3D val="0"/>
            <c:spPr>
              <a:solidFill>
                <a:srgbClr val="00B050"/>
              </a:solidFill>
              <a:ln>
                <a:noFill/>
              </a:ln>
              <a:effectLst/>
            </c:spPr>
            <c:extLst>
              <c:ext xmlns:c16="http://schemas.microsoft.com/office/drawing/2014/chart" uri="{C3380CC4-5D6E-409C-BE32-E72D297353CC}">
                <c16:uniqueId val="{00000003-6B3B-4907-A15B-5224CC031147}"/>
              </c:ext>
            </c:extLst>
          </c:dPt>
          <c:dPt>
            <c:idx val="5"/>
            <c:invertIfNegative val="0"/>
            <c:bubble3D val="0"/>
            <c:spPr>
              <a:solidFill>
                <a:srgbClr val="92D050"/>
              </a:solidFill>
              <a:ln>
                <a:noFill/>
              </a:ln>
              <a:effectLst/>
            </c:spPr>
            <c:extLst>
              <c:ext xmlns:c16="http://schemas.microsoft.com/office/drawing/2014/chart" uri="{C3380CC4-5D6E-409C-BE32-E72D297353CC}">
                <c16:uniqueId val="{00000004-6B3B-4907-A15B-5224CC031147}"/>
              </c:ext>
            </c:extLst>
          </c:dPt>
          <c:dPt>
            <c:idx val="6"/>
            <c:invertIfNegative val="0"/>
            <c:bubble3D val="0"/>
            <c:spPr>
              <a:solidFill>
                <a:srgbClr val="92D050"/>
              </a:solidFill>
              <a:ln>
                <a:noFill/>
              </a:ln>
              <a:effectLst/>
            </c:spPr>
            <c:extLst>
              <c:ext xmlns:c16="http://schemas.microsoft.com/office/drawing/2014/chart" uri="{C3380CC4-5D6E-409C-BE32-E72D297353CC}">
                <c16:uniqueId val="{00000006-6B3B-4907-A15B-5224CC03114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'!$E$5:$E$11</c:f>
              <c:numCache>
                <c:formatCode>0.0%</c:formatCode>
                <c:ptCount val="7"/>
                <c:pt idx="0">
                  <c:v>0.3533651236549824</c:v>
                </c:pt>
                <c:pt idx="1">
                  <c:v>0.36740543241296775</c:v>
                </c:pt>
                <c:pt idx="2">
                  <c:v>0.21972164484441217</c:v>
                </c:pt>
                <c:pt idx="3">
                  <c:v>0.19891486928104574</c:v>
                </c:pt>
                <c:pt idx="4">
                  <c:v>0.47593529817233005</c:v>
                </c:pt>
                <c:pt idx="5">
                  <c:v>0.42056134495239916</c:v>
                </c:pt>
                <c:pt idx="6">
                  <c:v>0.43765215226673959</c:v>
                </c:pt>
              </c:numCache>
            </c:numRef>
          </c:val>
          <c:extLst>
            <c:ext xmlns:c16="http://schemas.microsoft.com/office/drawing/2014/chart" uri="{C3380CC4-5D6E-409C-BE32-E72D297353CC}">
              <c16:uniqueId val="{00000001-33E6-47EB-A365-58958BF7B656}"/>
            </c:ext>
          </c:extLst>
        </c:ser>
        <c:dLbls>
          <c:showLegendKey val="0"/>
          <c:showVal val="0"/>
          <c:showCatName val="0"/>
          <c:showSerName val="0"/>
          <c:showPercent val="0"/>
          <c:showBubbleSize val="0"/>
        </c:dLbls>
        <c:gapWidth val="219"/>
        <c:overlap val="-27"/>
        <c:axId val="428226592"/>
        <c:axId val="426796472"/>
      </c:barChart>
      <c:catAx>
        <c:axId val="42822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6796472"/>
        <c:crosses val="autoZero"/>
        <c:auto val="1"/>
        <c:lblAlgn val="ctr"/>
        <c:lblOffset val="100"/>
        <c:noMultiLvlLbl val="0"/>
      </c:catAx>
      <c:valAx>
        <c:axId val="426796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6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000000">
                    <a:lumMod val="65000"/>
                    <a:lumOff val="35000"/>
                  </a:srgbClr>
                </a:solidFill>
                <a:latin typeface="+mn-lt"/>
                <a:ea typeface="+mn-ea"/>
                <a:cs typeface="+mn-cs"/>
              </a:defRPr>
            </a:pPr>
            <a:r>
              <a:rPr lang="es-CO" sz="1100" b="1" i="0" baseline="0">
                <a:effectLst/>
              </a:rPr>
              <a:t>AVANCE RESPECTO AL CUATRIENIO DE LOS COMPONENTES IMPULSORES LINEA ESTRATEGICA VIDA DIGNA JUNIO 2025</a:t>
            </a:r>
            <a:endParaRPr lang="es-CO"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100">
                <a:solidFill>
                  <a:srgbClr val="000000">
                    <a:lumMod val="65000"/>
                    <a:lumOff val="35000"/>
                  </a:srgbClr>
                </a:solidFill>
              </a:defRPr>
            </a:pPr>
            <a:r>
              <a:rPr lang="es-CO" sz="1100" b="1"/>
              <a:t>PONDERADO.</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'!$N$5</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'!$M$6:$M$12</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'!$N$6:$N$12</c:f>
              <c:numCache>
                <c:formatCode>0.0%</c:formatCode>
                <c:ptCount val="7"/>
                <c:pt idx="0">
                  <c:v>0.48374595371068446</c:v>
                </c:pt>
                <c:pt idx="1">
                  <c:v>0.52231078202059211</c:v>
                </c:pt>
                <c:pt idx="2">
                  <c:v>0.34412251003370042</c:v>
                </c:pt>
                <c:pt idx="3">
                  <c:v>0.47809068627450979</c:v>
                </c:pt>
                <c:pt idx="4">
                  <c:v>0.66691442644710563</c:v>
                </c:pt>
                <c:pt idx="5">
                  <c:v>0.51072814095047869</c:v>
                </c:pt>
                <c:pt idx="6">
                  <c:v>0.46651797413887564</c:v>
                </c:pt>
              </c:numCache>
            </c:numRef>
          </c:val>
          <c:extLst>
            <c:ext xmlns:c16="http://schemas.microsoft.com/office/drawing/2014/chart" uri="{C3380CC4-5D6E-409C-BE32-E72D297353CC}">
              <c16:uniqueId val="{00000000-596F-4C78-9634-B52A345DD473}"/>
            </c:ext>
          </c:extLst>
        </c:ser>
        <c:ser>
          <c:idx val="1"/>
          <c:order val="1"/>
          <c:tx>
            <c:strRef>
              <c:f>'GRAFICAS VIDA DIGNA '!$O$5</c:f>
              <c:strCache>
                <c:ptCount val="1"/>
                <c:pt idx="0">
                  <c:v>LOGRO CORTE JUNIO 2025 RESPECTO AL CUATRIENIO</c:v>
                </c:pt>
              </c:strCache>
            </c:strRef>
          </c:tx>
          <c:spPr>
            <a:solidFill>
              <a:schemeClr val="accent2"/>
            </a:solidFill>
            <a:ln>
              <a:noFill/>
            </a:ln>
            <a:effectLst/>
          </c:spPr>
          <c:invertIfNegative val="0"/>
          <c:dLbls>
            <c:dLbl>
              <c:idx val="3"/>
              <c:layout>
                <c:manualLayout>
                  <c:x val="1.2437810945273632E-2"/>
                  <c:y val="1.1376564277588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6F-4C78-9634-B52A345DD4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'!$M$6:$M$12</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'!$O$6:$O$12</c:f>
              <c:numCache>
                <c:formatCode>0.0%</c:formatCode>
                <c:ptCount val="7"/>
                <c:pt idx="0">
                  <c:v>0.34160632674734986</c:v>
                </c:pt>
                <c:pt idx="1">
                  <c:v>0.33047590926273196</c:v>
                </c:pt>
                <c:pt idx="2">
                  <c:v>0.22911010583729266</c:v>
                </c:pt>
                <c:pt idx="3">
                  <c:v>0.18983784313725491</c:v>
                </c:pt>
                <c:pt idx="4">
                  <c:v>0.39505789945529213</c:v>
                </c:pt>
                <c:pt idx="5">
                  <c:v>0.36671416124027445</c:v>
                </c:pt>
                <c:pt idx="6">
                  <c:v>0.45311494603151192</c:v>
                </c:pt>
              </c:numCache>
            </c:numRef>
          </c:val>
          <c:extLst>
            <c:ext xmlns:c16="http://schemas.microsoft.com/office/drawing/2014/chart" uri="{C3380CC4-5D6E-409C-BE32-E72D297353CC}">
              <c16:uniqueId val="{00000001-596F-4C78-9634-B52A345DD473}"/>
            </c:ext>
          </c:extLst>
        </c:ser>
        <c:dLbls>
          <c:showLegendKey val="0"/>
          <c:showVal val="0"/>
          <c:showCatName val="0"/>
          <c:showSerName val="0"/>
          <c:showPercent val="0"/>
          <c:showBubbleSize val="0"/>
        </c:dLbls>
        <c:gapWidth val="219"/>
        <c:overlap val="-27"/>
        <c:axId val="426798040"/>
        <c:axId val="426798432"/>
      </c:barChart>
      <c:catAx>
        <c:axId val="426798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8432"/>
        <c:crosses val="autoZero"/>
        <c:auto val="1"/>
        <c:lblAlgn val="ctr"/>
        <c:lblOffset val="100"/>
        <c:noMultiLvlLbl val="0"/>
      </c:catAx>
      <c:valAx>
        <c:axId val="426798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8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Acceso a Servicios Públicos Básicos Avance Ponderado </a:t>
            </a:r>
            <a:r>
              <a:rPr lang="en-US" sz="1400" b="0" i="0" u="none" strike="noStrike" baseline="0">
                <a:effectLst/>
              </a:rPr>
              <a:t>Junio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806323069040229E-2"/>
          <c:y val="0.12172106387384812"/>
          <c:w val="0.94519367693095979"/>
          <c:h val="0.79189058004983648"/>
        </c:manualLayout>
      </c:layout>
      <c:barChart>
        <c:barDir val="col"/>
        <c:grouping val="clustered"/>
        <c:varyColors val="0"/>
        <c:ser>
          <c:idx val="0"/>
          <c:order val="0"/>
          <c:tx>
            <c:strRef>
              <c:f>'GRAFICAS VIDA DIGNA '!$D$56</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'!$C$57:$C$60</c:f>
              <c:strCache>
                <c:ptCount val="4"/>
                <c:pt idx="0">
                  <c:v> Acceso a Servicios Básicos
</c:v>
                </c:pt>
                <c:pt idx="1">
                  <c:v> ACCESO AL AGUA POTABLE Y SANEAMIENTO BÁSICO</c:v>
                </c:pt>
                <c:pt idx="2">
                  <c:v> AVANZAMOS POR UNA CARTAGENA ILUMINADA Y LA TRANSICIÓN ENERGÉTICA</c:v>
                </c:pt>
                <c:pt idx="3">
                  <c:v> UNIDOS POR LA GESTIÓN DE LOS RESIDUOS Y EL DESARROLLO SOSTENIBLE</c:v>
                </c:pt>
              </c:strCache>
            </c:strRef>
          </c:cat>
          <c:val>
            <c:numRef>
              <c:f>'GRAFICAS VIDA DIGNA '!$D$57:$D$60</c:f>
              <c:numCache>
                <c:formatCode>0.0%</c:formatCode>
                <c:ptCount val="4"/>
                <c:pt idx="0">
                  <c:v>0.22911010583729266</c:v>
                </c:pt>
                <c:pt idx="1">
                  <c:v>0.40735030239226472</c:v>
                </c:pt>
                <c:pt idx="2">
                  <c:v>0.11153571428571429</c:v>
                </c:pt>
                <c:pt idx="3">
                  <c:v>0.15833333333333335</c:v>
                </c:pt>
              </c:numCache>
            </c:numRef>
          </c:val>
          <c:extLst>
            <c:ext xmlns:c16="http://schemas.microsoft.com/office/drawing/2014/chart" uri="{C3380CC4-5D6E-409C-BE32-E72D297353CC}">
              <c16:uniqueId val="{00000000-97FE-4DCB-A3BD-D280D7E1DCD4}"/>
            </c:ext>
          </c:extLst>
        </c:ser>
        <c:dLbls>
          <c:showLegendKey val="0"/>
          <c:showVal val="0"/>
          <c:showCatName val="0"/>
          <c:showSerName val="0"/>
          <c:showPercent val="0"/>
          <c:showBubbleSize val="0"/>
        </c:dLbls>
        <c:gapWidth val="219"/>
        <c:overlap val="-27"/>
        <c:axId val="426796864"/>
        <c:axId val="426798824"/>
      </c:barChart>
      <c:catAx>
        <c:axId val="42679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26798824"/>
        <c:crosses val="autoZero"/>
        <c:auto val="1"/>
        <c:lblAlgn val="ctr"/>
        <c:lblOffset val="100"/>
        <c:noMultiLvlLbl val="0"/>
      </c:catAx>
      <c:valAx>
        <c:axId val="4267988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6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Vivienda Digna y Hábitat</a:t>
            </a:r>
            <a:r>
              <a:rPr lang="en-US" baseline="0"/>
              <a:t> Avance ponderado </a:t>
            </a:r>
            <a:r>
              <a:rPr lang="en-US" sz="1400" b="0" i="0" u="none" strike="noStrike" baseline="0">
                <a:effectLst/>
              </a:rPr>
              <a:t>Junio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3667041619797521E-2"/>
          <c:y val="0.17171296296296296"/>
          <c:w val="0.90693260564651645"/>
          <c:h val="0.57996157611959942"/>
        </c:manualLayout>
      </c:layout>
      <c:barChart>
        <c:barDir val="col"/>
        <c:grouping val="clustered"/>
        <c:varyColors val="0"/>
        <c:ser>
          <c:idx val="0"/>
          <c:order val="0"/>
          <c:tx>
            <c:strRef>
              <c:f>'GRAFICAS VIDA DIGNA '!$D$71</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'!$C$72:$C$76</c:f>
              <c:strCache>
                <c:ptCount val="5"/>
                <c:pt idx="0">
                  <c:v> Vivienda Digna y Hábitat
</c:v>
                </c:pt>
                <c:pt idx="1">
                  <c:v> UNIDOS POR UNA VIVIENDA PARA TI</c:v>
                </c:pt>
                <c:pt idx="2">
                  <c:v> MI CASA AVANZA</c:v>
                </c:pt>
                <c:pt idx="3">
                  <c:v> MI CASA CON PROPIEDAD</c:v>
                </c:pt>
                <c:pt idx="4">
                  <c:v> MI TERRITORIO EN ORDEN</c:v>
                </c:pt>
              </c:strCache>
            </c:strRef>
          </c:cat>
          <c:val>
            <c:numRef>
              <c:f>'GRAFICAS VIDA DIGNA '!$D$72:$D$76</c:f>
              <c:numCache>
                <c:formatCode>0.0%</c:formatCode>
                <c:ptCount val="5"/>
                <c:pt idx="0">
                  <c:v>0.18983784313725491</c:v>
                </c:pt>
                <c:pt idx="1">
                  <c:v>5.5300000000000002E-2</c:v>
                </c:pt>
                <c:pt idx="2">
                  <c:v>0.27380392156862743</c:v>
                </c:pt>
                <c:pt idx="3">
                  <c:v>0.248</c:v>
                </c:pt>
                <c:pt idx="4">
                  <c:v>0.20753333333333332</c:v>
                </c:pt>
              </c:numCache>
            </c:numRef>
          </c:val>
          <c:extLst>
            <c:ext xmlns:c16="http://schemas.microsoft.com/office/drawing/2014/chart" uri="{C3380CC4-5D6E-409C-BE32-E72D297353CC}">
              <c16:uniqueId val="{00000000-E341-4A3A-9E62-E1094E5DD3BF}"/>
            </c:ext>
          </c:extLst>
        </c:ser>
        <c:dLbls>
          <c:showLegendKey val="0"/>
          <c:showVal val="0"/>
          <c:showCatName val="0"/>
          <c:showSerName val="0"/>
          <c:showPercent val="0"/>
          <c:showBubbleSize val="0"/>
        </c:dLbls>
        <c:gapWidth val="219"/>
        <c:overlap val="-27"/>
        <c:axId val="426794512"/>
        <c:axId val="426797256"/>
      </c:barChart>
      <c:catAx>
        <c:axId val="426794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7256"/>
        <c:crosses val="autoZero"/>
        <c:auto val="1"/>
        <c:lblAlgn val="ctr"/>
        <c:lblOffset val="100"/>
        <c:noMultiLvlLbl val="0"/>
      </c:catAx>
      <c:valAx>
        <c:axId val="426797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4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Artes,</a:t>
            </a:r>
            <a:r>
              <a:rPr lang="en-US" baseline="0"/>
              <a:t> Cultura y Patrimonio </a:t>
            </a:r>
            <a:r>
              <a:rPr lang="en-US"/>
              <a:t>Avance</a:t>
            </a:r>
            <a:r>
              <a:rPr lang="en-US" baseline="0"/>
              <a:t> ponderado </a:t>
            </a:r>
            <a:r>
              <a:rPr lang="en-US" sz="1400" b="0" i="0" u="none" strike="noStrike" baseline="0">
                <a:effectLst/>
              </a:rPr>
              <a:t>Junio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'!$D$80</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'!$C$81:$C$86</c:f>
              <c:strCache>
                <c:ptCount val="6"/>
                <c:pt idx="0">
                  <c:v>Artes, Cultura y Patrimonio
</c:v>
                </c:pt>
                <c:pt idx="1">
                  <c:v> ESCENARIOS CULTURALES VIVOS PARA TRANSFORMAR</c:v>
                </c:pt>
                <c:pt idx="2">
                  <c:v> DEMOCRATIZACIÓN DE LA CULTURA: ESTÍMULOS PARA EL FOMENTO Y DESARROLLO ARTÍSTICO, CULTURAL Y CREATIVO.</c:v>
                </c:pt>
                <c:pt idx="3">
                  <c:v> FORMACIÓN ARTÍSTICA Y CULTURAL</c:v>
                </c:pt>
                <c:pt idx="4">
                  <c:v> DERECHOS CULTURALES Y FORTALECIMIENTO INSTITUCIONAL PARA LA GOBERNANZA</c:v>
                </c:pt>
                <c:pt idx="5">
                  <c:v> CARTAGENA BRILLA CON SU CULTURA Y PATRIMONIO MATERIAL E INMATERIAL</c:v>
                </c:pt>
              </c:strCache>
            </c:strRef>
          </c:cat>
          <c:val>
            <c:numRef>
              <c:f>'GRAFICAS VIDA DIGNA '!$D$81:$D$86</c:f>
              <c:numCache>
                <c:formatCode>0.00%</c:formatCode>
                <c:ptCount val="6"/>
                <c:pt idx="0">
                  <c:v>0.39505789945529213</c:v>
                </c:pt>
                <c:pt idx="1">
                  <c:v>0.35756799818430712</c:v>
                </c:pt>
                <c:pt idx="2">
                  <c:v>0.78400000000000003</c:v>
                </c:pt>
                <c:pt idx="3">
                  <c:v>0.52137500000000003</c:v>
                </c:pt>
                <c:pt idx="4">
                  <c:v>0.45999999999999996</c:v>
                </c:pt>
                <c:pt idx="5">
                  <c:v>0.44750000000000006</c:v>
                </c:pt>
              </c:numCache>
            </c:numRef>
          </c:val>
          <c:extLst>
            <c:ext xmlns:c16="http://schemas.microsoft.com/office/drawing/2014/chart" uri="{C3380CC4-5D6E-409C-BE32-E72D297353CC}">
              <c16:uniqueId val="{00000000-D4A7-40D5-96E4-8C19C95B0605}"/>
            </c:ext>
          </c:extLst>
        </c:ser>
        <c:dLbls>
          <c:showLegendKey val="0"/>
          <c:showVal val="0"/>
          <c:showCatName val="0"/>
          <c:showSerName val="0"/>
          <c:showPercent val="0"/>
          <c:showBubbleSize val="0"/>
        </c:dLbls>
        <c:gapWidth val="219"/>
        <c:overlap val="-27"/>
        <c:axId val="426797648"/>
        <c:axId val="426800000"/>
      </c:barChart>
      <c:catAx>
        <c:axId val="42679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26800000"/>
        <c:crosses val="autoZero"/>
        <c:auto val="1"/>
        <c:lblAlgn val="ctr"/>
        <c:lblOffset val="100"/>
        <c:noMultiLvlLbl val="0"/>
      </c:catAx>
      <c:valAx>
        <c:axId val="4268000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7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Deporte y Recreación Avance ponderado corte </a:t>
            </a:r>
            <a:r>
              <a:rPr lang="en-US" sz="1400" b="0" i="0" u="none" strike="noStrike" baseline="0">
                <a:effectLst/>
              </a:rPr>
              <a:t>Junio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'!$D$91</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'!$C$92:$C$99</c:f>
              <c:strCache>
                <c:ptCount val="8"/>
                <c:pt idx="0">
                  <c:v>Deporte y Recreación
</c:v>
                </c:pt>
                <c:pt idx="1">
                  <c:v> FORTALECIMIENTO Y MANTENIMIENTO DE LA RED DE INFRAESTRUCTURA DEPORTIVA DEL DISTRITO</c:v>
                </c:pt>
                <c:pt idx="2">
                  <c:v> FOMENTO AL DEPORTE DE ALTO RENDIMIENTO</c:v>
                </c:pt>
                <c:pt idx="3">
                  <c:v> FORTALECIMIENTO DEL CAPITAL HUMANO A TRAVÉS DE LAS CIENCIAS APLICADAS AL DEPORTE Y LA RECREACIÓN.</c:v>
                </c:pt>
                <c:pt idx="4">
                  <c:v> FORTALECIMIENTO DEL DEPORTE FORMATIVO, ESTUDIANTIL Y LA EDUCACIÓN FÍSICA EXTRAESCOLAR</c:v>
                </c:pt>
                <c:pt idx="5">
                  <c:v> FORTALECIMIENTO DEL DEPORTE SOCIAL COMUNITARIO, AVANZAR EN NUESTRO TERRITORIO</c:v>
                </c:pt>
                <c:pt idx="6">
                  <c:v> PROMOCIÓN DE HÁBITOS Y ESTILOS DE VIDA SALUDABLE, RECREACIÓN, ACTIVIDAD FÍSICA Y EL APROVECHAMIENTO DEL TIEMPO LIBRE EN EL DISTRITO DE CARTAGENA</c:v>
                </c:pt>
                <c:pt idx="7">
                  <c:v> CARTAGENA CIUDAD DESTINO DE TURISMO DEPORTIVO</c:v>
                </c:pt>
              </c:strCache>
            </c:strRef>
          </c:cat>
          <c:val>
            <c:numRef>
              <c:f>'GRAFICAS VIDA DIGNA '!$D$92:$D$99</c:f>
              <c:numCache>
                <c:formatCode>0.0%</c:formatCode>
                <c:ptCount val="8"/>
                <c:pt idx="0">
                  <c:v>0.36671416124027445</c:v>
                </c:pt>
                <c:pt idx="1">
                  <c:v>0.33520833333333333</c:v>
                </c:pt>
                <c:pt idx="2">
                  <c:v>0.20069015017667843</c:v>
                </c:pt>
                <c:pt idx="3">
                  <c:v>0.43149999999999999</c:v>
                </c:pt>
                <c:pt idx="4">
                  <c:v>0.45982880241648899</c:v>
                </c:pt>
                <c:pt idx="5">
                  <c:v>0.34168852459016391</c:v>
                </c:pt>
                <c:pt idx="6">
                  <c:v>0.50498597222222219</c:v>
                </c:pt>
                <c:pt idx="7">
                  <c:v>0.70905769230769233</c:v>
                </c:pt>
              </c:numCache>
            </c:numRef>
          </c:val>
          <c:extLst>
            <c:ext xmlns:c16="http://schemas.microsoft.com/office/drawing/2014/chart" uri="{C3380CC4-5D6E-409C-BE32-E72D297353CC}">
              <c16:uniqueId val="{00000000-ABBA-480B-A84C-F9FD1136DE88}"/>
            </c:ext>
          </c:extLst>
        </c:ser>
        <c:dLbls>
          <c:showLegendKey val="0"/>
          <c:showVal val="0"/>
          <c:showCatName val="0"/>
          <c:showSerName val="0"/>
          <c:showPercent val="0"/>
          <c:showBubbleSize val="0"/>
        </c:dLbls>
        <c:gapWidth val="219"/>
        <c:overlap val="-27"/>
        <c:axId val="426794904"/>
        <c:axId val="426795296"/>
      </c:barChart>
      <c:catAx>
        <c:axId val="42679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426795296"/>
        <c:crosses val="autoZero"/>
        <c:auto val="1"/>
        <c:lblAlgn val="ctr"/>
        <c:lblOffset val="100"/>
        <c:noMultiLvlLbl val="0"/>
      </c:catAx>
      <c:valAx>
        <c:axId val="426795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AVANCE   LINEA ESTRATEGICA </a:t>
            </a:r>
            <a:r>
              <a:rPr lang="en-US" sz="1100" b="1" i="0" u="none" strike="noStrike" baseline="0">
                <a:effectLst/>
              </a:rPr>
              <a:t>VIDA DIGNA. COMPONENTES IMPULSORES DE AVANCE. </a:t>
            </a:r>
            <a:r>
              <a:rPr lang="en-US" sz="1100" b="1"/>
              <a:t> VIGENCIA 2025 CORTE </a:t>
            </a:r>
            <a:r>
              <a:rPr lang="es-CO" sz="1100" b="1" i="0" u="none" strike="noStrike" baseline="0">
                <a:effectLst/>
              </a:rPr>
              <a:t>JUNIO 2025</a:t>
            </a:r>
            <a:endParaRPr lang="en-US"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'!$D$113</c:f>
              <c:strCache>
                <c:ptCount val="1"/>
                <c:pt idx="0">
                  <c:v>AVANCE  PARCIAL VIGENCIA  CORTE JUNIO 2025</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9-1BF3-47DB-9239-A5F4E34A90A0}"/>
              </c:ext>
            </c:extLst>
          </c:dPt>
          <c:dPt>
            <c:idx val="1"/>
            <c:invertIfNegative val="0"/>
            <c:bubble3D val="0"/>
            <c:spPr>
              <a:solidFill>
                <a:srgbClr val="00B050"/>
              </a:solidFill>
              <a:ln>
                <a:noFill/>
              </a:ln>
              <a:effectLst/>
            </c:spPr>
            <c:extLst>
              <c:ext xmlns:c16="http://schemas.microsoft.com/office/drawing/2014/chart" uri="{C3380CC4-5D6E-409C-BE32-E72D297353CC}">
                <c16:uniqueId val="{00000006-1BF3-47DB-9239-A5F4E34A90A0}"/>
              </c:ext>
            </c:extLst>
          </c:dPt>
          <c:dPt>
            <c:idx val="2"/>
            <c:invertIfNegative val="0"/>
            <c:bubble3D val="0"/>
            <c:spPr>
              <a:solidFill>
                <a:srgbClr val="FF7C80"/>
              </a:solidFill>
              <a:ln>
                <a:noFill/>
              </a:ln>
              <a:effectLst/>
            </c:spPr>
            <c:extLst>
              <c:ext xmlns:c16="http://schemas.microsoft.com/office/drawing/2014/chart" uri="{C3380CC4-5D6E-409C-BE32-E72D297353CC}">
                <c16:uniqueId val="{00000003-1BF3-47DB-9239-A5F4E34A90A0}"/>
              </c:ext>
            </c:extLst>
          </c:dPt>
          <c:dPt>
            <c:idx val="3"/>
            <c:invertIfNegative val="0"/>
            <c:bubble3D val="0"/>
            <c:spPr>
              <a:solidFill>
                <a:srgbClr val="FF7C80"/>
              </a:solidFill>
              <a:ln>
                <a:noFill/>
              </a:ln>
              <a:effectLst/>
            </c:spPr>
            <c:extLst>
              <c:ext xmlns:c16="http://schemas.microsoft.com/office/drawing/2014/chart" uri="{C3380CC4-5D6E-409C-BE32-E72D297353CC}">
                <c16:uniqueId val="{0000000B-1BF3-47DB-9239-A5F4E34A90A0}"/>
              </c:ext>
            </c:extLst>
          </c:dPt>
          <c:dPt>
            <c:idx val="4"/>
            <c:invertIfNegative val="0"/>
            <c:bubble3D val="0"/>
            <c:spPr>
              <a:solidFill>
                <a:srgbClr val="00B050"/>
              </a:solidFill>
              <a:ln>
                <a:noFill/>
              </a:ln>
              <a:effectLst/>
            </c:spPr>
            <c:extLst>
              <c:ext xmlns:c16="http://schemas.microsoft.com/office/drawing/2014/chart" uri="{C3380CC4-5D6E-409C-BE32-E72D297353CC}">
                <c16:uniqueId val="{0000000D-1BF3-47DB-9239-A5F4E34A90A0}"/>
              </c:ext>
            </c:extLst>
          </c:dPt>
          <c:dPt>
            <c:idx val="5"/>
            <c:invertIfNegative val="0"/>
            <c:bubble3D val="0"/>
            <c:spPr>
              <a:solidFill>
                <a:srgbClr val="92D050"/>
              </a:solidFill>
              <a:ln>
                <a:noFill/>
              </a:ln>
              <a:effectLst/>
            </c:spPr>
            <c:extLst>
              <c:ext xmlns:c16="http://schemas.microsoft.com/office/drawing/2014/chart" uri="{C3380CC4-5D6E-409C-BE32-E72D297353CC}">
                <c16:uniqueId val="{0000000E-1BF3-47DB-9239-A5F4E34A90A0}"/>
              </c:ext>
            </c:extLst>
          </c:dPt>
          <c:dPt>
            <c:idx val="6"/>
            <c:invertIfNegative val="0"/>
            <c:bubble3D val="0"/>
            <c:spPr>
              <a:solidFill>
                <a:srgbClr val="00B050"/>
              </a:solidFill>
              <a:ln>
                <a:noFill/>
              </a:ln>
              <a:effectLst/>
            </c:spPr>
            <c:extLst>
              <c:ext xmlns:c16="http://schemas.microsoft.com/office/drawing/2014/chart" uri="{C3380CC4-5D6E-409C-BE32-E72D297353CC}">
                <c16:uniqueId val="{00000010-1BF3-47DB-9239-A5F4E34A90A0}"/>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'!$C$114:$C$120</c:f>
              <c:strCache>
                <c:ptCount val="7"/>
                <c:pt idx="0">
                  <c:v> VIDA DIGNA
</c:v>
                </c:pt>
                <c:pt idx="1">
                  <c:v> Educación
</c:v>
                </c:pt>
                <c:pt idx="2">
                  <c:v> Acceso a Servicios Básicos
</c:v>
                </c:pt>
                <c:pt idx="3">
                  <c:v> Vivienda Digna y Hábitat
</c:v>
                </c:pt>
                <c:pt idx="4">
                  <c:v>Artes, Cultura y Patrimonio
</c:v>
                </c:pt>
                <c:pt idx="5">
                  <c:v> Infancia, Adolescencia y Familia
</c:v>
                </c:pt>
                <c:pt idx="6">
                  <c:v>Deporte y Recreación
</c:v>
                </c:pt>
              </c:strCache>
            </c:strRef>
          </c:cat>
          <c:val>
            <c:numRef>
              <c:f>'GRAFICAS VIDA DIGNA '!$D$114:$D$120</c:f>
              <c:numCache>
                <c:formatCode>0.0%</c:formatCode>
                <c:ptCount val="7"/>
                <c:pt idx="0">
                  <c:v>0.37010960104289231</c:v>
                </c:pt>
                <c:pt idx="1">
                  <c:v>0.48666945748964718</c:v>
                </c:pt>
                <c:pt idx="2">
                  <c:v>0.16826839826839826</c:v>
                </c:pt>
                <c:pt idx="3">
                  <c:v>0.18074231440029903</c:v>
                </c:pt>
                <c:pt idx="4">
                  <c:v>0.52321879696766105</c:v>
                </c:pt>
                <c:pt idx="5">
                  <c:v>0.48272505742844724</c:v>
                </c:pt>
                <c:pt idx="6">
                  <c:v>0.54730197997129915</c:v>
                </c:pt>
              </c:numCache>
            </c:numRef>
          </c:val>
          <c:extLst>
            <c:ext xmlns:c16="http://schemas.microsoft.com/office/drawing/2014/chart" uri="{C3380CC4-5D6E-409C-BE32-E72D297353CC}">
              <c16:uniqueId val="{00000000-1BF3-47DB-9239-A5F4E34A90A0}"/>
            </c:ext>
          </c:extLst>
        </c:ser>
        <c:dLbls>
          <c:showLegendKey val="0"/>
          <c:showVal val="0"/>
          <c:showCatName val="0"/>
          <c:showSerName val="0"/>
          <c:showPercent val="0"/>
          <c:showBubbleSize val="0"/>
        </c:dLbls>
        <c:gapWidth val="219"/>
        <c:overlap val="-27"/>
        <c:axId val="426796080"/>
        <c:axId val="426801176"/>
      </c:barChart>
      <c:catAx>
        <c:axId val="42679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6801176"/>
        <c:crosses val="autoZero"/>
        <c:auto val="1"/>
        <c:lblAlgn val="ctr"/>
        <c:lblOffset val="100"/>
        <c:noMultiLvlLbl val="0"/>
      </c:catAx>
      <c:valAx>
        <c:axId val="426801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6796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Componentes Impulsores del avance: Educación</a:t>
            </a:r>
            <a:r>
              <a:rPr lang="en-US" baseline="0"/>
              <a:t> avance ponderado corte Junio 2025</a:t>
            </a:r>
            <a:endParaRPr lang="en-US"/>
          </a:p>
        </c:rich>
      </c:tx>
      <c:layout>
        <c:manualLayout>
          <c:xMode val="edge"/>
          <c:yMode val="edge"/>
          <c:x val="0.22190596001284454"/>
          <c:y val="7.054080730158453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'!$D$36</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'!$C$37:$C$53</c:f>
              <c:strCache>
                <c:ptCount val="17"/>
                <c:pt idx="0">
                  <c:v> Educación
</c:v>
                </c:pt>
                <c:pt idx="1">
                  <c:v> MODERNIZACIÓN DE LA INFRAESTRUCTURA EDUCATIVA</c:v>
                </c:pt>
                <c:pt idx="2">
                  <c:v> AVANZANDO DESDE EL COMIENZO</c:v>
                </c:pt>
                <c:pt idx="3">
                  <c:v> ME QUEDO PORQUE ME QUEDO</c:v>
                </c:pt>
                <c:pt idx="4">
                  <c:v> YO CUENTO</c:v>
                </c:pt>
                <c:pt idx="5">
                  <c:v> ESCUELA HOGAR</c:v>
                </c:pt>
                <c:pt idx="6">
                  <c:v> CARTAGENA TERRITORIO PLURILINGÜE</c:v>
                </c:pt>
                <c:pt idx="7">
                  <c:v> CARTAGENA MEJOR EDUCADA</c:v>
                </c:pt>
                <c:pt idx="8">
                  <c:v> LEVANTEMOS LA VOZ</c:v>
                </c:pt>
                <c:pt idx="9">
                  <c:v>AULA GLOBAL</c:v>
                </c:pt>
                <c:pt idx="10">
                  <c:v> FORMACIÓN Y CUALIFICACIÓN DE DOCENTES Y DIRECTIVOS DOCENTES</c:v>
                </c:pt>
                <c:pt idx="11">
                  <c:v> FORTALECIMIENTO DE LA GESTIÓN ESCOLAR EN LAS INSTITUCIONES EDUCATIVAS OFICIALES</c:v>
                </c:pt>
                <c:pt idx="12">
                  <c:v> UNIDOS POR EL SUEÑO SUPERIOR</c:v>
                </c:pt>
                <c:pt idx="13">
                  <c:v> AVANZAMOS EN EL FORTALECIMIENTO INSTITUCIONAL DE LA SECRETARÍA DE EDUCACIÓN</c:v>
                </c:pt>
                <c:pt idx="14">
                  <c:v> CARTAGENA, TERRITORIO DIGITAL</c:v>
                </c:pt>
                <c:pt idx="15">
                  <c:v> OFERTA ACADÉMICA SUPERIOR CON CALIDAD</c:v>
                </c:pt>
                <c:pt idx="16">
                  <c:v> FORMACIÓN TÉCNICA Y COMPLEMENTARIA EN OFICIOS</c:v>
                </c:pt>
              </c:strCache>
            </c:strRef>
          </c:cat>
          <c:val>
            <c:numRef>
              <c:f>'GRAFICAS VIDA DIGNA '!$D$37:$D$53</c:f>
              <c:numCache>
                <c:formatCode>0.0%</c:formatCode>
                <c:ptCount val="17"/>
                <c:pt idx="0">
                  <c:v>0.33047590926273196</c:v>
                </c:pt>
                <c:pt idx="1">
                  <c:v>0.20516666666666664</c:v>
                </c:pt>
                <c:pt idx="2">
                  <c:v>0.51214285714285712</c:v>
                </c:pt>
                <c:pt idx="3">
                  <c:v>0.33562484506455142</c:v>
                </c:pt>
                <c:pt idx="4">
                  <c:v>0.54348507871983487</c:v>
                </c:pt>
                <c:pt idx="5">
                  <c:v>0.60206320291462057</c:v>
                </c:pt>
                <c:pt idx="6">
                  <c:v>0.29430769230769233</c:v>
                </c:pt>
                <c:pt idx="7">
                  <c:v>0.56369565217391304</c:v>
                </c:pt>
                <c:pt idx="8">
                  <c:v>0.36833333333333335</c:v>
                </c:pt>
                <c:pt idx="9">
                  <c:v>0</c:v>
                </c:pt>
                <c:pt idx="10">
                  <c:v>0.60995560747663546</c:v>
                </c:pt>
                <c:pt idx="11">
                  <c:v>0.33214953271028042</c:v>
                </c:pt>
                <c:pt idx="12">
                  <c:v>0.18992630718954248</c:v>
                </c:pt>
                <c:pt idx="13">
                  <c:v>0.32815657894736844</c:v>
                </c:pt>
                <c:pt idx="14">
                  <c:v>0.30058823529411766</c:v>
                </c:pt>
                <c:pt idx="15">
                  <c:v>0</c:v>
                </c:pt>
                <c:pt idx="16">
                  <c:v>0.65644444444444439</c:v>
                </c:pt>
              </c:numCache>
            </c:numRef>
          </c:val>
          <c:extLst>
            <c:ext xmlns:c16="http://schemas.microsoft.com/office/drawing/2014/chart" uri="{C3380CC4-5D6E-409C-BE32-E72D297353CC}">
              <c16:uniqueId val="{00000000-F18F-4278-B207-958F8E23F81E}"/>
            </c:ext>
          </c:extLst>
        </c:ser>
        <c:dLbls>
          <c:showLegendKey val="0"/>
          <c:showVal val="0"/>
          <c:showCatName val="0"/>
          <c:showSerName val="0"/>
          <c:showPercent val="0"/>
          <c:showBubbleSize val="0"/>
        </c:dLbls>
        <c:gapWidth val="219"/>
        <c:overlap val="-27"/>
        <c:axId val="429232488"/>
        <c:axId val="429229744"/>
      </c:barChart>
      <c:catAx>
        <c:axId val="429232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429229744"/>
        <c:crosses val="autoZero"/>
        <c:auto val="1"/>
        <c:lblAlgn val="ctr"/>
        <c:lblOffset val="100"/>
        <c:noMultiLvlLbl val="0"/>
      </c:catAx>
      <c:valAx>
        <c:axId val="4292297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32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Infancia, Adolescencia y Familia Avance ponderado corte </a:t>
            </a:r>
            <a:r>
              <a:rPr lang="en-US" sz="1400" b="0" i="0" u="none" strike="noStrike" baseline="0">
                <a:effectLst/>
              </a:rPr>
              <a:t>Junio 2025</a:t>
            </a:r>
            <a:r>
              <a:rPr lang="en-US" sz="1400" b="0" i="0" baseline="0">
                <a:effectLst/>
              </a:rPr>
              <a:t>.</a:t>
            </a:r>
            <a:endParaRPr lang="es-CO"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'!$D$102</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'!$C$103:$C$106</c:f>
              <c:strCache>
                <c:ptCount val="4"/>
                <c:pt idx="0">
                  <c:v> Infancia, Adolescencia y Familia
</c:v>
                </c:pt>
                <c:pt idx="1">
                  <c:v> ENTORNOS SEGUROS PARA LA PRIMERA INFANCIA</c:v>
                </c:pt>
                <c:pt idx="2">
                  <c:v> AVANZANDO HACIA UNA INFANCIA Y ADOLESCENCIA PROTEGIDA Y SIN VIOLENCIAS</c:v>
                </c:pt>
                <c:pt idx="3">
                  <c:v> JUGANDO Y PARTICIPANDO LOS DERECHOS DE LA NIÑEZ VAMOS IMPULSANDO</c:v>
                </c:pt>
              </c:strCache>
            </c:strRef>
          </c:cat>
          <c:val>
            <c:numRef>
              <c:f>'GRAFICAS VIDA DIGNA '!$D$103:$D$106</c:f>
              <c:numCache>
                <c:formatCode>0.0%</c:formatCode>
                <c:ptCount val="4"/>
                <c:pt idx="0">
                  <c:v>0.45311494603151192</c:v>
                </c:pt>
                <c:pt idx="1">
                  <c:v>0.44977998048607415</c:v>
                </c:pt>
                <c:pt idx="2">
                  <c:v>0.28462708333333336</c:v>
                </c:pt>
                <c:pt idx="3">
                  <c:v>0.62827273982056597</c:v>
                </c:pt>
              </c:numCache>
            </c:numRef>
          </c:val>
          <c:extLst>
            <c:ext xmlns:c16="http://schemas.microsoft.com/office/drawing/2014/chart" uri="{C3380CC4-5D6E-409C-BE32-E72D297353CC}">
              <c16:uniqueId val="{00000000-6023-41B7-ACCF-4F1A3D1E6B0B}"/>
            </c:ext>
          </c:extLst>
        </c:ser>
        <c:dLbls>
          <c:showLegendKey val="0"/>
          <c:showVal val="0"/>
          <c:showCatName val="0"/>
          <c:showSerName val="0"/>
          <c:showPercent val="0"/>
          <c:showBubbleSize val="0"/>
        </c:dLbls>
        <c:gapWidth val="219"/>
        <c:overlap val="-27"/>
        <c:axId val="429233272"/>
        <c:axId val="429227392"/>
      </c:barChart>
      <c:catAx>
        <c:axId val="4292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7392"/>
        <c:crosses val="autoZero"/>
        <c:auto val="1"/>
        <c:lblAlgn val="ctr"/>
        <c:lblOffset val="100"/>
        <c:noMultiLvlLbl val="0"/>
      </c:catAx>
      <c:valAx>
        <c:axId val="4292273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33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AVANCE RESPECTO AL CUATRIENIO</a:t>
            </a:r>
            <a:r>
              <a:rPr lang="en-US" sz="1300" b="1" baseline="0"/>
              <a:t> COMPONENTE IMPULSOR EDUCACIÓN. PROGRAMAS. </a:t>
            </a:r>
            <a:r>
              <a:rPr lang="es-CO" sz="1300" b="1" i="0" baseline="0">
                <a:effectLst/>
              </a:rPr>
              <a:t>JUNIO 2025</a:t>
            </a:r>
            <a:endParaRPr lang="es-CO" sz="1300">
              <a:effectLst/>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'GRAFICAS VIDA DIGNA '!$E$36</c:f>
              <c:strCache>
                <c:ptCount val="1"/>
                <c:pt idx="0">
                  <c:v>AVANCE CUATRIENIO COMPONENTE IMPULSOR EDUCACIÓN  CORTE JUNIO 2025</c:v>
                </c:pt>
              </c:strCache>
            </c:strRef>
          </c:tx>
          <c:spPr>
            <a:solidFill>
              <a:srgbClr val="00B050"/>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1A-5450-4B98-A8BD-15B0B296A4E8}"/>
              </c:ext>
            </c:extLst>
          </c:dPt>
          <c:dPt>
            <c:idx val="1"/>
            <c:invertIfNegative val="0"/>
            <c:bubble3D val="0"/>
            <c:spPr>
              <a:solidFill>
                <a:srgbClr val="FF7C80"/>
              </a:solidFill>
              <a:ln>
                <a:noFill/>
              </a:ln>
              <a:effectLst/>
            </c:spPr>
            <c:extLst>
              <c:ext xmlns:c16="http://schemas.microsoft.com/office/drawing/2014/chart" uri="{C3380CC4-5D6E-409C-BE32-E72D297353CC}">
                <c16:uniqueId val="{00000014-5450-4B98-A8BD-15B0B296A4E8}"/>
              </c:ext>
            </c:extLst>
          </c:dPt>
          <c:dPt>
            <c:idx val="3"/>
            <c:invertIfNegative val="0"/>
            <c:bubble3D val="0"/>
            <c:spPr>
              <a:solidFill>
                <a:srgbClr val="FFFF00"/>
              </a:solidFill>
              <a:ln>
                <a:noFill/>
              </a:ln>
              <a:effectLst/>
            </c:spPr>
            <c:extLst>
              <c:ext xmlns:c16="http://schemas.microsoft.com/office/drawing/2014/chart" uri="{C3380CC4-5D6E-409C-BE32-E72D297353CC}">
                <c16:uniqueId val="{00000016-818F-4544-A037-9FE4BA1EC89D}"/>
              </c:ext>
            </c:extLst>
          </c:dPt>
          <c:dPt>
            <c:idx val="4"/>
            <c:invertIfNegative val="0"/>
            <c:bubble3D val="0"/>
            <c:spPr>
              <a:solidFill>
                <a:srgbClr val="00B050"/>
              </a:solidFill>
              <a:ln>
                <a:noFill/>
              </a:ln>
              <a:effectLst/>
            </c:spPr>
            <c:extLst>
              <c:ext xmlns:c16="http://schemas.microsoft.com/office/drawing/2014/chart" uri="{C3380CC4-5D6E-409C-BE32-E72D297353CC}">
                <c16:uniqueId val="{00000012-2582-495B-BC16-F46AC207DBD7}"/>
              </c:ext>
            </c:extLst>
          </c:dPt>
          <c:dPt>
            <c:idx val="5"/>
            <c:invertIfNegative val="0"/>
            <c:bubble3D val="0"/>
            <c:spPr>
              <a:solidFill>
                <a:srgbClr val="00B050"/>
              </a:solidFill>
              <a:ln>
                <a:noFill/>
              </a:ln>
              <a:effectLst/>
            </c:spPr>
            <c:extLst>
              <c:ext xmlns:c16="http://schemas.microsoft.com/office/drawing/2014/chart" uri="{C3380CC4-5D6E-409C-BE32-E72D297353CC}">
                <c16:uniqueId val="{0000000F-5450-4B98-A8BD-15B0B296A4E8}"/>
              </c:ext>
            </c:extLst>
          </c:dPt>
          <c:dPt>
            <c:idx val="6"/>
            <c:invertIfNegative val="0"/>
            <c:bubble3D val="0"/>
            <c:spPr>
              <a:solidFill>
                <a:srgbClr val="FFFF00"/>
              </a:solidFill>
              <a:ln>
                <a:noFill/>
              </a:ln>
              <a:effectLst/>
            </c:spPr>
            <c:extLst>
              <c:ext xmlns:c16="http://schemas.microsoft.com/office/drawing/2014/chart" uri="{C3380CC4-5D6E-409C-BE32-E72D297353CC}">
                <c16:uniqueId val="{00000011-AA95-47A4-828A-A165B01C2F6B}"/>
              </c:ext>
            </c:extLst>
          </c:dPt>
          <c:dPt>
            <c:idx val="8"/>
            <c:invertIfNegative val="0"/>
            <c:bubble3D val="0"/>
            <c:spPr>
              <a:solidFill>
                <a:srgbClr val="92D050"/>
              </a:solidFill>
              <a:ln>
                <a:noFill/>
              </a:ln>
              <a:effectLst/>
            </c:spPr>
            <c:extLst>
              <c:ext xmlns:c16="http://schemas.microsoft.com/office/drawing/2014/chart" uri="{C3380CC4-5D6E-409C-BE32-E72D297353CC}">
                <c16:uniqueId val="{0000000E-5450-4B98-A8BD-15B0B296A4E8}"/>
              </c:ext>
            </c:extLst>
          </c:dPt>
          <c:dPt>
            <c:idx val="10"/>
            <c:invertIfNegative val="0"/>
            <c:bubble3D val="0"/>
            <c:spPr>
              <a:solidFill>
                <a:srgbClr val="00B050"/>
              </a:solidFill>
              <a:ln>
                <a:noFill/>
              </a:ln>
              <a:effectLst/>
            </c:spPr>
            <c:extLst>
              <c:ext xmlns:c16="http://schemas.microsoft.com/office/drawing/2014/chart" uri="{C3380CC4-5D6E-409C-BE32-E72D297353CC}">
                <c16:uniqueId val="{00000009-5450-4B98-A8BD-15B0B296A4E8}"/>
              </c:ext>
            </c:extLst>
          </c:dPt>
          <c:dPt>
            <c:idx val="11"/>
            <c:invertIfNegative val="0"/>
            <c:bubble3D val="0"/>
            <c:spPr>
              <a:solidFill>
                <a:srgbClr val="FFFF00"/>
              </a:solidFill>
              <a:ln>
                <a:noFill/>
              </a:ln>
              <a:effectLst/>
            </c:spPr>
            <c:extLst>
              <c:ext xmlns:c16="http://schemas.microsoft.com/office/drawing/2014/chart" uri="{C3380CC4-5D6E-409C-BE32-E72D297353CC}">
                <c16:uniqueId val="{00000008-5450-4B98-A8BD-15B0B296A4E8}"/>
              </c:ext>
            </c:extLst>
          </c:dPt>
          <c:dPt>
            <c:idx val="12"/>
            <c:invertIfNegative val="0"/>
            <c:bubble3D val="0"/>
            <c:spPr>
              <a:solidFill>
                <a:srgbClr val="FF7C80"/>
              </a:solidFill>
              <a:ln>
                <a:noFill/>
              </a:ln>
              <a:effectLst/>
            </c:spPr>
            <c:extLst>
              <c:ext xmlns:c16="http://schemas.microsoft.com/office/drawing/2014/chart" uri="{C3380CC4-5D6E-409C-BE32-E72D297353CC}">
                <c16:uniqueId val="{00000007-5450-4B98-A8BD-15B0B296A4E8}"/>
              </c:ext>
            </c:extLst>
          </c:dPt>
          <c:dPt>
            <c:idx val="13"/>
            <c:invertIfNegative val="0"/>
            <c:bubble3D val="0"/>
            <c:spPr>
              <a:solidFill>
                <a:srgbClr val="FFFF00"/>
              </a:solidFill>
              <a:ln>
                <a:noFill/>
              </a:ln>
              <a:effectLst/>
            </c:spPr>
            <c:extLst>
              <c:ext xmlns:c16="http://schemas.microsoft.com/office/drawing/2014/chart" uri="{C3380CC4-5D6E-409C-BE32-E72D297353CC}">
                <c16:uniqueId val="{00000006-5450-4B98-A8BD-15B0B296A4E8}"/>
              </c:ext>
            </c:extLst>
          </c:dPt>
          <c:dPt>
            <c:idx val="14"/>
            <c:invertIfNegative val="0"/>
            <c:bubble3D val="0"/>
            <c:spPr>
              <a:solidFill>
                <a:srgbClr val="FFFF00"/>
              </a:solidFill>
              <a:ln>
                <a:noFill/>
              </a:ln>
              <a:effectLst/>
            </c:spPr>
            <c:extLst>
              <c:ext xmlns:c16="http://schemas.microsoft.com/office/drawing/2014/chart" uri="{C3380CC4-5D6E-409C-BE32-E72D297353CC}">
                <c16:uniqueId val="{00000013-2582-495B-BC16-F46AC207DBD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'!$C$37:$C$53</c:f>
              <c:strCache>
                <c:ptCount val="17"/>
                <c:pt idx="0">
                  <c:v> Educación
</c:v>
                </c:pt>
                <c:pt idx="1">
                  <c:v> MODERNIZACIÓN DE LA INFRAESTRUCTURA EDUCATIVA</c:v>
                </c:pt>
                <c:pt idx="2">
                  <c:v> AVANZANDO DESDE EL COMIENZO</c:v>
                </c:pt>
                <c:pt idx="3">
                  <c:v> ME QUEDO PORQUE ME QUEDO</c:v>
                </c:pt>
                <c:pt idx="4">
                  <c:v> YO CUENTO</c:v>
                </c:pt>
                <c:pt idx="5">
                  <c:v> ESCUELA HOGAR</c:v>
                </c:pt>
                <c:pt idx="6">
                  <c:v> CARTAGENA TERRITORIO PLURILINGÜE</c:v>
                </c:pt>
                <c:pt idx="7">
                  <c:v> CARTAGENA MEJOR EDUCADA</c:v>
                </c:pt>
                <c:pt idx="8">
                  <c:v> LEVANTEMOS LA VOZ</c:v>
                </c:pt>
                <c:pt idx="9">
                  <c:v>AULA GLOBAL</c:v>
                </c:pt>
                <c:pt idx="10">
                  <c:v> FORMACIÓN Y CUALIFICACIÓN DE DOCENTES Y DIRECTIVOS DOCENTES</c:v>
                </c:pt>
                <c:pt idx="11">
                  <c:v> FORTALECIMIENTO DE LA GESTIÓN ESCOLAR EN LAS INSTITUCIONES EDUCATIVAS OFICIALES</c:v>
                </c:pt>
                <c:pt idx="12">
                  <c:v> UNIDOS POR EL SUEÑO SUPERIOR</c:v>
                </c:pt>
                <c:pt idx="13">
                  <c:v> AVANZAMOS EN EL FORTALECIMIENTO INSTITUCIONAL DE LA SECRETARÍA DE EDUCACIÓN</c:v>
                </c:pt>
                <c:pt idx="14">
                  <c:v> CARTAGENA, TERRITORIO DIGITAL</c:v>
                </c:pt>
                <c:pt idx="15">
                  <c:v> OFERTA ACADÉMICA SUPERIOR CON CALIDAD</c:v>
                </c:pt>
                <c:pt idx="16">
                  <c:v> FORMACIÓN TÉCNICA Y COMPLEMENTARIA EN OFICIOS</c:v>
                </c:pt>
              </c:strCache>
            </c:strRef>
          </c:cat>
          <c:val>
            <c:numRef>
              <c:f>'GRAFICAS VIDA DIGNA '!$E$37:$E$53</c:f>
              <c:numCache>
                <c:formatCode>0.0%</c:formatCode>
                <c:ptCount val="17"/>
                <c:pt idx="0">
                  <c:v>0.36740543241296775</c:v>
                </c:pt>
                <c:pt idx="1">
                  <c:v>0.18694444444444444</c:v>
                </c:pt>
                <c:pt idx="2">
                  <c:v>0.48392857142857143</c:v>
                </c:pt>
                <c:pt idx="3">
                  <c:v>0.27357506142116461</c:v>
                </c:pt>
                <c:pt idx="4">
                  <c:v>0.52611377504931511</c:v>
                </c:pt>
                <c:pt idx="5">
                  <c:v>0.600566291778869</c:v>
                </c:pt>
                <c:pt idx="6">
                  <c:v>0.24288461538461539</c:v>
                </c:pt>
                <c:pt idx="7">
                  <c:v>0.70913043478260873</c:v>
                </c:pt>
                <c:pt idx="8">
                  <c:v>0.43666666666666665</c:v>
                </c:pt>
                <c:pt idx="9">
                  <c:v>0</c:v>
                </c:pt>
                <c:pt idx="10">
                  <c:v>0.55188629283489099</c:v>
                </c:pt>
                <c:pt idx="11">
                  <c:v>0.25809968847352027</c:v>
                </c:pt>
                <c:pt idx="12">
                  <c:v>0.24628930905695609</c:v>
                </c:pt>
                <c:pt idx="13">
                  <c:v>0.30759539473684211</c:v>
                </c:pt>
                <c:pt idx="14">
                  <c:v>0.33398692810457514</c:v>
                </c:pt>
                <c:pt idx="15">
                  <c:v>0</c:v>
                </c:pt>
                <c:pt idx="16">
                  <c:v>0.72081944444444446</c:v>
                </c:pt>
              </c:numCache>
            </c:numRef>
          </c:val>
          <c:extLst>
            <c:ext xmlns:c16="http://schemas.microsoft.com/office/drawing/2014/chart" uri="{C3380CC4-5D6E-409C-BE32-E72D297353CC}">
              <c16:uniqueId val="{00000000-139D-4160-A9AC-B70E14B4C102}"/>
            </c:ext>
          </c:extLst>
        </c:ser>
        <c:dLbls>
          <c:showLegendKey val="0"/>
          <c:showVal val="0"/>
          <c:showCatName val="0"/>
          <c:showSerName val="0"/>
          <c:showPercent val="0"/>
          <c:showBubbleSize val="0"/>
        </c:dLbls>
        <c:gapWidth val="150"/>
        <c:axId val="429228568"/>
        <c:axId val="429232880"/>
      </c:barChart>
      <c:catAx>
        <c:axId val="4292285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29232880"/>
        <c:crosses val="autoZero"/>
        <c:auto val="1"/>
        <c:lblAlgn val="ctr"/>
        <c:lblOffset val="100"/>
        <c:noMultiLvlLbl val="0"/>
      </c:catAx>
      <c:valAx>
        <c:axId val="42923288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8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3000" b="1"/>
              <a:t>VARIACIÓN</a:t>
            </a:r>
            <a:r>
              <a:rPr lang="es-CO" sz="3000" b="1" baseline="0"/>
              <a:t> DEL AVANCE DEL ACUMULADO PLAN DE DESARROLLO CORTE DE DICIEMBRE 2024  A  JUNIO 2025</a:t>
            </a:r>
            <a:endParaRPr lang="es-CO" sz="3000" b="1"/>
          </a:p>
        </c:rich>
      </c:tx>
      <c:layout>
        <c:manualLayout>
          <c:xMode val="edge"/>
          <c:yMode val="edge"/>
          <c:x val="0.11516895459345299"/>
          <c:y val="0"/>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70220921434451E-2"/>
          <c:y val="9.9997178404211226E-2"/>
          <c:w val="0.95448997663570834"/>
          <c:h val="0.72126530936152577"/>
        </c:manualLayout>
      </c:layout>
      <c:bar3DChart>
        <c:barDir val="col"/>
        <c:grouping val="clustered"/>
        <c:varyColors val="0"/>
        <c:ser>
          <c:idx val="0"/>
          <c:order val="0"/>
          <c:tx>
            <c:strRef>
              <c:f>'SEGUIMIENTO DEL PLAN DE DESARRO'!$D$2</c:f>
              <c:strCache>
                <c:ptCount val="1"/>
                <c:pt idx="0">
                  <c:v>AVANCE  CORTE DICIEMBRE  2024 RESPECTO AL CUATRIENIO </c:v>
                </c:pt>
              </c:strCache>
            </c:strRef>
          </c:tx>
          <c:spPr>
            <a:solidFill>
              <a:schemeClr val="accent1"/>
            </a:solidFill>
            <a:ln>
              <a:noFill/>
            </a:ln>
            <a:effectLst/>
            <a:sp3d/>
          </c:spPr>
          <c:invertIfNegative val="0"/>
          <c:dLbls>
            <c:dLbl>
              <c:idx val="0"/>
              <c:layout>
                <c:manualLayout>
                  <c:x val="-5.279831045406547E-3"/>
                  <c:y val="-1.5677491601343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29-4A4C-9E1C-5951C28063E3}"/>
                </c:ext>
              </c:extLst>
            </c:dLbl>
            <c:dLbl>
              <c:idx val="1"/>
              <c:layout>
                <c:manualLayout>
                  <c:x val="-3.167898627243967E-3"/>
                  <c:y val="-1.34378499440089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29-4A4C-9E1C-5951C28063E3}"/>
                </c:ext>
              </c:extLst>
            </c:dLbl>
            <c:dLbl>
              <c:idx val="2"/>
              <c:layout>
                <c:manualLayout>
                  <c:x val="2.1119324181626186E-3"/>
                  <c:y val="-1.3437849944008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29-4A4C-9E1C-5951C28063E3}"/>
                </c:ext>
              </c:extLst>
            </c:dLbl>
            <c:dLbl>
              <c:idx val="3"/>
              <c:layout>
                <c:manualLayout>
                  <c:x val="3.1678986272439284E-3"/>
                  <c:y val="-1.5677491601343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29-4A4C-9E1C-5951C28063E3}"/>
                </c:ext>
              </c:extLst>
            </c:dLbl>
            <c:dLbl>
              <c:idx val="4"/>
              <c:layout>
                <c:manualLayout>
                  <c:x val="0"/>
                  <c:y val="-1.7917133258678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29-4A4C-9E1C-5951C28063E3}"/>
                </c:ext>
              </c:extLst>
            </c:dLbl>
            <c:dLbl>
              <c:idx val="5"/>
              <c:layout>
                <c:manualLayout>
                  <c:x val="3.1678986272439284E-3"/>
                  <c:y val="-1.3437849944008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29-4A4C-9E1C-5951C28063E3}"/>
                </c:ext>
              </c:extLst>
            </c:dLbl>
            <c:dLbl>
              <c:idx val="6"/>
              <c:layout>
                <c:manualLayout>
                  <c:x val="2.1119324181626186E-3"/>
                  <c:y val="-1.79171332586786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29-4A4C-9E1C-5951C28063E3}"/>
                </c:ext>
              </c:extLst>
            </c:dLbl>
            <c:spPr>
              <a:noFill/>
              <a:ln>
                <a:noFill/>
              </a:ln>
              <a:effectLst/>
            </c:spPr>
            <c:txPr>
              <a:bodyPr rot="0" spcFirstLastPara="1" vertOverflow="ellipsis" vert="horz" wrap="square" lIns="38100" tIns="19050" rIns="38100" bIns="19050" anchor="ctr" anchorCtr="1">
                <a:spAutoFit/>
              </a:bodyPr>
              <a:lstStyle/>
              <a:p>
                <a:pPr>
                  <a:defRPr sz="25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DESARRO'!$D$3:$D$9</c:f>
              <c:numCache>
                <c:formatCode>0.0%</c:formatCode>
                <c:ptCount val="7"/>
                <c:pt idx="0">
                  <c:v>0.20142213076126284</c:v>
                </c:pt>
                <c:pt idx="1">
                  <c:v>0.25472941442069297</c:v>
                </c:pt>
                <c:pt idx="2">
                  <c:v>0.22389547133016827</c:v>
                </c:pt>
                <c:pt idx="3">
                  <c:v>0.23537004965661618</c:v>
                </c:pt>
                <c:pt idx="4">
                  <c:v>0.22160323916687383</c:v>
                </c:pt>
                <c:pt idx="5">
                  <c:v>0.21734598565460142</c:v>
                </c:pt>
                <c:pt idx="6">
                  <c:v>5.5588624338624326E-2</c:v>
                </c:pt>
              </c:numCache>
            </c:numRef>
          </c:val>
          <c:extLst>
            <c:ext xmlns:c16="http://schemas.microsoft.com/office/drawing/2014/chart" uri="{C3380CC4-5D6E-409C-BE32-E72D297353CC}">
              <c16:uniqueId val="{00000008-0429-4A4C-9E1C-5951C28063E3}"/>
            </c:ext>
          </c:extLst>
        </c:ser>
        <c:ser>
          <c:idx val="1"/>
          <c:order val="1"/>
          <c:tx>
            <c:strRef>
              <c:f>'SEGUIMIENTO DEL PLAN DE DESARRO'!$K$2</c:f>
              <c:strCache>
                <c:ptCount val="1"/>
                <c:pt idx="0">
                  <c:v>AVANCE ACUMULADO  CORTE  JUNIO 2025 RESPECTO AL CUATRIENIO</c:v>
                </c:pt>
              </c:strCache>
            </c:strRef>
          </c:tx>
          <c:spPr>
            <a:solidFill>
              <a:schemeClr val="accent2"/>
            </a:solidFill>
            <a:ln>
              <a:noFill/>
            </a:ln>
            <a:effectLst/>
            <a:sp3d/>
          </c:spPr>
          <c:invertIfNegative val="0"/>
          <c:dLbls>
            <c:dLbl>
              <c:idx val="0"/>
              <c:layout>
                <c:manualLayout>
                  <c:x val="1.5839493136219622E-2"/>
                  <c:y val="-1.5677491601343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429-4A4C-9E1C-5951C28063E3}"/>
                </c:ext>
              </c:extLst>
            </c:dLbl>
            <c:dLbl>
              <c:idx val="1"/>
              <c:layout>
                <c:manualLayout>
                  <c:x val="1.4783526927138293E-2"/>
                  <c:y val="-6.7189249720044789E-3"/>
                </c:manualLayout>
              </c:layout>
              <c:spPr>
                <a:noFill/>
                <a:ln>
                  <a:noFill/>
                </a:ln>
                <a:effectLst/>
              </c:spPr>
              <c:txPr>
                <a:bodyPr rot="0" spcFirstLastPara="1" vertOverflow="ellipsis" vert="horz" wrap="square" lIns="38100" tIns="19050" rIns="38100" bIns="19050" anchor="ctr" anchorCtr="1">
                  <a:noAutofit/>
                </a:bodyPr>
                <a:lstStyle/>
                <a:p>
                  <a:pPr>
                    <a:defRPr sz="2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4.3400211193241819E-2"/>
                      <c:h val="4.723404255319149E-2"/>
                    </c:manualLayout>
                  </c15:layout>
                </c:ext>
                <c:ext xmlns:c16="http://schemas.microsoft.com/office/drawing/2014/chart" uri="{C3380CC4-5D6E-409C-BE32-E72D297353CC}">
                  <c16:uniqueId val="{0000000B-0429-4A4C-9E1C-5951C28063E3}"/>
                </c:ext>
              </c:extLst>
            </c:dLbl>
            <c:dLbl>
              <c:idx val="2"/>
              <c:spPr>
                <a:noFill/>
                <a:ln>
                  <a:noFill/>
                </a:ln>
                <a:effectLst/>
              </c:spPr>
              <c:txPr>
                <a:bodyPr rot="0" spcFirstLastPara="1" vertOverflow="ellipsis" vert="horz" wrap="square" lIns="38100" tIns="19050" rIns="38100" bIns="19050" anchor="ctr" anchorCtr="1">
                  <a:noAutofit/>
                </a:bodyPr>
                <a:lstStyle/>
                <a:p>
                  <a:pPr>
                    <a:defRPr sz="2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0429-4A4C-9E1C-5951C28063E3}"/>
                </c:ext>
              </c:extLst>
            </c:dLbl>
            <c:dLbl>
              <c:idx val="3"/>
              <c:layout>
                <c:manualLayout>
                  <c:x val="1.1615628299894404E-2"/>
                  <c:y val="-1.3437849944008958E-2"/>
                </c:manualLayout>
              </c:layout>
              <c:spPr>
                <a:noFill/>
                <a:ln>
                  <a:noFill/>
                </a:ln>
                <a:effectLst/>
              </c:spPr>
              <c:txPr>
                <a:bodyPr rot="0" spcFirstLastPara="1" vertOverflow="ellipsis" vert="horz" wrap="square" lIns="38100" tIns="19050" rIns="38100" bIns="19050" anchor="ctr" anchorCtr="1">
                  <a:noAutofit/>
                </a:bodyPr>
                <a:lstStyle/>
                <a:p>
                  <a:pPr>
                    <a:defRPr sz="2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4.0232312565997887E-2"/>
                      <c:h val="4.6114221724524083E-2"/>
                    </c:manualLayout>
                  </c15:layout>
                </c:ext>
                <c:ext xmlns:c16="http://schemas.microsoft.com/office/drawing/2014/chart" uri="{C3380CC4-5D6E-409C-BE32-E72D297353CC}">
                  <c16:uniqueId val="{0000000D-0429-4A4C-9E1C-5951C28063E3}"/>
                </c:ext>
              </c:extLst>
            </c:dLbl>
            <c:dLbl>
              <c:idx val="4"/>
              <c:layout>
                <c:manualLayout>
                  <c:x val="1.2671594508975714E-2"/>
                  <c:y val="-1.5677491601343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429-4A4C-9E1C-5951C28063E3}"/>
                </c:ext>
              </c:extLst>
            </c:dLbl>
            <c:dLbl>
              <c:idx val="5"/>
              <c:layout>
                <c:manualLayout>
                  <c:x val="8.4477296726503202E-3"/>
                  <c:y val="-2.46360582306831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429-4A4C-9E1C-5951C28063E3}"/>
                </c:ext>
              </c:extLst>
            </c:dLbl>
            <c:dLbl>
              <c:idx val="6"/>
              <c:layout>
                <c:manualLayout>
                  <c:x val="1.6895459345300949E-2"/>
                  <c:y val="-2.23964165733483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429-4A4C-9E1C-5951C28063E3}"/>
                </c:ext>
              </c:extLst>
            </c:dLbl>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DESARRO'!$K$3:$K$9</c:f>
              <c:numCache>
                <c:formatCode>0.0%</c:formatCode>
                <c:ptCount val="7"/>
                <c:pt idx="0" formatCode="0.00%">
                  <c:v>0.31348901775979898</c:v>
                </c:pt>
                <c:pt idx="1">
                  <c:v>0.34188930071628293</c:v>
                </c:pt>
                <c:pt idx="2">
                  <c:v>0.3533651236549824</c:v>
                </c:pt>
                <c:pt idx="3">
                  <c:v>0.33753168969468023</c:v>
                </c:pt>
                <c:pt idx="4">
                  <c:v>0.32826692545655778</c:v>
                </c:pt>
                <c:pt idx="5">
                  <c:v>0.34508245592517955</c:v>
                </c:pt>
                <c:pt idx="6">
                  <c:v>0.17479861111111111</c:v>
                </c:pt>
              </c:numCache>
            </c:numRef>
          </c:val>
          <c:extLst>
            <c:ext xmlns:c16="http://schemas.microsoft.com/office/drawing/2014/chart" uri="{C3380CC4-5D6E-409C-BE32-E72D297353CC}">
              <c16:uniqueId val="{00000011-0429-4A4C-9E1C-5951C28063E3}"/>
            </c:ext>
          </c:extLst>
        </c:ser>
        <c:dLbls>
          <c:showLegendKey val="0"/>
          <c:showVal val="0"/>
          <c:showCatName val="0"/>
          <c:showSerName val="0"/>
          <c:showPercent val="0"/>
          <c:showBubbleSize val="0"/>
        </c:dLbls>
        <c:gapWidth val="150"/>
        <c:shape val="box"/>
        <c:axId val="971336000"/>
        <c:axId val="971336416"/>
        <c:axId val="0"/>
      </c:bar3DChart>
      <c:catAx>
        <c:axId val="9713360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971336416"/>
        <c:crosses val="autoZero"/>
        <c:auto val="1"/>
        <c:lblAlgn val="ctr"/>
        <c:lblOffset val="100"/>
        <c:noMultiLvlLbl val="0"/>
      </c:catAx>
      <c:valAx>
        <c:axId val="971336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971336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AVANCE</a:t>
            </a:r>
            <a:r>
              <a:rPr lang="en-US" sz="1300" b="1" baseline="0"/>
              <a:t>  CUATRIENIO COMPONENTE IMPULSOR  ACCESO A SERVICIOS PUBLICOS. PROGRAMAS. </a:t>
            </a:r>
            <a:r>
              <a:rPr lang="en-US" sz="1300" b="1"/>
              <a:t> </a:t>
            </a:r>
            <a:r>
              <a:rPr lang="es-ES" sz="1300" b="1"/>
              <a:t>CORTE</a:t>
            </a:r>
            <a:r>
              <a:rPr lang="es-ES" sz="1300" b="1" baseline="0"/>
              <a:t> </a:t>
            </a:r>
            <a:r>
              <a:rPr lang="es-CO" sz="1300" b="1" i="0" u="none" strike="noStrike" baseline="0">
                <a:effectLst/>
              </a:rPr>
              <a:t>JUNIO 2025</a:t>
            </a:r>
            <a:endParaRPr lang="en-US" sz="1300" b="1"/>
          </a:p>
        </c:rich>
      </c:tx>
      <c:layout>
        <c:manualLayout>
          <c:xMode val="edge"/>
          <c:yMode val="edge"/>
          <c:x val="0.13047067755385466"/>
          <c:y val="2.4769992922859165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'!$E$56</c:f>
              <c:strCache>
                <c:ptCount val="1"/>
                <c:pt idx="0">
                  <c:v>AVANCE CUATRIENIO COMPONENTE IMPULSOR ACCESO A SERVICIOS BÁSICOS CORTE JUNIO 2025</c:v>
                </c:pt>
              </c:strCache>
            </c:strRef>
          </c:tx>
          <c:spPr>
            <a:solidFill>
              <a:srgbClr val="FFFF00"/>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6-13D1-4FF5-AF58-A27ADD590D3C}"/>
              </c:ext>
            </c:extLst>
          </c:dPt>
          <c:dPt>
            <c:idx val="1"/>
            <c:invertIfNegative val="0"/>
            <c:bubble3D val="0"/>
            <c:spPr>
              <a:solidFill>
                <a:srgbClr val="92D050"/>
              </a:solidFill>
              <a:ln>
                <a:noFill/>
              </a:ln>
              <a:effectLst/>
            </c:spPr>
            <c:extLst>
              <c:ext xmlns:c16="http://schemas.microsoft.com/office/drawing/2014/chart" uri="{C3380CC4-5D6E-409C-BE32-E72D297353CC}">
                <c16:uniqueId val="{00000007-30C4-4C3A-BC19-7EEEB7224114}"/>
              </c:ext>
            </c:extLst>
          </c:dPt>
          <c:dPt>
            <c:idx val="2"/>
            <c:invertIfNegative val="0"/>
            <c:bubble3D val="0"/>
            <c:spPr>
              <a:solidFill>
                <a:srgbClr val="FF0000"/>
              </a:solidFill>
              <a:ln>
                <a:noFill/>
              </a:ln>
              <a:effectLst/>
            </c:spPr>
            <c:extLst>
              <c:ext xmlns:c16="http://schemas.microsoft.com/office/drawing/2014/chart" uri="{C3380CC4-5D6E-409C-BE32-E72D297353CC}">
                <c16:uniqueId val="{00000000-30C4-4C3A-BC19-7EEEB7224114}"/>
              </c:ext>
            </c:extLst>
          </c:dPt>
          <c:dPt>
            <c:idx val="3"/>
            <c:invertIfNegative val="0"/>
            <c:bubble3D val="0"/>
            <c:spPr>
              <a:solidFill>
                <a:srgbClr val="FF7C80"/>
              </a:solidFill>
              <a:ln>
                <a:noFill/>
              </a:ln>
              <a:effectLst/>
            </c:spPr>
            <c:extLst>
              <c:ext xmlns:c16="http://schemas.microsoft.com/office/drawing/2014/chart" uri="{C3380CC4-5D6E-409C-BE32-E72D297353CC}">
                <c16:uniqueId val="{00000001-30C4-4C3A-BC19-7EEEB7224114}"/>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'!$C$57:$C$60</c:f>
              <c:strCache>
                <c:ptCount val="4"/>
                <c:pt idx="0">
                  <c:v> Acceso a Servicios Básicos
</c:v>
                </c:pt>
                <c:pt idx="1">
                  <c:v> ACCESO AL AGUA POTABLE Y SANEAMIENTO BÁSICO</c:v>
                </c:pt>
                <c:pt idx="2">
                  <c:v> AVANZAMOS POR UNA CARTAGENA ILUMINADA Y LA TRANSICIÓN ENERGÉTICA</c:v>
                </c:pt>
                <c:pt idx="3">
                  <c:v> UNIDOS POR LA GESTIÓN DE LOS RESIDUOS Y EL DESARROLLO SOSTENIBLE</c:v>
                </c:pt>
              </c:strCache>
            </c:strRef>
          </c:cat>
          <c:val>
            <c:numRef>
              <c:f>'GRAFICAS VIDA DIGNA '!$E$57:$E$60</c:f>
              <c:numCache>
                <c:formatCode>0.0%</c:formatCode>
                <c:ptCount val="4"/>
                <c:pt idx="0">
                  <c:v>0.21972164484441217</c:v>
                </c:pt>
                <c:pt idx="1">
                  <c:v>0.37070858532688733</c:v>
                </c:pt>
                <c:pt idx="2">
                  <c:v>0.13151190476190477</c:v>
                </c:pt>
                <c:pt idx="3">
                  <c:v>0.15694444444444444</c:v>
                </c:pt>
              </c:numCache>
            </c:numRef>
          </c:val>
          <c:extLst>
            <c:ext xmlns:c16="http://schemas.microsoft.com/office/drawing/2014/chart" uri="{C3380CC4-5D6E-409C-BE32-E72D297353CC}">
              <c16:uniqueId val="{00000000-6A34-4525-A784-9F1816FBD9AF}"/>
            </c:ext>
          </c:extLst>
        </c:ser>
        <c:dLbls>
          <c:showLegendKey val="0"/>
          <c:showVal val="0"/>
          <c:showCatName val="0"/>
          <c:showSerName val="0"/>
          <c:showPercent val="0"/>
          <c:showBubbleSize val="0"/>
        </c:dLbls>
        <c:gapWidth val="219"/>
        <c:overlap val="-27"/>
        <c:axId val="429225824"/>
        <c:axId val="429226608"/>
      </c:barChart>
      <c:catAx>
        <c:axId val="42922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29226608"/>
        <c:crosses val="autoZero"/>
        <c:auto val="1"/>
        <c:lblAlgn val="ctr"/>
        <c:lblOffset val="100"/>
        <c:noMultiLvlLbl val="0"/>
      </c:catAx>
      <c:valAx>
        <c:axId val="4292266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5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u="none" strike="noStrike" baseline="0">
                <a:effectLst/>
              </a:rPr>
              <a:t>AVANCE CUATRIENIO COMPONENTE </a:t>
            </a:r>
            <a:r>
              <a:rPr lang="en-US" sz="1300" b="1" i="0" baseline="0">
                <a:effectLst/>
              </a:rPr>
              <a:t>ARTE, CULTURA Y PATRIMONIO. PROGRAMAS  CORTE </a:t>
            </a:r>
            <a:r>
              <a:rPr lang="es-CO" sz="1300" b="1" i="0" u="none" strike="noStrike" baseline="0">
                <a:effectLst/>
              </a:rPr>
              <a:t>JUNIO 2025</a:t>
            </a:r>
            <a:endParaRPr lang="es-CO" sz="1300">
              <a:effectLst/>
            </a:endParaRP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'!$E$80</c:f>
              <c:strCache>
                <c:ptCount val="1"/>
                <c:pt idx="0">
                  <c:v>AVANCE CUATRIENIO COMPONENTE IMPULSOR ARTES, CULTURA Y PATRIMONIO CORTE JUNIO 2025</c:v>
                </c:pt>
              </c:strCache>
            </c:strRef>
          </c:tx>
          <c:spPr>
            <a:solidFill>
              <a:srgbClr val="92D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9-20FB-4BEC-94A6-5CFA2E6DBC77}"/>
              </c:ext>
            </c:extLst>
          </c:dPt>
          <c:dPt>
            <c:idx val="1"/>
            <c:invertIfNegative val="0"/>
            <c:bubble3D val="0"/>
            <c:spPr>
              <a:solidFill>
                <a:srgbClr val="92D050"/>
              </a:solidFill>
              <a:ln>
                <a:noFill/>
              </a:ln>
              <a:effectLst/>
            </c:spPr>
            <c:extLst>
              <c:ext xmlns:c16="http://schemas.microsoft.com/office/drawing/2014/chart" uri="{C3380CC4-5D6E-409C-BE32-E72D297353CC}">
                <c16:uniqueId val="{00000000-85B9-4B87-B847-6BBD71B203E8}"/>
              </c:ext>
            </c:extLst>
          </c:dPt>
          <c:dPt>
            <c:idx val="2"/>
            <c:invertIfNegative val="0"/>
            <c:bubble3D val="0"/>
            <c:spPr>
              <a:solidFill>
                <a:srgbClr val="00B050"/>
              </a:solidFill>
              <a:ln>
                <a:noFill/>
              </a:ln>
              <a:effectLst/>
            </c:spPr>
            <c:extLst>
              <c:ext xmlns:c16="http://schemas.microsoft.com/office/drawing/2014/chart" uri="{C3380CC4-5D6E-409C-BE32-E72D297353CC}">
                <c16:uniqueId val="{00000001-85B9-4B87-B847-6BBD71B203E8}"/>
              </c:ext>
            </c:extLst>
          </c:dPt>
          <c:dPt>
            <c:idx val="3"/>
            <c:invertIfNegative val="0"/>
            <c:bubble3D val="0"/>
            <c:spPr>
              <a:solidFill>
                <a:srgbClr val="92D050"/>
              </a:solidFill>
              <a:ln>
                <a:noFill/>
              </a:ln>
              <a:effectLst/>
            </c:spPr>
            <c:extLst>
              <c:ext xmlns:c16="http://schemas.microsoft.com/office/drawing/2014/chart" uri="{C3380CC4-5D6E-409C-BE32-E72D297353CC}">
                <c16:uniqueId val="{00000003-85B9-4B87-B847-6BBD71B203E8}"/>
              </c:ext>
            </c:extLst>
          </c:dPt>
          <c:dPt>
            <c:idx val="4"/>
            <c:invertIfNegative val="0"/>
            <c:bubble3D val="0"/>
            <c:spPr>
              <a:solidFill>
                <a:srgbClr val="00B050"/>
              </a:solidFill>
              <a:ln>
                <a:noFill/>
              </a:ln>
              <a:effectLst/>
            </c:spPr>
            <c:extLst>
              <c:ext xmlns:c16="http://schemas.microsoft.com/office/drawing/2014/chart" uri="{C3380CC4-5D6E-409C-BE32-E72D297353CC}">
                <c16:uniqueId val="{0000000A-9D28-4586-8F55-3EE5A4543604}"/>
              </c:ext>
            </c:extLst>
          </c:dPt>
          <c:dPt>
            <c:idx val="5"/>
            <c:invertIfNegative val="0"/>
            <c:bubble3D val="0"/>
            <c:spPr>
              <a:solidFill>
                <a:srgbClr val="FFFF00"/>
              </a:solidFill>
              <a:ln>
                <a:noFill/>
              </a:ln>
              <a:effectLst/>
            </c:spPr>
            <c:extLst>
              <c:ext xmlns:c16="http://schemas.microsoft.com/office/drawing/2014/chart" uri="{C3380CC4-5D6E-409C-BE32-E72D297353CC}">
                <c16:uniqueId val="{00000004-85B9-4B87-B847-6BBD71B203E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'!$C$81:$C$86</c:f>
              <c:strCache>
                <c:ptCount val="6"/>
                <c:pt idx="0">
                  <c:v>Artes, Cultura y Patrimonio
</c:v>
                </c:pt>
                <c:pt idx="1">
                  <c:v> ESCENARIOS CULTURALES VIVOS PARA TRANSFORMAR</c:v>
                </c:pt>
                <c:pt idx="2">
                  <c:v> DEMOCRATIZACIÓN DE LA CULTURA: ESTÍMULOS PARA EL FOMENTO Y DESARROLLO ARTÍSTICO, CULTURAL Y CREATIVO.</c:v>
                </c:pt>
                <c:pt idx="3">
                  <c:v> FORMACIÓN ARTÍSTICA Y CULTURAL</c:v>
                </c:pt>
                <c:pt idx="4">
                  <c:v> DERECHOS CULTURALES Y FORTALECIMIENTO INSTITUCIONAL PARA LA GOBERNANZA</c:v>
                </c:pt>
                <c:pt idx="5">
                  <c:v> CARTAGENA BRILLA CON SU CULTURA Y PATRIMONIO MATERIAL E INMATERIAL</c:v>
                </c:pt>
              </c:strCache>
            </c:strRef>
          </c:cat>
          <c:val>
            <c:numRef>
              <c:f>'GRAFICAS VIDA DIGNA '!$E$81:$E$86</c:f>
              <c:numCache>
                <c:formatCode>0.0%</c:formatCode>
                <c:ptCount val="6"/>
                <c:pt idx="0">
                  <c:v>0.47593529817233005</c:v>
                </c:pt>
                <c:pt idx="1">
                  <c:v>0.40725982419498352</c:v>
                </c:pt>
                <c:pt idx="2">
                  <c:v>0.7586666666666666</c:v>
                </c:pt>
                <c:pt idx="3">
                  <c:v>0.47875000000000001</c:v>
                </c:pt>
                <c:pt idx="4">
                  <c:v>0.46000000000000008</c:v>
                </c:pt>
                <c:pt idx="5">
                  <c:v>0.27500000000000002</c:v>
                </c:pt>
              </c:numCache>
            </c:numRef>
          </c:val>
          <c:extLst>
            <c:ext xmlns:c16="http://schemas.microsoft.com/office/drawing/2014/chart" uri="{C3380CC4-5D6E-409C-BE32-E72D297353CC}">
              <c16:uniqueId val="{00000000-D08C-4FA2-9CE3-FA0B74F401AC}"/>
            </c:ext>
          </c:extLst>
        </c:ser>
        <c:dLbls>
          <c:showLegendKey val="0"/>
          <c:showVal val="0"/>
          <c:showCatName val="0"/>
          <c:showSerName val="0"/>
          <c:showPercent val="0"/>
          <c:showBubbleSize val="0"/>
        </c:dLbls>
        <c:gapWidth val="219"/>
        <c:overlap val="-27"/>
        <c:axId val="429228960"/>
        <c:axId val="429228176"/>
      </c:barChart>
      <c:catAx>
        <c:axId val="42922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8176"/>
        <c:crosses val="autoZero"/>
        <c:auto val="1"/>
        <c:lblAlgn val="ctr"/>
        <c:lblOffset val="100"/>
        <c:noMultiLvlLbl val="0"/>
      </c:catAx>
      <c:valAx>
        <c:axId val="429228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AVANCE CUATRIENIO COMPONENTE DEPORTE Y RECREACIÓN. PROGRAMAS  CORTE </a:t>
            </a:r>
            <a:r>
              <a:rPr lang="es-CO" sz="1300" b="1" i="0" u="none" strike="noStrike" baseline="0">
                <a:effectLst/>
              </a:rPr>
              <a:t>JUNIO 2025</a:t>
            </a:r>
            <a:endParaRPr lang="es-CO"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'!$E$91</c:f>
              <c:strCache>
                <c:ptCount val="1"/>
                <c:pt idx="0">
                  <c:v>AVANCE CUATRIENIO COMPONENTE IMPULSOR DEPORTES Y RECREACIÓN  CORTE JUNIO 2025</c:v>
                </c:pt>
              </c:strCache>
            </c:strRef>
          </c:tx>
          <c:spPr>
            <a:solidFill>
              <a:srgbClr val="92D050"/>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7-498C-4D3B-B41A-331DB9A42BAB}"/>
              </c:ext>
            </c:extLst>
          </c:dPt>
          <c:dPt>
            <c:idx val="1"/>
            <c:invertIfNegative val="0"/>
            <c:bubble3D val="0"/>
            <c:spPr>
              <a:solidFill>
                <a:srgbClr val="FFFF00"/>
              </a:solidFill>
              <a:ln>
                <a:noFill/>
              </a:ln>
              <a:effectLst/>
            </c:spPr>
            <c:extLst>
              <c:ext xmlns:c16="http://schemas.microsoft.com/office/drawing/2014/chart" uri="{C3380CC4-5D6E-409C-BE32-E72D297353CC}">
                <c16:uniqueId val="{00000000-9D77-4304-A26A-D422752F9572}"/>
              </c:ext>
            </c:extLst>
          </c:dPt>
          <c:dPt>
            <c:idx val="2"/>
            <c:invertIfNegative val="0"/>
            <c:bubble3D val="0"/>
            <c:spPr>
              <a:solidFill>
                <a:srgbClr val="FF7C80"/>
              </a:solidFill>
              <a:ln>
                <a:noFill/>
              </a:ln>
              <a:effectLst/>
            </c:spPr>
            <c:extLst>
              <c:ext xmlns:c16="http://schemas.microsoft.com/office/drawing/2014/chart" uri="{C3380CC4-5D6E-409C-BE32-E72D297353CC}">
                <c16:uniqueId val="{00000005-9D77-4304-A26A-D422752F9572}"/>
              </c:ext>
            </c:extLst>
          </c:dPt>
          <c:dPt>
            <c:idx val="4"/>
            <c:invertIfNegative val="0"/>
            <c:bubble3D val="0"/>
            <c:spPr>
              <a:solidFill>
                <a:srgbClr val="00B050"/>
              </a:solidFill>
              <a:ln>
                <a:noFill/>
              </a:ln>
              <a:effectLst/>
            </c:spPr>
            <c:extLst>
              <c:ext xmlns:c16="http://schemas.microsoft.com/office/drawing/2014/chart" uri="{C3380CC4-5D6E-409C-BE32-E72D297353CC}">
                <c16:uniqueId val="{0000000B-D6B6-4AC1-AC7B-C2F8F77AFFA9}"/>
              </c:ext>
            </c:extLst>
          </c:dPt>
          <c:dPt>
            <c:idx val="5"/>
            <c:invertIfNegative val="0"/>
            <c:bubble3D val="0"/>
            <c:spPr>
              <a:solidFill>
                <a:srgbClr val="FFFF00"/>
              </a:solidFill>
              <a:ln>
                <a:noFill/>
              </a:ln>
              <a:effectLst/>
            </c:spPr>
            <c:extLst>
              <c:ext xmlns:c16="http://schemas.microsoft.com/office/drawing/2014/chart" uri="{C3380CC4-5D6E-409C-BE32-E72D297353CC}">
                <c16:uniqueId val="{0000000A-9D77-4304-A26A-D422752F9572}"/>
              </c:ext>
            </c:extLst>
          </c:dPt>
          <c:dPt>
            <c:idx val="6"/>
            <c:invertIfNegative val="0"/>
            <c:bubble3D val="0"/>
            <c:spPr>
              <a:solidFill>
                <a:srgbClr val="00B050"/>
              </a:solidFill>
              <a:ln>
                <a:noFill/>
              </a:ln>
              <a:effectLst/>
            </c:spPr>
            <c:extLst>
              <c:ext xmlns:c16="http://schemas.microsoft.com/office/drawing/2014/chart" uri="{C3380CC4-5D6E-409C-BE32-E72D297353CC}">
                <c16:uniqueId val="{0000000C-D6B6-4AC1-AC7B-C2F8F77AFFA9}"/>
              </c:ext>
            </c:extLst>
          </c:dPt>
          <c:dPt>
            <c:idx val="7"/>
            <c:invertIfNegative val="0"/>
            <c:bubble3D val="0"/>
            <c:spPr>
              <a:solidFill>
                <a:srgbClr val="00B050"/>
              </a:solidFill>
              <a:ln>
                <a:noFill/>
              </a:ln>
              <a:effectLst/>
            </c:spPr>
            <c:extLst>
              <c:ext xmlns:c16="http://schemas.microsoft.com/office/drawing/2014/chart" uri="{C3380CC4-5D6E-409C-BE32-E72D297353CC}">
                <c16:uniqueId val="{00000008-498C-4D3B-B41A-331DB9A42BA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'!$C$92:$C$99</c:f>
              <c:strCache>
                <c:ptCount val="8"/>
                <c:pt idx="0">
                  <c:v>Deporte y Recreación
</c:v>
                </c:pt>
                <c:pt idx="1">
                  <c:v> FORTALECIMIENTO Y MANTENIMIENTO DE LA RED DE INFRAESTRUCTURA DEPORTIVA DEL DISTRITO</c:v>
                </c:pt>
                <c:pt idx="2">
                  <c:v> FOMENTO AL DEPORTE DE ALTO RENDIMIENTO</c:v>
                </c:pt>
                <c:pt idx="3">
                  <c:v> FORTALECIMIENTO DEL CAPITAL HUMANO A TRAVÉS DE LAS CIENCIAS APLICADAS AL DEPORTE Y LA RECREACIÓN.</c:v>
                </c:pt>
                <c:pt idx="4">
                  <c:v> FORTALECIMIENTO DEL DEPORTE FORMATIVO, ESTUDIANTIL Y LA EDUCACIÓN FÍSICA EXTRAESCOLAR</c:v>
                </c:pt>
                <c:pt idx="5">
                  <c:v> FORTALECIMIENTO DEL DEPORTE SOCIAL COMUNITARIO, AVANZAR EN NUESTRO TERRITORIO</c:v>
                </c:pt>
                <c:pt idx="6">
                  <c:v> PROMOCIÓN DE HÁBITOS Y ESTILOS DE VIDA SALUDABLE, RECREACIÓN, ACTIVIDAD FÍSICA Y EL APROVECHAMIENTO DEL TIEMPO LIBRE EN EL DISTRITO DE CARTAGENA</c:v>
                </c:pt>
                <c:pt idx="7">
                  <c:v> CARTAGENA CIUDAD DESTINO DE TURISMO DEPORTIVO</c:v>
                </c:pt>
              </c:strCache>
            </c:strRef>
          </c:cat>
          <c:val>
            <c:numRef>
              <c:f>'GRAFICAS VIDA DIGNA '!$E$92:$E$99</c:f>
              <c:numCache>
                <c:formatCode>0.0%</c:formatCode>
                <c:ptCount val="8"/>
                <c:pt idx="0">
                  <c:v>0.42056134495239916</c:v>
                </c:pt>
                <c:pt idx="1">
                  <c:v>0.33520833333333333</c:v>
                </c:pt>
                <c:pt idx="2">
                  <c:v>0.20138582155477031</c:v>
                </c:pt>
                <c:pt idx="3">
                  <c:v>0.43916666666666665</c:v>
                </c:pt>
                <c:pt idx="4">
                  <c:v>0.47159459843638951</c:v>
                </c:pt>
                <c:pt idx="5">
                  <c:v>0.34168852459016391</c:v>
                </c:pt>
                <c:pt idx="6">
                  <c:v>0.50426527777777774</c:v>
                </c:pt>
                <c:pt idx="7">
                  <c:v>0.6506201923076923</c:v>
                </c:pt>
              </c:numCache>
            </c:numRef>
          </c:val>
          <c:extLst>
            <c:ext xmlns:c16="http://schemas.microsoft.com/office/drawing/2014/chart" uri="{C3380CC4-5D6E-409C-BE32-E72D297353CC}">
              <c16:uniqueId val="{00000000-415B-405C-8F3C-BDCFA20D334C}"/>
            </c:ext>
          </c:extLst>
        </c:ser>
        <c:dLbls>
          <c:showLegendKey val="0"/>
          <c:showVal val="0"/>
          <c:showCatName val="0"/>
          <c:showSerName val="0"/>
          <c:showPercent val="0"/>
          <c:showBubbleSize val="0"/>
        </c:dLbls>
        <c:gapWidth val="219"/>
        <c:overlap val="-27"/>
        <c:axId val="429230136"/>
        <c:axId val="429231704"/>
      </c:barChart>
      <c:catAx>
        <c:axId val="429230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es-CO"/>
          </a:p>
        </c:txPr>
        <c:crossAx val="429231704"/>
        <c:crosses val="autoZero"/>
        <c:auto val="1"/>
        <c:lblAlgn val="ctr"/>
        <c:lblOffset val="100"/>
        <c:noMultiLvlLbl val="0"/>
      </c:catAx>
      <c:valAx>
        <c:axId val="429231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30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AVANCE CUATRIENIO COMPONENTE INFANCIA, ADOLESCENCIA Y FAMILIA. PROGRAMAS  CORTE </a:t>
            </a:r>
            <a:r>
              <a:rPr lang="es-CO" sz="1300" b="1" i="0" u="none" strike="noStrike" baseline="0">
                <a:effectLst/>
              </a:rPr>
              <a:t>JUNIO 2025</a:t>
            </a:r>
            <a:endParaRPr lang="es-CO"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'!$E$102</c:f>
              <c:strCache>
                <c:ptCount val="1"/>
                <c:pt idx="0">
                  <c:v>AVANCE CUATRIENIO COMPONENTE IMPULSOR INFANCIA, ADOLESCENCIA Y FAMILIA CORTE JUNIO 2025</c:v>
                </c:pt>
              </c:strCache>
            </c:strRef>
          </c:tx>
          <c:spPr>
            <a:solidFill>
              <a:srgbClr val="92D050"/>
            </a:solidFill>
            <a:ln>
              <a:noFill/>
            </a:ln>
            <a:effectLst/>
          </c:spPr>
          <c:invertIfNegative val="0"/>
          <c:dPt>
            <c:idx val="1"/>
            <c:invertIfNegative val="0"/>
            <c:bubble3D val="0"/>
            <c:spPr>
              <a:solidFill>
                <a:srgbClr val="92D050"/>
              </a:solidFill>
              <a:ln>
                <a:noFill/>
              </a:ln>
              <a:effectLst/>
            </c:spPr>
            <c:extLst>
              <c:ext xmlns:c16="http://schemas.microsoft.com/office/drawing/2014/chart" uri="{C3380CC4-5D6E-409C-BE32-E72D297353CC}">
                <c16:uniqueId val="{00000001-9FAB-42EB-8BFD-5CF982300727}"/>
              </c:ext>
            </c:extLst>
          </c:dPt>
          <c:dPt>
            <c:idx val="2"/>
            <c:invertIfNegative val="0"/>
            <c:bubble3D val="0"/>
            <c:spPr>
              <a:solidFill>
                <a:srgbClr val="FFFF00"/>
              </a:solidFill>
              <a:ln>
                <a:noFill/>
              </a:ln>
              <a:effectLst/>
            </c:spPr>
            <c:extLst>
              <c:ext xmlns:c16="http://schemas.microsoft.com/office/drawing/2014/chart" uri="{C3380CC4-5D6E-409C-BE32-E72D297353CC}">
                <c16:uniqueId val="{00000003-9FAB-42EB-8BFD-5CF982300727}"/>
              </c:ext>
            </c:extLst>
          </c:dPt>
          <c:dPt>
            <c:idx val="3"/>
            <c:invertIfNegative val="0"/>
            <c:bubble3D val="0"/>
            <c:spPr>
              <a:solidFill>
                <a:srgbClr val="00B050"/>
              </a:solidFill>
              <a:ln>
                <a:noFill/>
              </a:ln>
              <a:effectLst/>
            </c:spPr>
            <c:extLst>
              <c:ext xmlns:c16="http://schemas.microsoft.com/office/drawing/2014/chart" uri="{C3380CC4-5D6E-409C-BE32-E72D297353CC}">
                <c16:uniqueId val="{00000005-76E5-4F25-B535-82B6F7F5AD5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'!$C$103:$C$106</c:f>
              <c:strCache>
                <c:ptCount val="4"/>
                <c:pt idx="0">
                  <c:v> Infancia, Adolescencia y Familia
</c:v>
                </c:pt>
                <c:pt idx="1">
                  <c:v> ENTORNOS SEGUROS PARA LA PRIMERA INFANCIA</c:v>
                </c:pt>
                <c:pt idx="2">
                  <c:v> AVANZANDO HACIA UNA INFANCIA Y ADOLESCENCIA PROTEGIDA Y SIN VIOLENCIAS</c:v>
                </c:pt>
                <c:pt idx="3">
                  <c:v> JUGANDO Y PARTICIPANDO LOS DERECHOS DE LA NIÑEZ VAMOS IMPULSANDO</c:v>
                </c:pt>
              </c:strCache>
            </c:strRef>
          </c:cat>
          <c:val>
            <c:numRef>
              <c:f>'GRAFICAS VIDA DIGNA '!$E$103:$E$106</c:f>
              <c:numCache>
                <c:formatCode>0.0%</c:formatCode>
                <c:ptCount val="4"/>
                <c:pt idx="0">
                  <c:v>0.43765215226673959</c:v>
                </c:pt>
                <c:pt idx="1">
                  <c:v>0.38980660129642308</c:v>
                </c:pt>
                <c:pt idx="2">
                  <c:v>0.32634895833333333</c:v>
                </c:pt>
                <c:pt idx="3">
                  <c:v>0.59680089717046236</c:v>
                </c:pt>
              </c:numCache>
            </c:numRef>
          </c:val>
          <c:extLst>
            <c:ext xmlns:c16="http://schemas.microsoft.com/office/drawing/2014/chart" uri="{C3380CC4-5D6E-409C-BE32-E72D297353CC}">
              <c16:uniqueId val="{00000000-70B6-4803-9D07-7841283B20C7}"/>
            </c:ext>
          </c:extLst>
        </c:ser>
        <c:dLbls>
          <c:showLegendKey val="0"/>
          <c:showVal val="0"/>
          <c:showCatName val="0"/>
          <c:showSerName val="0"/>
          <c:showPercent val="0"/>
          <c:showBubbleSize val="0"/>
        </c:dLbls>
        <c:gapWidth val="219"/>
        <c:overlap val="-27"/>
        <c:axId val="429230528"/>
        <c:axId val="429232096"/>
      </c:barChart>
      <c:catAx>
        <c:axId val="42923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232096"/>
        <c:crosses val="autoZero"/>
        <c:auto val="1"/>
        <c:lblAlgn val="ctr"/>
        <c:lblOffset val="100"/>
        <c:noMultiLvlLbl val="0"/>
      </c:catAx>
      <c:valAx>
        <c:axId val="429232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9230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ESTRATEGICA VIDA DIGNA. COMPARATIVO DICIEMBRE 2024 - JUNIO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'!$D$4</c:f>
              <c:strCache>
                <c:ptCount val="1"/>
                <c:pt idx="0">
                  <c:v>ESPERADO  AL CUATRIENIO CORTE DICIEMBRE 2025</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'!$D$5:$D$11</c:f>
              <c:numCache>
                <c:formatCode>0.0%</c:formatCode>
                <c:ptCount val="7"/>
                <c:pt idx="0">
                  <c:v>0.53896320341939341</c:v>
                </c:pt>
                <c:pt idx="1">
                  <c:v>0.47305009896863803</c:v>
                </c:pt>
                <c:pt idx="2">
                  <c:v>0.48195707299092011</c:v>
                </c:pt>
                <c:pt idx="3">
                  <c:v>0.45039542483660128</c:v>
                </c:pt>
                <c:pt idx="4">
                  <c:v>0.6175572285863945</c:v>
                </c:pt>
                <c:pt idx="5">
                  <c:v>0.5512547869858142</c:v>
                </c:pt>
                <c:pt idx="6">
                  <c:v>0.65956460814799245</c:v>
                </c:pt>
              </c:numCache>
            </c:numRef>
          </c:val>
          <c:extLst>
            <c:ext xmlns:c16="http://schemas.microsoft.com/office/drawing/2014/chart" uri="{C3380CC4-5D6E-409C-BE32-E72D297353CC}">
              <c16:uniqueId val="{00000000-E1C8-46AE-9522-305429A00121}"/>
            </c:ext>
          </c:extLst>
        </c:ser>
        <c:ser>
          <c:idx val="1"/>
          <c:order val="1"/>
          <c:tx>
            <c:strRef>
              <c:f>'GRAFICAS VIDA DIGNA '!$E$4</c:f>
              <c:strCache>
                <c:ptCount val="1"/>
                <c:pt idx="0">
                  <c:v>LOGRO VIGENCIA  CORTE JUNIO 2025 RESPECTO AL CUATRIENIO</c:v>
                </c:pt>
              </c:strCache>
            </c:strRef>
          </c:tx>
          <c:spPr>
            <a:solidFill>
              <a:srgbClr val="FFFF00"/>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11-F2A2-4F55-9B3F-7BACD1D7EA70}"/>
              </c:ext>
            </c:extLst>
          </c:dPt>
          <c:dPt>
            <c:idx val="1"/>
            <c:invertIfNegative val="0"/>
            <c:bubble3D val="0"/>
            <c:spPr>
              <a:solidFill>
                <a:srgbClr val="92D050"/>
              </a:solidFill>
              <a:ln>
                <a:noFill/>
              </a:ln>
              <a:effectLst/>
            </c:spPr>
            <c:extLst>
              <c:ext xmlns:c16="http://schemas.microsoft.com/office/drawing/2014/chart" uri="{C3380CC4-5D6E-409C-BE32-E72D297353CC}">
                <c16:uniqueId val="{0000000A-D607-43EB-9721-B7584D8D838B}"/>
              </c:ext>
            </c:extLst>
          </c:dPt>
          <c:dPt>
            <c:idx val="2"/>
            <c:invertIfNegative val="0"/>
            <c:bubble3D val="0"/>
            <c:spPr>
              <a:solidFill>
                <a:srgbClr val="FF7C80"/>
              </a:solidFill>
              <a:ln>
                <a:noFill/>
              </a:ln>
              <a:effectLst/>
            </c:spPr>
            <c:extLst>
              <c:ext xmlns:c16="http://schemas.microsoft.com/office/drawing/2014/chart" uri="{C3380CC4-5D6E-409C-BE32-E72D297353CC}">
                <c16:uniqueId val="{00000004-99AF-4A51-BCA7-77ADA8723155}"/>
              </c:ext>
            </c:extLst>
          </c:dPt>
          <c:dPt>
            <c:idx val="3"/>
            <c:invertIfNegative val="0"/>
            <c:bubble3D val="0"/>
            <c:spPr>
              <a:solidFill>
                <a:srgbClr val="FF7C80"/>
              </a:solidFill>
              <a:ln>
                <a:noFill/>
              </a:ln>
              <a:effectLst/>
            </c:spPr>
            <c:extLst>
              <c:ext xmlns:c16="http://schemas.microsoft.com/office/drawing/2014/chart" uri="{C3380CC4-5D6E-409C-BE32-E72D297353CC}">
                <c16:uniqueId val="{00000005-99AF-4A51-BCA7-77ADA8723155}"/>
              </c:ext>
            </c:extLst>
          </c:dPt>
          <c:dPt>
            <c:idx val="4"/>
            <c:invertIfNegative val="0"/>
            <c:bubble3D val="0"/>
            <c:spPr>
              <a:solidFill>
                <a:srgbClr val="00B050"/>
              </a:solidFill>
              <a:ln>
                <a:noFill/>
              </a:ln>
              <a:effectLst/>
            </c:spPr>
            <c:extLst>
              <c:ext xmlns:c16="http://schemas.microsoft.com/office/drawing/2014/chart" uri="{C3380CC4-5D6E-409C-BE32-E72D297353CC}">
                <c16:uniqueId val="{00000007-99AF-4A51-BCA7-77ADA8723155}"/>
              </c:ext>
            </c:extLst>
          </c:dPt>
          <c:dPt>
            <c:idx val="5"/>
            <c:invertIfNegative val="0"/>
            <c:bubble3D val="0"/>
            <c:spPr>
              <a:solidFill>
                <a:srgbClr val="92D050"/>
              </a:solidFill>
              <a:ln>
                <a:noFill/>
              </a:ln>
              <a:effectLst/>
            </c:spPr>
            <c:extLst>
              <c:ext xmlns:c16="http://schemas.microsoft.com/office/drawing/2014/chart" uri="{C3380CC4-5D6E-409C-BE32-E72D297353CC}">
                <c16:uniqueId val="{00000008-99AF-4A51-BCA7-77ADA8723155}"/>
              </c:ext>
            </c:extLst>
          </c:dPt>
          <c:dPt>
            <c:idx val="6"/>
            <c:invertIfNegative val="0"/>
            <c:bubble3D val="0"/>
            <c:spPr>
              <a:solidFill>
                <a:srgbClr val="92D050"/>
              </a:solidFill>
              <a:ln>
                <a:noFill/>
              </a:ln>
              <a:effectLst/>
            </c:spPr>
            <c:extLst>
              <c:ext xmlns:c16="http://schemas.microsoft.com/office/drawing/2014/chart" uri="{C3380CC4-5D6E-409C-BE32-E72D297353CC}">
                <c16:uniqueId val="{00000009-99AF-4A51-BCA7-77ADA872315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'!$E$5:$E$11</c:f>
              <c:numCache>
                <c:formatCode>0.0%</c:formatCode>
                <c:ptCount val="7"/>
                <c:pt idx="0">
                  <c:v>0.3533651236549824</c:v>
                </c:pt>
                <c:pt idx="1">
                  <c:v>0.36740543241296775</c:v>
                </c:pt>
                <c:pt idx="2">
                  <c:v>0.21972164484441217</c:v>
                </c:pt>
                <c:pt idx="3">
                  <c:v>0.19891486928104574</c:v>
                </c:pt>
                <c:pt idx="4">
                  <c:v>0.47593529817233005</c:v>
                </c:pt>
                <c:pt idx="5">
                  <c:v>0.42056134495239916</c:v>
                </c:pt>
                <c:pt idx="6">
                  <c:v>0.43765215226673959</c:v>
                </c:pt>
              </c:numCache>
            </c:numRef>
          </c:val>
          <c:extLst>
            <c:ext xmlns:c16="http://schemas.microsoft.com/office/drawing/2014/chart" uri="{C3380CC4-5D6E-409C-BE32-E72D297353CC}">
              <c16:uniqueId val="{00000001-E1C8-46AE-9522-305429A00121}"/>
            </c:ext>
          </c:extLst>
        </c:ser>
        <c:ser>
          <c:idx val="2"/>
          <c:order val="2"/>
          <c:tx>
            <c:strRef>
              <c:f>'GRAFICAS VIDA DIGNA '!$F$4</c:f>
              <c:strCache>
                <c:ptCount val="1"/>
                <c:pt idx="0">
                  <c:v>LOGRO VIGENCIA  CORTE DICIEMBRE  2024 RESPECTO AL CUATRIENIO</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'!$F$5:$F$11</c:f>
              <c:numCache>
                <c:formatCode>0.0%</c:formatCode>
                <c:ptCount val="7"/>
                <c:pt idx="0">
                  <c:v>0.22389547133016827</c:v>
                </c:pt>
                <c:pt idx="1">
                  <c:v>0.21288627727196741</c:v>
                </c:pt>
                <c:pt idx="2">
                  <c:v>0.1332971286782689</c:v>
                </c:pt>
                <c:pt idx="3">
                  <c:v>0.14324852941176469</c:v>
                </c:pt>
                <c:pt idx="4">
                  <c:v>0.24864012602929381</c:v>
                </c:pt>
                <c:pt idx="5">
                  <c:v>0.26532184592777297</c:v>
                </c:pt>
                <c:pt idx="6">
                  <c:v>0.33997892066194169</c:v>
                </c:pt>
              </c:numCache>
            </c:numRef>
          </c:val>
          <c:extLst>
            <c:ext xmlns:c16="http://schemas.microsoft.com/office/drawing/2014/chart" uri="{C3380CC4-5D6E-409C-BE32-E72D297353CC}">
              <c16:uniqueId val="{00000002-E1C8-46AE-9522-305429A00121}"/>
            </c:ext>
          </c:extLst>
        </c:ser>
        <c:dLbls>
          <c:showLegendKey val="0"/>
          <c:showVal val="0"/>
          <c:showCatName val="0"/>
          <c:showSerName val="0"/>
          <c:showPercent val="0"/>
          <c:showBubbleSize val="0"/>
        </c:dLbls>
        <c:gapWidth val="219"/>
        <c:overlap val="-27"/>
        <c:axId val="429905488"/>
        <c:axId val="429902744"/>
      </c:barChart>
      <c:catAx>
        <c:axId val="42990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429902744"/>
        <c:crosses val="autoZero"/>
        <c:auto val="1"/>
        <c:lblAlgn val="ctr"/>
        <c:lblOffset val="100"/>
        <c:noMultiLvlLbl val="0"/>
      </c:catAx>
      <c:valAx>
        <c:axId val="4299027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429905488"/>
        <c:crosses val="autoZero"/>
        <c:crossBetween val="between"/>
      </c:valAx>
      <c:spPr>
        <a:noFill/>
        <a:ln>
          <a:noFill/>
        </a:ln>
        <a:effectLst/>
      </c:spPr>
    </c:plotArea>
    <c:legend>
      <c:legendPos val="b"/>
      <c:layout>
        <c:manualLayout>
          <c:xMode val="edge"/>
          <c:yMode val="edge"/>
          <c:x val="0.05"/>
          <c:y val="0.9407118959295685"/>
          <c:w val="0.9"/>
          <c:h val="5.9288104070431502E-2"/>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AVANCE CUATRIENIO COMPONENTE IMPULSOR VIVIENDA DIGNA Y HÁBITAT. PROGRAMAS  CORTE </a:t>
            </a:r>
            <a:r>
              <a:rPr lang="es-CO" sz="1300" b="1" i="0" u="none" strike="noStrike" baseline="0">
                <a:effectLst/>
              </a:rPr>
              <a:t>JUNIO 2025</a:t>
            </a:r>
            <a:endParaRPr lang="es-CO"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9579737206571053E-2"/>
          <c:y val="0.17444041601263571"/>
          <c:w val="0.91449433923024759"/>
          <c:h val="0.70461046949904216"/>
        </c:manualLayout>
      </c:layout>
      <c:barChart>
        <c:barDir val="col"/>
        <c:grouping val="clustered"/>
        <c:varyColors val="0"/>
        <c:ser>
          <c:idx val="0"/>
          <c:order val="0"/>
          <c:tx>
            <c:strRef>
              <c:f>'GRAFICAS VIDA DIGNA '!$E$71</c:f>
              <c:strCache>
                <c:ptCount val="1"/>
                <c:pt idx="0">
                  <c:v>AVANCE CUATRIENIO COMPONENTE IMPULSOR VIVIENDA DIGNA Y HÁBITATCORTE JUNIO 2025</c:v>
                </c:pt>
              </c:strCache>
            </c:strRef>
          </c:tx>
          <c:spPr>
            <a:solidFill>
              <a:srgbClr val="FF7C80"/>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1-E2D5-4432-8BAF-BCDB06264E74}"/>
              </c:ext>
            </c:extLst>
          </c:dPt>
          <c:dPt>
            <c:idx val="1"/>
            <c:invertIfNegative val="0"/>
            <c:bubble3D val="0"/>
            <c:spPr>
              <a:solidFill>
                <a:srgbClr val="FF0000"/>
              </a:solidFill>
              <a:ln>
                <a:noFill/>
              </a:ln>
              <a:effectLst/>
            </c:spPr>
            <c:extLst>
              <c:ext xmlns:c16="http://schemas.microsoft.com/office/drawing/2014/chart" uri="{C3380CC4-5D6E-409C-BE32-E72D297353CC}">
                <c16:uniqueId val="{00000003-E2D5-4432-8BAF-BCDB06264E74}"/>
              </c:ext>
            </c:extLst>
          </c:dPt>
          <c:dPt>
            <c:idx val="2"/>
            <c:invertIfNegative val="0"/>
            <c:bubble3D val="0"/>
            <c:spPr>
              <a:solidFill>
                <a:srgbClr val="FFFF00"/>
              </a:solidFill>
              <a:ln>
                <a:noFill/>
              </a:ln>
              <a:effectLst/>
            </c:spPr>
            <c:extLst>
              <c:ext xmlns:c16="http://schemas.microsoft.com/office/drawing/2014/chart" uri="{C3380CC4-5D6E-409C-BE32-E72D297353CC}">
                <c16:uniqueId val="{00000005-E2D5-4432-8BAF-BCDB06264E74}"/>
              </c:ext>
            </c:extLst>
          </c:dPt>
          <c:dPt>
            <c:idx val="3"/>
            <c:invertIfNegative val="0"/>
            <c:bubble3D val="0"/>
            <c:spPr>
              <a:solidFill>
                <a:srgbClr val="FF7C80"/>
              </a:solidFill>
              <a:ln>
                <a:noFill/>
              </a:ln>
              <a:effectLst/>
            </c:spPr>
            <c:extLst>
              <c:ext xmlns:c16="http://schemas.microsoft.com/office/drawing/2014/chart" uri="{C3380CC4-5D6E-409C-BE32-E72D297353CC}">
                <c16:uniqueId val="{00000007-E2D5-4432-8BAF-BCDB06264E74}"/>
              </c:ext>
            </c:extLst>
          </c:dPt>
          <c:dPt>
            <c:idx val="4"/>
            <c:invertIfNegative val="0"/>
            <c:bubble3D val="0"/>
            <c:spPr>
              <a:solidFill>
                <a:srgbClr val="FF7C80"/>
              </a:solidFill>
              <a:ln>
                <a:noFill/>
              </a:ln>
              <a:effectLst/>
            </c:spPr>
            <c:extLst>
              <c:ext xmlns:c16="http://schemas.microsoft.com/office/drawing/2014/chart" uri="{C3380CC4-5D6E-409C-BE32-E72D297353CC}">
                <c16:uniqueId val="{00000008-6EA3-458D-80DD-B5A9E08CC99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'!$C$72:$C$76</c:f>
              <c:strCache>
                <c:ptCount val="5"/>
                <c:pt idx="0">
                  <c:v> Vivienda Digna y Hábitat
</c:v>
                </c:pt>
                <c:pt idx="1">
                  <c:v> UNIDOS POR UNA VIVIENDA PARA TI</c:v>
                </c:pt>
                <c:pt idx="2">
                  <c:v> MI CASA AVANZA</c:v>
                </c:pt>
                <c:pt idx="3">
                  <c:v> MI CASA CON PROPIEDAD</c:v>
                </c:pt>
                <c:pt idx="4">
                  <c:v> MI TERRITORIO EN ORDEN</c:v>
                </c:pt>
              </c:strCache>
            </c:strRef>
          </c:cat>
          <c:val>
            <c:numRef>
              <c:f>'GRAFICAS VIDA DIGNA '!$E$72:$E$76</c:f>
              <c:numCache>
                <c:formatCode>0.0%</c:formatCode>
                <c:ptCount val="5"/>
                <c:pt idx="0">
                  <c:v>0.19891486928104574</c:v>
                </c:pt>
                <c:pt idx="1">
                  <c:v>5.5300000000000002E-2</c:v>
                </c:pt>
                <c:pt idx="2">
                  <c:v>0.27380392156862743</c:v>
                </c:pt>
                <c:pt idx="3">
                  <c:v>0.248</c:v>
                </c:pt>
                <c:pt idx="4">
                  <c:v>0.21855555555555553</c:v>
                </c:pt>
              </c:numCache>
            </c:numRef>
          </c:val>
          <c:extLst>
            <c:ext xmlns:c16="http://schemas.microsoft.com/office/drawing/2014/chart" uri="{C3380CC4-5D6E-409C-BE32-E72D297353CC}">
              <c16:uniqueId val="{00000008-E2D5-4432-8BAF-BCDB06264E74}"/>
            </c:ext>
          </c:extLst>
        </c:ser>
        <c:dLbls>
          <c:showLegendKey val="0"/>
          <c:showVal val="0"/>
          <c:showCatName val="0"/>
          <c:showSerName val="0"/>
          <c:showPercent val="0"/>
          <c:showBubbleSize val="0"/>
        </c:dLbls>
        <c:gapWidth val="219"/>
        <c:overlap val="-27"/>
        <c:axId val="429907840"/>
        <c:axId val="429906272"/>
      </c:barChart>
      <c:catAx>
        <c:axId val="42990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29906272"/>
        <c:crosses val="autoZero"/>
        <c:auto val="1"/>
        <c:lblAlgn val="ctr"/>
        <c:lblOffset val="100"/>
        <c:noMultiLvlLbl val="0"/>
      </c:catAx>
      <c:valAx>
        <c:axId val="429906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7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ESTRATEGICA DESARROLLO </a:t>
            </a:r>
            <a:r>
              <a:rPr lang="es-ES" b="1"/>
              <a:t>ECONÓMICO</a:t>
            </a:r>
            <a:r>
              <a:rPr lang="es-CO" b="1"/>
              <a:t> JUNIO  2025</a:t>
            </a:r>
          </a:p>
        </c:rich>
      </c:tx>
      <c:overlay val="0"/>
      <c:spPr>
        <a:noFill/>
        <a:ln>
          <a:noFill/>
        </a:ln>
        <a:effectLst/>
      </c:spPr>
      <c:txPr>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2566811110331592E-2"/>
          <c:y val="8.7784564131038315E-2"/>
          <c:w val="0.9578056021390472"/>
          <c:h val="0.72291315659778344"/>
        </c:manualLayout>
      </c:layout>
      <c:barChart>
        <c:barDir val="col"/>
        <c:grouping val="clustered"/>
        <c:varyColors val="0"/>
        <c:ser>
          <c:idx val="0"/>
          <c:order val="0"/>
          <c:tx>
            <c:strRef>
              <c:f>'GRAFICAS DESARROLLO ECONOMICO'!$D$4</c:f>
              <c:strCache>
                <c:ptCount val="1"/>
                <c:pt idx="0">
                  <c:v>ESPERADO  AL CUATRIENIO CORTE DICIEMBRE 2025</c:v>
                </c:pt>
              </c:strCache>
            </c:strRef>
          </c:tx>
          <c:spPr>
            <a:solidFill>
              <a:schemeClr val="tx2">
                <a:lumMod val="65000"/>
                <a:lumOff val="35000"/>
              </a:schemeClr>
            </a:solidFill>
            <a:ln>
              <a:noFill/>
            </a:ln>
            <a:effectLst/>
          </c:spPr>
          <c:invertIfNegative val="0"/>
          <c:dLbls>
            <c:spPr>
              <a:noFill/>
              <a:ln>
                <a:noFill/>
              </a:ln>
              <a:effectLst/>
            </c:spPr>
            <c:txPr>
              <a:bodyPr rot="0" spcFirstLastPara="1" vertOverflow="ellipsis" vert="horz" wrap="square" anchor="ctr" anchorCtr="1"/>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ECONOMICO'!$D$5:$D$12</c:f>
              <c:numCache>
                <c:formatCode>0.0%</c:formatCode>
                <c:ptCount val="8"/>
                <c:pt idx="0">
                  <c:v>0.57363332332876349</c:v>
                </c:pt>
                <c:pt idx="1">
                  <c:v>0.65333333333333332</c:v>
                </c:pt>
                <c:pt idx="2">
                  <c:v>0.57802777777777781</c:v>
                </c:pt>
                <c:pt idx="3">
                  <c:v>0.44333803418803419</c:v>
                </c:pt>
                <c:pt idx="4">
                  <c:v>0.51649999999999996</c:v>
                </c:pt>
                <c:pt idx="5">
                  <c:v>0.6744342025757889</c:v>
                </c:pt>
                <c:pt idx="6">
                  <c:v>0.58398769273582618</c:v>
                </c:pt>
                <c:pt idx="7">
                  <c:v>0.5658122226905844</c:v>
                </c:pt>
              </c:numCache>
            </c:numRef>
          </c:val>
          <c:extLst>
            <c:ext xmlns:c16="http://schemas.microsoft.com/office/drawing/2014/chart" uri="{C3380CC4-5D6E-409C-BE32-E72D297353CC}">
              <c16:uniqueId val="{00000000-9F4A-43C0-81A8-3A12DFD2CA5C}"/>
            </c:ext>
          </c:extLst>
        </c:ser>
        <c:ser>
          <c:idx val="1"/>
          <c:order val="1"/>
          <c:tx>
            <c:strRef>
              <c:f>'GRAFICAS DESARROLLO ECONOMICO'!$E$4</c:f>
              <c:strCache>
                <c:ptCount val="1"/>
                <c:pt idx="0">
                  <c:v>LOGRO VIGENCIA  CORTE JUNIO 2025 RESPECTO AL CUATRIENIO</c:v>
                </c:pt>
              </c:strCache>
            </c:strRef>
          </c:tx>
          <c:spPr>
            <a:solidFill>
              <a:srgbClr val="FFFF00"/>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2-50B9-4CDE-92FB-8E749D41557A}"/>
              </c:ext>
            </c:extLst>
          </c:dPt>
          <c:dPt>
            <c:idx val="2"/>
            <c:invertIfNegative val="0"/>
            <c:bubble3D val="0"/>
            <c:spPr>
              <a:solidFill>
                <a:srgbClr val="00B050"/>
              </a:solidFill>
              <a:ln>
                <a:noFill/>
              </a:ln>
              <a:effectLst/>
            </c:spPr>
            <c:extLst>
              <c:ext xmlns:c16="http://schemas.microsoft.com/office/drawing/2014/chart" uri="{C3380CC4-5D6E-409C-BE32-E72D297353CC}">
                <c16:uniqueId val="{0000000A-FCE7-4BAD-B81B-67B8F3A8E91E}"/>
              </c:ext>
            </c:extLst>
          </c:dPt>
          <c:dPt>
            <c:idx val="3"/>
            <c:invertIfNegative val="0"/>
            <c:bubble3D val="0"/>
            <c:spPr>
              <a:solidFill>
                <a:srgbClr val="92D050"/>
              </a:solidFill>
              <a:ln>
                <a:noFill/>
              </a:ln>
              <a:effectLst/>
            </c:spPr>
            <c:extLst>
              <c:ext xmlns:c16="http://schemas.microsoft.com/office/drawing/2014/chart" uri="{C3380CC4-5D6E-409C-BE32-E72D297353CC}">
                <c16:uniqueId val="{00000013-D0EE-4035-AAC7-39A3DEBE509F}"/>
              </c:ext>
            </c:extLst>
          </c:dPt>
          <c:dPt>
            <c:idx val="4"/>
            <c:invertIfNegative val="0"/>
            <c:bubble3D val="0"/>
            <c:spPr>
              <a:solidFill>
                <a:srgbClr val="FF7C80"/>
              </a:solidFill>
              <a:ln>
                <a:noFill/>
              </a:ln>
              <a:effectLst/>
            </c:spPr>
            <c:extLst>
              <c:ext xmlns:c16="http://schemas.microsoft.com/office/drawing/2014/chart" uri="{C3380CC4-5D6E-409C-BE32-E72D297353CC}">
                <c16:uniqueId val="{0000000C-A4D3-4361-8422-2D96EF7DC0DC}"/>
              </c:ext>
            </c:extLst>
          </c:dPt>
          <c:dPt>
            <c:idx val="5"/>
            <c:invertIfNegative val="0"/>
            <c:bubble3D val="0"/>
            <c:spPr>
              <a:solidFill>
                <a:srgbClr val="FFFF00"/>
              </a:solidFill>
              <a:ln>
                <a:noFill/>
              </a:ln>
              <a:effectLst/>
            </c:spPr>
            <c:extLst>
              <c:ext xmlns:c16="http://schemas.microsoft.com/office/drawing/2014/chart" uri="{C3380CC4-5D6E-409C-BE32-E72D297353CC}">
                <c16:uniqueId val="{00000006-3BE6-4FCE-9BA0-443BD2138E88}"/>
              </c:ext>
            </c:extLst>
          </c:dPt>
          <c:dPt>
            <c:idx val="6"/>
            <c:invertIfNegative val="0"/>
            <c:bubble3D val="0"/>
            <c:spPr>
              <a:solidFill>
                <a:srgbClr val="FFFF00"/>
              </a:solidFill>
              <a:ln>
                <a:noFill/>
              </a:ln>
              <a:effectLst/>
            </c:spPr>
            <c:extLst>
              <c:ext xmlns:c16="http://schemas.microsoft.com/office/drawing/2014/chart" uri="{C3380CC4-5D6E-409C-BE32-E72D297353CC}">
                <c16:uniqueId val="{00000004-3BE6-4FCE-9BA0-443BD2138E88}"/>
              </c:ext>
            </c:extLst>
          </c:dPt>
          <c:dPt>
            <c:idx val="7"/>
            <c:invertIfNegative val="0"/>
            <c:bubble3D val="0"/>
            <c:spPr>
              <a:solidFill>
                <a:srgbClr val="FFFF00"/>
              </a:solidFill>
              <a:ln>
                <a:noFill/>
              </a:ln>
              <a:effectLst/>
            </c:spPr>
            <c:extLst>
              <c:ext xmlns:c16="http://schemas.microsoft.com/office/drawing/2014/chart" uri="{C3380CC4-5D6E-409C-BE32-E72D297353CC}">
                <c16:uniqueId val="{00000003-50B9-4CDE-92FB-8E749D41557A}"/>
              </c:ext>
            </c:extLst>
          </c:dPt>
          <c:dLbls>
            <c:spPr>
              <a:noFill/>
              <a:ln>
                <a:noFill/>
              </a:ln>
              <a:effectLst/>
            </c:spPr>
            <c:txPr>
              <a:bodyPr rot="0" spcFirstLastPara="1" vertOverflow="ellipsis" vert="horz" wrap="square" anchor="ctr" anchorCtr="1"/>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ECONOMICO'!$E$5:$E$12</c:f>
              <c:numCache>
                <c:formatCode>0.0%</c:formatCode>
                <c:ptCount val="8"/>
                <c:pt idx="0">
                  <c:v>0.33753168969468023</c:v>
                </c:pt>
                <c:pt idx="1">
                  <c:v>0.45624999999999993</c:v>
                </c:pt>
                <c:pt idx="2">
                  <c:v>0.46802194656488555</c:v>
                </c:pt>
                <c:pt idx="3">
                  <c:v>0.37620128205128206</c:v>
                </c:pt>
                <c:pt idx="4">
                  <c:v>0.17904687499999999</c:v>
                </c:pt>
                <c:pt idx="5">
                  <c:v>0.26794331149437195</c:v>
                </c:pt>
                <c:pt idx="6">
                  <c:v>0.28886778775222194</c:v>
                </c:pt>
                <c:pt idx="7">
                  <c:v>0.28374999999999995</c:v>
                </c:pt>
              </c:numCache>
            </c:numRef>
          </c:val>
          <c:extLst>
            <c:ext xmlns:c16="http://schemas.microsoft.com/office/drawing/2014/chart" uri="{C3380CC4-5D6E-409C-BE32-E72D297353CC}">
              <c16:uniqueId val="{00000001-9F4A-43C0-81A8-3A12DFD2CA5C}"/>
            </c:ext>
          </c:extLst>
        </c:ser>
        <c:dLbls>
          <c:showLegendKey val="0"/>
          <c:showVal val="0"/>
          <c:showCatName val="0"/>
          <c:showSerName val="0"/>
          <c:showPercent val="0"/>
          <c:showBubbleSize val="0"/>
        </c:dLbls>
        <c:gapWidth val="219"/>
        <c:overlap val="-27"/>
        <c:axId val="429909016"/>
        <c:axId val="429902352"/>
      </c:barChart>
      <c:catAx>
        <c:axId val="429909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CO"/>
          </a:p>
        </c:txPr>
        <c:crossAx val="429902352"/>
        <c:crosses val="autoZero"/>
        <c:auto val="1"/>
        <c:lblAlgn val="ctr"/>
        <c:lblOffset val="100"/>
        <c:noMultiLvlLbl val="0"/>
      </c:catAx>
      <c:valAx>
        <c:axId val="4299023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CO"/>
          </a:p>
        </c:txPr>
        <c:crossAx val="429909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300"/>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s-CO" sz="1100" b="1"/>
              <a:t>AVANCE COMPONENTES IMPULSORES LINEA ESTRATEGICA DESARROLLO ECONOMICO  </a:t>
            </a:r>
            <a:r>
              <a:rPr lang="es-CO" sz="1100" b="1" i="0" u="none" strike="noStrike" baseline="0">
                <a:effectLst/>
              </a:rPr>
              <a:t>JUNIO DE 2025 </a:t>
            </a:r>
            <a:r>
              <a:rPr lang="es-CO" sz="1100" b="1"/>
              <a:t>RESPECTO AL CUATRIENIO. PONDERADO.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ECONOMICO'!$N$4</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ECONOMICO'!$M$5:$M$12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ECONOMICO'!$N$5:$N$12</c:f>
              <c:numCache>
                <c:formatCode>0.0%</c:formatCode>
                <c:ptCount val="8"/>
                <c:pt idx="0">
                  <c:v>0.51327448694157729</c:v>
                </c:pt>
                <c:pt idx="1">
                  <c:v>0.65625</c:v>
                </c:pt>
                <c:pt idx="2">
                  <c:v>0.53725000000000001</c:v>
                </c:pt>
                <c:pt idx="3">
                  <c:v>0.42369658119658121</c:v>
                </c:pt>
                <c:pt idx="4">
                  <c:v>0.53315277777777781</c:v>
                </c:pt>
                <c:pt idx="5">
                  <c:v>0.68279743197983567</c:v>
                </c:pt>
                <c:pt idx="6">
                  <c:v>0.41627864506335271</c:v>
                </c:pt>
                <c:pt idx="7">
                  <c:v>0.47678416701793824</c:v>
                </c:pt>
              </c:numCache>
            </c:numRef>
          </c:val>
          <c:extLst>
            <c:ext xmlns:c16="http://schemas.microsoft.com/office/drawing/2014/chart" uri="{C3380CC4-5D6E-409C-BE32-E72D297353CC}">
              <c16:uniqueId val="{00000000-12F7-4069-8ED8-06F05995E246}"/>
            </c:ext>
          </c:extLst>
        </c:ser>
        <c:ser>
          <c:idx val="1"/>
          <c:order val="1"/>
          <c:tx>
            <c:strRef>
              <c:f>'GRAFICAS DESARROLLO ECONOMICO'!$O$4</c:f>
              <c:strCache>
                <c:ptCount val="1"/>
                <c:pt idx="0">
                  <c:v>LOGRO CORTE JUNIO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ECONOMICO'!$M$5:$M$12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ECONOMICO'!$O$5:$O$12</c:f>
              <c:numCache>
                <c:formatCode>0.0%</c:formatCode>
                <c:ptCount val="8"/>
                <c:pt idx="0">
                  <c:v>0.31478839985626073</c:v>
                </c:pt>
                <c:pt idx="1">
                  <c:v>0.42225000000000001</c:v>
                </c:pt>
                <c:pt idx="2">
                  <c:v>0.57243702290076337</c:v>
                </c:pt>
                <c:pt idx="3">
                  <c:v>0.29591846153846157</c:v>
                </c:pt>
                <c:pt idx="4">
                  <c:v>0.21015375</c:v>
                </c:pt>
                <c:pt idx="5">
                  <c:v>0.22548041129324631</c:v>
                </c:pt>
                <c:pt idx="6">
                  <c:v>0.27083786061052356</c:v>
                </c:pt>
                <c:pt idx="7">
                  <c:v>0.2532375</c:v>
                </c:pt>
              </c:numCache>
            </c:numRef>
          </c:val>
          <c:extLst>
            <c:ext xmlns:c16="http://schemas.microsoft.com/office/drawing/2014/chart" uri="{C3380CC4-5D6E-409C-BE32-E72D297353CC}">
              <c16:uniqueId val="{00000001-12F7-4069-8ED8-06F05995E246}"/>
            </c:ext>
          </c:extLst>
        </c:ser>
        <c:dLbls>
          <c:showLegendKey val="0"/>
          <c:showVal val="0"/>
          <c:showCatName val="0"/>
          <c:showSerName val="0"/>
          <c:showPercent val="0"/>
          <c:showBubbleSize val="0"/>
        </c:dLbls>
        <c:gapWidth val="219"/>
        <c:overlap val="-27"/>
        <c:axId val="429904312"/>
        <c:axId val="429901568"/>
      </c:barChart>
      <c:catAx>
        <c:axId val="42990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1568"/>
        <c:crosses val="autoZero"/>
        <c:auto val="1"/>
        <c:lblAlgn val="ctr"/>
        <c:lblOffset val="100"/>
        <c:noMultiLvlLbl val="0"/>
      </c:catAx>
      <c:valAx>
        <c:axId val="4299015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Componente Impulsor de avance: Diversificación Económica. Avance</a:t>
            </a:r>
            <a:r>
              <a:rPr lang="en-US" b="1" baseline="0"/>
              <a:t> ponderado </a:t>
            </a:r>
            <a:r>
              <a:rPr lang="es-CO" sz="1400" b="1" i="0" u="none" strike="noStrike" baseline="0">
                <a:effectLst/>
              </a:rPr>
              <a:t> junio de 2025</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ECONOMICO'!$D$37</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ECONOMICO'!$C$38:$C$42</c:f>
              <c:strCache>
                <c:ptCount val="5"/>
                <c:pt idx="0">
                  <c:v> Diversificación Económica
</c:v>
                </c:pt>
                <c:pt idx="1">
                  <c:v> UNIDOS POR LA DIVERSIFICACIÓN ECONÓMICA Y EL DESARROLLO EMPRESARIAL</c:v>
                </c:pt>
                <c:pt idx="2">
                  <c:v> COOPERACIÓN PARA AVANZAR</c:v>
                </c:pt>
                <c:pt idx="3">
                  <c:v> ECONOMÍA CIRCULAR Y NEGOCIOS VERDES</c:v>
                </c:pt>
                <c:pt idx="4">
                  <c:v> TRANSFORMACIÓN PRODUCTIVA</c:v>
                </c:pt>
              </c:strCache>
            </c:strRef>
          </c:cat>
          <c:val>
            <c:numRef>
              <c:f>'GRAFICAS DESARROLLO ECONOMICO'!$D$38:$D$42</c:f>
              <c:numCache>
                <c:formatCode>0.00%</c:formatCode>
                <c:ptCount val="5"/>
                <c:pt idx="0">
                  <c:v>0.57243702290076337</c:v>
                </c:pt>
                <c:pt idx="1">
                  <c:v>0.88500000000000001</c:v>
                </c:pt>
                <c:pt idx="2">
                  <c:v>0.43687022900763361</c:v>
                </c:pt>
                <c:pt idx="3">
                  <c:v>0.29000000000000004</c:v>
                </c:pt>
                <c:pt idx="4">
                  <c:v>0.63</c:v>
                </c:pt>
              </c:numCache>
            </c:numRef>
          </c:val>
          <c:extLst>
            <c:ext xmlns:c16="http://schemas.microsoft.com/office/drawing/2014/chart" uri="{C3380CC4-5D6E-409C-BE32-E72D297353CC}">
              <c16:uniqueId val="{00000000-C317-43F3-B058-E582ACE1CECF}"/>
            </c:ext>
          </c:extLst>
        </c:ser>
        <c:dLbls>
          <c:showLegendKey val="0"/>
          <c:showVal val="0"/>
          <c:showCatName val="0"/>
          <c:showSerName val="0"/>
          <c:showPercent val="0"/>
          <c:showBubbleSize val="0"/>
        </c:dLbls>
        <c:gapWidth val="219"/>
        <c:overlap val="-27"/>
        <c:axId val="429906664"/>
        <c:axId val="429908624"/>
      </c:barChart>
      <c:catAx>
        <c:axId val="429906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8624"/>
        <c:crosses val="autoZero"/>
        <c:auto val="1"/>
        <c:lblAlgn val="ctr"/>
        <c:lblOffset val="100"/>
        <c:noMultiLvlLbl val="0"/>
      </c:catAx>
      <c:valAx>
        <c:axId val="429908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6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CO" sz="1200" b="1" i="0" u="none" strike="noStrike" baseline="0">
                <a:effectLst/>
              </a:rPr>
              <a:t>Componente Impulsor de avance: Trabajo Decente y Cierre de Brechas Laborales. Avance ponderado  junio de 2025</a:t>
            </a:r>
            <a:endParaRPr lang="en-US" sz="1200" b="1"/>
          </a:p>
        </c:rich>
      </c:tx>
      <c:layout>
        <c:manualLayout>
          <c:xMode val="edge"/>
          <c:yMode val="edge"/>
          <c:x val="0.122098374066878"/>
          <c:y val="1.700230889157447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7100769102426792E-2"/>
          <c:y val="0.13884323172296581"/>
          <c:w val="0.92786163691261081"/>
          <c:h val="0.76745250713420943"/>
        </c:manualLayout>
      </c:layout>
      <c:barChart>
        <c:barDir val="col"/>
        <c:grouping val="clustered"/>
        <c:varyColors val="0"/>
        <c:ser>
          <c:idx val="0"/>
          <c:order val="0"/>
          <c:tx>
            <c:strRef>
              <c:f>'GRAFICAS DESARROLLO ECONOMICO'!$D$44</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ECONOMICO'!$C$45:$C$48</c:f>
              <c:strCache>
                <c:ptCount val="4"/>
                <c:pt idx="0">
                  <c:v> Trabajo Decente y Cierre de Brechas Laborales
</c:v>
                </c:pt>
                <c:pt idx="1">
                  <c:v> EMPLEO Y CAPITAL HUMANO</c:v>
                </c:pt>
                <c:pt idx="2">
                  <c:v> MI PRIMERA CHAMBA</c:v>
                </c:pt>
                <c:pt idx="3">
                  <c:v> DERECHO AL TRABAJO EN CONDICIONES DE IGUALDAD Y DIGNIDAD PARA LA MUJER</c:v>
                </c:pt>
              </c:strCache>
            </c:strRef>
          </c:cat>
          <c:val>
            <c:numRef>
              <c:f>'GRAFICAS DESARROLLO ECONOMICO'!$D$45:$D$48</c:f>
              <c:numCache>
                <c:formatCode>0.00%</c:formatCode>
                <c:ptCount val="4"/>
                <c:pt idx="0">
                  <c:v>0.29591846153846157</c:v>
                </c:pt>
                <c:pt idx="1">
                  <c:v>0.10938500000000001</c:v>
                </c:pt>
                <c:pt idx="2">
                  <c:v>0.48875000000000002</c:v>
                </c:pt>
                <c:pt idx="3">
                  <c:v>0.47615384615384615</c:v>
                </c:pt>
              </c:numCache>
            </c:numRef>
          </c:val>
          <c:extLst>
            <c:ext xmlns:c16="http://schemas.microsoft.com/office/drawing/2014/chart" uri="{C3380CC4-5D6E-409C-BE32-E72D297353CC}">
              <c16:uniqueId val="{00000000-F9DC-42B5-8F04-833A79781D14}"/>
            </c:ext>
          </c:extLst>
        </c:ser>
        <c:dLbls>
          <c:showLegendKey val="0"/>
          <c:showVal val="0"/>
          <c:showCatName val="0"/>
          <c:showSerName val="0"/>
          <c:showPercent val="0"/>
          <c:showBubbleSize val="0"/>
        </c:dLbls>
        <c:gapWidth val="219"/>
        <c:overlap val="-27"/>
        <c:axId val="429903528"/>
        <c:axId val="429903920"/>
      </c:barChart>
      <c:catAx>
        <c:axId val="42990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3920"/>
        <c:crosses val="autoZero"/>
        <c:auto val="1"/>
        <c:lblAlgn val="ctr"/>
        <c:lblOffset val="100"/>
        <c:noMultiLvlLbl val="0"/>
      </c:catAx>
      <c:valAx>
        <c:axId val="429903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3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000" b="1" i="0" u="none" strike="noStrike" kern="1200" spc="0" baseline="0">
                <a:solidFill>
                  <a:schemeClr val="tx1">
                    <a:lumMod val="65000"/>
                    <a:lumOff val="35000"/>
                  </a:schemeClr>
                </a:solidFill>
                <a:latin typeface="+mn-lt"/>
                <a:ea typeface="+mn-ea"/>
                <a:cs typeface="+mn-cs"/>
              </a:defRPr>
            </a:pPr>
            <a:r>
              <a:rPr lang="en-US" sz="3000" b="1"/>
              <a:t>LOGRO (%) RESPECTO AL PROGRAMADO PARA LA VIGENCIA 2025.</a:t>
            </a:r>
            <a:r>
              <a:rPr lang="en-US" sz="3000" b="1" baseline="0"/>
              <a:t> CORTE  JUNIO</a:t>
            </a:r>
            <a:endParaRPr lang="en-US" sz="3000" b="1"/>
          </a:p>
        </c:rich>
      </c:tx>
      <c:overlay val="0"/>
      <c:spPr>
        <a:noFill/>
        <a:ln>
          <a:noFill/>
        </a:ln>
        <a:effectLst/>
      </c:spPr>
      <c:txPr>
        <a:bodyPr rot="0" spcFirstLastPara="1" vertOverflow="ellipsis" vert="horz" wrap="square" anchor="ctr" anchorCtr="1"/>
        <a:lstStyle/>
        <a:p>
          <a:pPr>
            <a:defRPr sz="30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'SEGUIMIENTO DEL PLAN DE DESARRO'!$M$2</c:f>
              <c:strCache>
                <c:ptCount val="1"/>
                <c:pt idx="0">
                  <c:v>LOGRO (%) RESPECTO AL PROGRAMADO PARA LA VIGENCIA 2025 CORTE  JUNIO </c:v>
                </c:pt>
              </c:strCache>
            </c:strRef>
          </c:tx>
          <c:spPr>
            <a:solidFill>
              <a:srgbClr val="FFFF00"/>
            </a:solidFill>
            <a:ln>
              <a:noFill/>
            </a:ln>
            <a:effectLst/>
            <a:sp3d/>
          </c:spPr>
          <c:invertIfNegative val="0"/>
          <c:dPt>
            <c:idx val="0"/>
            <c:invertIfNegative val="0"/>
            <c:bubble3D val="0"/>
            <c:spPr>
              <a:solidFill>
                <a:srgbClr val="92D050"/>
              </a:solidFill>
              <a:ln>
                <a:noFill/>
              </a:ln>
              <a:effectLst/>
              <a:sp3d/>
            </c:spPr>
            <c:extLst>
              <c:ext xmlns:c16="http://schemas.microsoft.com/office/drawing/2014/chart" uri="{C3380CC4-5D6E-409C-BE32-E72D297353CC}">
                <c16:uniqueId val="{00000001-E3AA-49A1-B44B-0EE209BF3D41}"/>
              </c:ext>
            </c:extLst>
          </c:dPt>
          <c:dPt>
            <c:idx val="4"/>
            <c:invertIfNegative val="0"/>
            <c:bubble3D val="0"/>
            <c:spPr>
              <a:solidFill>
                <a:srgbClr val="92D050"/>
              </a:solidFill>
              <a:ln>
                <a:noFill/>
              </a:ln>
              <a:effectLst/>
              <a:sp3d/>
            </c:spPr>
            <c:extLst>
              <c:ext xmlns:c16="http://schemas.microsoft.com/office/drawing/2014/chart" uri="{C3380CC4-5D6E-409C-BE32-E72D297353CC}">
                <c16:uniqueId val="{00000005-E3AA-49A1-B44B-0EE209BF3D41}"/>
              </c:ext>
            </c:extLst>
          </c:dPt>
          <c:dPt>
            <c:idx val="5"/>
            <c:invertIfNegative val="0"/>
            <c:bubble3D val="0"/>
            <c:spPr>
              <a:solidFill>
                <a:srgbClr val="92D050"/>
              </a:solidFill>
              <a:ln>
                <a:noFill/>
              </a:ln>
              <a:effectLst/>
              <a:sp3d/>
            </c:spPr>
            <c:extLst>
              <c:ext xmlns:c16="http://schemas.microsoft.com/office/drawing/2014/chart" uri="{C3380CC4-5D6E-409C-BE32-E72D297353CC}">
                <c16:uniqueId val="{00000006-E3AA-49A1-B44B-0EE209BF3D41}"/>
              </c:ext>
            </c:extLst>
          </c:dPt>
          <c:dPt>
            <c:idx val="6"/>
            <c:invertIfNegative val="0"/>
            <c:bubble3D val="0"/>
            <c:spPr>
              <a:solidFill>
                <a:srgbClr val="92D050"/>
              </a:solidFill>
              <a:ln>
                <a:noFill/>
              </a:ln>
              <a:effectLst/>
              <a:sp3d/>
            </c:spPr>
            <c:extLst>
              <c:ext xmlns:c16="http://schemas.microsoft.com/office/drawing/2014/chart" uri="{C3380CC4-5D6E-409C-BE32-E72D297353CC}">
                <c16:uniqueId val="{00000007-E3AA-49A1-B44B-0EE209BF3D41}"/>
              </c:ext>
            </c:extLst>
          </c:dPt>
          <c:dLbls>
            <c:dLbl>
              <c:idx val="0"/>
              <c:layout>
                <c:manualLayout>
                  <c:x val="1.2033694344163659E-2"/>
                  <c:y val="-1.5625000000000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AA-49A1-B44B-0EE209BF3D41}"/>
                </c:ext>
              </c:extLst>
            </c:dLbl>
            <c:dLbl>
              <c:idx val="1"/>
              <c:layout>
                <c:manualLayout>
                  <c:x val="1.5643802647412757E-2"/>
                  <c:y val="-2.00892857142857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AA-49A1-B44B-0EE209BF3D41}"/>
                </c:ext>
              </c:extLst>
            </c:dLbl>
            <c:dLbl>
              <c:idx val="2"/>
              <c:layout>
                <c:manualLayout>
                  <c:x val="2.1660649819494584E-2"/>
                  <c:y val="-2.9017857142857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AA-49A1-B44B-0EE209BF3D41}"/>
                </c:ext>
              </c:extLst>
            </c:dLbl>
            <c:dLbl>
              <c:idx val="3"/>
              <c:layout>
                <c:manualLayout>
                  <c:x val="9.433962264150943E-3"/>
                  <c:y val="-3.3482142857142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AA-49A1-B44B-0EE209BF3D41}"/>
                </c:ext>
              </c:extLst>
            </c:dLbl>
            <c:dLbl>
              <c:idx val="4"/>
              <c:layout>
                <c:manualLayout>
                  <c:x val="1.6509433962264151E-2"/>
                  <c:y val="-1.78571428571428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AA-49A1-B44B-0EE209BF3D41}"/>
                </c:ext>
              </c:extLst>
            </c:dLbl>
            <c:dLbl>
              <c:idx val="5"/>
              <c:layout>
                <c:manualLayout>
                  <c:x val="9.433962264150943E-3"/>
                  <c:y val="-8.9285714285714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AA-49A1-B44B-0EE209BF3D41}"/>
                </c:ext>
              </c:extLst>
            </c:dLbl>
            <c:dLbl>
              <c:idx val="6"/>
              <c:layout>
                <c:manualLayout>
                  <c:x val="1.179245283018868E-2"/>
                  <c:y val="-1.7857142857142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AA-49A1-B44B-0EE209BF3D41}"/>
                </c:ext>
              </c:extLst>
            </c:dLbl>
            <c:spPr>
              <a:noFill/>
              <a:ln>
                <a:noFill/>
              </a:ln>
              <a:effectLst/>
            </c:spPr>
            <c:txPr>
              <a:bodyPr rot="0" spcFirstLastPara="1" vertOverflow="ellipsis" vert="horz" wrap="square" lIns="38100" tIns="19050" rIns="38100" bIns="19050" anchor="ctr" anchorCtr="1">
                <a:spAutoFit/>
              </a:bodyPr>
              <a:lstStyle/>
              <a:p>
                <a:pPr>
                  <a:defRPr sz="3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DESARRO'!$M$3:$M$9</c:f>
              <c:numCache>
                <c:formatCode>0.0%</c:formatCode>
                <c:ptCount val="7"/>
                <c:pt idx="0">
                  <c:v>0.37875751132781948</c:v>
                </c:pt>
                <c:pt idx="1">
                  <c:v>0.36948496991755925</c:v>
                </c:pt>
                <c:pt idx="2">
                  <c:v>0.37010960104289231</c:v>
                </c:pt>
                <c:pt idx="3">
                  <c:v>0.34213119063906233</c:v>
                </c:pt>
                <c:pt idx="4">
                  <c:v>0.38203685641776697</c:v>
                </c:pt>
                <c:pt idx="5">
                  <c:v>0.41451393143111748</c:v>
                </c:pt>
                <c:pt idx="6">
                  <c:v>0.39426851851851852</c:v>
                </c:pt>
              </c:numCache>
            </c:numRef>
          </c:val>
          <c:extLst>
            <c:ext xmlns:c16="http://schemas.microsoft.com/office/drawing/2014/chart" uri="{C3380CC4-5D6E-409C-BE32-E72D297353CC}">
              <c16:uniqueId val="{00000000-E3AA-49A1-B44B-0EE209BF3D41}"/>
            </c:ext>
          </c:extLst>
        </c:ser>
        <c:dLbls>
          <c:showLegendKey val="0"/>
          <c:showVal val="0"/>
          <c:showCatName val="0"/>
          <c:showSerName val="0"/>
          <c:showPercent val="0"/>
          <c:showBubbleSize val="0"/>
        </c:dLbls>
        <c:gapWidth val="150"/>
        <c:shape val="box"/>
        <c:axId val="862079136"/>
        <c:axId val="862080384"/>
        <c:axId val="0"/>
      </c:bar3DChart>
      <c:catAx>
        <c:axId val="8620791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500" b="0" i="0" u="none" strike="noStrike" kern="1200" baseline="0">
                <a:solidFill>
                  <a:schemeClr val="tx1">
                    <a:lumMod val="65000"/>
                    <a:lumOff val="35000"/>
                  </a:schemeClr>
                </a:solidFill>
                <a:latin typeface="+mn-lt"/>
                <a:ea typeface="+mn-ea"/>
                <a:cs typeface="+mn-cs"/>
              </a:defRPr>
            </a:pPr>
            <a:endParaRPr lang="es-CO"/>
          </a:p>
        </c:txPr>
        <c:crossAx val="862080384"/>
        <c:crosses val="autoZero"/>
        <c:auto val="1"/>
        <c:lblAlgn val="ctr"/>
        <c:lblOffset val="100"/>
        <c:noMultiLvlLbl val="0"/>
      </c:catAx>
      <c:valAx>
        <c:axId val="8620803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862079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s-CO" sz="1300" b="1" i="0" u="none" strike="noStrike" baseline="0">
                <a:effectLst/>
              </a:rPr>
              <a:t>Componente Impulsor de avance: Economía Popular y Emprendimiento. Avance ponderado corte junio de 2025</a:t>
            </a:r>
            <a:endParaRPr lang="en-US" sz="1300"/>
          </a:p>
        </c:rich>
      </c:tx>
      <c:layout>
        <c:manualLayout>
          <c:xMode val="edge"/>
          <c:yMode val="edge"/>
          <c:x val="0.1369972102942997"/>
          <c:y val="1.0666666666666666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7342543487989029E-2"/>
          <c:y val="0.22495999999999999"/>
          <c:w val="0.91492267215086631"/>
          <c:h val="0.52721048376539437"/>
        </c:manualLayout>
      </c:layout>
      <c:barChart>
        <c:barDir val="col"/>
        <c:grouping val="clustered"/>
        <c:varyColors val="0"/>
        <c:ser>
          <c:idx val="0"/>
          <c:order val="0"/>
          <c:tx>
            <c:strRef>
              <c:f>'GRAFICAS DESARROLLO ECONOMICO'!$D$52</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ECONOMICO'!$C$53:$C$57</c:f>
              <c:strCache>
                <c:ptCount val="5"/>
                <c:pt idx="0">
                  <c:v> Economía Popular y Emprendimiento
</c:v>
                </c:pt>
                <c:pt idx="1">
                  <c:v> AVANZAMOS CON CAPACIDADES EMPRENDEDORAS</c:v>
                </c:pt>
                <c:pt idx="2">
                  <c:v> AVANZAMOS PARA FORTALECER LA ECONOMÍA POPULAR Y GENERAR MEJORES INGRESOS PARA NUESTRAS FAMILIAS</c:v>
                </c:pt>
                <c:pt idx="3">
                  <c:v> FOMENTO EMPRESARIAL Y DESARROLLO SOSTENIBLE</c:v>
                </c:pt>
                <c:pt idx="4">
                  <c:v> CARTAGENA FOMENTA LA INCLUSIÓN PRODUCTIVA JUVENIL</c:v>
                </c:pt>
              </c:strCache>
            </c:strRef>
          </c:cat>
          <c:val>
            <c:numRef>
              <c:f>'GRAFICAS DESARROLLO ECONOMICO'!$D$53:$D$57</c:f>
              <c:numCache>
                <c:formatCode>0.00%</c:formatCode>
                <c:ptCount val="5"/>
                <c:pt idx="0">
                  <c:v>0.21015375</c:v>
                </c:pt>
                <c:pt idx="1">
                  <c:v>0.25624999999999998</c:v>
                </c:pt>
                <c:pt idx="2">
                  <c:v>0.22362499999999999</c:v>
                </c:pt>
                <c:pt idx="3">
                  <c:v>0</c:v>
                </c:pt>
                <c:pt idx="4">
                  <c:v>0.22607500000000003</c:v>
                </c:pt>
              </c:numCache>
            </c:numRef>
          </c:val>
          <c:extLst>
            <c:ext xmlns:c16="http://schemas.microsoft.com/office/drawing/2014/chart" uri="{C3380CC4-5D6E-409C-BE32-E72D297353CC}">
              <c16:uniqueId val="{00000000-B765-4E89-AD88-6F0841C209D3}"/>
            </c:ext>
          </c:extLst>
        </c:ser>
        <c:dLbls>
          <c:showLegendKey val="0"/>
          <c:showVal val="0"/>
          <c:showCatName val="0"/>
          <c:showSerName val="0"/>
          <c:showPercent val="0"/>
          <c:showBubbleSize val="0"/>
        </c:dLbls>
        <c:gapWidth val="219"/>
        <c:overlap val="-27"/>
        <c:axId val="429905096"/>
        <c:axId val="430641032"/>
      </c:barChart>
      <c:catAx>
        <c:axId val="429905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41032"/>
        <c:crosses val="autoZero"/>
        <c:auto val="1"/>
        <c:lblAlgn val="ctr"/>
        <c:lblOffset val="100"/>
        <c:noMultiLvlLbl val="0"/>
      </c:catAx>
      <c:valAx>
        <c:axId val="4306410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5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1" i="0" u="none" strike="noStrike" baseline="0">
                <a:effectLst/>
              </a:rPr>
              <a:t>Componente Impulsor de avance: Desarrollo Agropecuario. Avance ponderado corte  junio de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ECONOMICO'!$D$68</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ECONOMICO'!$C$69:$C$72</c:f>
              <c:strCache>
                <c:ptCount val="4"/>
                <c:pt idx="0">
                  <c:v> Desarrollo Agropecuario 
</c:v>
                </c:pt>
                <c:pt idx="1">
                  <c:v> INCLUSIÓN PRODUCTIVA Y SOCIAL DE LA AGRICULTURA CAMPESINA, FAMILIAR Y COMUNITARIA</c:v>
                </c:pt>
                <c:pt idx="2">
                  <c:v> EXTENSIÓN AGROPECUARIA, INFRAESTRUCTURA Y ACTIVOS PRODUCTIVOS PARA LA COMPETITIVIDAD AGROPECUARIA Y LA SOBERANÍA ALIMENTARIA</c:v>
                </c:pt>
                <c:pt idx="3">
                  <c:v> CARTAGENA CIUDAD DE PESCADORES</c:v>
                </c:pt>
              </c:strCache>
            </c:strRef>
          </c:cat>
          <c:val>
            <c:numRef>
              <c:f>'GRAFICAS DESARROLLO ECONOMICO'!$D$69:$D$72</c:f>
              <c:numCache>
                <c:formatCode>0.00%</c:formatCode>
                <c:ptCount val="4"/>
                <c:pt idx="0">
                  <c:v>0.27083786061052356</c:v>
                </c:pt>
                <c:pt idx="1">
                  <c:v>0.40000565930956422</c:v>
                </c:pt>
                <c:pt idx="2">
                  <c:v>0.19213654618473897</c:v>
                </c:pt>
                <c:pt idx="3">
                  <c:v>0.33749999999999997</c:v>
                </c:pt>
              </c:numCache>
            </c:numRef>
          </c:val>
          <c:extLst>
            <c:ext xmlns:c16="http://schemas.microsoft.com/office/drawing/2014/chart" uri="{C3380CC4-5D6E-409C-BE32-E72D297353CC}">
              <c16:uniqueId val="{00000000-15C6-4C28-B56D-9CBF78667EA5}"/>
            </c:ext>
          </c:extLst>
        </c:ser>
        <c:dLbls>
          <c:showLegendKey val="0"/>
          <c:showVal val="0"/>
          <c:showCatName val="0"/>
          <c:showSerName val="0"/>
          <c:showPercent val="0"/>
          <c:showBubbleSize val="0"/>
        </c:dLbls>
        <c:gapWidth val="219"/>
        <c:overlap val="-27"/>
        <c:axId val="430640640"/>
        <c:axId val="430641424"/>
      </c:barChart>
      <c:catAx>
        <c:axId val="43064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41424"/>
        <c:crosses val="autoZero"/>
        <c:auto val="1"/>
        <c:lblAlgn val="ctr"/>
        <c:lblOffset val="100"/>
        <c:noMultiLvlLbl val="0"/>
      </c:catAx>
      <c:valAx>
        <c:axId val="4306414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40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1" i="0" u="none" strike="noStrike" baseline="0">
                <a:effectLst/>
              </a:rPr>
              <a:t>Componente Impulsor de avance: Sistema Integral de Abastecimiento del Distrito. Avance ponderado corte  junio de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ECONOMICO'!$D$77</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ECONOMICO'!$C$78:$C$80</c:f>
              <c:strCache>
                <c:ptCount val="3"/>
                <c:pt idx="0">
                  <c:v>Sistema Integral de Abastecimiento del Distrito
</c:v>
                </c:pt>
                <c:pt idx="1">
                  <c:v> DESARROLLO DEL NUEVO SISTEMA DE MERCADOS DEL DISTRITO</c:v>
                </c:pt>
                <c:pt idx="2">
                  <c:v> GESTIÓN INTEGRAL DEL SISTEMA DE MERCADOS</c:v>
                </c:pt>
              </c:strCache>
            </c:strRef>
          </c:cat>
          <c:val>
            <c:numRef>
              <c:f>'GRAFICAS DESARROLLO ECONOMICO'!$D$78:$D$80</c:f>
              <c:numCache>
                <c:formatCode>0.00%</c:formatCode>
                <c:ptCount val="3"/>
                <c:pt idx="0">
                  <c:v>0.2532375</c:v>
                </c:pt>
                <c:pt idx="1">
                  <c:v>0.23833333333333331</c:v>
                </c:pt>
                <c:pt idx="2">
                  <c:v>0.29794999999999999</c:v>
                </c:pt>
              </c:numCache>
            </c:numRef>
          </c:val>
          <c:extLst>
            <c:ext xmlns:c16="http://schemas.microsoft.com/office/drawing/2014/chart" uri="{C3380CC4-5D6E-409C-BE32-E72D297353CC}">
              <c16:uniqueId val="{00000000-3C54-4F61-9031-245665C3076B}"/>
            </c:ext>
          </c:extLst>
        </c:ser>
        <c:dLbls>
          <c:showLegendKey val="0"/>
          <c:showVal val="0"/>
          <c:showCatName val="0"/>
          <c:showSerName val="0"/>
          <c:showPercent val="0"/>
          <c:showBubbleSize val="0"/>
        </c:dLbls>
        <c:gapWidth val="219"/>
        <c:overlap val="-27"/>
        <c:axId val="430635936"/>
        <c:axId val="430639856"/>
      </c:barChart>
      <c:catAx>
        <c:axId val="43063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39856"/>
        <c:crosses val="autoZero"/>
        <c:auto val="1"/>
        <c:lblAlgn val="ctr"/>
        <c:lblOffset val="100"/>
        <c:noMultiLvlLbl val="0"/>
      </c:catAx>
      <c:valAx>
        <c:axId val="430639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35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US"/>
              <a:t>AVANCE   LINEA ESTRATEGICA DESARROLLO ECONOMICO. COMPONENTES IMPULSORES DE AVANCE.  VIGENCIA 2025  CORTE </a:t>
            </a:r>
            <a:r>
              <a:rPr lang="es-CO"/>
              <a:t> JUNIO DE 2025 </a:t>
            </a:r>
            <a:endParaRPr lang="en-US"/>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ECONOMICO'!$D$87</c:f>
              <c:strCache>
                <c:ptCount val="1"/>
                <c:pt idx="0">
                  <c:v>AVANCE  PARCIAL VIGENCIA  CORTE JUNIO 2025</c:v>
                </c:pt>
              </c:strCache>
            </c:strRef>
          </c:tx>
          <c:spPr>
            <a:solidFill>
              <a:srgbClr val="FF00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4-1BD3-498C-BC59-DB211E7E96E8}"/>
              </c:ext>
            </c:extLst>
          </c:dPt>
          <c:dPt>
            <c:idx val="1"/>
            <c:invertIfNegative val="0"/>
            <c:bubble3D val="0"/>
            <c:spPr>
              <a:solidFill>
                <a:srgbClr val="FFFF00"/>
              </a:solidFill>
              <a:ln>
                <a:noFill/>
              </a:ln>
              <a:effectLst/>
            </c:spPr>
            <c:extLst>
              <c:ext xmlns:c16="http://schemas.microsoft.com/office/drawing/2014/chart" uri="{C3380CC4-5D6E-409C-BE32-E72D297353CC}">
                <c16:uniqueId val="{00000001-1BD3-498C-BC59-DB211E7E96E8}"/>
              </c:ext>
            </c:extLst>
          </c:dPt>
          <c:dPt>
            <c:idx val="2"/>
            <c:invertIfNegative val="0"/>
            <c:bubble3D val="0"/>
            <c:spPr>
              <a:solidFill>
                <a:srgbClr val="00B050"/>
              </a:solidFill>
              <a:ln>
                <a:noFill/>
              </a:ln>
              <a:effectLst/>
            </c:spPr>
            <c:extLst>
              <c:ext xmlns:c16="http://schemas.microsoft.com/office/drawing/2014/chart" uri="{C3380CC4-5D6E-409C-BE32-E72D297353CC}">
                <c16:uniqueId val="{00000002-1BD3-498C-BC59-DB211E7E96E8}"/>
              </c:ext>
            </c:extLst>
          </c:dPt>
          <c:dPt>
            <c:idx val="3"/>
            <c:invertIfNegative val="0"/>
            <c:bubble3D val="0"/>
            <c:spPr>
              <a:solidFill>
                <a:srgbClr val="92D050"/>
              </a:solidFill>
              <a:ln>
                <a:noFill/>
              </a:ln>
              <a:effectLst/>
            </c:spPr>
            <c:extLst>
              <c:ext xmlns:c16="http://schemas.microsoft.com/office/drawing/2014/chart" uri="{C3380CC4-5D6E-409C-BE32-E72D297353CC}">
                <c16:uniqueId val="{00000006-1BD3-498C-BC59-DB211E7E96E8}"/>
              </c:ext>
            </c:extLst>
          </c:dPt>
          <c:dPt>
            <c:idx val="4"/>
            <c:invertIfNegative val="0"/>
            <c:bubble3D val="0"/>
            <c:spPr>
              <a:solidFill>
                <a:srgbClr val="FFFF00"/>
              </a:solidFill>
              <a:ln>
                <a:noFill/>
              </a:ln>
              <a:effectLst/>
            </c:spPr>
            <c:extLst>
              <c:ext xmlns:c16="http://schemas.microsoft.com/office/drawing/2014/chart" uri="{C3380CC4-5D6E-409C-BE32-E72D297353CC}">
                <c16:uniqueId val="{00000008-1BD3-498C-BC59-DB211E7E96E8}"/>
              </c:ext>
            </c:extLst>
          </c:dPt>
          <c:dPt>
            <c:idx val="5"/>
            <c:invertIfNegative val="0"/>
            <c:bubble3D val="0"/>
            <c:spPr>
              <a:solidFill>
                <a:srgbClr val="FFFF00"/>
              </a:solidFill>
              <a:ln>
                <a:noFill/>
              </a:ln>
              <a:effectLst/>
            </c:spPr>
            <c:extLst>
              <c:ext xmlns:c16="http://schemas.microsoft.com/office/drawing/2014/chart" uri="{C3380CC4-5D6E-409C-BE32-E72D297353CC}">
                <c16:uniqueId val="{00000009-1BD3-498C-BC59-DB211E7E96E8}"/>
              </c:ext>
            </c:extLst>
          </c:dPt>
          <c:dPt>
            <c:idx val="6"/>
            <c:invertIfNegative val="0"/>
            <c:bubble3D val="0"/>
            <c:spPr>
              <a:solidFill>
                <a:srgbClr val="92D050"/>
              </a:solidFill>
              <a:ln>
                <a:noFill/>
              </a:ln>
              <a:effectLst/>
            </c:spPr>
            <c:extLst>
              <c:ext xmlns:c16="http://schemas.microsoft.com/office/drawing/2014/chart" uri="{C3380CC4-5D6E-409C-BE32-E72D297353CC}">
                <c16:uniqueId val="{0000000C-1BD3-498C-BC59-DB211E7E96E8}"/>
              </c:ext>
            </c:extLst>
          </c:dPt>
          <c:dPt>
            <c:idx val="7"/>
            <c:invertIfNegative val="0"/>
            <c:bubble3D val="0"/>
            <c:spPr>
              <a:solidFill>
                <a:srgbClr val="FF7C80"/>
              </a:solidFill>
              <a:ln>
                <a:noFill/>
              </a:ln>
              <a:effectLst/>
            </c:spPr>
            <c:extLst>
              <c:ext xmlns:c16="http://schemas.microsoft.com/office/drawing/2014/chart" uri="{C3380CC4-5D6E-409C-BE32-E72D297353CC}">
                <c16:uniqueId val="{00000003-1BD3-498C-BC59-DB211E7E96E8}"/>
              </c:ext>
            </c:extLst>
          </c:dPt>
          <c:dLbls>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ECONOMICO'!$C$88:$C$95</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ECONOMICO'!$D$88:$D$95</c:f>
              <c:numCache>
                <c:formatCode>0.0%</c:formatCode>
                <c:ptCount val="8"/>
                <c:pt idx="0">
                  <c:v>0.34213119063906233</c:v>
                </c:pt>
                <c:pt idx="1">
                  <c:v>0.3208333333333333</c:v>
                </c:pt>
                <c:pt idx="2">
                  <c:v>0.54458333333333331</c:v>
                </c:pt>
                <c:pt idx="3">
                  <c:v>0.38546365914786967</c:v>
                </c:pt>
                <c:pt idx="4">
                  <c:v>0.25217032967032971</c:v>
                </c:pt>
                <c:pt idx="5">
                  <c:v>0.29987720959595959</c:v>
                </c:pt>
                <c:pt idx="6">
                  <c:v>0.43699046939261071</c:v>
                </c:pt>
                <c:pt idx="7">
                  <c:v>0.155</c:v>
                </c:pt>
              </c:numCache>
            </c:numRef>
          </c:val>
          <c:extLst>
            <c:ext xmlns:c16="http://schemas.microsoft.com/office/drawing/2014/chart" uri="{C3380CC4-5D6E-409C-BE32-E72D297353CC}">
              <c16:uniqueId val="{00000000-1BD3-498C-BC59-DB211E7E96E8}"/>
            </c:ext>
          </c:extLst>
        </c:ser>
        <c:dLbls>
          <c:showLegendKey val="0"/>
          <c:showVal val="0"/>
          <c:showCatName val="0"/>
          <c:showSerName val="0"/>
          <c:showPercent val="0"/>
          <c:showBubbleSize val="0"/>
        </c:dLbls>
        <c:gapWidth val="219"/>
        <c:overlap val="-27"/>
        <c:axId val="430636720"/>
        <c:axId val="430637112"/>
      </c:barChart>
      <c:catAx>
        <c:axId val="43063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0637112"/>
        <c:crosses val="autoZero"/>
        <c:auto val="1"/>
        <c:lblAlgn val="ctr"/>
        <c:lblOffset val="100"/>
        <c:noMultiLvlLbl val="0"/>
      </c:catAx>
      <c:valAx>
        <c:axId val="430637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0636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IMPULSOR DE AVANCE: DIVERSIFICACIÓN ECONOMICA.  PROGRAMAS. CORTE </a:t>
            </a:r>
            <a:r>
              <a:rPr lang="es-CO" sz="1200" b="1" i="0" u="none" strike="noStrike" baseline="0">
                <a:effectLst/>
              </a:rPr>
              <a:t> JUNIO DE 2025 </a:t>
            </a:r>
            <a:endParaRPr lang="en-US"/>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ECONOMICO'!$E$37</c:f>
              <c:strCache>
                <c:ptCount val="1"/>
                <c:pt idx="0">
                  <c:v>AVANCE CUATRIENIO IMPULSOR DE AVANCE: DIVERSIFICACIÓN ECONOMICA. CORTE JUNIO 2025</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D05E-4BEF-A25E-CC21F9DACC82}"/>
              </c:ext>
            </c:extLst>
          </c:dPt>
          <c:dPt>
            <c:idx val="2"/>
            <c:invertIfNegative val="0"/>
            <c:bubble3D val="0"/>
            <c:spPr>
              <a:solidFill>
                <a:srgbClr val="92D050"/>
              </a:solidFill>
              <a:ln>
                <a:noFill/>
              </a:ln>
              <a:effectLst/>
            </c:spPr>
            <c:extLst>
              <c:ext xmlns:c16="http://schemas.microsoft.com/office/drawing/2014/chart" uri="{C3380CC4-5D6E-409C-BE32-E72D297353CC}">
                <c16:uniqueId val="{00000003-FEC8-41A9-8BD4-30B4BCFFDE2C}"/>
              </c:ext>
            </c:extLst>
          </c:dPt>
          <c:dPt>
            <c:idx val="3"/>
            <c:invertIfNegative val="0"/>
            <c:bubble3D val="0"/>
            <c:spPr>
              <a:solidFill>
                <a:srgbClr val="FFFF00"/>
              </a:solidFill>
              <a:ln>
                <a:noFill/>
              </a:ln>
              <a:effectLst/>
            </c:spPr>
            <c:extLst>
              <c:ext xmlns:c16="http://schemas.microsoft.com/office/drawing/2014/chart" uri="{C3380CC4-5D6E-409C-BE32-E72D297353CC}">
                <c16:uniqueId val="{00000004-026F-44DF-8144-F1FBD74FC99A}"/>
              </c:ext>
            </c:extLst>
          </c:dPt>
          <c:dPt>
            <c:idx val="4"/>
            <c:invertIfNegative val="0"/>
            <c:bubble3D val="0"/>
            <c:spPr>
              <a:solidFill>
                <a:srgbClr val="FFFF00"/>
              </a:solidFill>
              <a:ln>
                <a:noFill/>
              </a:ln>
              <a:effectLst/>
            </c:spPr>
            <c:extLst>
              <c:ext xmlns:c16="http://schemas.microsoft.com/office/drawing/2014/chart" uri="{C3380CC4-5D6E-409C-BE32-E72D297353CC}">
                <c16:uniqueId val="{00000007-026F-44DF-8144-F1FBD74FC99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ECONOMICO'!$C$38:$C$42</c:f>
              <c:strCache>
                <c:ptCount val="5"/>
                <c:pt idx="0">
                  <c:v> Diversificación Económica
</c:v>
                </c:pt>
                <c:pt idx="1">
                  <c:v> UNIDOS POR LA DIVERSIFICACIÓN ECONÓMICA Y EL DESARROLLO EMPRESARIAL</c:v>
                </c:pt>
                <c:pt idx="2">
                  <c:v> COOPERACIÓN PARA AVANZAR</c:v>
                </c:pt>
                <c:pt idx="3">
                  <c:v> ECONOMÍA CIRCULAR Y NEGOCIOS VERDES</c:v>
                </c:pt>
                <c:pt idx="4">
                  <c:v> TRANSFORMACIÓN PRODUCTIVA</c:v>
                </c:pt>
              </c:strCache>
            </c:strRef>
          </c:cat>
          <c:val>
            <c:numRef>
              <c:f>'GRAFICAS DESARROLLO ECONOMICO'!$E$38:$E$42</c:f>
              <c:numCache>
                <c:formatCode>0.0%</c:formatCode>
                <c:ptCount val="5"/>
                <c:pt idx="0">
                  <c:v>0.46802194656488555</c:v>
                </c:pt>
                <c:pt idx="1">
                  <c:v>0.71250000000000002</c:v>
                </c:pt>
                <c:pt idx="2">
                  <c:v>0.40858778625954201</c:v>
                </c:pt>
                <c:pt idx="3">
                  <c:v>0.45100000000000001</c:v>
                </c:pt>
                <c:pt idx="4">
                  <c:v>0.3</c:v>
                </c:pt>
              </c:numCache>
            </c:numRef>
          </c:val>
          <c:extLst>
            <c:ext xmlns:c16="http://schemas.microsoft.com/office/drawing/2014/chart" uri="{C3380CC4-5D6E-409C-BE32-E72D297353CC}">
              <c16:uniqueId val="{00000000-D05E-4BEF-A25E-CC21F9DACC82}"/>
            </c:ext>
          </c:extLst>
        </c:ser>
        <c:dLbls>
          <c:showLegendKey val="0"/>
          <c:showVal val="0"/>
          <c:showCatName val="0"/>
          <c:showSerName val="0"/>
          <c:showPercent val="0"/>
          <c:showBubbleSize val="0"/>
        </c:dLbls>
        <c:gapWidth val="219"/>
        <c:overlap val="-27"/>
        <c:axId val="430641816"/>
        <c:axId val="430637504"/>
      </c:barChart>
      <c:catAx>
        <c:axId val="430641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637504"/>
        <c:crosses val="autoZero"/>
        <c:auto val="1"/>
        <c:lblAlgn val="ctr"/>
        <c:lblOffset val="100"/>
        <c:noMultiLvlLbl val="0"/>
      </c:catAx>
      <c:valAx>
        <c:axId val="430637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641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TRABAJO DECENTE Y CIERRE DE BRECHAS. PROGRAMAS.</a:t>
            </a:r>
            <a:r>
              <a:rPr lang="en-US" baseline="0"/>
              <a:t> </a:t>
            </a:r>
            <a:r>
              <a:rPr lang="en-US"/>
              <a:t> CORTE </a:t>
            </a:r>
            <a:r>
              <a:rPr lang="es-CO" sz="1400" b="1" i="0" u="none" strike="noStrike" baseline="0">
                <a:effectLst/>
              </a:rPr>
              <a:t> JUNIO DE 2025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ECONOMICO'!$E$44</c:f>
              <c:strCache>
                <c:ptCount val="1"/>
                <c:pt idx="0">
                  <c:v>AVANCE CUATRIENIO IMPULSOR DE AVANCE: TRABAJO DECENTE Y CIERRE DE BRECHAS. CORTE JUNIO 2025</c:v>
                </c:pt>
              </c:strCache>
            </c:strRef>
          </c:tx>
          <c:spPr>
            <a:solidFill>
              <a:srgbClr val="FFFF00"/>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F01B-46CA-973F-721BE79685A6}"/>
              </c:ext>
            </c:extLst>
          </c:dPt>
          <c:dPt>
            <c:idx val="1"/>
            <c:invertIfNegative val="0"/>
            <c:bubble3D val="0"/>
            <c:spPr>
              <a:solidFill>
                <a:srgbClr val="FF7C80"/>
              </a:solidFill>
              <a:ln>
                <a:noFill/>
              </a:ln>
              <a:effectLst/>
            </c:spPr>
            <c:extLst>
              <c:ext xmlns:c16="http://schemas.microsoft.com/office/drawing/2014/chart" uri="{C3380CC4-5D6E-409C-BE32-E72D297353CC}">
                <c16:uniqueId val="{00000003-7DB3-4CD1-8BD6-E5B2D96DCAB5}"/>
              </c:ext>
            </c:extLst>
          </c:dPt>
          <c:dPt>
            <c:idx val="2"/>
            <c:invertIfNegative val="0"/>
            <c:bubble3D val="0"/>
            <c:spPr>
              <a:solidFill>
                <a:srgbClr val="00B050"/>
              </a:solidFill>
              <a:ln>
                <a:noFill/>
              </a:ln>
              <a:effectLst/>
            </c:spPr>
            <c:extLst>
              <c:ext xmlns:c16="http://schemas.microsoft.com/office/drawing/2014/chart" uri="{C3380CC4-5D6E-409C-BE32-E72D297353CC}">
                <c16:uniqueId val="{00000009-DC91-48A1-A33E-B229E7DD1EAB}"/>
              </c:ext>
            </c:extLst>
          </c:dPt>
          <c:dPt>
            <c:idx val="3"/>
            <c:invertIfNegative val="0"/>
            <c:bubble3D val="0"/>
            <c:spPr>
              <a:solidFill>
                <a:srgbClr val="00B050"/>
              </a:solidFill>
              <a:ln>
                <a:noFill/>
              </a:ln>
              <a:effectLst/>
            </c:spPr>
            <c:extLst>
              <c:ext xmlns:c16="http://schemas.microsoft.com/office/drawing/2014/chart" uri="{C3380CC4-5D6E-409C-BE32-E72D297353CC}">
                <c16:uniqueId val="{0000000D-DC91-48A1-A33E-B229E7DD1EA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ECONOMICO'!$C$45:$C$48</c:f>
              <c:strCache>
                <c:ptCount val="4"/>
                <c:pt idx="0">
                  <c:v> Trabajo Decente y Cierre de Brechas Laborales
</c:v>
                </c:pt>
                <c:pt idx="1">
                  <c:v> EMPLEO Y CAPITAL HUMANO</c:v>
                </c:pt>
                <c:pt idx="2">
                  <c:v> MI PRIMERA CHAMBA</c:v>
                </c:pt>
                <c:pt idx="3">
                  <c:v> DERECHO AL TRABAJO EN CONDICIONES DE IGUALDAD Y DIGNIDAD PARA LA MUJER</c:v>
                </c:pt>
              </c:strCache>
            </c:strRef>
          </c:cat>
          <c:val>
            <c:numRef>
              <c:f>'GRAFICAS DESARROLLO ECONOMICO'!$E$45:$E$48</c:f>
              <c:numCache>
                <c:formatCode>0.0%</c:formatCode>
                <c:ptCount val="4"/>
                <c:pt idx="0">
                  <c:v>0.37620128205128206</c:v>
                </c:pt>
                <c:pt idx="1">
                  <c:v>0.16369999999999998</c:v>
                </c:pt>
                <c:pt idx="2">
                  <c:v>0.48875000000000002</c:v>
                </c:pt>
                <c:pt idx="3">
                  <c:v>0.47615384615384615</c:v>
                </c:pt>
              </c:numCache>
            </c:numRef>
          </c:val>
          <c:extLst>
            <c:ext xmlns:c16="http://schemas.microsoft.com/office/drawing/2014/chart" uri="{C3380CC4-5D6E-409C-BE32-E72D297353CC}">
              <c16:uniqueId val="{00000000-F01B-46CA-973F-721BE79685A6}"/>
            </c:ext>
          </c:extLst>
        </c:ser>
        <c:dLbls>
          <c:showLegendKey val="0"/>
          <c:showVal val="0"/>
          <c:showCatName val="0"/>
          <c:showSerName val="0"/>
          <c:showPercent val="0"/>
          <c:showBubbleSize val="0"/>
        </c:dLbls>
        <c:gapWidth val="219"/>
        <c:overlap val="-27"/>
        <c:axId val="430638288"/>
        <c:axId val="430634368"/>
      </c:barChart>
      <c:catAx>
        <c:axId val="43063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634368"/>
        <c:crosses val="autoZero"/>
        <c:auto val="1"/>
        <c:lblAlgn val="ctr"/>
        <c:lblOffset val="100"/>
        <c:noMultiLvlLbl val="0"/>
      </c:catAx>
      <c:valAx>
        <c:axId val="4306343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63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ECONOMÍA POPULAR Y EMPRENDIMIENTO. PROGRAMAS. CORTE </a:t>
            </a:r>
            <a:r>
              <a:rPr lang="es-CO" sz="1400" b="1" i="0" u="none" strike="noStrike" baseline="0">
                <a:effectLst/>
              </a:rPr>
              <a:t> JUNIO DE 2025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ECONOMICO'!$E$52</c:f>
              <c:strCache>
                <c:ptCount val="1"/>
                <c:pt idx="0">
                  <c:v>AVANCE CUATRIENIO IMPULSOR DE AVANCE: ECONOMÍA POPULAR Y EMPRENDIMIENTO. CORTE JUNIO 2025</c:v>
                </c:pt>
              </c:strCache>
            </c:strRef>
          </c:tx>
          <c:spPr>
            <a:solidFill>
              <a:srgbClr val="FF0000"/>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1-E083-4793-AB7A-0936F2F81E39}"/>
              </c:ext>
            </c:extLst>
          </c:dPt>
          <c:dPt>
            <c:idx val="1"/>
            <c:invertIfNegative val="0"/>
            <c:bubble3D val="0"/>
            <c:spPr>
              <a:solidFill>
                <a:srgbClr val="FFFF00"/>
              </a:solidFill>
              <a:ln>
                <a:noFill/>
              </a:ln>
              <a:effectLst/>
            </c:spPr>
            <c:extLst>
              <c:ext xmlns:c16="http://schemas.microsoft.com/office/drawing/2014/chart" uri="{C3380CC4-5D6E-409C-BE32-E72D297353CC}">
                <c16:uniqueId val="{00000003-5FE9-42B2-B92F-723C0149AF76}"/>
              </c:ext>
            </c:extLst>
          </c:dPt>
          <c:dPt>
            <c:idx val="2"/>
            <c:invertIfNegative val="0"/>
            <c:bubble3D val="0"/>
            <c:spPr>
              <a:solidFill>
                <a:srgbClr val="FF0000"/>
              </a:solidFill>
              <a:ln>
                <a:noFill/>
              </a:ln>
              <a:effectLst/>
            </c:spPr>
            <c:extLst>
              <c:ext xmlns:c16="http://schemas.microsoft.com/office/drawing/2014/chart" uri="{C3380CC4-5D6E-409C-BE32-E72D297353CC}">
                <c16:uniqueId val="{00000005-2B42-4E23-A6F8-027ECDF074C7}"/>
              </c:ext>
            </c:extLst>
          </c:dPt>
          <c:dPt>
            <c:idx val="4"/>
            <c:invertIfNegative val="0"/>
            <c:bubble3D val="0"/>
            <c:spPr>
              <a:solidFill>
                <a:srgbClr val="FFFF00"/>
              </a:solidFill>
              <a:ln>
                <a:noFill/>
              </a:ln>
              <a:effectLst/>
            </c:spPr>
            <c:extLst>
              <c:ext xmlns:c16="http://schemas.microsoft.com/office/drawing/2014/chart" uri="{C3380CC4-5D6E-409C-BE32-E72D297353CC}">
                <c16:uniqueId val="{00000006-6566-4409-92D8-A5C0C4337B3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ECONOMICO'!$C$53:$C$57</c:f>
              <c:strCache>
                <c:ptCount val="5"/>
                <c:pt idx="0">
                  <c:v> Economía Popular y Emprendimiento
</c:v>
                </c:pt>
                <c:pt idx="1">
                  <c:v> AVANZAMOS CON CAPACIDADES EMPRENDEDORAS</c:v>
                </c:pt>
                <c:pt idx="2">
                  <c:v> AVANZAMOS PARA FORTALECER LA ECONOMÍA POPULAR Y GENERAR MEJORES INGRESOS PARA NUESTRAS FAMILIAS</c:v>
                </c:pt>
                <c:pt idx="3">
                  <c:v> FOMENTO EMPRESARIAL Y DESARROLLO SOSTENIBLE</c:v>
                </c:pt>
                <c:pt idx="4">
                  <c:v> CARTAGENA FOMENTA LA INCLUSIÓN PRODUCTIVA JUVENIL</c:v>
                </c:pt>
              </c:strCache>
            </c:strRef>
          </c:cat>
          <c:val>
            <c:numRef>
              <c:f>'GRAFICAS DESARROLLO ECONOMICO'!$E$53:$E$57</c:f>
              <c:numCache>
                <c:formatCode>0.0%</c:formatCode>
                <c:ptCount val="5"/>
                <c:pt idx="0">
                  <c:v>0.17904687499999999</c:v>
                </c:pt>
                <c:pt idx="1">
                  <c:v>0.27250000000000002</c:v>
                </c:pt>
                <c:pt idx="2">
                  <c:v>0.1118125</c:v>
                </c:pt>
                <c:pt idx="3">
                  <c:v>0</c:v>
                </c:pt>
                <c:pt idx="4">
                  <c:v>0.33187500000000003</c:v>
                </c:pt>
              </c:numCache>
            </c:numRef>
          </c:val>
          <c:extLst>
            <c:ext xmlns:c16="http://schemas.microsoft.com/office/drawing/2014/chart" uri="{C3380CC4-5D6E-409C-BE32-E72D297353CC}">
              <c16:uniqueId val="{00000000-E083-4793-AB7A-0936F2F81E39}"/>
            </c:ext>
          </c:extLst>
        </c:ser>
        <c:dLbls>
          <c:showLegendKey val="0"/>
          <c:showVal val="0"/>
          <c:showCatName val="0"/>
          <c:showSerName val="0"/>
          <c:showPercent val="0"/>
          <c:showBubbleSize val="0"/>
        </c:dLbls>
        <c:gapWidth val="219"/>
        <c:overlap val="-27"/>
        <c:axId val="430638680"/>
        <c:axId val="430639072"/>
      </c:barChart>
      <c:catAx>
        <c:axId val="430638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639072"/>
        <c:crosses val="autoZero"/>
        <c:auto val="1"/>
        <c:lblAlgn val="ctr"/>
        <c:lblOffset val="100"/>
        <c:noMultiLvlLbl val="0"/>
      </c:catAx>
      <c:valAx>
        <c:axId val="4306390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638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DESARROLLO AGROPECUARIO. PROGRAMAS. CORTE </a:t>
            </a:r>
            <a:r>
              <a:rPr lang="es-CO" sz="1400" b="1" i="0" u="none" strike="noStrike" baseline="0">
                <a:effectLst/>
              </a:rPr>
              <a:t> JUNIO DE 2025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ECONOMICO'!$E$68</c:f>
              <c:strCache>
                <c:ptCount val="1"/>
                <c:pt idx="0">
                  <c:v>AVANCE CUATRIENIO IMPULSOR DE AVANCE: DESARROLLO AGROPECUARIO. CORTE JUNIO 2025</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4E2F-4CDE-AE4A-1582419D4603}"/>
              </c:ext>
            </c:extLst>
          </c:dPt>
          <c:dPt>
            <c:idx val="1"/>
            <c:invertIfNegative val="0"/>
            <c:bubble3D val="0"/>
            <c:spPr>
              <a:solidFill>
                <a:srgbClr val="92D050"/>
              </a:solidFill>
              <a:ln>
                <a:noFill/>
              </a:ln>
              <a:effectLst/>
            </c:spPr>
            <c:extLst>
              <c:ext xmlns:c16="http://schemas.microsoft.com/office/drawing/2014/chart" uri="{C3380CC4-5D6E-409C-BE32-E72D297353CC}">
                <c16:uniqueId val="{00000007-EE3C-41D1-9CE8-34500446DA29}"/>
              </c:ext>
            </c:extLst>
          </c:dPt>
          <c:dPt>
            <c:idx val="2"/>
            <c:invertIfNegative val="0"/>
            <c:bubble3D val="0"/>
            <c:spPr>
              <a:solidFill>
                <a:srgbClr val="FF7C80"/>
              </a:solidFill>
              <a:ln>
                <a:noFill/>
              </a:ln>
              <a:effectLst/>
            </c:spPr>
            <c:extLst>
              <c:ext xmlns:c16="http://schemas.microsoft.com/office/drawing/2014/chart" uri="{C3380CC4-5D6E-409C-BE32-E72D297353CC}">
                <c16:uniqueId val="{00000004-EE3C-41D1-9CE8-34500446DA29}"/>
              </c:ext>
            </c:extLst>
          </c:dPt>
          <c:dPt>
            <c:idx val="3"/>
            <c:invertIfNegative val="0"/>
            <c:bubble3D val="0"/>
            <c:spPr>
              <a:solidFill>
                <a:srgbClr val="FFFF00"/>
              </a:solidFill>
              <a:ln>
                <a:noFill/>
              </a:ln>
              <a:effectLst/>
            </c:spPr>
            <c:extLst>
              <c:ext xmlns:c16="http://schemas.microsoft.com/office/drawing/2014/chart" uri="{C3380CC4-5D6E-409C-BE32-E72D297353CC}">
                <c16:uniqueId val="{00000006-EE3C-41D1-9CE8-34500446DA2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ECONOMICO'!$C$69:$C$72</c:f>
              <c:strCache>
                <c:ptCount val="4"/>
                <c:pt idx="0">
                  <c:v> Desarrollo Agropecuario 
</c:v>
                </c:pt>
                <c:pt idx="1">
                  <c:v> INCLUSIÓN PRODUCTIVA Y SOCIAL DE LA AGRICULTURA CAMPESINA, FAMILIAR Y COMUNITARIA</c:v>
                </c:pt>
                <c:pt idx="2">
                  <c:v> EXTENSIÓN AGROPECUARIA, INFRAESTRUCTURA Y ACTIVOS PRODUCTIVOS PARA LA COMPETITIVIDAD AGROPECUARIA Y LA SOBERANÍA ALIMENTARIA</c:v>
                </c:pt>
                <c:pt idx="3">
                  <c:v> CARTAGENA CIUDAD DE PESCADORES</c:v>
                </c:pt>
              </c:strCache>
            </c:strRef>
          </c:cat>
          <c:val>
            <c:numRef>
              <c:f>'GRAFICAS DESARROLLO ECONOMICO'!$E$69:$E$72</c:f>
              <c:numCache>
                <c:formatCode>0.0%</c:formatCode>
                <c:ptCount val="4"/>
                <c:pt idx="0">
                  <c:v>0.28886778775222194</c:v>
                </c:pt>
                <c:pt idx="1">
                  <c:v>0.40000565930956428</c:v>
                </c:pt>
                <c:pt idx="2">
                  <c:v>0.21659770394710151</c:v>
                </c:pt>
                <c:pt idx="3">
                  <c:v>0.25</c:v>
                </c:pt>
              </c:numCache>
            </c:numRef>
          </c:val>
          <c:extLst>
            <c:ext xmlns:c16="http://schemas.microsoft.com/office/drawing/2014/chart" uri="{C3380CC4-5D6E-409C-BE32-E72D297353CC}">
              <c16:uniqueId val="{00000000-4E2F-4CDE-AE4A-1582419D4603}"/>
            </c:ext>
          </c:extLst>
        </c:ser>
        <c:dLbls>
          <c:showLegendKey val="0"/>
          <c:showVal val="0"/>
          <c:showCatName val="0"/>
          <c:showSerName val="0"/>
          <c:showPercent val="0"/>
          <c:showBubbleSize val="0"/>
        </c:dLbls>
        <c:gapWidth val="219"/>
        <c:overlap val="-27"/>
        <c:axId val="430550160"/>
        <c:axId val="430550944"/>
      </c:barChart>
      <c:catAx>
        <c:axId val="43055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550944"/>
        <c:crosses val="autoZero"/>
        <c:auto val="1"/>
        <c:lblAlgn val="ctr"/>
        <c:lblOffset val="100"/>
        <c:noMultiLvlLbl val="0"/>
      </c:catAx>
      <c:valAx>
        <c:axId val="4305509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50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ESTRATÉGICA DESARROLLO ECONOMICO. COMPARATIVO DICIEMBRE  DE  2024 - JUNIO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ECONOMICO'!$D$4</c:f>
              <c:strCache>
                <c:ptCount val="1"/>
                <c:pt idx="0">
                  <c:v>ESPERADO  AL CUATRIENIO CORTE DICIEMBRE 2025</c:v>
                </c:pt>
              </c:strCache>
            </c:strRef>
          </c:tx>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ECONOMICO'!$D$5:$D$12</c:f>
              <c:numCache>
                <c:formatCode>0.0%</c:formatCode>
                <c:ptCount val="8"/>
                <c:pt idx="0">
                  <c:v>0.57363332332876349</c:v>
                </c:pt>
                <c:pt idx="1">
                  <c:v>0.65333333333333332</c:v>
                </c:pt>
                <c:pt idx="2">
                  <c:v>0.57802777777777781</c:v>
                </c:pt>
                <c:pt idx="3">
                  <c:v>0.44333803418803419</c:v>
                </c:pt>
                <c:pt idx="4">
                  <c:v>0.51649999999999996</c:v>
                </c:pt>
                <c:pt idx="5">
                  <c:v>0.6744342025757889</c:v>
                </c:pt>
                <c:pt idx="6">
                  <c:v>0.58398769273582618</c:v>
                </c:pt>
                <c:pt idx="7">
                  <c:v>0.5658122226905844</c:v>
                </c:pt>
              </c:numCache>
            </c:numRef>
          </c:val>
          <c:extLst>
            <c:ext xmlns:c16="http://schemas.microsoft.com/office/drawing/2014/chart" uri="{C3380CC4-5D6E-409C-BE32-E72D297353CC}">
              <c16:uniqueId val="{00000000-C894-4C9D-A53F-9B1304CE9BDD}"/>
            </c:ext>
          </c:extLst>
        </c:ser>
        <c:ser>
          <c:idx val="1"/>
          <c:order val="1"/>
          <c:tx>
            <c:strRef>
              <c:f>'GRAFICAS DESARROLLO ECONOMICO'!$E$4</c:f>
              <c:strCache>
                <c:ptCount val="1"/>
                <c:pt idx="0">
                  <c:v>LOGRO VIGENCIA  CORTE JUNIO 2025 RESPECTO AL CUATRIENIO</c:v>
                </c:pt>
              </c:strCache>
            </c:strRef>
          </c:tx>
          <c:spPr>
            <a:solidFill>
              <a:srgbClr val="FFFF00"/>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A-C0BA-40B2-9663-33ACE4B1D134}"/>
              </c:ext>
            </c:extLst>
          </c:dPt>
          <c:dPt>
            <c:idx val="2"/>
            <c:invertIfNegative val="0"/>
            <c:bubble3D val="0"/>
            <c:spPr>
              <a:solidFill>
                <a:srgbClr val="00B050"/>
              </a:solidFill>
              <a:ln>
                <a:noFill/>
              </a:ln>
              <a:effectLst/>
            </c:spPr>
            <c:extLst>
              <c:ext xmlns:c16="http://schemas.microsoft.com/office/drawing/2014/chart" uri="{C3380CC4-5D6E-409C-BE32-E72D297353CC}">
                <c16:uniqueId val="{00000009-B6A6-4C90-ABED-FE86DD58B698}"/>
              </c:ext>
            </c:extLst>
          </c:dPt>
          <c:dPt>
            <c:idx val="3"/>
            <c:invertIfNegative val="0"/>
            <c:bubble3D val="0"/>
            <c:spPr>
              <a:solidFill>
                <a:srgbClr val="92D050"/>
              </a:solidFill>
              <a:ln>
                <a:noFill/>
              </a:ln>
              <a:effectLst/>
            </c:spPr>
            <c:extLst>
              <c:ext xmlns:c16="http://schemas.microsoft.com/office/drawing/2014/chart" uri="{C3380CC4-5D6E-409C-BE32-E72D297353CC}">
                <c16:uniqueId val="{0000000A-78FE-47AC-9C17-3B63D07B865D}"/>
              </c:ext>
            </c:extLst>
          </c:dPt>
          <c:dPt>
            <c:idx val="4"/>
            <c:invertIfNegative val="0"/>
            <c:bubble3D val="0"/>
            <c:spPr>
              <a:solidFill>
                <a:srgbClr val="FF7C80"/>
              </a:solidFill>
              <a:ln>
                <a:noFill/>
              </a:ln>
              <a:effectLst/>
            </c:spPr>
            <c:extLst>
              <c:ext xmlns:c16="http://schemas.microsoft.com/office/drawing/2014/chart" uri="{C3380CC4-5D6E-409C-BE32-E72D297353CC}">
                <c16:uniqueId val="{00000004-081E-4BF4-A474-BCF318852FA6}"/>
              </c:ext>
            </c:extLst>
          </c:dPt>
          <c:dPt>
            <c:idx val="5"/>
            <c:invertIfNegative val="0"/>
            <c:bubble3D val="0"/>
            <c:spPr>
              <a:solidFill>
                <a:srgbClr val="FFFF00"/>
              </a:solidFill>
              <a:ln>
                <a:noFill/>
              </a:ln>
              <a:effectLst/>
            </c:spPr>
            <c:extLst>
              <c:ext xmlns:c16="http://schemas.microsoft.com/office/drawing/2014/chart" uri="{C3380CC4-5D6E-409C-BE32-E72D297353CC}">
                <c16:uniqueId val="{00000005-081E-4BF4-A474-BCF318852FA6}"/>
              </c:ext>
            </c:extLst>
          </c:dPt>
          <c:dPt>
            <c:idx val="6"/>
            <c:invertIfNegative val="0"/>
            <c:bubble3D val="0"/>
            <c:spPr>
              <a:solidFill>
                <a:srgbClr val="FFFF00"/>
              </a:solidFill>
              <a:ln>
                <a:noFill/>
              </a:ln>
              <a:effectLst/>
            </c:spPr>
            <c:extLst>
              <c:ext xmlns:c16="http://schemas.microsoft.com/office/drawing/2014/chart" uri="{C3380CC4-5D6E-409C-BE32-E72D297353CC}">
                <c16:uniqueId val="{00000009-081E-4BF4-A474-BCF318852FA6}"/>
              </c:ext>
            </c:extLst>
          </c:dPt>
          <c:dLbls>
            <c:dLbl>
              <c:idx val="0"/>
              <c:layout>
                <c:manualLayout>
                  <c:x val="3.1959092361776927E-3"/>
                  <c:y val="-1.1075913809346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94-4C9D-A53F-9B1304CE9BDD}"/>
                </c:ext>
              </c:extLst>
            </c:dLbl>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ECONOMICO'!$E$5:$E$12</c:f>
              <c:numCache>
                <c:formatCode>0.0%</c:formatCode>
                <c:ptCount val="8"/>
                <c:pt idx="0">
                  <c:v>0.33753168969468023</c:v>
                </c:pt>
                <c:pt idx="1">
                  <c:v>0.45624999999999993</c:v>
                </c:pt>
                <c:pt idx="2">
                  <c:v>0.46802194656488555</c:v>
                </c:pt>
                <c:pt idx="3">
                  <c:v>0.37620128205128206</c:v>
                </c:pt>
                <c:pt idx="4">
                  <c:v>0.17904687499999999</c:v>
                </c:pt>
                <c:pt idx="5">
                  <c:v>0.26794331149437195</c:v>
                </c:pt>
                <c:pt idx="6">
                  <c:v>0.28886778775222194</c:v>
                </c:pt>
                <c:pt idx="7">
                  <c:v>0.28374999999999995</c:v>
                </c:pt>
              </c:numCache>
            </c:numRef>
          </c:val>
          <c:extLst>
            <c:ext xmlns:c16="http://schemas.microsoft.com/office/drawing/2014/chart" uri="{C3380CC4-5D6E-409C-BE32-E72D297353CC}">
              <c16:uniqueId val="{00000001-C894-4C9D-A53F-9B1304CE9BDD}"/>
            </c:ext>
          </c:extLst>
        </c:ser>
        <c:ser>
          <c:idx val="2"/>
          <c:order val="2"/>
          <c:tx>
            <c:strRef>
              <c:f>'GRAFICAS DESARROLLO ECONOMICO'!$F$4</c:f>
              <c:strCache>
                <c:ptCount val="1"/>
                <c:pt idx="0">
                  <c:v>LOGRO VIGENCIA  CORTE DICIEMBRE  2024 RESPECTO AL CUATRIENIO</c:v>
                </c:pt>
              </c:strCache>
            </c:strRef>
          </c:tx>
          <c:spPr>
            <a:solidFill>
              <a:srgbClr val="7030A0"/>
            </a:solidFill>
            <a:ln>
              <a:noFill/>
            </a:ln>
            <a:effectLst/>
          </c:spPr>
          <c:invertIfNegative val="0"/>
          <c:dLbls>
            <c:dLbl>
              <c:idx val="0"/>
              <c:layout>
                <c:manualLayout>
                  <c:x val="9.5877277085330784E-3"/>
                  <c:y val="-6.708057646377164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BA-40B2-9663-33ACE4B1D134}"/>
                </c:ext>
              </c:extLst>
            </c:dLbl>
            <c:dLbl>
              <c:idx val="1"/>
              <c:layout>
                <c:manualLayout>
                  <c:x val="7.9897730904442306E-3"/>
                  <c:y val="-6.708057646377164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BA-40B2-9663-33ACE4B1D134}"/>
                </c:ext>
              </c:extLst>
            </c:dLbl>
            <c:dLbl>
              <c:idx val="2"/>
              <c:layout>
                <c:manualLayout>
                  <c:x val="1.2783636944710712E-2"/>
                  <c:y val="3.6589828027808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1E-4BF4-A474-BCF318852FA6}"/>
                </c:ext>
              </c:extLst>
            </c:dLbl>
            <c:dLbl>
              <c:idx val="3"/>
              <c:layout>
                <c:manualLayout>
                  <c:x val="1.2783636944710771E-2"/>
                  <c:y val="-3.65898280278086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1E-4BF4-A474-BCF318852FA6}"/>
                </c:ext>
              </c:extLst>
            </c:dLbl>
            <c:dLbl>
              <c:idx val="5"/>
              <c:layout>
                <c:manualLayout>
                  <c:x val="7.989773090444230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BA-40B2-9663-33ACE4B1D134}"/>
                </c:ext>
              </c:extLst>
            </c:dLbl>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ECONOMICO'!$F$5:$F$12</c:f>
              <c:numCache>
                <c:formatCode>0.0%</c:formatCode>
                <c:ptCount val="8"/>
                <c:pt idx="0">
                  <c:v>0.23537004965661618</c:v>
                </c:pt>
                <c:pt idx="1">
                  <c:v>0.37</c:v>
                </c:pt>
                <c:pt idx="2">
                  <c:v>0.23097916666666671</c:v>
                </c:pt>
                <c:pt idx="3">
                  <c:v>0.28650042735042736</c:v>
                </c:pt>
                <c:pt idx="4">
                  <c:v>0.17056250000000003</c:v>
                </c:pt>
                <c:pt idx="5">
                  <c:v>0.16850000000000001</c:v>
                </c:pt>
                <c:pt idx="6">
                  <c:v>0.19428158691255218</c:v>
                </c:pt>
                <c:pt idx="7">
                  <c:v>0.22676666666666667</c:v>
                </c:pt>
              </c:numCache>
            </c:numRef>
          </c:val>
          <c:extLst>
            <c:ext xmlns:c16="http://schemas.microsoft.com/office/drawing/2014/chart" uri="{C3380CC4-5D6E-409C-BE32-E72D297353CC}">
              <c16:uniqueId val="{00000002-C894-4C9D-A53F-9B1304CE9BDD}"/>
            </c:ext>
          </c:extLst>
        </c:ser>
        <c:dLbls>
          <c:showLegendKey val="0"/>
          <c:showVal val="0"/>
          <c:showCatName val="0"/>
          <c:showSerName val="0"/>
          <c:showPercent val="0"/>
          <c:showBubbleSize val="0"/>
        </c:dLbls>
        <c:gapWidth val="219"/>
        <c:overlap val="-27"/>
        <c:axId val="430546632"/>
        <c:axId val="430547024"/>
      </c:barChart>
      <c:catAx>
        <c:axId val="43054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547024"/>
        <c:crosses val="autoZero"/>
        <c:auto val="1"/>
        <c:lblAlgn val="ctr"/>
        <c:lblOffset val="100"/>
        <c:noMultiLvlLbl val="0"/>
      </c:catAx>
      <c:valAx>
        <c:axId val="430547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46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'GRAFICAS DESARROLLO ECONOMICO'!$E$32</c:f>
              <c:strCache>
                <c:ptCount val="1"/>
                <c:pt idx="0">
                  <c:v>AVANCE CUATRIENIO IMPULSOR DE AVANCE: COMPETITIVIDAD E INNOVACIÓN. CORTE JUNIO 2025</c:v>
                </c:pt>
              </c:strCache>
            </c:strRef>
          </c:tx>
          <c:spPr>
            <a:solidFill>
              <a:schemeClr val="bg1"/>
            </a:solidFill>
            <a:ln>
              <a:noFill/>
            </a:ln>
            <a:effectLst/>
            <a:sp3d/>
          </c:spPr>
          <c:invertIfNegative val="0"/>
          <c:dPt>
            <c:idx val="0"/>
            <c:invertIfNegative val="0"/>
            <c:bubble3D val="0"/>
            <c:spPr>
              <a:solidFill>
                <a:srgbClr val="00B050"/>
              </a:solidFill>
              <a:ln>
                <a:noFill/>
              </a:ln>
              <a:effectLst/>
              <a:sp3d/>
            </c:spPr>
            <c:extLst>
              <c:ext xmlns:c16="http://schemas.microsoft.com/office/drawing/2014/chart" uri="{C3380CC4-5D6E-409C-BE32-E72D297353CC}">
                <c16:uniqueId val="{00000001-4FC7-4E61-B963-E130AB4C9B92}"/>
              </c:ext>
            </c:extLst>
          </c:dPt>
          <c:dPt>
            <c:idx val="1"/>
            <c:invertIfNegative val="0"/>
            <c:bubble3D val="0"/>
            <c:spPr>
              <a:solidFill>
                <a:srgbClr val="00B050"/>
              </a:solidFill>
              <a:ln>
                <a:noFill/>
              </a:ln>
              <a:effectLst/>
              <a:sp3d/>
            </c:spPr>
            <c:extLst>
              <c:ext xmlns:c16="http://schemas.microsoft.com/office/drawing/2014/chart" uri="{C3380CC4-5D6E-409C-BE32-E72D297353CC}">
                <c16:uniqueId val="{00000002-4FC7-4E61-B963-E130AB4C9B92}"/>
              </c:ext>
            </c:extLst>
          </c:dPt>
          <c:dPt>
            <c:idx val="2"/>
            <c:invertIfNegative val="0"/>
            <c:bubble3D val="0"/>
            <c:spPr>
              <a:solidFill>
                <a:srgbClr val="92D050"/>
              </a:solidFill>
              <a:ln>
                <a:noFill/>
              </a:ln>
              <a:effectLst/>
              <a:sp3d/>
            </c:spPr>
            <c:extLst>
              <c:ext xmlns:c16="http://schemas.microsoft.com/office/drawing/2014/chart" uri="{C3380CC4-5D6E-409C-BE32-E72D297353CC}">
                <c16:uniqueId val="{00000003-4FC7-4E61-B963-E130AB4C9B92}"/>
              </c:ext>
            </c:extLst>
          </c:dPt>
          <c:dLbls>
            <c:dLbl>
              <c:idx val="0"/>
              <c:layout>
                <c:manualLayout>
                  <c:x val="1.5618027666220438E-2"/>
                  <c:y val="-5.40540540540540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C7-4E61-B963-E130AB4C9B92}"/>
                </c:ext>
              </c:extLst>
            </c:dLbl>
            <c:dLbl>
              <c:idx val="1"/>
              <c:layout>
                <c:manualLayout>
                  <c:x val="2.3427041499330573E-2"/>
                  <c:y val="-6.006006006006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C7-4E61-B963-E130AB4C9B92}"/>
                </c:ext>
              </c:extLst>
            </c:dLbl>
            <c:dLbl>
              <c:idx val="2"/>
              <c:layout>
                <c:manualLayout>
                  <c:x val="2.0080321285140562E-2"/>
                  <c:y val="-5.705705705705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C7-4E61-B963-E130AB4C9B9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ECONOMICO'!$C$33:$C$35</c:f>
              <c:strCache>
                <c:ptCount val="3"/>
                <c:pt idx="0">
                  <c:v> Competitividad e innovación
</c:v>
                </c:pt>
                <c:pt idx="1">
                  <c:v> UNIDOS POR UNA CARTAGENA COMPETITIVA E INNOVADORA</c:v>
                </c:pt>
                <c:pt idx="2">
                  <c:v> CARTAGENA GLOBAL</c:v>
                </c:pt>
              </c:strCache>
            </c:strRef>
          </c:cat>
          <c:val>
            <c:numRef>
              <c:f>'GRAFICAS DESARROLLO ECONOMICO'!$E$33:$E$35</c:f>
              <c:numCache>
                <c:formatCode>0.0%</c:formatCode>
                <c:ptCount val="3"/>
                <c:pt idx="0">
                  <c:v>0.45624999999999993</c:v>
                </c:pt>
                <c:pt idx="1">
                  <c:v>0.52249999999999996</c:v>
                </c:pt>
                <c:pt idx="2">
                  <c:v>0.38999999999999996</c:v>
                </c:pt>
              </c:numCache>
            </c:numRef>
          </c:val>
          <c:extLst>
            <c:ext xmlns:c16="http://schemas.microsoft.com/office/drawing/2014/chart" uri="{C3380CC4-5D6E-409C-BE32-E72D297353CC}">
              <c16:uniqueId val="{00000000-4FC7-4E61-B963-E130AB4C9B92}"/>
            </c:ext>
          </c:extLst>
        </c:ser>
        <c:dLbls>
          <c:showLegendKey val="0"/>
          <c:showVal val="0"/>
          <c:showCatName val="0"/>
          <c:showSerName val="0"/>
          <c:showPercent val="0"/>
          <c:showBubbleSize val="0"/>
        </c:dLbls>
        <c:gapWidth val="150"/>
        <c:shape val="box"/>
        <c:axId val="430549768"/>
        <c:axId val="430547416"/>
        <c:axId val="0"/>
      </c:bar3DChart>
      <c:catAx>
        <c:axId val="4305497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CO"/>
          </a:p>
        </c:txPr>
        <c:crossAx val="430547416"/>
        <c:crosses val="autoZero"/>
        <c:auto val="1"/>
        <c:lblAlgn val="ctr"/>
        <c:lblOffset val="100"/>
        <c:noMultiLvlLbl val="0"/>
      </c:catAx>
      <c:valAx>
        <c:axId val="430547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549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000" b="1" i="0" u="none" strike="noStrike" kern="1200" spc="0" baseline="0">
                <a:solidFill>
                  <a:schemeClr val="tx1">
                    <a:lumMod val="65000"/>
                    <a:lumOff val="35000"/>
                  </a:schemeClr>
                </a:solidFill>
                <a:latin typeface="+mn-lt"/>
                <a:ea typeface="+mn-ea"/>
                <a:cs typeface="+mn-cs"/>
              </a:defRPr>
            </a:pPr>
            <a:r>
              <a:rPr lang="en-US"/>
              <a:t>LOGRO ALCANZADO DICIEMBRE RESPECTO AL CUATRIENIO (PONDERADOR) 2025. CORTE</a:t>
            </a:r>
            <a:r>
              <a:rPr lang="en-US" baseline="0"/>
              <a:t> JUNIO</a:t>
            </a:r>
            <a:endParaRPr lang="en-US"/>
          </a:p>
        </c:rich>
      </c:tx>
      <c:overlay val="0"/>
      <c:spPr>
        <a:noFill/>
        <a:ln>
          <a:noFill/>
        </a:ln>
        <a:effectLst/>
      </c:spPr>
      <c:txPr>
        <a:bodyPr rot="0" spcFirstLastPara="1" vertOverflow="ellipsis" vert="horz" wrap="square" anchor="ctr" anchorCtr="1"/>
        <a:lstStyle/>
        <a:p>
          <a:pPr>
            <a:defRPr sz="30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'SEGUIMIENTO DEL PLAN DE DESARRO'!$R$2</c:f>
              <c:strCache>
                <c:ptCount val="1"/>
                <c:pt idx="0">
                  <c:v>LOGRO ALCANZADO DICIEMBRE RESPECTO AL CUATRIENIO (PONDERADOR) 2025. CORTE JUNIO</c:v>
                </c:pt>
              </c:strCache>
            </c:strRef>
          </c:tx>
          <c:spPr>
            <a:solidFill>
              <a:schemeClr val="accent1"/>
            </a:solidFill>
            <a:ln>
              <a:noFill/>
            </a:ln>
            <a:effectLst/>
            <a:sp3d/>
          </c:spPr>
          <c:invertIfNegative val="0"/>
          <c:dLbls>
            <c:dLbl>
              <c:idx val="0"/>
              <c:layout>
                <c:manualLayout>
                  <c:x val="1.1661807580174927E-2"/>
                  <c:y val="-2.6420079260237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D-42AD-94E5-CA62C659DC6D}"/>
                </c:ext>
              </c:extLst>
            </c:dLbl>
            <c:dLbl>
              <c:idx val="1"/>
              <c:layout>
                <c:manualLayout>
                  <c:x val="1.020408163265306E-2"/>
                  <c:y val="-2.3778071334214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3D-42AD-94E5-CA62C659DC6D}"/>
                </c:ext>
              </c:extLst>
            </c:dLbl>
            <c:dLbl>
              <c:idx val="2"/>
              <c:layout>
                <c:manualLayout>
                  <c:x val="1.1661807580174927E-2"/>
                  <c:y val="-1.0568031704095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3D-42AD-94E5-CA62C659DC6D}"/>
                </c:ext>
              </c:extLst>
            </c:dLbl>
            <c:dLbl>
              <c:idx val="3"/>
              <c:layout>
                <c:manualLayout>
                  <c:x val="1.1661807580174927E-2"/>
                  <c:y val="-2.3778071334214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3D-42AD-94E5-CA62C659DC6D}"/>
                </c:ext>
              </c:extLst>
            </c:dLbl>
            <c:dLbl>
              <c:idx val="4"/>
              <c:layout>
                <c:manualLayout>
                  <c:x val="8.7463556851311956E-3"/>
                  <c:y val="-2.11360634081902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3D-42AD-94E5-CA62C659DC6D}"/>
                </c:ext>
              </c:extLst>
            </c:dLbl>
            <c:dLbl>
              <c:idx val="5"/>
              <c:layout>
                <c:manualLayout>
                  <c:x val="2.7696793002915453E-2"/>
                  <c:y val="-2.1136063408190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3D-42AD-94E5-CA62C659DC6D}"/>
                </c:ext>
              </c:extLst>
            </c:dLbl>
            <c:dLbl>
              <c:idx val="6"/>
              <c:layout>
                <c:manualLayout>
                  <c:x val="1.8950437317784258E-2"/>
                  <c:y val="-2.6420079260237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3D-42AD-94E5-CA62C659DC6D}"/>
                </c:ext>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DESARRO'!$R$3:$R$9</c:f>
              <c:numCache>
                <c:formatCode>0.0%</c:formatCode>
                <c:ptCount val="7"/>
                <c:pt idx="0">
                  <c:v>0.30370625523347738</c:v>
                </c:pt>
                <c:pt idx="1">
                  <c:v>0.31656637577834912</c:v>
                </c:pt>
                <c:pt idx="2">
                  <c:v>0.34160632674734986</c:v>
                </c:pt>
                <c:pt idx="3">
                  <c:v>0.31478839985626073</c:v>
                </c:pt>
                <c:pt idx="4">
                  <c:v>0.25862483810064973</c:v>
                </c:pt>
                <c:pt idx="5">
                  <c:v>0.32378332475293098</c:v>
                </c:pt>
                <c:pt idx="6">
                  <c:v>0.13189708333333333</c:v>
                </c:pt>
              </c:numCache>
            </c:numRef>
          </c:val>
          <c:extLst>
            <c:ext xmlns:c16="http://schemas.microsoft.com/office/drawing/2014/chart" uri="{C3380CC4-5D6E-409C-BE32-E72D297353CC}">
              <c16:uniqueId val="{00000000-EE3D-42AD-94E5-CA62C659DC6D}"/>
            </c:ext>
          </c:extLst>
        </c:ser>
        <c:dLbls>
          <c:showLegendKey val="0"/>
          <c:showVal val="0"/>
          <c:showCatName val="0"/>
          <c:showSerName val="0"/>
          <c:showPercent val="0"/>
          <c:showBubbleSize val="0"/>
        </c:dLbls>
        <c:gapWidth val="150"/>
        <c:shape val="box"/>
        <c:axId val="2063392575"/>
        <c:axId val="2063397983"/>
        <c:axId val="0"/>
      </c:bar3DChart>
      <c:catAx>
        <c:axId val="206339257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es-CO"/>
          </a:p>
        </c:txPr>
        <c:crossAx val="2063397983"/>
        <c:crosses val="autoZero"/>
        <c:auto val="1"/>
        <c:lblAlgn val="ctr"/>
        <c:lblOffset val="100"/>
        <c:noMultiLvlLbl val="0"/>
      </c:catAx>
      <c:valAx>
        <c:axId val="206339798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s-CO"/>
          </a:p>
        </c:txPr>
        <c:crossAx val="2063392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ECONOMICO'!$E$60</c:f>
              <c:strCache>
                <c:ptCount val="1"/>
                <c:pt idx="0">
                  <c:v>AVANCE CUATRIENIO IMPULSOR DE AVANCE: TURISMO SOSTENIBLE Y RESPONSABLE. CORTE JUNIO 2025</c:v>
                </c:pt>
              </c:strCache>
            </c:strRef>
          </c:tx>
          <c:spPr>
            <a:solidFill>
              <a:schemeClr val="accent1"/>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2-D409-49E4-9707-4E6C1BE4CB99}"/>
              </c:ext>
            </c:extLst>
          </c:dPt>
          <c:dPt>
            <c:idx val="1"/>
            <c:invertIfNegative val="0"/>
            <c:bubble3D val="0"/>
            <c:spPr>
              <a:solidFill>
                <a:srgbClr val="00B050"/>
              </a:solidFill>
              <a:ln>
                <a:noFill/>
              </a:ln>
              <a:effectLst/>
            </c:spPr>
            <c:extLst>
              <c:ext xmlns:c16="http://schemas.microsoft.com/office/drawing/2014/chart" uri="{C3380CC4-5D6E-409C-BE32-E72D297353CC}">
                <c16:uniqueId val="{00000004-D409-49E4-9707-4E6C1BE4CB99}"/>
              </c:ext>
            </c:extLst>
          </c:dPt>
          <c:dPt>
            <c:idx val="2"/>
            <c:invertIfNegative val="0"/>
            <c:bubble3D val="0"/>
            <c:spPr>
              <a:solidFill>
                <a:srgbClr val="FF0000"/>
              </a:solidFill>
              <a:ln>
                <a:noFill/>
              </a:ln>
              <a:effectLst/>
            </c:spPr>
            <c:extLst>
              <c:ext xmlns:c16="http://schemas.microsoft.com/office/drawing/2014/chart" uri="{C3380CC4-5D6E-409C-BE32-E72D297353CC}">
                <c16:uniqueId val="{00000006-D409-49E4-9707-4E6C1BE4CB99}"/>
              </c:ext>
            </c:extLst>
          </c:dPt>
          <c:dPt>
            <c:idx val="4"/>
            <c:invertIfNegative val="0"/>
            <c:bubble3D val="0"/>
            <c:spPr>
              <a:solidFill>
                <a:srgbClr val="FF0000"/>
              </a:solidFill>
              <a:ln>
                <a:noFill/>
              </a:ln>
              <a:effectLst/>
            </c:spPr>
            <c:extLst>
              <c:ext xmlns:c16="http://schemas.microsoft.com/office/drawing/2014/chart" uri="{C3380CC4-5D6E-409C-BE32-E72D297353CC}">
                <c16:uniqueId val="{00000009-7776-425F-BF58-3CD827018A91}"/>
              </c:ext>
            </c:extLst>
          </c:dPt>
          <c:dPt>
            <c:idx val="5"/>
            <c:invertIfNegative val="0"/>
            <c:bubble3D val="0"/>
            <c:spPr>
              <a:solidFill>
                <a:srgbClr val="00B050"/>
              </a:solidFill>
              <a:ln>
                <a:noFill/>
              </a:ln>
              <a:effectLst/>
            </c:spPr>
            <c:extLst>
              <c:ext xmlns:c16="http://schemas.microsoft.com/office/drawing/2014/chart" uri="{C3380CC4-5D6E-409C-BE32-E72D297353CC}">
                <c16:uniqueId val="{00000006-09FD-4C14-8284-C25D99EA594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ECONOMICO'!$C$61:$C$66</c:f>
              <c:strCache>
                <c:ptCount val="6"/>
                <c:pt idx="0">
                  <c:v>Turismo Sostenible y Responsable
</c:v>
                </c:pt>
                <c:pt idx="1">
                  <c:v> PROMOCIÓN TURÍSTICA</c:v>
                </c:pt>
                <c:pt idx="2">
                  <c:v> SEGURIDAD, VIGILANCIA Y CONTROL PARA UN TURISMO RESPONSABLE</c:v>
                </c:pt>
                <c:pt idx="3">
                  <c:v> TURISMO SOSTENIBLE E INCLUYENTE CON LAS COMUNIDADES</c:v>
                </c:pt>
                <c:pt idx="4">
                  <c:v> INFRAESTRUCTURA TURÍSTICA PARA EL DESARROLLO</c:v>
                </c:pt>
                <c:pt idx="5">
                  <c:v> GOBERNANZA Y FORTALECIMIENTO INSTITUCIONAL PARA UNA CIUDAD DE DERECHOS, RESPONSABLE Y COMPETITIVA</c:v>
                </c:pt>
              </c:strCache>
            </c:strRef>
          </c:cat>
          <c:val>
            <c:numRef>
              <c:f>'GRAFICAS DESARROLLO ECONOMICO'!$E$61:$E$66</c:f>
              <c:numCache>
                <c:formatCode>0.0%</c:formatCode>
                <c:ptCount val="6"/>
                <c:pt idx="0">
                  <c:v>0.26794331149437195</c:v>
                </c:pt>
                <c:pt idx="1">
                  <c:v>0.6875</c:v>
                </c:pt>
                <c:pt idx="2">
                  <c:v>9.5781249999999998E-2</c:v>
                </c:pt>
                <c:pt idx="3">
                  <c:v>4.6296418582970789E-2</c:v>
                </c:pt>
                <c:pt idx="4">
                  <c:v>4.3472222222222225E-2</c:v>
                </c:pt>
                <c:pt idx="5">
                  <c:v>0.46666666666666662</c:v>
                </c:pt>
              </c:numCache>
            </c:numRef>
          </c:val>
          <c:extLst>
            <c:ext xmlns:c16="http://schemas.microsoft.com/office/drawing/2014/chart" uri="{C3380CC4-5D6E-409C-BE32-E72D297353CC}">
              <c16:uniqueId val="{00000000-D409-49E4-9707-4E6C1BE4CB99}"/>
            </c:ext>
          </c:extLst>
        </c:ser>
        <c:dLbls>
          <c:showLegendKey val="0"/>
          <c:showVal val="0"/>
          <c:showCatName val="0"/>
          <c:showSerName val="0"/>
          <c:showPercent val="0"/>
          <c:showBubbleSize val="0"/>
        </c:dLbls>
        <c:gapWidth val="219"/>
        <c:overlap val="-27"/>
        <c:axId val="430545064"/>
        <c:axId val="430551336"/>
      </c:barChart>
      <c:catAx>
        <c:axId val="430545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51336"/>
        <c:crosses val="autoZero"/>
        <c:auto val="1"/>
        <c:lblAlgn val="ctr"/>
        <c:lblOffset val="100"/>
        <c:noMultiLvlLbl val="0"/>
      </c:catAx>
      <c:valAx>
        <c:axId val="4305513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545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AVANCE CUATRIENIO IMPULSOR DE AVANCE: SISTEMA INTEGRAL DE ABASTECIMIENTO. PROGRAMAS.</a:t>
            </a:r>
            <a:r>
              <a:rPr lang="en-US" b="1" baseline="0"/>
              <a:t> </a:t>
            </a:r>
            <a:r>
              <a:rPr lang="en-US" b="1"/>
              <a:t>CORTE </a:t>
            </a:r>
            <a:r>
              <a:rPr lang="es-CO" sz="1400" b="1" i="0" u="none" strike="noStrike" baseline="0">
                <a:effectLst/>
              </a:rPr>
              <a:t> JUNIO DE 2025 </a:t>
            </a:r>
            <a:endParaRPr lang="en-US" b="1"/>
          </a:p>
        </c:rich>
      </c:tx>
      <c:layout>
        <c:manualLayout>
          <c:xMode val="edge"/>
          <c:yMode val="edge"/>
          <c:x val="0.11504157599958124"/>
          <c:y val="2.721518987341772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ECONOMICO'!$E$77</c:f>
              <c:strCache>
                <c:ptCount val="1"/>
                <c:pt idx="0">
                  <c:v>AVANCE CUATRIENIO IMPULSOR DE AVANCE: SISTEMA INTEGRAL DE ABASTECIMIENTO. CORTE JUNIO 2025</c:v>
                </c:pt>
              </c:strCache>
            </c:strRef>
          </c:tx>
          <c:spPr>
            <a:solidFill>
              <a:srgbClr val="92D05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ED8C-4AAC-8DF7-9FF5F4E56278}"/>
              </c:ext>
            </c:extLst>
          </c:dPt>
          <c:dPt>
            <c:idx val="1"/>
            <c:invertIfNegative val="0"/>
            <c:bubble3D val="0"/>
            <c:spPr>
              <a:solidFill>
                <a:srgbClr val="FF0000"/>
              </a:solidFill>
              <a:ln>
                <a:noFill/>
              </a:ln>
              <a:effectLst/>
            </c:spPr>
            <c:extLst>
              <c:ext xmlns:c16="http://schemas.microsoft.com/office/drawing/2014/chart" uri="{C3380CC4-5D6E-409C-BE32-E72D297353CC}">
                <c16:uniqueId val="{00000003-ED8C-4AAC-8DF7-9FF5F4E56278}"/>
              </c:ext>
            </c:extLst>
          </c:dPt>
          <c:dPt>
            <c:idx val="2"/>
            <c:invertIfNegative val="0"/>
            <c:bubble3D val="0"/>
            <c:spPr>
              <a:solidFill>
                <a:srgbClr val="92D050"/>
              </a:solidFill>
              <a:ln>
                <a:noFill/>
              </a:ln>
              <a:effectLst/>
            </c:spPr>
            <c:extLst>
              <c:ext xmlns:c16="http://schemas.microsoft.com/office/drawing/2014/chart" uri="{C3380CC4-5D6E-409C-BE32-E72D297353CC}">
                <c16:uniqueId val="{00000005-ED8C-4AAC-8DF7-9FF5F4E5627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ECONOMICO'!$C$78:$C$80</c:f>
              <c:strCache>
                <c:ptCount val="3"/>
                <c:pt idx="0">
                  <c:v>Sistema Integral de Abastecimiento del Distrito
</c:v>
                </c:pt>
                <c:pt idx="1">
                  <c:v> DESARROLLO DEL NUEVO SISTEMA DE MERCADOS DEL DISTRITO</c:v>
                </c:pt>
                <c:pt idx="2">
                  <c:v> GESTIÓN INTEGRAL DEL SISTEMA DE MERCADOS</c:v>
                </c:pt>
              </c:strCache>
            </c:strRef>
          </c:cat>
          <c:val>
            <c:numRef>
              <c:f>'GRAFICAS DESARROLLO ECONOMICO'!$E$78:$E$80</c:f>
              <c:numCache>
                <c:formatCode>0.0%</c:formatCode>
                <c:ptCount val="3"/>
                <c:pt idx="0">
                  <c:v>0.28374999999999995</c:v>
                </c:pt>
                <c:pt idx="1">
                  <c:v>0.1573</c:v>
                </c:pt>
                <c:pt idx="2">
                  <c:v>0.41019999999999995</c:v>
                </c:pt>
              </c:numCache>
            </c:numRef>
          </c:val>
          <c:extLst>
            <c:ext xmlns:c16="http://schemas.microsoft.com/office/drawing/2014/chart" uri="{C3380CC4-5D6E-409C-BE32-E72D297353CC}">
              <c16:uniqueId val="{00000006-ED8C-4AAC-8DF7-9FF5F4E56278}"/>
            </c:ext>
          </c:extLst>
        </c:ser>
        <c:dLbls>
          <c:showLegendKey val="0"/>
          <c:showVal val="0"/>
          <c:showCatName val="0"/>
          <c:showSerName val="0"/>
          <c:showPercent val="0"/>
          <c:showBubbleSize val="0"/>
        </c:dLbls>
        <c:gapWidth val="219"/>
        <c:overlap val="-27"/>
        <c:axId val="430547808"/>
        <c:axId val="430544672"/>
      </c:barChart>
      <c:catAx>
        <c:axId val="43054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544672"/>
        <c:crosses val="autoZero"/>
        <c:auto val="1"/>
        <c:lblAlgn val="ctr"/>
        <c:lblOffset val="100"/>
        <c:noMultiLvlLbl val="0"/>
      </c:catAx>
      <c:valAx>
        <c:axId val="4305446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47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s-CO"/>
              <a:t>AVANCE RESPECTO AL CUATRIENIO DE LOS COMPONENTES IMPULSORES LINEA ESTRATEGICA CIUDAD CONECTADA.  JUNIO DE 2025</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CONECTADA'!$D$4</c:f>
              <c:strCache>
                <c:ptCount val="1"/>
                <c:pt idx="0">
                  <c:v>ESPERADO  AL CUATRIENIO CORTE DICIEMBRE 2025</c:v>
                </c:pt>
              </c:strCache>
            </c:strRef>
          </c:tx>
          <c:spPr>
            <a:solidFill>
              <a:schemeClr val="tx2">
                <a:lumMod val="65000"/>
                <a:lumOff val="35000"/>
              </a:schemeClr>
            </a:solidFill>
            <a:ln>
              <a:noFill/>
            </a:ln>
            <a:effectLst/>
          </c:spPr>
          <c:invertIfNegative val="0"/>
          <c:dLbls>
            <c:dLbl>
              <c:idx val="1"/>
              <c:layout>
                <c:manualLayout>
                  <c:x val="-1.7305315203955524E-2"/>
                  <c:y val="-9.53608402993435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A9-4AA9-9B01-ED91D48CAAE3}"/>
                </c:ext>
              </c:extLst>
            </c:dLbl>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CONECTADA'!$D$5:$D$12</c:f>
              <c:numCache>
                <c:formatCode>0.0%</c:formatCode>
                <c:ptCount val="8"/>
                <c:pt idx="0">
                  <c:v>0.45754092798427343</c:v>
                </c:pt>
                <c:pt idx="1">
                  <c:v>0.51809708353808359</c:v>
                </c:pt>
                <c:pt idx="2">
                  <c:v>0.28910714285714284</c:v>
                </c:pt>
                <c:pt idx="3">
                  <c:v>0.42368055555555556</c:v>
                </c:pt>
                <c:pt idx="4">
                  <c:v>0.59632768509323986</c:v>
                </c:pt>
                <c:pt idx="5">
                  <c:v>0.42505793650793644</c:v>
                </c:pt>
                <c:pt idx="6">
                  <c:v>0.6214955271871011</c:v>
                </c:pt>
                <c:pt idx="7">
                  <c:v>0.44129952380952381</c:v>
                </c:pt>
              </c:numCache>
            </c:numRef>
          </c:val>
          <c:extLst>
            <c:ext xmlns:c16="http://schemas.microsoft.com/office/drawing/2014/chart" uri="{C3380CC4-5D6E-409C-BE32-E72D297353CC}">
              <c16:uniqueId val="{00000000-C4A9-4AA9-9B01-ED91D48CAAE3}"/>
            </c:ext>
          </c:extLst>
        </c:ser>
        <c:ser>
          <c:idx val="1"/>
          <c:order val="1"/>
          <c:tx>
            <c:strRef>
              <c:f>'GRAFICAS CIUDAD CONECTADA'!$E$4</c:f>
              <c:strCache>
                <c:ptCount val="1"/>
                <c:pt idx="0">
                  <c:v>LOGRO VIGENCIA  CORTE JUNIO 2025 RESPECTO AL CUATRIENIO</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DEEC-4718-97EC-14671C7F551C}"/>
              </c:ext>
            </c:extLst>
          </c:dPt>
          <c:dPt>
            <c:idx val="1"/>
            <c:invertIfNegative val="0"/>
            <c:bubble3D val="0"/>
            <c:spPr>
              <a:solidFill>
                <a:srgbClr val="FFFF00"/>
              </a:solidFill>
              <a:ln>
                <a:noFill/>
              </a:ln>
              <a:effectLst/>
            </c:spPr>
            <c:extLst>
              <c:ext xmlns:c16="http://schemas.microsoft.com/office/drawing/2014/chart" uri="{C3380CC4-5D6E-409C-BE32-E72D297353CC}">
                <c16:uniqueId val="{00000002-DEEC-4718-97EC-14671C7F551C}"/>
              </c:ext>
            </c:extLst>
          </c:dPt>
          <c:dPt>
            <c:idx val="2"/>
            <c:invertIfNegative val="0"/>
            <c:bubble3D val="0"/>
            <c:spPr>
              <a:solidFill>
                <a:srgbClr val="FFFF00"/>
              </a:solidFill>
              <a:ln>
                <a:noFill/>
              </a:ln>
              <a:effectLst/>
            </c:spPr>
            <c:extLst>
              <c:ext xmlns:c16="http://schemas.microsoft.com/office/drawing/2014/chart" uri="{C3380CC4-5D6E-409C-BE32-E72D297353CC}">
                <c16:uniqueId val="{00000004-DEEC-4718-97EC-14671C7F551C}"/>
              </c:ext>
            </c:extLst>
          </c:dPt>
          <c:dPt>
            <c:idx val="3"/>
            <c:invertIfNegative val="0"/>
            <c:bubble3D val="0"/>
            <c:spPr>
              <a:solidFill>
                <a:srgbClr val="FFFF00"/>
              </a:solidFill>
              <a:ln>
                <a:noFill/>
              </a:ln>
              <a:effectLst/>
            </c:spPr>
            <c:extLst>
              <c:ext xmlns:c16="http://schemas.microsoft.com/office/drawing/2014/chart" uri="{C3380CC4-5D6E-409C-BE32-E72D297353CC}">
                <c16:uniqueId val="{00000005-DEEC-4718-97EC-14671C7F551C}"/>
              </c:ext>
            </c:extLst>
          </c:dPt>
          <c:dPt>
            <c:idx val="4"/>
            <c:invertIfNegative val="0"/>
            <c:bubble3D val="0"/>
            <c:spPr>
              <a:solidFill>
                <a:srgbClr val="00B050"/>
              </a:solidFill>
              <a:ln>
                <a:noFill/>
              </a:ln>
              <a:effectLst/>
            </c:spPr>
            <c:extLst>
              <c:ext xmlns:c16="http://schemas.microsoft.com/office/drawing/2014/chart" uri="{C3380CC4-5D6E-409C-BE32-E72D297353CC}">
                <c16:uniqueId val="{00000007-DEEC-4718-97EC-14671C7F551C}"/>
              </c:ext>
            </c:extLst>
          </c:dPt>
          <c:dPt>
            <c:idx val="5"/>
            <c:invertIfNegative val="0"/>
            <c:bubble3D val="0"/>
            <c:spPr>
              <a:solidFill>
                <a:srgbClr val="FF7C80"/>
              </a:solidFill>
              <a:ln>
                <a:noFill/>
              </a:ln>
              <a:effectLst/>
            </c:spPr>
            <c:extLst>
              <c:ext xmlns:c16="http://schemas.microsoft.com/office/drawing/2014/chart" uri="{C3380CC4-5D6E-409C-BE32-E72D297353CC}">
                <c16:uniqueId val="{00000009-DEEC-4718-97EC-14671C7F551C}"/>
              </c:ext>
            </c:extLst>
          </c:dPt>
          <c:dPt>
            <c:idx val="6"/>
            <c:invertIfNegative val="0"/>
            <c:bubble3D val="0"/>
            <c:spPr>
              <a:solidFill>
                <a:srgbClr val="00B050"/>
              </a:solidFill>
              <a:ln>
                <a:noFill/>
              </a:ln>
              <a:effectLst/>
            </c:spPr>
            <c:extLst>
              <c:ext xmlns:c16="http://schemas.microsoft.com/office/drawing/2014/chart" uri="{C3380CC4-5D6E-409C-BE32-E72D297353CC}">
                <c16:uniqueId val="{0000000C-DEEC-4718-97EC-14671C7F551C}"/>
              </c:ext>
            </c:extLst>
          </c:dPt>
          <c:dPt>
            <c:idx val="7"/>
            <c:invertIfNegative val="0"/>
            <c:bubble3D val="0"/>
            <c:spPr>
              <a:solidFill>
                <a:srgbClr val="FFFF00"/>
              </a:solidFill>
              <a:ln>
                <a:noFill/>
              </a:ln>
              <a:effectLst/>
            </c:spPr>
            <c:extLst>
              <c:ext xmlns:c16="http://schemas.microsoft.com/office/drawing/2014/chart" uri="{C3380CC4-5D6E-409C-BE32-E72D297353CC}">
                <c16:uniqueId val="{0000000F-DEEC-4718-97EC-14671C7F551C}"/>
              </c:ext>
            </c:extLst>
          </c:dPt>
          <c:dLbls>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CONECTADA'!$E$5:$E$12</c:f>
              <c:numCache>
                <c:formatCode>0.0%</c:formatCode>
                <c:ptCount val="8"/>
                <c:pt idx="0">
                  <c:v>0.32826692545655778</c:v>
                </c:pt>
                <c:pt idx="1">
                  <c:v>0.32648150518018021</c:v>
                </c:pt>
                <c:pt idx="2">
                  <c:v>0.25995803571428572</c:v>
                </c:pt>
                <c:pt idx="3">
                  <c:v>0.25526745502645498</c:v>
                </c:pt>
                <c:pt idx="4">
                  <c:v>0.46996420327895211</c:v>
                </c:pt>
                <c:pt idx="5">
                  <c:v>0.19436479591836733</c:v>
                </c:pt>
                <c:pt idx="6">
                  <c:v>0.52112490940263534</c:v>
                </c:pt>
                <c:pt idx="7">
                  <c:v>0.34193255555555557</c:v>
                </c:pt>
              </c:numCache>
            </c:numRef>
          </c:val>
          <c:extLst>
            <c:ext xmlns:c16="http://schemas.microsoft.com/office/drawing/2014/chart" uri="{C3380CC4-5D6E-409C-BE32-E72D297353CC}">
              <c16:uniqueId val="{00000001-C4A9-4AA9-9B01-ED91D48CAAE3}"/>
            </c:ext>
          </c:extLst>
        </c:ser>
        <c:dLbls>
          <c:showLegendKey val="0"/>
          <c:showVal val="0"/>
          <c:showCatName val="0"/>
          <c:showSerName val="0"/>
          <c:showPercent val="0"/>
          <c:showBubbleSize val="0"/>
        </c:dLbls>
        <c:gapWidth val="219"/>
        <c:overlap val="-27"/>
        <c:axId val="430551728"/>
        <c:axId val="430545848"/>
      </c:barChart>
      <c:catAx>
        <c:axId val="43055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0545848"/>
        <c:crosses val="autoZero"/>
        <c:auto val="1"/>
        <c:lblAlgn val="ctr"/>
        <c:lblOffset val="100"/>
        <c:noMultiLvlLbl val="0"/>
      </c:catAx>
      <c:valAx>
        <c:axId val="4305458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0551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CIUDAD CONECTADA </a:t>
            </a:r>
            <a:r>
              <a:rPr lang="es-CO" sz="1100" b="1" i="0" u="none" strike="noStrike" kern="1200" spc="0" baseline="0">
                <a:solidFill>
                  <a:srgbClr val="000000">
                    <a:lumMod val="65000"/>
                    <a:lumOff val="35000"/>
                  </a:srgbClr>
                </a:solidFill>
                <a:latin typeface="+mn-lt"/>
                <a:ea typeface="+mn-ea"/>
                <a:cs typeface="+mn-cs"/>
              </a:rPr>
              <a:t> JUNIO DE 2025. </a:t>
            </a:r>
            <a:r>
              <a:rPr lang="es-CO" sz="1100" b="1"/>
              <a:t>PONDERADO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CONECTADA'!$O$5</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CONECTADA'!$N$6:$N$13</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CONECTADA'!$O$6:$O$13</c:f>
              <c:numCache>
                <c:formatCode>0.0%</c:formatCode>
                <c:ptCount val="8"/>
                <c:pt idx="0">
                  <c:v>0.41864897769416992</c:v>
                </c:pt>
                <c:pt idx="1">
                  <c:v>0.49342221375921386</c:v>
                </c:pt>
                <c:pt idx="2">
                  <c:v>0.45153571428571426</c:v>
                </c:pt>
                <c:pt idx="3">
                  <c:v>0.37425000000000003</c:v>
                </c:pt>
                <c:pt idx="4">
                  <c:v>0.478100100382709</c:v>
                </c:pt>
                <c:pt idx="5">
                  <c:v>0.4201388888888889</c:v>
                </c:pt>
                <c:pt idx="6">
                  <c:v>0.56564102039114827</c:v>
                </c:pt>
                <c:pt idx="7">
                  <c:v>0.41631250000000003</c:v>
                </c:pt>
              </c:numCache>
            </c:numRef>
          </c:val>
          <c:extLst>
            <c:ext xmlns:c16="http://schemas.microsoft.com/office/drawing/2014/chart" uri="{C3380CC4-5D6E-409C-BE32-E72D297353CC}">
              <c16:uniqueId val="{00000000-7F67-4C3F-968C-2D68C11E2A8A}"/>
            </c:ext>
          </c:extLst>
        </c:ser>
        <c:ser>
          <c:idx val="1"/>
          <c:order val="1"/>
          <c:tx>
            <c:strRef>
              <c:f>'GRAFICAS CIUDAD CONECTADA'!$P$5</c:f>
              <c:strCache>
                <c:ptCount val="1"/>
                <c:pt idx="0">
                  <c:v>LOGRO CORTE JUNIO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CONECTADA'!$N$6:$N$13</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CONECTADA'!$P$6:$P$13</c:f>
              <c:numCache>
                <c:formatCode>0.0%</c:formatCode>
                <c:ptCount val="8"/>
                <c:pt idx="0">
                  <c:v>0.25862483810064973</c:v>
                </c:pt>
                <c:pt idx="1">
                  <c:v>0.37895680491891892</c:v>
                </c:pt>
                <c:pt idx="2">
                  <c:v>0.37064732142857143</c:v>
                </c:pt>
                <c:pt idx="3">
                  <c:v>0.1902765833333333</c:v>
                </c:pt>
                <c:pt idx="4">
                  <c:v>0.42063963005510235</c:v>
                </c:pt>
                <c:pt idx="5">
                  <c:v>0.12696144642857143</c:v>
                </c:pt>
                <c:pt idx="6">
                  <c:v>0.1631294882215743</c:v>
                </c:pt>
                <c:pt idx="7">
                  <c:v>0.27291636750000003</c:v>
                </c:pt>
              </c:numCache>
            </c:numRef>
          </c:val>
          <c:extLst>
            <c:ext xmlns:c16="http://schemas.microsoft.com/office/drawing/2014/chart" uri="{C3380CC4-5D6E-409C-BE32-E72D297353CC}">
              <c16:uniqueId val="{00000001-7F67-4C3F-968C-2D68C11E2A8A}"/>
            </c:ext>
          </c:extLst>
        </c:ser>
        <c:dLbls>
          <c:showLegendKey val="0"/>
          <c:showVal val="0"/>
          <c:showCatName val="0"/>
          <c:showSerName val="0"/>
          <c:showPercent val="0"/>
          <c:showBubbleSize val="0"/>
        </c:dLbls>
        <c:gapWidth val="219"/>
        <c:overlap val="-27"/>
        <c:axId val="430546240"/>
        <c:axId val="429970624"/>
      </c:barChart>
      <c:catAx>
        <c:axId val="43054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0624"/>
        <c:crosses val="autoZero"/>
        <c:auto val="1"/>
        <c:lblAlgn val="ctr"/>
        <c:lblOffset val="100"/>
        <c:noMultiLvlLbl val="0"/>
      </c:catAx>
      <c:valAx>
        <c:axId val="4299706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546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Componente Impulsor del avance: Ordenamiento del Territorio y espacio público. Avance ponderado corte </a:t>
            </a:r>
            <a:r>
              <a:rPr lang="en-US" sz="1400" b="1" i="0" u="none" strike="noStrike" baseline="0">
                <a:effectLst/>
              </a:rPr>
              <a:t> junio de 2025</a:t>
            </a:r>
            <a:r>
              <a:rPr lang="en-US" b="1"/>
              <a:t>.</a:t>
            </a:r>
          </a:p>
        </c:rich>
      </c:tx>
      <c:layout>
        <c:manualLayout>
          <c:xMode val="edge"/>
          <c:yMode val="edge"/>
          <c:x val="0.11778455818022747"/>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CONECTADA'!$D$46</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CONECTADA'!$C$47:$C$49</c:f>
              <c:strCache>
                <c:ptCount val="3"/>
                <c:pt idx="0">
                  <c:v> Ordenamiento del Territorio y espacio público.
</c:v>
                </c:pt>
                <c:pt idx="1">
                  <c:v> INSTRUMENTOS DE PLANIFICACIÓN TERRITORIAL</c:v>
                </c:pt>
                <c:pt idx="2">
                  <c:v> RECUPERACIÓN Y TRANSFORMACIÓN DEL ESPACIO PÚBLICO</c:v>
                </c:pt>
              </c:strCache>
            </c:strRef>
          </c:cat>
          <c:val>
            <c:numRef>
              <c:f>'GRAFICAS CIUDAD CONECTADA'!$D$47:$D$49</c:f>
              <c:numCache>
                <c:formatCode>0.0%</c:formatCode>
                <c:ptCount val="3"/>
                <c:pt idx="0">
                  <c:v>0.37895680491891892</c:v>
                </c:pt>
                <c:pt idx="1">
                  <c:v>0.37706898000000005</c:v>
                </c:pt>
                <c:pt idx="2">
                  <c:v>0.38336172972972976</c:v>
                </c:pt>
              </c:numCache>
            </c:numRef>
          </c:val>
          <c:extLst>
            <c:ext xmlns:c16="http://schemas.microsoft.com/office/drawing/2014/chart" uri="{C3380CC4-5D6E-409C-BE32-E72D297353CC}">
              <c16:uniqueId val="{00000000-A542-4A30-8D52-82E1D63BC971}"/>
            </c:ext>
          </c:extLst>
        </c:ser>
        <c:dLbls>
          <c:showLegendKey val="0"/>
          <c:showVal val="0"/>
          <c:showCatName val="0"/>
          <c:showSerName val="0"/>
          <c:showPercent val="0"/>
          <c:showBubbleSize val="0"/>
        </c:dLbls>
        <c:gapWidth val="219"/>
        <c:overlap val="-27"/>
        <c:axId val="429972976"/>
        <c:axId val="429969840"/>
      </c:barChart>
      <c:catAx>
        <c:axId val="42997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69840"/>
        <c:crosses val="autoZero"/>
        <c:auto val="1"/>
        <c:lblAlgn val="ctr"/>
        <c:lblOffset val="100"/>
        <c:noMultiLvlLbl val="0"/>
      </c:catAx>
      <c:valAx>
        <c:axId val="429969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2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del avance: Cartagena Amigable con el Ambiente. Avance ponderado corte </a:t>
            </a:r>
            <a:r>
              <a:rPr lang="en-US" sz="1800" b="1" i="0" u="none" strike="noStrike" baseline="0">
                <a:effectLst/>
              </a:rPr>
              <a:t> junio de 2025</a:t>
            </a:r>
            <a:r>
              <a:rPr lang="en-US" sz="1800" b="1" i="0" baseline="0">
                <a:effectLst/>
              </a:rPr>
              <a:t>.</a:t>
            </a:r>
            <a:endParaRPr lang="es-CO" sz="1800" b="1">
              <a:effectLst/>
            </a:endParaRPr>
          </a:p>
        </c:rich>
      </c:tx>
      <c:layout>
        <c:manualLayout>
          <c:xMode val="edge"/>
          <c:yMode val="edge"/>
          <c:x val="0.13315293334812023"/>
          <c:y val="1.8957345971563982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CONECTADA'!$D$59</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CONECTADA'!$C$60:$C$65</c:f>
              <c:strCache>
                <c:ptCount val="6"/>
                <c:pt idx="0">
                  <c:v> Cartagena Amigable con el Ambiente 
</c:v>
                </c:pt>
                <c:pt idx="1">
                  <c:v> BIENESTAR ANIMAL Y PROTECCIÓN DE LA VIDA SILVESTRE</c:v>
                </c:pt>
                <c:pt idx="2">
                  <c:v> GESTIÓN Y CONSERVACIÓN DE LA VEGETACIÓN Y LA BIODIVERSIDAD</c:v>
                </c:pt>
                <c:pt idx="3">
                  <c:v> ALERTAS TEMPRANAS</c:v>
                </c:pt>
                <c:pt idx="4">
                  <c:v> INVESTIGACIÓN, EDUCACIÓN Y CULTURA AMBIENTAL</c:v>
                </c:pt>
                <c:pt idx="5">
                  <c:v> GENERACIÓN DE ESPACIOS PÚBLICOS REVITALIZADOS Y ADAPTADOS PARA TODOS</c:v>
                </c:pt>
              </c:strCache>
            </c:strRef>
          </c:cat>
          <c:val>
            <c:numRef>
              <c:f>'GRAFICAS CIUDAD CONECTADA'!$D$60:$D$65</c:f>
              <c:numCache>
                <c:formatCode>0.0%</c:formatCode>
                <c:ptCount val="6"/>
                <c:pt idx="0">
                  <c:v>0.1902765833333333</c:v>
                </c:pt>
                <c:pt idx="1">
                  <c:v>5.0735000000000002E-2</c:v>
                </c:pt>
                <c:pt idx="2">
                  <c:v>0.26617266666666661</c:v>
                </c:pt>
                <c:pt idx="3">
                  <c:v>0.36</c:v>
                </c:pt>
                <c:pt idx="4">
                  <c:v>0.32252999999999998</c:v>
                </c:pt>
                <c:pt idx="5">
                  <c:v>9.9186666666666673E-2</c:v>
                </c:pt>
              </c:numCache>
            </c:numRef>
          </c:val>
          <c:extLst>
            <c:ext xmlns:c16="http://schemas.microsoft.com/office/drawing/2014/chart" uri="{C3380CC4-5D6E-409C-BE32-E72D297353CC}">
              <c16:uniqueId val="{00000000-AF80-49A3-99FA-049B919FE9CA}"/>
            </c:ext>
          </c:extLst>
        </c:ser>
        <c:dLbls>
          <c:showLegendKey val="0"/>
          <c:showVal val="0"/>
          <c:showCatName val="0"/>
          <c:showSerName val="0"/>
          <c:showPercent val="0"/>
          <c:showBubbleSize val="0"/>
        </c:dLbls>
        <c:gapWidth val="219"/>
        <c:overlap val="-27"/>
        <c:axId val="429973368"/>
        <c:axId val="429971016"/>
      </c:barChart>
      <c:catAx>
        <c:axId val="429973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1016"/>
        <c:crosses val="autoZero"/>
        <c:auto val="1"/>
        <c:lblAlgn val="ctr"/>
        <c:lblOffset val="100"/>
        <c:noMultiLvlLbl val="0"/>
      </c:catAx>
      <c:valAx>
        <c:axId val="4299710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3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 avance: Cartagena Adaptada al Clima y Resiliente a los Desastres. Avance ponderado corte </a:t>
            </a:r>
            <a:r>
              <a:rPr lang="en-US" sz="1800" b="1" i="0" u="none" strike="noStrike" baseline="0">
                <a:effectLst/>
              </a:rPr>
              <a:t> junio de 2025</a:t>
            </a:r>
            <a:endParaRPr lang="es-CO" sz="18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CONECTADA'!$D$70</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CONECTADA'!$C$71:$C$77</c:f>
              <c:strCache>
                <c:ptCount val="7"/>
                <c:pt idx="0">
                  <c:v> Cartagena Adaptada al Clima y Resiliente a los Desastres
</c:v>
                </c:pt>
                <c:pt idx="1">
                  <c:v> ORDENAMIENTO Y SOSTENIBILIDAD AMBIENTAL</c:v>
                </c:pt>
                <c:pt idx="2">
                  <c:v> CONOCIMIENTO DEL RIESGO</c:v>
                </c:pt>
                <c:pt idx="3">
                  <c:v> REDUCCIÓN DEL RIESGO</c:v>
                </c:pt>
                <c:pt idx="4">
                  <c:v> MANEJO DE DESASTRES</c:v>
                </c:pt>
                <c:pt idx="5">
                  <c:v> PROTECCIÓN COSTERA</c:v>
                </c:pt>
                <c:pt idx="6">
                  <c:v> ADAPTACIÓN DEL ESPACIO PÚBLICO AL CAMBIO CLIMÁTICO</c:v>
                </c:pt>
              </c:strCache>
            </c:strRef>
          </c:cat>
          <c:val>
            <c:numRef>
              <c:f>'GRAFICAS CIUDAD CONECTADA'!$D$71:$D$77</c:f>
              <c:numCache>
                <c:formatCode>0.0%</c:formatCode>
                <c:ptCount val="7"/>
                <c:pt idx="0">
                  <c:v>0.42063963005510235</c:v>
                </c:pt>
                <c:pt idx="1">
                  <c:v>0.15650000000000003</c:v>
                </c:pt>
                <c:pt idx="2">
                  <c:v>0.40887272727272728</c:v>
                </c:pt>
                <c:pt idx="3">
                  <c:v>0.65967061923583659</c:v>
                </c:pt>
                <c:pt idx="4">
                  <c:v>0.41436206896551725</c:v>
                </c:pt>
                <c:pt idx="5">
                  <c:v>0.15714285714285717</c:v>
                </c:pt>
                <c:pt idx="6">
                  <c:v>0.81699999999999995</c:v>
                </c:pt>
              </c:numCache>
            </c:numRef>
          </c:val>
          <c:extLst>
            <c:ext xmlns:c16="http://schemas.microsoft.com/office/drawing/2014/chart" uri="{C3380CC4-5D6E-409C-BE32-E72D297353CC}">
              <c16:uniqueId val="{00000000-5860-4272-8F38-54D0835BC3EC}"/>
            </c:ext>
          </c:extLst>
        </c:ser>
        <c:dLbls>
          <c:showLegendKey val="0"/>
          <c:showVal val="0"/>
          <c:showCatName val="0"/>
          <c:showSerName val="0"/>
          <c:showPercent val="0"/>
          <c:showBubbleSize val="0"/>
        </c:dLbls>
        <c:gapWidth val="219"/>
        <c:overlap val="-27"/>
        <c:axId val="429974152"/>
        <c:axId val="429974544"/>
      </c:barChart>
      <c:catAx>
        <c:axId val="429974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4544"/>
        <c:crosses val="autoZero"/>
        <c:auto val="1"/>
        <c:lblAlgn val="ctr"/>
        <c:lblOffset val="100"/>
        <c:noMultiLvlLbl val="0"/>
      </c:catAx>
      <c:valAx>
        <c:axId val="429974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4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u="none" strike="noStrike" kern="1200" spc="0" baseline="0">
                <a:solidFill>
                  <a:srgbClr val="000000">
                    <a:lumMod val="65000"/>
                    <a:lumOff val="35000"/>
                  </a:srgbClr>
                </a:solidFill>
                <a:effectLst/>
                <a:latin typeface="+mn-lt"/>
                <a:ea typeface="+mn-ea"/>
                <a:cs typeface="+mn-cs"/>
              </a:rPr>
              <a:t>Componente Impulsor de avance: Ciudad Histórica y Patrimonial</a:t>
            </a:r>
            <a:r>
              <a:rPr lang="en-US" sz="1800"/>
              <a:t>. </a:t>
            </a:r>
            <a:r>
              <a:rPr lang="en-US" sz="1800" b="1" i="0" u="none" strike="noStrike" kern="1200" spc="0" baseline="0">
                <a:solidFill>
                  <a:srgbClr val="000000">
                    <a:lumMod val="65000"/>
                    <a:lumOff val="35000"/>
                  </a:srgbClr>
                </a:solidFill>
                <a:effectLst/>
                <a:latin typeface="+mn-lt"/>
                <a:ea typeface="+mn-ea"/>
                <a:cs typeface="+mn-cs"/>
              </a:rPr>
              <a:t>Avance ponderado corte </a:t>
            </a:r>
            <a:r>
              <a:rPr lang="en-US" sz="1800" b="1" i="0" u="none" strike="noStrike" baseline="0">
                <a:effectLst/>
              </a:rPr>
              <a:t> junio de 2025</a:t>
            </a:r>
            <a:endParaRPr lang="es-CO" sz="18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CONECTADA'!$D$82</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CONECTADA'!$C$83:$C$86</c:f>
              <c:strCache>
                <c:ptCount val="4"/>
                <c:pt idx="0">
                  <c:v>Ciudad Histórica y Patrimonial
</c:v>
                </c:pt>
                <c:pt idx="1">
                  <c:v> SOSTENIBILIDAD DEL ESPACIO PÚBLICO DEL CENTRO HISTÓRICO DE CARTAGENA DE INDIAS.</c:v>
                </c:pt>
                <c:pt idx="2">
                  <c:v> CONEXIÓN ENTRE EL CASTILLO DE SAN FELIPE DE BARAJAS Y SU ÁREA DE INFLUENCIA PARA LA RECUPERACIÓN DEL PATRIMONIO ARQUEOLÓGICO, MATERIAL E INMATERIAL</c:v>
                </c:pt>
                <c:pt idx="3">
                  <c:v> MURALLA PARA TODOS</c:v>
                </c:pt>
              </c:strCache>
            </c:strRef>
          </c:cat>
          <c:val>
            <c:numRef>
              <c:f>'GRAFICAS CIUDAD CONECTADA'!$D$83:$D$86</c:f>
              <c:numCache>
                <c:formatCode>0.0%</c:formatCode>
                <c:ptCount val="4"/>
                <c:pt idx="0">
                  <c:v>0.12696144642857143</c:v>
                </c:pt>
                <c:pt idx="1">
                  <c:v>0.17005321428571429</c:v>
                </c:pt>
                <c:pt idx="2">
                  <c:v>2.8749999999999998E-2</c:v>
                </c:pt>
                <c:pt idx="3">
                  <c:v>0.375</c:v>
                </c:pt>
              </c:numCache>
            </c:numRef>
          </c:val>
          <c:extLst>
            <c:ext xmlns:c16="http://schemas.microsoft.com/office/drawing/2014/chart" uri="{C3380CC4-5D6E-409C-BE32-E72D297353CC}">
              <c16:uniqueId val="{00000000-AE70-45BE-B254-C8CF80831D94}"/>
            </c:ext>
          </c:extLst>
        </c:ser>
        <c:dLbls>
          <c:showLegendKey val="0"/>
          <c:showVal val="0"/>
          <c:showCatName val="0"/>
          <c:showSerName val="0"/>
          <c:showPercent val="0"/>
          <c:showBubbleSize val="0"/>
        </c:dLbls>
        <c:gapWidth val="219"/>
        <c:overlap val="-27"/>
        <c:axId val="429975720"/>
        <c:axId val="429971800"/>
      </c:barChart>
      <c:catAx>
        <c:axId val="429975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1800"/>
        <c:crosses val="autoZero"/>
        <c:auto val="1"/>
        <c:lblAlgn val="ctr"/>
        <c:lblOffset val="100"/>
        <c:noMultiLvlLbl val="0"/>
      </c:catAx>
      <c:valAx>
        <c:axId val="429971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5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rgbClr val="000000">
                    <a:lumMod val="65000"/>
                    <a:lumOff val="35000"/>
                  </a:srgbClr>
                </a:solidFill>
                <a:effectLst/>
                <a:latin typeface="+mn-lt"/>
                <a:ea typeface="+mn-ea"/>
                <a:cs typeface="+mn-cs"/>
              </a:rPr>
              <a:t>Componente Impulsor de avance: Infraestructura, Movilidad Sostenible y Accesibilidad para Todos. </a:t>
            </a:r>
            <a:r>
              <a:rPr lang="en-US" sz="1400" b="1" i="0" u="none" strike="noStrike" baseline="0">
                <a:effectLst/>
              </a:rPr>
              <a:t>Avance ponderado corte  junio de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CONECTADA'!$D$94</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CONECTADA'!$C$95:$C$99</c:f>
              <c:strCache>
                <c:ptCount val="5"/>
                <c:pt idx="0">
                  <c:v>Infraestructura, Movilidad Sostenible y Accesibilidad para Todos
</c:v>
                </c:pt>
                <c:pt idx="1">
                  <c:v> REHABILITACIÓN, MANTENIMIENTO, ADECUACIÓN, Y OBRA NUEVA PARA EL SISTEMA VIAL Y ESTRUCTURAS DE PASO</c:v>
                </c:pt>
                <c:pt idx="2">
                  <c:v> SOLUCIONES VIALES PARA LA COMPETITIVIDAD A TRAVÉS DE CONTRIBUCIÓN POR VALORIZACIÓN</c:v>
                </c:pt>
                <c:pt idx="3">
                  <c:v> MOVILIDAD ORDENADA, SOSTENIBLE Y AMIGABLE CON EL MEDIO AMBIENTE</c:v>
                </c:pt>
                <c:pt idx="4">
                  <c:v> TRANSPORTE MASIVO CONFIABLE, EFICIENTE Y SOSTENIBLE</c:v>
                </c:pt>
              </c:strCache>
            </c:strRef>
          </c:cat>
          <c:val>
            <c:numRef>
              <c:f>'GRAFICAS CIUDAD CONECTADA'!$D$95:$D$99</c:f>
              <c:numCache>
                <c:formatCode>0.0%</c:formatCode>
                <c:ptCount val="5"/>
                <c:pt idx="0">
                  <c:v>0.1631294882215743</c:v>
                </c:pt>
                <c:pt idx="1">
                  <c:v>0.92996499999999993</c:v>
                </c:pt>
                <c:pt idx="2">
                  <c:v>0</c:v>
                </c:pt>
                <c:pt idx="3">
                  <c:v>0.35429536417201102</c:v>
                </c:pt>
                <c:pt idx="4">
                  <c:v>0.54992591797886314</c:v>
                </c:pt>
              </c:numCache>
            </c:numRef>
          </c:val>
          <c:extLst>
            <c:ext xmlns:c16="http://schemas.microsoft.com/office/drawing/2014/chart" uri="{C3380CC4-5D6E-409C-BE32-E72D297353CC}">
              <c16:uniqueId val="{00000000-91AC-48B5-820A-BC871DCE6288}"/>
            </c:ext>
          </c:extLst>
        </c:ser>
        <c:dLbls>
          <c:showLegendKey val="0"/>
          <c:showVal val="0"/>
          <c:showCatName val="0"/>
          <c:showSerName val="0"/>
          <c:showPercent val="0"/>
          <c:showBubbleSize val="0"/>
        </c:dLbls>
        <c:gapWidth val="219"/>
        <c:overlap val="-27"/>
        <c:axId val="429972192"/>
        <c:axId val="429974936"/>
      </c:barChart>
      <c:catAx>
        <c:axId val="42997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4936"/>
        <c:crosses val="autoZero"/>
        <c:auto val="1"/>
        <c:lblAlgn val="ctr"/>
        <c:lblOffset val="100"/>
        <c:noMultiLvlLbl val="0"/>
      </c:catAx>
      <c:valAx>
        <c:axId val="4299749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2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u="none" strike="noStrike" kern="1200" spc="0" baseline="0">
                <a:solidFill>
                  <a:srgbClr val="000000">
                    <a:lumMod val="65000"/>
                    <a:lumOff val="35000"/>
                  </a:srgbClr>
                </a:solidFill>
                <a:effectLst/>
                <a:latin typeface="+mn-lt"/>
                <a:ea typeface="+mn-ea"/>
                <a:cs typeface="+mn-cs"/>
              </a:rPr>
              <a:t>Componente Impulsor de avance: Cartagena Ordenada Alrededor del Agua. </a:t>
            </a:r>
            <a:r>
              <a:rPr lang="en-US" sz="1800" b="1" i="0" baseline="0">
                <a:effectLst/>
              </a:rPr>
              <a:t>Avance ponderado corte  junio de 2025</a:t>
            </a:r>
            <a:endParaRPr lang="es-CO">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CONECTADA'!$D$103</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CONECTADA'!$C$104:$C$108</c:f>
              <c:strCache>
                <c:ptCount val="5"/>
                <c:pt idx="0">
                  <c:v>Cartagena Ordenada Alrededor del Agua
</c:v>
                </c:pt>
                <c:pt idx="1">
                  <c:v> GESTIÓN Y CONSERVACIÓN DEL AGUA</c:v>
                </c:pt>
                <c:pt idx="2">
                  <c:v> RECUPERACIÓN DEL SISTEMA DE CANALES Y DRENAJES PLUVIALES</c:v>
                </c:pt>
                <c:pt idx="3">
                  <c:v> RECUPERACIÓN Y ESTABILIZACIÓN DEL SISTEMA HÍDRICO Y LITORAL DE CARTAGENA</c:v>
                </c:pt>
                <c:pt idx="4">
                  <c:v> PLAN DE RESTAURACIÓN INTEGRAL DE LA CIÉNAGA DE LA VIRGEN</c:v>
                </c:pt>
              </c:strCache>
            </c:strRef>
          </c:cat>
          <c:val>
            <c:numRef>
              <c:f>'GRAFICAS CIUDAD CONECTADA'!$D$104:$D$108</c:f>
              <c:numCache>
                <c:formatCode>0.0%</c:formatCode>
                <c:ptCount val="5"/>
                <c:pt idx="0">
                  <c:v>0.27291636750000003</c:v>
                </c:pt>
                <c:pt idx="1">
                  <c:v>0.10803375000000003</c:v>
                </c:pt>
                <c:pt idx="2">
                  <c:v>0.42639744999999996</c:v>
                </c:pt>
                <c:pt idx="3">
                  <c:v>0.30800000000000005</c:v>
                </c:pt>
                <c:pt idx="4">
                  <c:v>0.3678333333333334</c:v>
                </c:pt>
              </c:numCache>
            </c:numRef>
          </c:val>
          <c:extLst>
            <c:ext xmlns:c16="http://schemas.microsoft.com/office/drawing/2014/chart" uri="{C3380CC4-5D6E-409C-BE32-E72D297353CC}">
              <c16:uniqueId val="{00000000-DAAC-41E9-824D-77B361BDFA4D}"/>
            </c:ext>
          </c:extLst>
        </c:ser>
        <c:dLbls>
          <c:showLegendKey val="0"/>
          <c:showVal val="0"/>
          <c:showCatName val="0"/>
          <c:showSerName val="0"/>
          <c:showPercent val="0"/>
          <c:showBubbleSize val="0"/>
        </c:dLbls>
        <c:gapWidth val="219"/>
        <c:overlap val="-27"/>
        <c:axId val="429968664"/>
        <c:axId val="429972584"/>
      </c:barChart>
      <c:catAx>
        <c:axId val="429968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2584"/>
        <c:crosses val="autoZero"/>
        <c:auto val="1"/>
        <c:lblAlgn val="ctr"/>
        <c:lblOffset val="100"/>
        <c:noMultiLvlLbl val="0"/>
      </c:catAx>
      <c:valAx>
        <c:axId val="4299725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68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SEGURIDAD HUMANA </a:t>
            </a:r>
            <a:r>
              <a:rPr lang="es-CO" sz="1100" b="1" baseline="0"/>
              <a:t> </a:t>
            </a:r>
            <a:r>
              <a:rPr lang="es-CO" sz="1100" b="1" i="0" u="none" strike="noStrike" kern="1200" spc="0" baseline="0">
                <a:solidFill>
                  <a:srgbClr val="000000">
                    <a:lumMod val="65000"/>
                    <a:lumOff val="35000"/>
                  </a:srgbClr>
                </a:solidFill>
                <a:latin typeface="+mn-lt"/>
                <a:ea typeface="+mn-ea"/>
                <a:cs typeface="+mn-cs"/>
              </a:rPr>
              <a:t> JUNIO </a:t>
            </a:r>
            <a:r>
              <a:rPr lang="es-CO" sz="1100" b="1"/>
              <a:t>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HUMANA'!$D$4</c:f>
              <c:strCache>
                <c:ptCount val="1"/>
                <c:pt idx="0">
                  <c:v>ESPERADO  AL CUATRIENIO CORTE DICIEMBRE 2025</c:v>
                </c:pt>
              </c:strCache>
            </c:strRef>
          </c:tx>
          <c:spPr>
            <a:solidFill>
              <a:schemeClr val="tx2">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HUMANA'!$D$5:$D$10</c:f>
              <c:numCache>
                <c:formatCode>0.0%</c:formatCode>
                <c:ptCount val="6"/>
                <c:pt idx="0">
                  <c:v>0.6123413604111696</c:v>
                </c:pt>
                <c:pt idx="1">
                  <c:v>0.85079477210897558</c:v>
                </c:pt>
                <c:pt idx="2">
                  <c:v>0.57512473701403577</c:v>
                </c:pt>
                <c:pt idx="3">
                  <c:v>0.54395347999674115</c:v>
                </c:pt>
                <c:pt idx="4">
                  <c:v>0.59259900218694317</c:v>
                </c:pt>
                <c:pt idx="5">
                  <c:v>0.46951250879731499</c:v>
                </c:pt>
              </c:numCache>
            </c:numRef>
          </c:val>
          <c:extLst>
            <c:ext xmlns:c16="http://schemas.microsoft.com/office/drawing/2014/chart" uri="{C3380CC4-5D6E-409C-BE32-E72D297353CC}">
              <c16:uniqueId val="{00000000-26D3-4943-BAC1-53EAC213B06C}"/>
            </c:ext>
          </c:extLst>
        </c:ser>
        <c:ser>
          <c:idx val="1"/>
          <c:order val="1"/>
          <c:tx>
            <c:strRef>
              <c:f>'GRAFICAS SEGURIDAD HUMANA'!$E$4</c:f>
              <c:strCache>
                <c:ptCount val="1"/>
                <c:pt idx="0">
                  <c:v>LOGRO VIGENCIA  CORTE  JUNIO 2025 RESPECTO AL CUATRIENIO</c:v>
                </c:pt>
              </c:strCache>
            </c:strRef>
          </c:tx>
          <c:spPr>
            <a:solidFill>
              <a:srgbClr val="00B05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B7E8-4E91-A917-FD2EA59B18FD}"/>
              </c:ext>
            </c:extLst>
          </c:dPt>
          <c:dPt>
            <c:idx val="1"/>
            <c:invertIfNegative val="0"/>
            <c:bubble3D val="0"/>
            <c:spPr>
              <a:solidFill>
                <a:srgbClr val="00B050"/>
              </a:solidFill>
              <a:ln>
                <a:noFill/>
              </a:ln>
              <a:effectLst/>
            </c:spPr>
            <c:extLst>
              <c:ext xmlns:c16="http://schemas.microsoft.com/office/drawing/2014/chart" uri="{C3380CC4-5D6E-409C-BE32-E72D297353CC}">
                <c16:uniqueId val="{00000003-B7E8-4E91-A917-FD2EA59B18FD}"/>
              </c:ext>
            </c:extLst>
          </c:dPt>
          <c:dPt>
            <c:idx val="2"/>
            <c:invertIfNegative val="0"/>
            <c:bubble3D val="0"/>
            <c:spPr>
              <a:solidFill>
                <a:srgbClr val="92D050"/>
              </a:solidFill>
              <a:ln>
                <a:noFill/>
              </a:ln>
              <a:effectLst/>
            </c:spPr>
            <c:extLst>
              <c:ext xmlns:c16="http://schemas.microsoft.com/office/drawing/2014/chart" uri="{C3380CC4-5D6E-409C-BE32-E72D297353CC}">
                <c16:uniqueId val="{00000005-B7E8-4E91-A917-FD2EA59B18FD}"/>
              </c:ext>
            </c:extLst>
          </c:dPt>
          <c:dPt>
            <c:idx val="3"/>
            <c:invertIfNegative val="0"/>
            <c:bubble3D val="0"/>
            <c:spPr>
              <a:solidFill>
                <a:srgbClr val="FFFF00"/>
              </a:solidFill>
              <a:ln>
                <a:noFill/>
              </a:ln>
              <a:effectLst/>
            </c:spPr>
            <c:extLst>
              <c:ext xmlns:c16="http://schemas.microsoft.com/office/drawing/2014/chart" uri="{C3380CC4-5D6E-409C-BE32-E72D297353CC}">
                <c16:uniqueId val="{00000007-B7E8-4E91-A917-FD2EA59B18FD}"/>
              </c:ext>
            </c:extLst>
          </c:dPt>
          <c:dPt>
            <c:idx val="4"/>
            <c:invertIfNegative val="0"/>
            <c:bubble3D val="0"/>
            <c:spPr>
              <a:solidFill>
                <a:srgbClr val="FFFF00"/>
              </a:solidFill>
              <a:ln>
                <a:noFill/>
              </a:ln>
              <a:effectLst/>
            </c:spPr>
            <c:extLst>
              <c:ext xmlns:c16="http://schemas.microsoft.com/office/drawing/2014/chart" uri="{C3380CC4-5D6E-409C-BE32-E72D297353CC}">
                <c16:uniqueId val="{00000008-B7E8-4E91-A917-FD2EA59B18FD}"/>
              </c:ext>
            </c:extLst>
          </c:dPt>
          <c:dPt>
            <c:idx val="5"/>
            <c:invertIfNegative val="0"/>
            <c:bubble3D val="0"/>
            <c:spPr>
              <a:solidFill>
                <a:srgbClr val="FFFF00"/>
              </a:solidFill>
              <a:ln>
                <a:noFill/>
              </a:ln>
              <a:effectLst/>
            </c:spPr>
            <c:extLst>
              <c:ext xmlns:c16="http://schemas.microsoft.com/office/drawing/2014/chart" uri="{C3380CC4-5D6E-409C-BE32-E72D297353CC}">
                <c16:uniqueId val="{00000009-B7E8-4E91-A917-FD2EA59B18FD}"/>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HUMANA'!$E$5:$E$10</c:f>
              <c:numCache>
                <c:formatCode>0.0%</c:formatCode>
                <c:ptCount val="6"/>
                <c:pt idx="0">
                  <c:v>0.34188930071628293</c:v>
                </c:pt>
                <c:pt idx="1">
                  <c:v>0.49461278874289327</c:v>
                </c:pt>
                <c:pt idx="2">
                  <c:v>0.34966418650793651</c:v>
                </c:pt>
                <c:pt idx="3">
                  <c:v>0.28721175892609924</c:v>
                </c:pt>
                <c:pt idx="4">
                  <c:v>0.34606870713027416</c:v>
                </c:pt>
                <c:pt idx="5">
                  <c:v>0.28132744900710766</c:v>
                </c:pt>
              </c:numCache>
            </c:numRef>
          </c:val>
          <c:extLst>
            <c:ext xmlns:c16="http://schemas.microsoft.com/office/drawing/2014/chart" uri="{C3380CC4-5D6E-409C-BE32-E72D297353CC}">
              <c16:uniqueId val="{00000001-26D3-4943-BAC1-53EAC213B06C}"/>
            </c:ext>
          </c:extLst>
        </c:ser>
        <c:dLbls>
          <c:showLegendKey val="0"/>
          <c:showVal val="0"/>
          <c:showCatName val="0"/>
          <c:showSerName val="0"/>
          <c:showPercent val="0"/>
          <c:showBubbleSize val="0"/>
        </c:dLbls>
        <c:gapWidth val="219"/>
        <c:overlap val="-27"/>
        <c:axId val="425492936"/>
        <c:axId val="425493328"/>
      </c:barChart>
      <c:catAx>
        <c:axId val="42549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25493328"/>
        <c:crosses val="autoZero"/>
        <c:auto val="1"/>
        <c:lblAlgn val="ctr"/>
        <c:lblOffset val="100"/>
        <c:noMultiLvlLbl val="0"/>
      </c:catAx>
      <c:valAx>
        <c:axId val="4254933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5492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r>
              <a:rPr lang="en-US"/>
              <a:t>AVANCE   LINEA ESTRATEGICA CIUDAD CONECTADA VIGENCIA CORTE </a:t>
            </a:r>
            <a:r>
              <a:rPr lang="es-CO"/>
              <a:t> JUNIO DE 2025</a:t>
            </a:r>
          </a:p>
        </c:rich>
      </c:tx>
      <c:layout>
        <c:manualLayout>
          <c:xMode val="edge"/>
          <c:yMode val="edge"/>
          <c:x val="0.27014991906724184"/>
          <c:y val="1.9459459459459458E-2"/>
        </c:manualLayout>
      </c:layout>
      <c:overlay val="0"/>
      <c:spPr>
        <a:noFill/>
        <a:ln>
          <a:noFill/>
        </a:ln>
        <a:effectLst/>
      </c:spPr>
      <c:txPr>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CONECTADA'!$D$119</c:f>
              <c:strCache>
                <c:ptCount val="1"/>
                <c:pt idx="0">
                  <c:v>AVANCE  PARCIAL VIGENCIA  CORTE JUNIO 2025</c:v>
                </c:pt>
              </c:strCache>
            </c:strRef>
          </c:tx>
          <c:spPr>
            <a:solidFill>
              <a:srgbClr val="92D050"/>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2-A8FF-449C-B6BE-BB827CB78063}"/>
              </c:ext>
            </c:extLst>
          </c:dPt>
          <c:dPt>
            <c:idx val="1"/>
            <c:invertIfNegative val="0"/>
            <c:bubble3D val="0"/>
            <c:spPr>
              <a:solidFill>
                <a:srgbClr val="00B050"/>
              </a:solidFill>
              <a:ln>
                <a:noFill/>
              </a:ln>
              <a:effectLst/>
            </c:spPr>
            <c:extLst>
              <c:ext xmlns:c16="http://schemas.microsoft.com/office/drawing/2014/chart" uri="{C3380CC4-5D6E-409C-BE32-E72D297353CC}">
                <c16:uniqueId val="{00000003-A8FF-449C-B6BE-BB827CB78063}"/>
              </c:ext>
            </c:extLst>
          </c:dPt>
          <c:dPt>
            <c:idx val="2"/>
            <c:invertIfNegative val="0"/>
            <c:bubble3D val="0"/>
            <c:spPr>
              <a:solidFill>
                <a:srgbClr val="00B050"/>
              </a:solidFill>
              <a:ln>
                <a:noFill/>
              </a:ln>
              <a:effectLst/>
            </c:spPr>
            <c:extLst>
              <c:ext xmlns:c16="http://schemas.microsoft.com/office/drawing/2014/chart" uri="{C3380CC4-5D6E-409C-BE32-E72D297353CC}">
                <c16:uniqueId val="{00000005-A8FF-449C-B6BE-BB827CB78063}"/>
              </c:ext>
            </c:extLst>
          </c:dPt>
          <c:dPt>
            <c:idx val="3"/>
            <c:invertIfNegative val="0"/>
            <c:bubble3D val="0"/>
            <c:spPr>
              <a:solidFill>
                <a:srgbClr val="92D050"/>
              </a:solidFill>
              <a:ln>
                <a:noFill/>
              </a:ln>
              <a:effectLst/>
            </c:spPr>
            <c:extLst>
              <c:ext xmlns:c16="http://schemas.microsoft.com/office/drawing/2014/chart" uri="{C3380CC4-5D6E-409C-BE32-E72D297353CC}">
                <c16:uniqueId val="{0000000B-A8FF-449C-B6BE-BB827CB78063}"/>
              </c:ext>
            </c:extLst>
          </c:dPt>
          <c:dPt>
            <c:idx val="4"/>
            <c:invertIfNegative val="0"/>
            <c:bubble3D val="0"/>
            <c:spPr>
              <a:solidFill>
                <a:srgbClr val="92D050"/>
              </a:solidFill>
              <a:ln>
                <a:noFill/>
              </a:ln>
              <a:effectLst/>
            </c:spPr>
            <c:extLst>
              <c:ext xmlns:c16="http://schemas.microsoft.com/office/drawing/2014/chart" uri="{C3380CC4-5D6E-409C-BE32-E72D297353CC}">
                <c16:uniqueId val="{0000000F-A8FF-449C-B6BE-BB827CB78063}"/>
              </c:ext>
            </c:extLst>
          </c:dPt>
          <c:dPt>
            <c:idx val="5"/>
            <c:invertIfNegative val="0"/>
            <c:bubble3D val="0"/>
            <c:spPr>
              <a:solidFill>
                <a:srgbClr val="FF7C80"/>
              </a:solidFill>
              <a:ln>
                <a:noFill/>
              </a:ln>
              <a:effectLst/>
            </c:spPr>
            <c:extLst>
              <c:ext xmlns:c16="http://schemas.microsoft.com/office/drawing/2014/chart" uri="{C3380CC4-5D6E-409C-BE32-E72D297353CC}">
                <c16:uniqueId val="{00000010-A8FF-449C-B6BE-BB827CB78063}"/>
              </c:ext>
            </c:extLst>
          </c:dPt>
          <c:dPt>
            <c:idx val="6"/>
            <c:invertIfNegative val="0"/>
            <c:bubble3D val="0"/>
            <c:spPr>
              <a:solidFill>
                <a:srgbClr val="00B050"/>
              </a:solidFill>
              <a:ln>
                <a:noFill/>
              </a:ln>
              <a:effectLst/>
            </c:spPr>
            <c:extLst>
              <c:ext xmlns:c16="http://schemas.microsoft.com/office/drawing/2014/chart" uri="{C3380CC4-5D6E-409C-BE32-E72D297353CC}">
                <c16:uniqueId val="{0000000E-A8FF-449C-B6BE-BB827CB78063}"/>
              </c:ext>
            </c:extLst>
          </c:dPt>
          <c:dPt>
            <c:idx val="7"/>
            <c:invertIfNegative val="0"/>
            <c:bubble3D val="0"/>
            <c:spPr>
              <a:solidFill>
                <a:srgbClr val="00B050"/>
              </a:solidFill>
              <a:ln>
                <a:noFill/>
              </a:ln>
              <a:effectLst/>
            </c:spPr>
            <c:extLst>
              <c:ext xmlns:c16="http://schemas.microsoft.com/office/drawing/2014/chart" uri="{C3380CC4-5D6E-409C-BE32-E72D297353CC}">
                <c16:uniqueId val="{00000006-A8FF-449C-B6BE-BB827CB78063}"/>
              </c:ext>
            </c:extLst>
          </c:dPt>
          <c:dLbls>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CONECTADA'!$C$120:$C$127</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CONECTADA'!$D$120:$D$127</c:f>
              <c:numCache>
                <c:formatCode>0.0%</c:formatCode>
                <c:ptCount val="8"/>
                <c:pt idx="0">
                  <c:v>0.38203685641776697</c:v>
                </c:pt>
                <c:pt idx="1">
                  <c:v>0.51085364187945703</c:v>
                </c:pt>
                <c:pt idx="2">
                  <c:v>0.49074218749999998</c:v>
                </c:pt>
                <c:pt idx="3">
                  <c:v>0.41495501284818587</c:v>
                </c:pt>
                <c:pt idx="4">
                  <c:v>0.44227777777777777</c:v>
                </c:pt>
                <c:pt idx="5">
                  <c:v>0.22272777777777777</c:v>
                </c:pt>
                <c:pt idx="6">
                  <c:v>0.50171683478499085</c:v>
                </c:pt>
                <c:pt idx="7">
                  <c:v>0.47302161877394633</c:v>
                </c:pt>
              </c:numCache>
            </c:numRef>
          </c:val>
          <c:extLst>
            <c:ext xmlns:c16="http://schemas.microsoft.com/office/drawing/2014/chart" uri="{C3380CC4-5D6E-409C-BE32-E72D297353CC}">
              <c16:uniqueId val="{00000000-A8FF-449C-B6BE-BB827CB78063}"/>
            </c:ext>
          </c:extLst>
        </c:ser>
        <c:dLbls>
          <c:showLegendKey val="0"/>
          <c:showVal val="0"/>
          <c:showCatName val="0"/>
          <c:showSerName val="0"/>
          <c:showPercent val="0"/>
          <c:showBubbleSize val="0"/>
        </c:dLbls>
        <c:gapWidth val="219"/>
        <c:overlap val="-27"/>
        <c:axId val="431135832"/>
        <c:axId val="431136224"/>
      </c:barChart>
      <c:catAx>
        <c:axId val="431135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crossAx val="431136224"/>
        <c:crosses val="autoZero"/>
        <c:auto val="1"/>
        <c:lblAlgn val="ctr"/>
        <c:lblOffset val="100"/>
        <c:noMultiLvlLbl val="0"/>
      </c:catAx>
      <c:valAx>
        <c:axId val="4311362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crossAx val="431135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300" b="1"/>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AVANCE CUATRIENIO IMPULSOR DE AVANCE: CARTAGENA AMIGABLE CON EL AMBIENTE. PROGRAMAS.  CORTE </a:t>
            </a:r>
            <a:r>
              <a:rPr lang="es-CO" sz="1400" b="1" i="0" u="none" strike="noStrike" baseline="0">
                <a:effectLst/>
              </a:rPr>
              <a:t>JUNIO DE 2025</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CONECTADA'!$E$59</c:f>
              <c:strCache>
                <c:ptCount val="1"/>
                <c:pt idx="0">
                  <c:v>AVANCE CUATRIENIO IMPULSOR DE AVANCE: CARTAGENA AMIGABLE CON EL AMBIENTE. CORTE JUNIO 2025</c:v>
                </c:pt>
              </c:strCache>
            </c:strRef>
          </c:tx>
          <c:spPr>
            <a:solidFill>
              <a:srgbClr val="FF00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2577-4FA9-B369-EA2EEC70722F}"/>
              </c:ext>
            </c:extLst>
          </c:dPt>
          <c:dPt>
            <c:idx val="1"/>
            <c:invertIfNegative val="0"/>
            <c:bubble3D val="0"/>
            <c:spPr>
              <a:solidFill>
                <a:srgbClr val="FF7C80"/>
              </a:solidFill>
              <a:ln>
                <a:noFill/>
              </a:ln>
              <a:effectLst/>
            </c:spPr>
            <c:extLst>
              <c:ext xmlns:c16="http://schemas.microsoft.com/office/drawing/2014/chart" uri="{C3380CC4-5D6E-409C-BE32-E72D297353CC}">
                <c16:uniqueId val="{00000004-E3FC-4D96-9830-E4C5FCAF19D4}"/>
              </c:ext>
            </c:extLst>
          </c:dPt>
          <c:dPt>
            <c:idx val="2"/>
            <c:invertIfNegative val="0"/>
            <c:bubble3D val="0"/>
            <c:spPr>
              <a:solidFill>
                <a:srgbClr val="FFFF00"/>
              </a:solidFill>
              <a:ln>
                <a:noFill/>
              </a:ln>
              <a:effectLst/>
            </c:spPr>
            <c:extLst>
              <c:ext xmlns:c16="http://schemas.microsoft.com/office/drawing/2014/chart" uri="{C3380CC4-5D6E-409C-BE32-E72D297353CC}">
                <c16:uniqueId val="{00000003-E3FC-4D96-9830-E4C5FCAF19D4}"/>
              </c:ext>
            </c:extLst>
          </c:dPt>
          <c:dPt>
            <c:idx val="3"/>
            <c:invertIfNegative val="0"/>
            <c:bubble3D val="0"/>
            <c:spPr>
              <a:solidFill>
                <a:srgbClr val="FFFF00"/>
              </a:solidFill>
              <a:ln>
                <a:noFill/>
              </a:ln>
              <a:effectLst/>
            </c:spPr>
            <c:extLst>
              <c:ext xmlns:c16="http://schemas.microsoft.com/office/drawing/2014/chart" uri="{C3380CC4-5D6E-409C-BE32-E72D297353CC}">
                <c16:uniqueId val="{00000006-E3FC-4D96-9830-E4C5FCAF19D4}"/>
              </c:ext>
            </c:extLst>
          </c:dPt>
          <c:dPt>
            <c:idx val="4"/>
            <c:invertIfNegative val="0"/>
            <c:bubble3D val="0"/>
            <c:spPr>
              <a:solidFill>
                <a:srgbClr val="FFFF00"/>
              </a:solidFill>
              <a:ln>
                <a:noFill/>
              </a:ln>
              <a:effectLst/>
            </c:spPr>
            <c:extLst>
              <c:ext xmlns:c16="http://schemas.microsoft.com/office/drawing/2014/chart" uri="{C3380CC4-5D6E-409C-BE32-E72D297353CC}">
                <c16:uniqueId val="{00000009-4FE2-4077-AF5E-564072A8F34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CONECTADA'!$C$60:$C$65</c:f>
              <c:strCache>
                <c:ptCount val="6"/>
                <c:pt idx="0">
                  <c:v> Cartagena Amigable con el Ambiente 
</c:v>
                </c:pt>
                <c:pt idx="1">
                  <c:v> BIENESTAR ANIMAL Y PROTECCIÓN DE LA VIDA SILVESTRE</c:v>
                </c:pt>
                <c:pt idx="2">
                  <c:v> GESTIÓN Y CONSERVACIÓN DE LA VEGETACIÓN Y LA BIODIVERSIDAD</c:v>
                </c:pt>
                <c:pt idx="3">
                  <c:v> ALERTAS TEMPRANAS</c:v>
                </c:pt>
                <c:pt idx="4">
                  <c:v> INVESTIGACIÓN, EDUCACIÓN Y CULTURA AMBIENTAL</c:v>
                </c:pt>
                <c:pt idx="5">
                  <c:v> GENERACIÓN DE ESPACIOS PÚBLICOS REVITALIZADOS Y ADAPTADOS PARA TODOS</c:v>
                </c:pt>
              </c:strCache>
            </c:strRef>
          </c:cat>
          <c:val>
            <c:numRef>
              <c:f>'GRAFICAS CIUDAD CONECTADA'!$E$60:$E$65</c:f>
              <c:numCache>
                <c:formatCode>0.0%</c:formatCode>
                <c:ptCount val="6"/>
                <c:pt idx="0">
                  <c:v>0.25526745502645498</c:v>
                </c:pt>
                <c:pt idx="1">
                  <c:v>0.17433505291005291</c:v>
                </c:pt>
                <c:pt idx="2">
                  <c:v>0.29218555555555553</c:v>
                </c:pt>
                <c:pt idx="3">
                  <c:v>0.35</c:v>
                </c:pt>
                <c:pt idx="4">
                  <c:v>0.33684999999999993</c:v>
                </c:pt>
                <c:pt idx="5">
                  <c:v>0.12296666666666667</c:v>
                </c:pt>
              </c:numCache>
            </c:numRef>
          </c:val>
          <c:extLst>
            <c:ext xmlns:c16="http://schemas.microsoft.com/office/drawing/2014/chart" uri="{C3380CC4-5D6E-409C-BE32-E72D297353CC}">
              <c16:uniqueId val="{00000000-2577-4FA9-B369-EA2EEC70722F}"/>
            </c:ext>
          </c:extLst>
        </c:ser>
        <c:dLbls>
          <c:showLegendKey val="0"/>
          <c:showVal val="0"/>
          <c:showCatName val="0"/>
          <c:showSerName val="0"/>
          <c:showPercent val="0"/>
          <c:showBubbleSize val="0"/>
        </c:dLbls>
        <c:gapWidth val="219"/>
        <c:overlap val="-27"/>
        <c:axId val="431137792"/>
        <c:axId val="431138968"/>
      </c:barChart>
      <c:catAx>
        <c:axId val="43113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1138968"/>
        <c:crosses val="autoZero"/>
        <c:auto val="1"/>
        <c:lblAlgn val="ctr"/>
        <c:lblOffset val="100"/>
        <c:noMultiLvlLbl val="0"/>
      </c:catAx>
      <c:valAx>
        <c:axId val="431138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7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AVANCE CUATRIENIO IMPULSOR DE AVANCE: CIUDAD HISTORICA Y PATRIMONIAL. PROGRAMA. CORTE </a:t>
            </a:r>
            <a:r>
              <a:rPr lang="es-CO" sz="1400" b="1" i="0" u="none" strike="noStrike" baseline="0">
                <a:effectLst/>
              </a:rPr>
              <a:t> JUNIO DE 2025</a:t>
            </a:r>
            <a:endParaRPr lang="en-US" b="1"/>
          </a:p>
        </c:rich>
      </c:tx>
      <c:layout>
        <c:manualLayout>
          <c:xMode val="edge"/>
          <c:yMode val="edge"/>
          <c:x val="0.12170445371047557"/>
          <c:y val="2.93997987093718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2118217483359396E-2"/>
          <c:y val="0.14964392807978255"/>
          <c:w val="0.93579918146215901"/>
          <c:h val="0.59102960527084603"/>
        </c:manualLayout>
      </c:layout>
      <c:barChart>
        <c:barDir val="col"/>
        <c:grouping val="clustered"/>
        <c:varyColors val="0"/>
        <c:ser>
          <c:idx val="0"/>
          <c:order val="0"/>
          <c:tx>
            <c:strRef>
              <c:f>'GRAFICAS CIUDAD CONECTADA'!$E$82</c:f>
              <c:strCache>
                <c:ptCount val="1"/>
                <c:pt idx="0">
                  <c:v>AVANCE CUATRIENIO IMPULSOR DE AVANCE: CIUDAD HISTORICA Y PATRIMONIAL. CORTE JUNIO 2025</c:v>
                </c:pt>
              </c:strCache>
            </c:strRef>
          </c:tx>
          <c:spPr>
            <a:solidFill>
              <a:schemeClr val="accent1"/>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1-B686-4180-8003-1552A77C7A1E}"/>
              </c:ext>
            </c:extLst>
          </c:dPt>
          <c:dPt>
            <c:idx val="1"/>
            <c:invertIfNegative val="0"/>
            <c:bubble3D val="0"/>
            <c:spPr>
              <a:solidFill>
                <a:srgbClr val="FF7C80"/>
              </a:solidFill>
              <a:ln>
                <a:noFill/>
              </a:ln>
              <a:effectLst/>
            </c:spPr>
            <c:extLst>
              <c:ext xmlns:c16="http://schemas.microsoft.com/office/drawing/2014/chart" uri="{C3380CC4-5D6E-409C-BE32-E72D297353CC}">
                <c16:uniqueId val="{00000004-9E2F-40C3-A247-71C9F3627560}"/>
              </c:ext>
            </c:extLst>
          </c:dPt>
          <c:dPt>
            <c:idx val="2"/>
            <c:invertIfNegative val="0"/>
            <c:bubble3D val="0"/>
            <c:spPr>
              <a:solidFill>
                <a:srgbClr val="FF0000"/>
              </a:solidFill>
              <a:ln>
                <a:noFill/>
              </a:ln>
              <a:effectLst/>
            </c:spPr>
            <c:extLst>
              <c:ext xmlns:c16="http://schemas.microsoft.com/office/drawing/2014/chart" uri="{C3380CC4-5D6E-409C-BE32-E72D297353CC}">
                <c16:uniqueId val="{00000007-FB70-46FC-A1B8-6D8371160628}"/>
              </c:ext>
            </c:extLst>
          </c:dPt>
          <c:dPt>
            <c:idx val="3"/>
            <c:invertIfNegative val="0"/>
            <c:bubble3D val="0"/>
            <c:spPr>
              <a:solidFill>
                <a:srgbClr val="92D050"/>
              </a:solidFill>
              <a:ln>
                <a:noFill/>
              </a:ln>
              <a:effectLst/>
            </c:spPr>
            <c:extLst>
              <c:ext xmlns:c16="http://schemas.microsoft.com/office/drawing/2014/chart" uri="{C3380CC4-5D6E-409C-BE32-E72D297353CC}">
                <c16:uniqueId val="{00000006-9E2F-40C3-A247-71C9F362756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CONECTADA'!$C$83:$C$86</c:f>
              <c:strCache>
                <c:ptCount val="4"/>
                <c:pt idx="0">
                  <c:v>Ciudad Histórica y Patrimonial
</c:v>
                </c:pt>
                <c:pt idx="1">
                  <c:v> SOSTENIBILIDAD DEL ESPACIO PÚBLICO DEL CENTRO HISTÓRICO DE CARTAGENA DE INDIAS.</c:v>
                </c:pt>
                <c:pt idx="2">
                  <c:v> CONEXIÓN ENTRE EL CASTILLO DE SAN FELIPE DE BARAJAS Y SU ÁREA DE INFLUENCIA PARA LA RECUPERACIÓN DEL PATRIMONIO ARQUEOLÓGICO, MATERIAL E INMATERIAL</c:v>
                </c:pt>
                <c:pt idx="3">
                  <c:v> MURALLA PARA TODOS</c:v>
                </c:pt>
              </c:strCache>
            </c:strRef>
          </c:cat>
          <c:val>
            <c:numRef>
              <c:f>'GRAFICAS CIUDAD CONECTADA'!$E$83:$E$86</c:f>
              <c:numCache>
                <c:formatCode>0.0%</c:formatCode>
                <c:ptCount val="4"/>
                <c:pt idx="0">
                  <c:v>0.19436479591836733</c:v>
                </c:pt>
                <c:pt idx="1">
                  <c:v>0.17014438775510204</c:v>
                </c:pt>
                <c:pt idx="2">
                  <c:v>3.7949999999999998E-2</c:v>
                </c:pt>
                <c:pt idx="3">
                  <c:v>0.375</c:v>
                </c:pt>
              </c:numCache>
            </c:numRef>
          </c:val>
          <c:extLst>
            <c:ext xmlns:c16="http://schemas.microsoft.com/office/drawing/2014/chart" uri="{C3380CC4-5D6E-409C-BE32-E72D297353CC}">
              <c16:uniqueId val="{00000000-B686-4180-8003-1552A77C7A1E}"/>
            </c:ext>
          </c:extLst>
        </c:ser>
        <c:dLbls>
          <c:showLegendKey val="0"/>
          <c:showVal val="0"/>
          <c:showCatName val="0"/>
          <c:showSerName val="0"/>
          <c:showPercent val="0"/>
          <c:showBubbleSize val="0"/>
        </c:dLbls>
        <c:gapWidth val="219"/>
        <c:overlap val="-27"/>
        <c:axId val="431141320"/>
        <c:axId val="431134656"/>
      </c:barChart>
      <c:catAx>
        <c:axId val="431141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4656"/>
        <c:crosses val="autoZero"/>
        <c:auto val="1"/>
        <c:lblAlgn val="ctr"/>
        <c:lblOffset val="100"/>
        <c:noMultiLvlLbl val="0"/>
      </c:catAx>
      <c:valAx>
        <c:axId val="4311346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41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INFRAESTRUCTURA, MOVILIDAD Y ACCESIBILIDAD. PROGRAMAS.</a:t>
            </a:r>
            <a:r>
              <a:rPr lang="en-US" baseline="0"/>
              <a:t> </a:t>
            </a:r>
            <a:r>
              <a:rPr lang="en-US"/>
              <a:t>CORTE </a:t>
            </a:r>
            <a:r>
              <a:rPr lang="es-CO" sz="1400" b="1" i="0" u="none" strike="noStrike" baseline="0">
                <a:effectLst/>
              </a:rPr>
              <a:t> JUNIO DE 2025</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CONECTADA'!$E$94</c:f>
              <c:strCache>
                <c:ptCount val="1"/>
                <c:pt idx="0">
                  <c:v>AVANCE CUATRIENIO IMPULSOR DE AVANCE: INFRAESTRUCTURA, MOVILIDAD Y ACCESIBILIDAD.  CORTE JUNIO 2025</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60C6-4BE7-9189-2007AA0C52D2}"/>
              </c:ext>
            </c:extLst>
          </c:dPt>
          <c:dPt>
            <c:idx val="3"/>
            <c:invertIfNegative val="0"/>
            <c:bubble3D val="0"/>
            <c:spPr>
              <a:solidFill>
                <a:srgbClr val="92D050"/>
              </a:solidFill>
              <a:ln>
                <a:noFill/>
              </a:ln>
              <a:effectLst/>
            </c:spPr>
            <c:extLst>
              <c:ext xmlns:c16="http://schemas.microsoft.com/office/drawing/2014/chart" uri="{C3380CC4-5D6E-409C-BE32-E72D297353CC}">
                <c16:uniqueId val="{00000003-5CE0-4DB2-A4F6-A61F3A9E0D8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CONECTADA'!$C$95:$C$99</c:f>
              <c:strCache>
                <c:ptCount val="5"/>
                <c:pt idx="0">
                  <c:v>Infraestructura, Movilidad Sostenible y Accesibilidad para Todos
</c:v>
                </c:pt>
                <c:pt idx="1">
                  <c:v> REHABILITACIÓN, MANTENIMIENTO, ADECUACIÓN, Y OBRA NUEVA PARA EL SISTEMA VIAL Y ESTRUCTURAS DE PASO</c:v>
                </c:pt>
                <c:pt idx="2">
                  <c:v> SOLUCIONES VIALES PARA LA COMPETITIVIDAD A TRAVÉS DE CONTRIBUCIÓN POR VALORIZACIÓN</c:v>
                </c:pt>
                <c:pt idx="3">
                  <c:v> MOVILIDAD ORDENADA, SOSTENIBLE Y AMIGABLE CON EL MEDIO AMBIENTE</c:v>
                </c:pt>
                <c:pt idx="4">
                  <c:v> TRANSPORTE MASIVO CONFIABLE, EFICIENTE Y SOSTENIBLE</c:v>
                </c:pt>
              </c:strCache>
            </c:strRef>
          </c:cat>
          <c:val>
            <c:numRef>
              <c:f>'GRAFICAS CIUDAD CONECTADA'!$E$95:$E$99</c:f>
              <c:numCache>
                <c:formatCode>0.0%</c:formatCode>
                <c:ptCount val="5"/>
                <c:pt idx="0">
                  <c:v>0.52112490940263534</c:v>
                </c:pt>
                <c:pt idx="1">
                  <c:v>0.93191666666666662</c:v>
                </c:pt>
                <c:pt idx="2">
                  <c:v>0</c:v>
                </c:pt>
                <c:pt idx="3">
                  <c:v>0.35413214924728281</c:v>
                </c:pt>
                <c:pt idx="4">
                  <c:v>0.79845082169659176</c:v>
                </c:pt>
              </c:numCache>
            </c:numRef>
          </c:val>
          <c:extLst>
            <c:ext xmlns:c16="http://schemas.microsoft.com/office/drawing/2014/chart" uri="{C3380CC4-5D6E-409C-BE32-E72D297353CC}">
              <c16:uniqueId val="{00000000-60C6-4BE7-9189-2007AA0C52D2}"/>
            </c:ext>
          </c:extLst>
        </c:ser>
        <c:dLbls>
          <c:showLegendKey val="0"/>
          <c:showVal val="0"/>
          <c:showCatName val="0"/>
          <c:showSerName val="0"/>
          <c:showPercent val="0"/>
          <c:showBubbleSize val="0"/>
        </c:dLbls>
        <c:gapWidth val="219"/>
        <c:overlap val="-27"/>
        <c:axId val="431135440"/>
        <c:axId val="431141712"/>
      </c:barChart>
      <c:catAx>
        <c:axId val="43113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41712"/>
        <c:crosses val="autoZero"/>
        <c:auto val="1"/>
        <c:lblAlgn val="ctr"/>
        <c:lblOffset val="100"/>
        <c:noMultiLvlLbl val="0"/>
      </c:catAx>
      <c:valAx>
        <c:axId val="431141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5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CARTAGENA ORDENADA ALREDEDOR DEL AGUA.  PROGRAMAS.</a:t>
            </a:r>
            <a:r>
              <a:rPr lang="en-US" baseline="0"/>
              <a:t> </a:t>
            </a:r>
            <a:r>
              <a:rPr lang="en-US"/>
              <a:t>CORTE </a:t>
            </a:r>
            <a:r>
              <a:rPr lang="es-CO" sz="1400" b="1" i="0" u="none" strike="noStrike" baseline="0">
                <a:effectLst/>
              </a:rPr>
              <a:t> JUNIO DE 2025</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CONECTADA'!$E$103</c:f>
              <c:strCache>
                <c:ptCount val="1"/>
                <c:pt idx="0">
                  <c:v>AVANCE CUATRIENIO IMPULSOR DE AVANCE: CARTAGENA ORDENADA ALREDEDOR DEL AGUA. CORTE JUNIO 2025</c:v>
                </c:pt>
              </c:strCache>
            </c:strRef>
          </c:tx>
          <c:spPr>
            <a:solidFill>
              <a:srgbClr val="00B05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C3DF-4779-B6F1-2778FE45C48F}"/>
              </c:ext>
            </c:extLst>
          </c:dPt>
          <c:dPt>
            <c:idx val="1"/>
            <c:invertIfNegative val="0"/>
            <c:bubble3D val="0"/>
            <c:spPr>
              <a:solidFill>
                <a:srgbClr val="FFFF00"/>
              </a:solidFill>
              <a:ln>
                <a:noFill/>
              </a:ln>
              <a:effectLst/>
            </c:spPr>
            <c:extLst>
              <c:ext xmlns:c16="http://schemas.microsoft.com/office/drawing/2014/chart" uri="{C3380CC4-5D6E-409C-BE32-E72D297353CC}">
                <c16:uniqueId val="{00000007-F129-442A-91B2-908969E4DFD0}"/>
              </c:ext>
            </c:extLst>
          </c:dPt>
          <c:dPt>
            <c:idx val="2"/>
            <c:invertIfNegative val="0"/>
            <c:bubble3D val="0"/>
            <c:spPr>
              <a:solidFill>
                <a:srgbClr val="00B050"/>
              </a:solidFill>
              <a:ln>
                <a:noFill/>
              </a:ln>
              <a:effectLst/>
            </c:spPr>
            <c:extLst>
              <c:ext xmlns:c16="http://schemas.microsoft.com/office/drawing/2014/chart" uri="{C3380CC4-5D6E-409C-BE32-E72D297353CC}">
                <c16:uniqueId val="{00000008-095B-41A9-A9D1-404F3E84F913}"/>
              </c:ext>
            </c:extLst>
          </c:dPt>
          <c:dPt>
            <c:idx val="3"/>
            <c:invertIfNegative val="0"/>
            <c:bubble3D val="0"/>
            <c:spPr>
              <a:solidFill>
                <a:srgbClr val="92D050"/>
              </a:solidFill>
              <a:ln>
                <a:noFill/>
              </a:ln>
              <a:effectLst/>
            </c:spPr>
            <c:extLst>
              <c:ext xmlns:c16="http://schemas.microsoft.com/office/drawing/2014/chart" uri="{C3380CC4-5D6E-409C-BE32-E72D297353CC}">
                <c16:uniqueId val="{00000003-F129-442A-91B2-908969E4DFD0}"/>
              </c:ext>
            </c:extLst>
          </c:dPt>
          <c:dPt>
            <c:idx val="4"/>
            <c:invertIfNegative val="0"/>
            <c:bubble3D val="0"/>
            <c:spPr>
              <a:solidFill>
                <a:srgbClr val="FFFF00"/>
              </a:solidFill>
              <a:ln>
                <a:noFill/>
              </a:ln>
              <a:effectLst/>
            </c:spPr>
            <c:extLst>
              <c:ext xmlns:c16="http://schemas.microsoft.com/office/drawing/2014/chart" uri="{C3380CC4-5D6E-409C-BE32-E72D297353CC}">
                <c16:uniqueId val="{00000005-F129-442A-91B2-908969E4DFD0}"/>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CONECTADA'!$C$104:$C$108</c:f>
              <c:strCache>
                <c:ptCount val="5"/>
                <c:pt idx="0">
                  <c:v>Cartagena Ordenada Alrededor del Agua
</c:v>
                </c:pt>
                <c:pt idx="1">
                  <c:v> GESTIÓN Y CONSERVACIÓN DEL AGUA</c:v>
                </c:pt>
                <c:pt idx="2">
                  <c:v> RECUPERACIÓN DEL SISTEMA DE CANALES Y DRENAJES PLUVIALES</c:v>
                </c:pt>
                <c:pt idx="3">
                  <c:v> RECUPERACIÓN Y ESTABILIZACIÓN DEL SISTEMA HÍDRICO Y LITORAL DE CARTAGENA</c:v>
                </c:pt>
                <c:pt idx="4">
                  <c:v> PLAN DE RESTAURACIÓN INTEGRAL DE LA CIÉNAGA DE LA VIRGEN</c:v>
                </c:pt>
              </c:strCache>
            </c:strRef>
          </c:cat>
          <c:val>
            <c:numRef>
              <c:f>'GRAFICAS CIUDAD CONECTADA'!$E$104:$E$108</c:f>
              <c:numCache>
                <c:formatCode>0.0%</c:formatCode>
                <c:ptCount val="5"/>
                <c:pt idx="0">
                  <c:v>0.34193255555555557</c:v>
                </c:pt>
                <c:pt idx="1">
                  <c:v>0.20335833333333334</c:v>
                </c:pt>
                <c:pt idx="2">
                  <c:v>0.46131633333333327</c:v>
                </c:pt>
                <c:pt idx="3">
                  <c:v>0.43200000000000005</c:v>
                </c:pt>
                <c:pt idx="4">
                  <c:v>0.27105555555555549</c:v>
                </c:pt>
              </c:numCache>
            </c:numRef>
          </c:val>
          <c:extLst>
            <c:ext xmlns:c16="http://schemas.microsoft.com/office/drawing/2014/chart" uri="{C3380CC4-5D6E-409C-BE32-E72D297353CC}">
              <c16:uniqueId val="{00000000-C3DF-4779-B6F1-2778FE45C48F}"/>
            </c:ext>
          </c:extLst>
        </c:ser>
        <c:dLbls>
          <c:showLegendKey val="0"/>
          <c:showVal val="0"/>
          <c:showCatName val="0"/>
          <c:showSerName val="0"/>
          <c:showPercent val="0"/>
          <c:showBubbleSize val="0"/>
        </c:dLbls>
        <c:gapWidth val="219"/>
        <c:overlap val="-27"/>
        <c:axId val="431139360"/>
        <c:axId val="431136616"/>
      </c:barChart>
      <c:catAx>
        <c:axId val="43113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6616"/>
        <c:crosses val="autoZero"/>
        <c:auto val="1"/>
        <c:lblAlgn val="ctr"/>
        <c:lblOffset val="100"/>
        <c:noMultiLvlLbl val="0"/>
      </c:catAx>
      <c:valAx>
        <c:axId val="4311366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9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AVANCE CUATRIENIO IMPULSOR DE AVANCE: ORDENAMIENTO DEL TERRITORIO. PROGRAMAS.</a:t>
            </a:r>
            <a:r>
              <a:rPr lang="en-US" b="1" baseline="0"/>
              <a:t> </a:t>
            </a:r>
            <a:r>
              <a:rPr lang="en-US" b="1"/>
              <a:t>CORTE </a:t>
            </a:r>
            <a:r>
              <a:rPr lang="es-CO" sz="1400" b="1" i="0" u="none" strike="noStrike" baseline="0">
                <a:effectLst/>
              </a:rPr>
              <a:t> JUNIO DE 2025</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CONECTADA'!$E$46</c:f>
              <c:strCache>
                <c:ptCount val="1"/>
                <c:pt idx="0">
                  <c:v>AVANCE CUATRIENIO IMPULSOR DE AVANCE: ORDENAMIENTO DEL TERRITORIO. CORTE JUNIO 2025.</c:v>
                </c:pt>
              </c:strCache>
            </c:strRef>
          </c:tx>
          <c:spPr>
            <a:solidFill>
              <a:srgbClr val="FFFF00"/>
            </a:solidFill>
            <a:ln>
              <a:noFill/>
            </a:ln>
            <a:effectLst/>
          </c:spPr>
          <c:invertIfNegative val="0"/>
          <c:dPt>
            <c:idx val="2"/>
            <c:invertIfNegative val="0"/>
            <c:bubble3D val="0"/>
            <c:spPr>
              <a:solidFill>
                <a:srgbClr val="92D050"/>
              </a:solidFill>
              <a:ln>
                <a:noFill/>
              </a:ln>
              <a:effectLst/>
            </c:spPr>
            <c:extLst>
              <c:ext xmlns:c16="http://schemas.microsoft.com/office/drawing/2014/chart" uri="{C3380CC4-5D6E-409C-BE32-E72D297353CC}">
                <c16:uniqueId val="{00000000-5684-460F-AE79-3FBF9328DC1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CONECTADA'!$C$47:$C$49</c:f>
              <c:strCache>
                <c:ptCount val="3"/>
                <c:pt idx="0">
                  <c:v> Ordenamiento del Territorio y espacio público.
</c:v>
                </c:pt>
                <c:pt idx="1">
                  <c:v> INSTRUMENTOS DE PLANIFICACIÓN TERRITORIAL</c:v>
                </c:pt>
                <c:pt idx="2">
                  <c:v> RECUPERACIÓN Y TRANSFORMACIÓN DEL ESPACIO PÚBLICO</c:v>
                </c:pt>
              </c:strCache>
            </c:strRef>
          </c:cat>
          <c:val>
            <c:numRef>
              <c:f>'GRAFICAS CIUDAD CONECTADA'!$E$47:$E$49</c:f>
              <c:numCache>
                <c:formatCode>0.0%</c:formatCode>
                <c:ptCount val="3"/>
                <c:pt idx="0">
                  <c:v>0.32648150518018021</c:v>
                </c:pt>
                <c:pt idx="1">
                  <c:v>0.27068958333333337</c:v>
                </c:pt>
                <c:pt idx="2">
                  <c:v>0.38227342702702705</c:v>
                </c:pt>
              </c:numCache>
            </c:numRef>
          </c:val>
          <c:extLst>
            <c:ext xmlns:c16="http://schemas.microsoft.com/office/drawing/2014/chart" uri="{C3380CC4-5D6E-409C-BE32-E72D297353CC}">
              <c16:uniqueId val="{00000000-5463-4B07-A4D0-6F5F33F2DE21}"/>
            </c:ext>
          </c:extLst>
        </c:ser>
        <c:dLbls>
          <c:showLegendKey val="0"/>
          <c:showVal val="0"/>
          <c:showCatName val="0"/>
          <c:showSerName val="0"/>
          <c:showPercent val="0"/>
          <c:showBubbleSize val="0"/>
        </c:dLbls>
        <c:gapWidth val="219"/>
        <c:overlap val="-27"/>
        <c:axId val="431139752"/>
        <c:axId val="431134264"/>
      </c:barChart>
      <c:catAx>
        <c:axId val="431139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4264"/>
        <c:crosses val="autoZero"/>
        <c:auto val="1"/>
        <c:lblAlgn val="ctr"/>
        <c:lblOffset val="100"/>
        <c:noMultiLvlLbl val="0"/>
      </c:catAx>
      <c:valAx>
        <c:axId val="431134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1139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600" b="1"/>
              <a:t>AVANCE RESPECTO AL CUATRIENIO DE LOS COMPONENTES IMPULSORES LINEA ESTRATÉGICA CIUDAD CONECTADA. COMPARATIVO DICIEMBRE DE  2024 -</a:t>
            </a:r>
            <a:r>
              <a:rPr lang="es-CO" sz="1600" b="1" baseline="0"/>
              <a:t>  JUNIO DE 2025</a:t>
            </a:r>
            <a:endParaRPr lang="es-CO" sz="1600" b="1"/>
          </a:p>
        </c:rich>
      </c:tx>
      <c:layout>
        <c:manualLayout>
          <c:xMode val="edge"/>
          <c:yMode val="edge"/>
          <c:x val="0.10282195447303445"/>
          <c:y val="8.737439930100480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CONECTADA'!$D$4</c:f>
              <c:strCache>
                <c:ptCount val="1"/>
                <c:pt idx="0">
                  <c:v>ESPERADO  AL CUATRIENIO CORTE DICIEMBRE 2025</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CONECTADA'!$D$5:$D$12</c:f>
              <c:numCache>
                <c:formatCode>0.0%</c:formatCode>
                <c:ptCount val="8"/>
                <c:pt idx="0">
                  <c:v>0.45754092798427343</c:v>
                </c:pt>
                <c:pt idx="1">
                  <c:v>0.51809708353808359</c:v>
                </c:pt>
                <c:pt idx="2">
                  <c:v>0.28910714285714284</c:v>
                </c:pt>
                <c:pt idx="3">
                  <c:v>0.42368055555555556</c:v>
                </c:pt>
                <c:pt idx="4">
                  <c:v>0.59632768509323986</c:v>
                </c:pt>
                <c:pt idx="5">
                  <c:v>0.42505793650793644</c:v>
                </c:pt>
                <c:pt idx="6">
                  <c:v>0.6214955271871011</c:v>
                </c:pt>
                <c:pt idx="7">
                  <c:v>0.44129952380952381</c:v>
                </c:pt>
              </c:numCache>
            </c:numRef>
          </c:val>
          <c:extLst>
            <c:ext xmlns:c16="http://schemas.microsoft.com/office/drawing/2014/chart" uri="{C3380CC4-5D6E-409C-BE32-E72D297353CC}">
              <c16:uniqueId val="{00000000-CFAA-4BBB-A7CC-EB9061389E8F}"/>
            </c:ext>
          </c:extLst>
        </c:ser>
        <c:ser>
          <c:idx val="1"/>
          <c:order val="1"/>
          <c:tx>
            <c:strRef>
              <c:f>'GRAFICAS CIUDAD CONECTADA'!$E$4</c:f>
              <c:strCache>
                <c:ptCount val="1"/>
                <c:pt idx="0">
                  <c:v>LOGRO VIGENCIA  CORTE JUNIO 2025 RESPECTO AL CUATRIENIO</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2-34BC-4BE7-8D8C-4DBB55BAAF5B}"/>
              </c:ext>
            </c:extLst>
          </c:dPt>
          <c:dPt>
            <c:idx val="1"/>
            <c:invertIfNegative val="0"/>
            <c:bubble3D val="0"/>
            <c:spPr>
              <a:solidFill>
                <a:srgbClr val="FFFF00"/>
              </a:solidFill>
              <a:ln>
                <a:noFill/>
              </a:ln>
              <a:effectLst/>
            </c:spPr>
            <c:extLst>
              <c:ext xmlns:c16="http://schemas.microsoft.com/office/drawing/2014/chart" uri="{C3380CC4-5D6E-409C-BE32-E72D297353CC}">
                <c16:uniqueId val="{00000003-34BC-4BE7-8D8C-4DBB55BAAF5B}"/>
              </c:ext>
            </c:extLst>
          </c:dPt>
          <c:dPt>
            <c:idx val="2"/>
            <c:invertIfNegative val="0"/>
            <c:bubble3D val="0"/>
            <c:spPr>
              <a:solidFill>
                <a:srgbClr val="FFFF00"/>
              </a:solidFill>
              <a:ln>
                <a:noFill/>
              </a:ln>
              <a:effectLst/>
            </c:spPr>
            <c:extLst>
              <c:ext xmlns:c16="http://schemas.microsoft.com/office/drawing/2014/chart" uri="{C3380CC4-5D6E-409C-BE32-E72D297353CC}">
                <c16:uniqueId val="{0000000A-368C-46D6-B5D0-FE12A40F95B8}"/>
              </c:ext>
            </c:extLst>
          </c:dPt>
          <c:dPt>
            <c:idx val="3"/>
            <c:invertIfNegative val="0"/>
            <c:bubble3D val="0"/>
            <c:spPr>
              <a:solidFill>
                <a:srgbClr val="FFFF00"/>
              </a:solidFill>
              <a:ln>
                <a:noFill/>
              </a:ln>
              <a:effectLst/>
            </c:spPr>
            <c:extLst>
              <c:ext xmlns:c16="http://schemas.microsoft.com/office/drawing/2014/chart" uri="{C3380CC4-5D6E-409C-BE32-E72D297353CC}">
                <c16:uniqueId val="{0000000C-1053-4D1D-9057-CA61474A2243}"/>
              </c:ext>
            </c:extLst>
          </c:dPt>
          <c:dPt>
            <c:idx val="4"/>
            <c:invertIfNegative val="0"/>
            <c:bubble3D val="0"/>
            <c:spPr>
              <a:solidFill>
                <a:srgbClr val="00B050"/>
              </a:solidFill>
              <a:ln>
                <a:noFill/>
              </a:ln>
              <a:effectLst/>
            </c:spPr>
            <c:extLst>
              <c:ext xmlns:c16="http://schemas.microsoft.com/office/drawing/2014/chart" uri="{C3380CC4-5D6E-409C-BE32-E72D297353CC}">
                <c16:uniqueId val="{00000005-34BC-4BE7-8D8C-4DBB55BAAF5B}"/>
              </c:ext>
            </c:extLst>
          </c:dPt>
          <c:dPt>
            <c:idx val="6"/>
            <c:invertIfNegative val="0"/>
            <c:bubble3D val="0"/>
            <c:spPr>
              <a:solidFill>
                <a:srgbClr val="00B050"/>
              </a:solidFill>
              <a:ln>
                <a:noFill/>
              </a:ln>
              <a:effectLst/>
            </c:spPr>
            <c:extLst>
              <c:ext xmlns:c16="http://schemas.microsoft.com/office/drawing/2014/chart" uri="{C3380CC4-5D6E-409C-BE32-E72D297353CC}">
                <c16:uniqueId val="{00000006-34BC-4BE7-8D8C-4DBB55BAAF5B}"/>
              </c:ext>
            </c:extLst>
          </c:dPt>
          <c:dPt>
            <c:idx val="7"/>
            <c:invertIfNegative val="0"/>
            <c:bubble3D val="0"/>
            <c:spPr>
              <a:solidFill>
                <a:srgbClr val="FFFF00"/>
              </a:solidFill>
              <a:ln>
                <a:noFill/>
              </a:ln>
              <a:effectLst/>
            </c:spPr>
            <c:extLst>
              <c:ext xmlns:c16="http://schemas.microsoft.com/office/drawing/2014/chart" uri="{C3380CC4-5D6E-409C-BE32-E72D297353CC}">
                <c16:uniqueId val="{00000008-34BC-4BE7-8D8C-4DBB55BAAF5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CONECTADA'!$E$5:$E$12</c:f>
              <c:numCache>
                <c:formatCode>0.0%</c:formatCode>
                <c:ptCount val="8"/>
                <c:pt idx="0">
                  <c:v>0.32826692545655778</c:v>
                </c:pt>
                <c:pt idx="1">
                  <c:v>0.32648150518018021</c:v>
                </c:pt>
                <c:pt idx="2">
                  <c:v>0.25995803571428572</c:v>
                </c:pt>
                <c:pt idx="3">
                  <c:v>0.25526745502645498</c:v>
                </c:pt>
                <c:pt idx="4">
                  <c:v>0.46996420327895211</c:v>
                </c:pt>
                <c:pt idx="5">
                  <c:v>0.19436479591836733</c:v>
                </c:pt>
                <c:pt idx="6">
                  <c:v>0.52112490940263534</c:v>
                </c:pt>
                <c:pt idx="7">
                  <c:v>0.34193255555555557</c:v>
                </c:pt>
              </c:numCache>
            </c:numRef>
          </c:val>
          <c:extLst>
            <c:ext xmlns:c16="http://schemas.microsoft.com/office/drawing/2014/chart" uri="{C3380CC4-5D6E-409C-BE32-E72D297353CC}">
              <c16:uniqueId val="{00000001-CFAA-4BBB-A7CC-EB9061389E8F}"/>
            </c:ext>
          </c:extLst>
        </c:ser>
        <c:ser>
          <c:idx val="2"/>
          <c:order val="2"/>
          <c:tx>
            <c:strRef>
              <c:f>'GRAFICAS CIUDAD CONECTADA'!$F$4</c:f>
              <c:strCache>
                <c:ptCount val="1"/>
                <c:pt idx="0">
                  <c:v>LOGRO VIGENCIA  CORTE DICIEMBRE  2024 RESPECTO AL CUATRIENIO</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CONECTADA'!$F$5:$F$12</c:f>
              <c:numCache>
                <c:formatCode>0.0%</c:formatCode>
                <c:ptCount val="8"/>
                <c:pt idx="0">
                  <c:v>0.22160323916687383</c:v>
                </c:pt>
                <c:pt idx="1">
                  <c:v>0.23386643243243244</c:v>
                </c:pt>
                <c:pt idx="2">
                  <c:v>0.16672619047619047</c:v>
                </c:pt>
                <c:pt idx="3">
                  <c:v>0.13760416666666669</c:v>
                </c:pt>
                <c:pt idx="4">
                  <c:v>0.34751855340367338</c:v>
                </c:pt>
                <c:pt idx="5">
                  <c:v>0.15124841269841269</c:v>
                </c:pt>
                <c:pt idx="6">
                  <c:v>0.28704669626851897</c:v>
                </c:pt>
                <c:pt idx="7">
                  <c:v>0.22721222222222223</c:v>
                </c:pt>
              </c:numCache>
            </c:numRef>
          </c:val>
          <c:extLst>
            <c:ext xmlns:c16="http://schemas.microsoft.com/office/drawing/2014/chart" uri="{C3380CC4-5D6E-409C-BE32-E72D297353CC}">
              <c16:uniqueId val="{00000002-CFAA-4BBB-A7CC-EB9061389E8F}"/>
            </c:ext>
          </c:extLst>
        </c:ser>
        <c:dLbls>
          <c:showLegendKey val="0"/>
          <c:showVal val="0"/>
          <c:showCatName val="0"/>
          <c:showSerName val="0"/>
          <c:showPercent val="0"/>
          <c:showBubbleSize val="0"/>
        </c:dLbls>
        <c:gapWidth val="219"/>
        <c:overlap val="-27"/>
        <c:axId val="431140536"/>
        <c:axId val="432684888"/>
      </c:barChart>
      <c:catAx>
        <c:axId val="4311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4888"/>
        <c:crosses val="autoZero"/>
        <c:auto val="1"/>
        <c:lblAlgn val="ctr"/>
        <c:lblOffset val="100"/>
        <c:noMultiLvlLbl val="0"/>
      </c:catAx>
      <c:valAx>
        <c:axId val="432684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31140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CONECTADA'!$E$54</c:f>
              <c:strCache>
                <c:ptCount val="1"/>
                <c:pt idx="0">
                  <c:v>AVANCE CUATRIENIO IMPULSOR DE AVANCE: CONTROL URBANISTICO. CORTE JUNIO 2025</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4-C7CF-4DD4-9817-1883B688708F}"/>
              </c:ext>
            </c:extLst>
          </c:dPt>
          <c:dPt>
            <c:idx val="1"/>
            <c:invertIfNegative val="0"/>
            <c:bubble3D val="0"/>
            <c:spPr>
              <a:solidFill>
                <a:srgbClr val="FFFF00"/>
              </a:solidFill>
              <a:ln>
                <a:noFill/>
              </a:ln>
              <a:effectLst/>
            </c:spPr>
            <c:extLst>
              <c:ext xmlns:c16="http://schemas.microsoft.com/office/drawing/2014/chart" uri="{C3380CC4-5D6E-409C-BE32-E72D297353CC}">
                <c16:uniqueId val="{0000000A-C7CF-4DD4-9817-1883B688708F}"/>
              </c:ext>
            </c:extLst>
          </c:dPt>
          <c:dPt>
            <c:idx val="2"/>
            <c:invertIfNegative val="0"/>
            <c:bubble3D val="0"/>
            <c:spPr>
              <a:solidFill>
                <a:srgbClr val="FFFF00"/>
              </a:solidFill>
              <a:ln>
                <a:noFill/>
              </a:ln>
              <a:effectLst/>
            </c:spPr>
            <c:extLst>
              <c:ext xmlns:c16="http://schemas.microsoft.com/office/drawing/2014/chart" uri="{C3380CC4-5D6E-409C-BE32-E72D297353CC}">
                <c16:uniqueId val="{00000013-C7CF-4DD4-9817-1883B688708F}"/>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CONECTADA'!$C$55:$C$57</c:f>
              <c:strCache>
                <c:ptCount val="3"/>
                <c:pt idx="0">
                  <c:v> Control Urbanístico y Territorial
</c:v>
                </c:pt>
                <c:pt idx="1">
                  <c:v> CARTAGENA AVANZA EN EL FORTALECIMIENTO DEL PLAN DE NORMALIZACIÓN URBANÍSTICA</c:v>
                </c:pt>
                <c:pt idx="2">
                  <c:v> RECUPERANDO LA GOBERNANZA URBANÍSTICA, CARTAGENA VUELVE A BRILLAR</c:v>
                </c:pt>
              </c:strCache>
            </c:strRef>
          </c:cat>
          <c:val>
            <c:numRef>
              <c:f>'GRAFICAS CIUDAD CONECTADA'!$E$55:$E$57</c:f>
              <c:numCache>
                <c:formatCode>0.0%</c:formatCode>
                <c:ptCount val="3"/>
                <c:pt idx="0">
                  <c:v>0.25995803571428572</c:v>
                </c:pt>
                <c:pt idx="1">
                  <c:v>0.24991607142857145</c:v>
                </c:pt>
                <c:pt idx="2">
                  <c:v>0.27</c:v>
                </c:pt>
              </c:numCache>
            </c:numRef>
          </c:val>
          <c:extLst>
            <c:ext xmlns:c16="http://schemas.microsoft.com/office/drawing/2014/chart" uri="{C3380CC4-5D6E-409C-BE32-E72D297353CC}">
              <c16:uniqueId val="{00000000-C7CF-4DD4-9817-1883B688708F}"/>
            </c:ext>
          </c:extLst>
        </c:ser>
        <c:dLbls>
          <c:showLegendKey val="0"/>
          <c:showVal val="0"/>
          <c:showCatName val="0"/>
          <c:showSerName val="0"/>
          <c:showPercent val="0"/>
          <c:showBubbleSize val="0"/>
        </c:dLbls>
        <c:gapWidth val="219"/>
        <c:overlap val="-27"/>
        <c:axId val="432688416"/>
        <c:axId val="432686064"/>
      </c:barChart>
      <c:catAx>
        <c:axId val="43268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2686064"/>
        <c:crosses val="autoZero"/>
        <c:auto val="1"/>
        <c:lblAlgn val="ctr"/>
        <c:lblOffset val="100"/>
        <c:noMultiLvlLbl val="0"/>
      </c:catAx>
      <c:valAx>
        <c:axId val="432686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432688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CONECTADA'!$E$70</c:f>
              <c:strCache>
                <c:ptCount val="1"/>
                <c:pt idx="0">
                  <c:v>AVANCE CUATRIENIO IMPULSOR DE AVANCE: CARTAGENA ADAPTADA AL CLIMA Y RESILIENTE. CORTE JUNIO 2025</c:v>
                </c:pt>
              </c:strCache>
            </c:strRef>
          </c:tx>
          <c:spPr>
            <a:solidFill>
              <a:srgbClr val="00B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7A18-4B95-BEB8-3FD875E0A15E}"/>
              </c:ext>
            </c:extLst>
          </c:dPt>
          <c:dPt>
            <c:idx val="1"/>
            <c:invertIfNegative val="0"/>
            <c:bubble3D val="0"/>
            <c:spPr>
              <a:solidFill>
                <a:srgbClr val="92D050"/>
              </a:solidFill>
              <a:ln>
                <a:noFill/>
              </a:ln>
              <a:effectLst/>
            </c:spPr>
            <c:extLst>
              <c:ext xmlns:c16="http://schemas.microsoft.com/office/drawing/2014/chart" uri="{C3380CC4-5D6E-409C-BE32-E72D297353CC}">
                <c16:uniqueId val="{00000003-7A18-4B95-BEB8-3FD875E0A15E}"/>
              </c:ext>
            </c:extLst>
          </c:dPt>
          <c:dPt>
            <c:idx val="2"/>
            <c:invertIfNegative val="0"/>
            <c:bubble3D val="0"/>
            <c:spPr>
              <a:solidFill>
                <a:srgbClr val="92D050"/>
              </a:solidFill>
              <a:ln>
                <a:noFill/>
              </a:ln>
              <a:effectLst/>
            </c:spPr>
            <c:extLst>
              <c:ext xmlns:c16="http://schemas.microsoft.com/office/drawing/2014/chart" uri="{C3380CC4-5D6E-409C-BE32-E72D297353CC}">
                <c16:uniqueId val="{00000005-7A18-4B95-BEB8-3FD875E0A15E}"/>
              </c:ext>
            </c:extLst>
          </c:dPt>
          <c:dPt>
            <c:idx val="4"/>
            <c:invertIfNegative val="0"/>
            <c:bubble3D val="0"/>
            <c:spPr>
              <a:solidFill>
                <a:srgbClr val="00B050"/>
              </a:solidFill>
              <a:ln>
                <a:noFill/>
              </a:ln>
              <a:effectLst/>
            </c:spPr>
            <c:extLst>
              <c:ext xmlns:c16="http://schemas.microsoft.com/office/drawing/2014/chart" uri="{C3380CC4-5D6E-409C-BE32-E72D297353CC}">
                <c16:uniqueId val="{00000007-7A18-4B95-BEB8-3FD875E0A15E}"/>
              </c:ext>
            </c:extLst>
          </c:dPt>
          <c:dPt>
            <c:idx val="5"/>
            <c:invertIfNegative val="0"/>
            <c:bubble3D val="0"/>
            <c:spPr>
              <a:solidFill>
                <a:srgbClr val="FF7C80"/>
              </a:solidFill>
              <a:ln>
                <a:noFill/>
              </a:ln>
              <a:effectLst/>
            </c:spPr>
            <c:extLst>
              <c:ext xmlns:c16="http://schemas.microsoft.com/office/drawing/2014/chart" uri="{C3380CC4-5D6E-409C-BE32-E72D297353CC}">
                <c16:uniqueId val="{00000009-7A18-4B95-BEB8-3FD875E0A15E}"/>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CONECTADA'!$C$71:$C$77</c:f>
              <c:strCache>
                <c:ptCount val="7"/>
                <c:pt idx="0">
                  <c:v> Cartagena Adaptada al Clima y Resiliente a los Desastres
</c:v>
                </c:pt>
                <c:pt idx="1">
                  <c:v> ORDENAMIENTO Y SOSTENIBILIDAD AMBIENTAL</c:v>
                </c:pt>
                <c:pt idx="2">
                  <c:v> CONOCIMIENTO DEL RIESGO</c:v>
                </c:pt>
                <c:pt idx="3">
                  <c:v> REDUCCIÓN DEL RIESGO</c:v>
                </c:pt>
                <c:pt idx="4">
                  <c:v> MANEJO DE DESASTRES</c:v>
                </c:pt>
                <c:pt idx="5">
                  <c:v> PROTECCIÓN COSTERA</c:v>
                </c:pt>
                <c:pt idx="6">
                  <c:v> ADAPTACIÓN DEL ESPACIO PÚBLICO AL CAMBIO CLIMÁTICO</c:v>
                </c:pt>
              </c:strCache>
            </c:strRef>
          </c:cat>
          <c:val>
            <c:numRef>
              <c:f>'GRAFICAS CIUDAD CONECTADA'!$E$71:$E$77</c:f>
              <c:numCache>
                <c:formatCode>0.0%</c:formatCode>
                <c:ptCount val="7"/>
                <c:pt idx="0">
                  <c:v>0.46996420327895211</c:v>
                </c:pt>
                <c:pt idx="1">
                  <c:v>0.39750000000000002</c:v>
                </c:pt>
                <c:pt idx="2">
                  <c:v>0.3980189393939394</c:v>
                </c:pt>
                <c:pt idx="3">
                  <c:v>0.67138779095300827</c:v>
                </c:pt>
                <c:pt idx="4">
                  <c:v>0.50073563218390804</c:v>
                </c:pt>
                <c:pt idx="5">
                  <c:v>0.15714285714285717</c:v>
                </c:pt>
                <c:pt idx="6">
                  <c:v>0.69500000000000006</c:v>
                </c:pt>
              </c:numCache>
            </c:numRef>
          </c:val>
          <c:extLst>
            <c:ext xmlns:c16="http://schemas.microsoft.com/office/drawing/2014/chart" uri="{C3380CC4-5D6E-409C-BE32-E72D297353CC}">
              <c16:uniqueId val="{0000000A-7A18-4B95-BEB8-3FD875E0A15E}"/>
            </c:ext>
          </c:extLst>
        </c:ser>
        <c:dLbls>
          <c:showLegendKey val="0"/>
          <c:showVal val="0"/>
          <c:showCatName val="0"/>
          <c:showSerName val="0"/>
          <c:showPercent val="0"/>
          <c:showBubbleSize val="0"/>
        </c:dLbls>
        <c:gapWidth val="219"/>
        <c:overlap val="-27"/>
        <c:axId val="432684104"/>
        <c:axId val="432687632"/>
      </c:barChart>
      <c:catAx>
        <c:axId val="432684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7632"/>
        <c:crosses val="autoZero"/>
        <c:auto val="1"/>
        <c:lblAlgn val="ctr"/>
        <c:lblOffset val="100"/>
        <c:noMultiLvlLbl val="0"/>
      </c:catAx>
      <c:valAx>
        <c:axId val="4326876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4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r>
              <a:rPr lang="es-CO"/>
              <a:t>AVANCE RESPECTO AL CUATRIENIO DE LOS COMPONENTES IMPULSORES LINEA ESTRATEGICA INNOVACIÓN Y PARTICIPACIÓN DE JUNIO DE 2025</a:t>
            </a:r>
          </a:p>
        </c:rich>
      </c:tx>
      <c:overlay val="0"/>
      <c:spPr>
        <a:noFill/>
        <a:ln>
          <a:noFill/>
        </a:ln>
        <a:effectLst/>
      </c:spPr>
      <c:txPr>
        <a:bodyPr rot="0" spcFirstLastPara="1" vertOverflow="ellipsis" vert="horz" wrap="square" anchor="ctr" anchorCtr="1"/>
        <a:lstStyle/>
        <a:p>
          <a:pPr>
            <a:defRPr sz="156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2173814017049522E-2"/>
          <c:y val="0.15184659911439732"/>
          <c:w val="0.92445720202573123"/>
          <c:h val="0.52954857369365627"/>
        </c:manualLayout>
      </c:layout>
      <c:barChart>
        <c:barDir val="col"/>
        <c:grouping val="clustered"/>
        <c:varyColors val="0"/>
        <c:ser>
          <c:idx val="0"/>
          <c:order val="0"/>
          <c:tx>
            <c:strRef>
              <c:f>'GRAFICAS INNOVACIÓN Y PARTICIPA'!$D$4</c:f>
              <c:strCache>
                <c:ptCount val="1"/>
                <c:pt idx="0">
                  <c:v>ESPERADO  AL CUATRIENIO CORTE DICIEMBRE 2025</c:v>
                </c:pt>
              </c:strCache>
            </c:strRef>
          </c:tx>
          <c:spPr>
            <a:solidFill>
              <a:schemeClr val="tx2">
                <a:lumMod val="65000"/>
                <a:lumOff val="35000"/>
              </a:schemeClr>
            </a:solidFill>
            <a:ln>
              <a:noFill/>
            </a:ln>
            <a:effectLst/>
          </c:spPr>
          <c:invertIfNegative val="0"/>
          <c:dLbls>
            <c:dLbl>
              <c:idx val="1"/>
              <c:layout>
                <c:manualLayout>
                  <c:x val="-1.7305315203955524E-2"/>
                  <c:y val="-9.53608402993435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5B-44C3-AD7C-974C33D8D331}"/>
                </c:ext>
              </c:extLst>
            </c:dLbl>
            <c:spPr>
              <a:noFill/>
              <a:ln>
                <a:noFill/>
              </a:ln>
              <a:effectLst/>
            </c:spPr>
            <c:txPr>
              <a:bodyPr rot="0" spcFirstLastPara="1" vertOverflow="ellipsis" vert="horz" wrap="square" anchor="ctr" anchorCtr="1"/>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PARTICIPA'!$D$5:$D$11</c:f>
              <c:numCache>
                <c:formatCode>0.0%</c:formatCode>
                <c:ptCount val="7"/>
                <c:pt idx="0">
                  <c:v>0.49760795645534717</c:v>
                </c:pt>
                <c:pt idx="1">
                  <c:v>0.44138888888888883</c:v>
                </c:pt>
                <c:pt idx="2">
                  <c:v>0.5217802133351358</c:v>
                </c:pt>
                <c:pt idx="3">
                  <c:v>0.50982794224574346</c:v>
                </c:pt>
                <c:pt idx="4">
                  <c:v>0.5349577019952263</c:v>
                </c:pt>
                <c:pt idx="5">
                  <c:v>0.49043977987101872</c:v>
                </c:pt>
                <c:pt idx="6">
                  <c:v>0.48725321239606956</c:v>
                </c:pt>
              </c:numCache>
            </c:numRef>
          </c:val>
          <c:extLst>
            <c:ext xmlns:c16="http://schemas.microsoft.com/office/drawing/2014/chart" uri="{C3380CC4-5D6E-409C-BE32-E72D297353CC}">
              <c16:uniqueId val="{00000001-BA5B-44C3-AD7C-974C33D8D331}"/>
            </c:ext>
          </c:extLst>
        </c:ser>
        <c:ser>
          <c:idx val="1"/>
          <c:order val="1"/>
          <c:tx>
            <c:strRef>
              <c:f>'GRAFICAS INNOVACIÓN Y PARTICIPA'!$E$4</c:f>
              <c:strCache>
                <c:ptCount val="1"/>
                <c:pt idx="0">
                  <c:v>LOGRO VIGENCIA  CORTE JUNIO 2025 RESPECTO AL CUATRIENIO</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0-E8A1-4F05-AD95-03154DD19C70}"/>
              </c:ext>
            </c:extLst>
          </c:dPt>
          <c:dPt>
            <c:idx val="1"/>
            <c:invertIfNegative val="0"/>
            <c:bubble3D val="0"/>
            <c:spPr>
              <a:solidFill>
                <a:srgbClr val="FFFF00"/>
              </a:solidFill>
              <a:ln>
                <a:noFill/>
              </a:ln>
              <a:effectLst/>
            </c:spPr>
            <c:extLst>
              <c:ext xmlns:c16="http://schemas.microsoft.com/office/drawing/2014/chart" uri="{C3380CC4-5D6E-409C-BE32-E72D297353CC}">
                <c16:uniqueId val="{00000001-E8A1-4F05-AD95-03154DD19C70}"/>
              </c:ext>
            </c:extLst>
          </c:dPt>
          <c:dPt>
            <c:idx val="2"/>
            <c:invertIfNegative val="0"/>
            <c:bubble3D val="0"/>
            <c:spPr>
              <a:solidFill>
                <a:srgbClr val="FFFF00"/>
              </a:solidFill>
              <a:ln>
                <a:noFill/>
              </a:ln>
              <a:effectLst/>
            </c:spPr>
            <c:extLst>
              <c:ext xmlns:c16="http://schemas.microsoft.com/office/drawing/2014/chart" uri="{C3380CC4-5D6E-409C-BE32-E72D297353CC}">
                <c16:uniqueId val="{00000004-E8A1-4F05-AD95-03154DD19C70}"/>
              </c:ext>
            </c:extLst>
          </c:dPt>
          <c:dPt>
            <c:idx val="3"/>
            <c:invertIfNegative val="0"/>
            <c:bubble3D val="0"/>
            <c:spPr>
              <a:solidFill>
                <a:srgbClr val="00B050"/>
              </a:solidFill>
              <a:ln>
                <a:noFill/>
              </a:ln>
              <a:effectLst/>
            </c:spPr>
            <c:extLst>
              <c:ext xmlns:c16="http://schemas.microsoft.com/office/drawing/2014/chart" uri="{C3380CC4-5D6E-409C-BE32-E72D297353CC}">
                <c16:uniqueId val="{00000005-E8A1-4F05-AD95-03154DD19C70}"/>
              </c:ext>
            </c:extLst>
          </c:dPt>
          <c:dPt>
            <c:idx val="4"/>
            <c:invertIfNegative val="0"/>
            <c:bubble3D val="0"/>
            <c:spPr>
              <a:solidFill>
                <a:srgbClr val="FFFF00"/>
              </a:solidFill>
              <a:ln>
                <a:noFill/>
              </a:ln>
              <a:effectLst/>
            </c:spPr>
            <c:extLst>
              <c:ext xmlns:c16="http://schemas.microsoft.com/office/drawing/2014/chart" uri="{C3380CC4-5D6E-409C-BE32-E72D297353CC}">
                <c16:uniqueId val="{00000007-E8A1-4F05-AD95-03154DD19C70}"/>
              </c:ext>
            </c:extLst>
          </c:dPt>
          <c:dPt>
            <c:idx val="5"/>
            <c:invertIfNegative val="0"/>
            <c:bubble3D val="0"/>
            <c:spPr>
              <a:solidFill>
                <a:srgbClr val="FFFF00"/>
              </a:solidFill>
              <a:ln>
                <a:noFill/>
              </a:ln>
              <a:effectLst/>
            </c:spPr>
            <c:extLst>
              <c:ext xmlns:c16="http://schemas.microsoft.com/office/drawing/2014/chart" uri="{C3380CC4-5D6E-409C-BE32-E72D297353CC}">
                <c16:uniqueId val="{00000008-E8A1-4F05-AD95-03154DD19C70}"/>
              </c:ext>
            </c:extLst>
          </c:dPt>
          <c:dPt>
            <c:idx val="6"/>
            <c:invertIfNegative val="0"/>
            <c:bubble3D val="0"/>
            <c:spPr>
              <a:solidFill>
                <a:srgbClr val="FFFF00"/>
              </a:solidFill>
              <a:ln>
                <a:noFill/>
              </a:ln>
              <a:effectLst/>
            </c:spPr>
            <c:extLst>
              <c:ext xmlns:c16="http://schemas.microsoft.com/office/drawing/2014/chart" uri="{C3380CC4-5D6E-409C-BE32-E72D297353CC}">
                <c16:uniqueId val="{0000000A-E8A1-4F05-AD95-03154DD19C70}"/>
              </c:ext>
            </c:extLst>
          </c:dPt>
          <c:dLbls>
            <c:spPr>
              <a:noFill/>
              <a:ln>
                <a:noFill/>
              </a:ln>
              <a:effectLst/>
            </c:spPr>
            <c:txPr>
              <a:bodyPr rot="0" spcFirstLastPara="1" vertOverflow="ellipsis" vert="horz" wrap="square" anchor="ctr" anchorCtr="1"/>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PARTICIPA'!$E$5:$E$11</c:f>
              <c:numCache>
                <c:formatCode>0.0%</c:formatCode>
                <c:ptCount val="7"/>
                <c:pt idx="0">
                  <c:v>0.34508245592517955</c:v>
                </c:pt>
                <c:pt idx="1">
                  <c:v>0.27313888888888888</c:v>
                </c:pt>
                <c:pt idx="2">
                  <c:v>0.29147056104666003</c:v>
                </c:pt>
                <c:pt idx="3">
                  <c:v>0.45569128096258565</c:v>
                </c:pt>
                <c:pt idx="4">
                  <c:v>0.33923590385198665</c:v>
                </c:pt>
                <c:pt idx="5">
                  <c:v>0.25554642132483418</c:v>
                </c:pt>
                <c:pt idx="6">
                  <c:v>0.34377302789802794</c:v>
                </c:pt>
              </c:numCache>
            </c:numRef>
          </c:val>
          <c:extLst>
            <c:ext xmlns:c16="http://schemas.microsoft.com/office/drawing/2014/chart" uri="{C3380CC4-5D6E-409C-BE32-E72D297353CC}">
              <c16:uniqueId val="{00000002-BA5B-44C3-AD7C-974C33D8D331}"/>
            </c:ext>
          </c:extLst>
        </c:ser>
        <c:dLbls>
          <c:showLegendKey val="0"/>
          <c:showVal val="0"/>
          <c:showCatName val="0"/>
          <c:showSerName val="0"/>
          <c:showPercent val="0"/>
          <c:showBubbleSize val="0"/>
        </c:dLbls>
        <c:gapWidth val="219"/>
        <c:overlap val="-27"/>
        <c:axId val="432690376"/>
        <c:axId val="432681752"/>
      </c:barChart>
      <c:catAx>
        <c:axId val="432690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crossAx val="432681752"/>
        <c:crosses val="autoZero"/>
        <c:auto val="1"/>
        <c:lblAlgn val="ctr"/>
        <c:lblOffset val="100"/>
        <c:noMultiLvlLbl val="0"/>
      </c:catAx>
      <c:valAx>
        <c:axId val="4326817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crossAx val="432690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300" b="1"/>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SEGURIDAD HUMANA </a:t>
            </a:r>
            <a:r>
              <a:rPr lang="es-CO" sz="1100" b="1" i="0" u="none" strike="noStrike" baseline="0">
                <a:effectLst/>
              </a:rPr>
              <a:t> JUNIO </a:t>
            </a:r>
            <a:r>
              <a:rPr lang="es-CO" sz="1100" b="1"/>
              <a:t> 2025. PONDERADO.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HUMANA'!$R$4</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HUMANA'!$Q$5:$Q$10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HUMANA'!$R$5:$R$10</c:f>
              <c:numCache>
                <c:formatCode>0.0%</c:formatCode>
                <c:ptCount val="6"/>
                <c:pt idx="0">
                  <c:v>0.44282981141552602</c:v>
                </c:pt>
                <c:pt idx="1">
                  <c:v>0.60014227861996505</c:v>
                </c:pt>
                <c:pt idx="2">
                  <c:v>0.43021109496124033</c:v>
                </c:pt>
                <c:pt idx="3">
                  <c:v>0.52883823529411766</c:v>
                </c:pt>
                <c:pt idx="4">
                  <c:v>0.49009351856437344</c:v>
                </c:pt>
                <c:pt idx="5">
                  <c:v>0.43445002459917403</c:v>
                </c:pt>
              </c:numCache>
            </c:numRef>
          </c:val>
          <c:extLst>
            <c:ext xmlns:c16="http://schemas.microsoft.com/office/drawing/2014/chart" uri="{C3380CC4-5D6E-409C-BE32-E72D297353CC}">
              <c16:uniqueId val="{00000000-7F56-45D2-93AE-5A4564E1B2B4}"/>
            </c:ext>
          </c:extLst>
        </c:ser>
        <c:ser>
          <c:idx val="1"/>
          <c:order val="1"/>
          <c:tx>
            <c:strRef>
              <c:f>'GRAFICAS SEGURIDAD HUMANA'!$S$4</c:f>
              <c:strCache>
                <c:ptCount val="1"/>
                <c:pt idx="0">
                  <c:v>LOGRO CORTE  JUNIO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HUMANA'!$Q$5:$Q$10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HUMANA'!$S$5:$S$10</c:f>
              <c:numCache>
                <c:formatCode>0.0%</c:formatCode>
                <c:ptCount val="6"/>
                <c:pt idx="0">
                  <c:v>0.31656637577834912</c:v>
                </c:pt>
                <c:pt idx="1">
                  <c:v>0.41274628372019412</c:v>
                </c:pt>
                <c:pt idx="2">
                  <c:v>0.31228099999999998</c:v>
                </c:pt>
                <c:pt idx="3">
                  <c:v>0.28043974578809849</c:v>
                </c:pt>
                <c:pt idx="4">
                  <c:v>0.28079297278084014</c:v>
                </c:pt>
                <c:pt idx="5">
                  <c:v>0.2790745770380203</c:v>
                </c:pt>
              </c:numCache>
            </c:numRef>
          </c:val>
          <c:extLst>
            <c:ext xmlns:c16="http://schemas.microsoft.com/office/drawing/2014/chart" uri="{C3380CC4-5D6E-409C-BE32-E72D297353CC}">
              <c16:uniqueId val="{00000001-7F56-45D2-93AE-5A4564E1B2B4}"/>
            </c:ext>
          </c:extLst>
        </c:ser>
        <c:dLbls>
          <c:showLegendKey val="0"/>
          <c:showVal val="0"/>
          <c:showCatName val="0"/>
          <c:showSerName val="0"/>
          <c:showPercent val="0"/>
          <c:showBubbleSize val="0"/>
        </c:dLbls>
        <c:gapWidth val="219"/>
        <c:overlap val="-27"/>
        <c:axId val="428036688"/>
        <c:axId val="428036296"/>
      </c:barChart>
      <c:catAx>
        <c:axId val="42803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36296"/>
        <c:crosses val="autoZero"/>
        <c:auto val="1"/>
        <c:lblAlgn val="ctr"/>
        <c:lblOffset val="100"/>
        <c:noMultiLvlLbl val="0"/>
      </c:catAx>
      <c:valAx>
        <c:axId val="428036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36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s-CO" sz="1100" b="1"/>
              <a:t>AVANCE RESPECTO AL CUATRIENIO DE </a:t>
            </a:r>
            <a:r>
              <a:rPr lang="es-CO" sz="1100" b="1" i="0" u="none" strike="noStrike" kern="1200" spc="0" baseline="0">
                <a:solidFill>
                  <a:srgbClr val="000000">
                    <a:lumMod val="65000"/>
                    <a:lumOff val="35000"/>
                  </a:srgbClr>
                </a:solidFill>
                <a:latin typeface="+mn-lt"/>
                <a:ea typeface="+mn-ea"/>
                <a:cs typeface="+mn-cs"/>
              </a:rPr>
              <a:t>LOS COMPONENTES IMPULSORES LINEA ESTRATEGICA INNOVACIÓN Y PARTICIPACIÓN  </a:t>
            </a:r>
            <a:r>
              <a:rPr lang="es-CO" sz="1100" b="1" i="0" baseline="0">
                <a:effectLst/>
              </a:rPr>
              <a:t>JUNIO DE 2025</a:t>
            </a:r>
            <a:r>
              <a:rPr lang="es-CO" sz="1100" b="1" i="0" u="none" strike="noStrike" kern="1200" spc="0" baseline="0">
                <a:solidFill>
                  <a:srgbClr val="000000">
                    <a:lumMod val="65000"/>
                    <a:lumOff val="35000"/>
                  </a:srgbClr>
                </a:solidFill>
                <a:latin typeface="+mn-lt"/>
                <a:ea typeface="+mn-ea"/>
                <a:cs typeface="+mn-cs"/>
              </a:rPr>
              <a:t>. PONDERADO</a:t>
            </a:r>
          </a:p>
        </c:rich>
      </c:tx>
      <c:layout>
        <c:manualLayout>
          <c:xMode val="edge"/>
          <c:yMode val="edge"/>
          <c:x val="0.1582305295950156"/>
          <c:y val="0"/>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PARTICIPA'!$N$4</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PARTICIPA'!$M$5:$M$11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PARTICIPA'!$N$5:$N$11</c:f>
              <c:numCache>
                <c:formatCode>0.0%</c:formatCode>
                <c:ptCount val="7"/>
                <c:pt idx="0">
                  <c:v>0.48277162275056218</c:v>
                </c:pt>
                <c:pt idx="1">
                  <c:v>0.51641666666666663</c:v>
                </c:pt>
                <c:pt idx="2">
                  <c:v>0.58230137259771308</c:v>
                </c:pt>
                <c:pt idx="3">
                  <c:v>0.48003771902475223</c:v>
                </c:pt>
                <c:pt idx="4">
                  <c:v>0.49487648191372924</c:v>
                </c:pt>
                <c:pt idx="5">
                  <c:v>0.59884896226070028</c:v>
                </c:pt>
                <c:pt idx="6">
                  <c:v>0.47756150793650787</c:v>
                </c:pt>
              </c:numCache>
            </c:numRef>
          </c:val>
          <c:extLst>
            <c:ext xmlns:c16="http://schemas.microsoft.com/office/drawing/2014/chart" uri="{C3380CC4-5D6E-409C-BE32-E72D297353CC}">
              <c16:uniqueId val="{00000000-AE55-4F74-8B0B-FFA018C92E44}"/>
            </c:ext>
          </c:extLst>
        </c:ser>
        <c:ser>
          <c:idx val="1"/>
          <c:order val="1"/>
          <c:tx>
            <c:strRef>
              <c:f>'GRAFICAS INNOVACIÓN Y PARTICIPA'!$O$4</c:f>
              <c:strCache>
                <c:ptCount val="1"/>
                <c:pt idx="0">
                  <c:v>LOGRO CORTE JUNIO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PARTICIPA'!$M$5:$M$11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PARTICIPA'!$O$5:$O$11</c:f>
              <c:numCache>
                <c:formatCode>0.0%</c:formatCode>
                <c:ptCount val="7"/>
                <c:pt idx="0">
                  <c:v>0.32378332475293098</c:v>
                </c:pt>
                <c:pt idx="1">
                  <c:v>0.30507499999999999</c:v>
                </c:pt>
                <c:pt idx="2">
                  <c:v>0.31361473004503176</c:v>
                </c:pt>
                <c:pt idx="3">
                  <c:v>0.38748929979683333</c:v>
                </c:pt>
                <c:pt idx="4">
                  <c:v>0.37155911282984533</c:v>
                </c:pt>
                <c:pt idx="5">
                  <c:v>0.24946834293978234</c:v>
                </c:pt>
                <c:pt idx="6">
                  <c:v>0.31612553030303031</c:v>
                </c:pt>
              </c:numCache>
            </c:numRef>
          </c:val>
          <c:extLst>
            <c:ext xmlns:c16="http://schemas.microsoft.com/office/drawing/2014/chart" uri="{C3380CC4-5D6E-409C-BE32-E72D297353CC}">
              <c16:uniqueId val="{00000001-AE55-4F74-8B0B-FFA018C92E44}"/>
            </c:ext>
          </c:extLst>
        </c:ser>
        <c:dLbls>
          <c:showLegendKey val="0"/>
          <c:showVal val="0"/>
          <c:showCatName val="0"/>
          <c:showSerName val="0"/>
          <c:showPercent val="0"/>
          <c:showBubbleSize val="0"/>
        </c:dLbls>
        <c:gapWidth val="219"/>
        <c:overlap val="-27"/>
        <c:axId val="432685672"/>
        <c:axId val="432691552"/>
      </c:barChart>
      <c:catAx>
        <c:axId val="432685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91552"/>
        <c:crosses val="autoZero"/>
        <c:auto val="1"/>
        <c:lblAlgn val="ctr"/>
        <c:lblOffset val="100"/>
        <c:noMultiLvlLbl val="0"/>
      </c:catAx>
      <c:valAx>
        <c:axId val="4326915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5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US"/>
              <a:t>AVANCE   LINEA ESTRATEGICA INNOVACIÓN Y PARTICIPACIÓN VIGENCIA CORTE </a:t>
            </a:r>
            <a:r>
              <a:rPr lang="es-CO"/>
              <a:t> JUNIO DE 2025</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PARTICIPA'!$D$108</c:f>
              <c:strCache>
                <c:ptCount val="1"/>
                <c:pt idx="0">
                  <c:v>AVANCE  PARCIAL VIGENCIA  CORTE JUNIO 2025</c:v>
                </c:pt>
              </c:strCache>
            </c:strRef>
          </c:tx>
          <c:spPr>
            <a:solidFill>
              <a:srgbClr val="FF7C80"/>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B52B-4260-AA99-EC5F5FDB3DEB}"/>
              </c:ext>
            </c:extLst>
          </c:dPt>
          <c:dPt>
            <c:idx val="1"/>
            <c:invertIfNegative val="0"/>
            <c:bubble3D val="0"/>
            <c:spPr>
              <a:solidFill>
                <a:srgbClr val="00B050"/>
              </a:solidFill>
              <a:ln>
                <a:noFill/>
              </a:ln>
              <a:effectLst/>
            </c:spPr>
            <c:extLst>
              <c:ext xmlns:c16="http://schemas.microsoft.com/office/drawing/2014/chart" uri="{C3380CC4-5D6E-409C-BE32-E72D297353CC}">
                <c16:uniqueId val="{00000003-B52B-4260-AA99-EC5F5FDB3DEB}"/>
              </c:ext>
            </c:extLst>
          </c:dPt>
          <c:dPt>
            <c:idx val="2"/>
            <c:invertIfNegative val="0"/>
            <c:bubble3D val="0"/>
            <c:spPr>
              <a:solidFill>
                <a:srgbClr val="92D050"/>
              </a:solidFill>
              <a:ln>
                <a:noFill/>
              </a:ln>
              <a:effectLst/>
            </c:spPr>
            <c:extLst>
              <c:ext xmlns:c16="http://schemas.microsoft.com/office/drawing/2014/chart" uri="{C3380CC4-5D6E-409C-BE32-E72D297353CC}">
                <c16:uniqueId val="{00000005-B52B-4260-AA99-EC5F5FDB3DEB}"/>
              </c:ext>
            </c:extLst>
          </c:dPt>
          <c:dPt>
            <c:idx val="3"/>
            <c:invertIfNegative val="0"/>
            <c:bubble3D val="0"/>
            <c:spPr>
              <a:solidFill>
                <a:srgbClr val="00B050"/>
              </a:solidFill>
              <a:ln>
                <a:noFill/>
              </a:ln>
              <a:effectLst/>
            </c:spPr>
            <c:extLst>
              <c:ext xmlns:c16="http://schemas.microsoft.com/office/drawing/2014/chart" uri="{C3380CC4-5D6E-409C-BE32-E72D297353CC}">
                <c16:uniqueId val="{00000007-B52B-4260-AA99-EC5F5FDB3DEB}"/>
              </c:ext>
            </c:extLst>
          </c:dPt>
          <c:dPt>
            <c:idx val="4"/>
            <c:invertIfNegative val="0"/>
            <c:bubble3D val="0"/>
            <c:spPr>
              <a:solidFill>
                <a:srgbClr val="FFFF00"/>
              </a:solidFill>
              <a:ln>
                <a:noFill/>
              </a:ln>
              <a:effectLst/>
            </c:spPr>
            <c:extLst>
              <c:ext xmlns:c16="http://schemas.microsoft.com/office/drawing/2014/chart" uri="{C3380CC4-5D6E-409C-BE32-E72D297353CC}">
                <c16:uniqueId val="{00000009-B52B-4260-AA99-EC5F5FDB3DEB}"/>
              </c:ext>
            </c:extLst>
          </c:dPt>
          <c:dPt>
            <c:idx val="5"/>
            <c:invertIfNegative val="0"/>
            <c:bubble3D val="0"/>
            <c:spPr>
              <a:solidFill>
                <a:srgbClr val="FF7C80"/>
              </a:solidFill>
              <a:ln>
                <a:noFill/>
              </a:ln>
              <a:effectLst/>
            </c:spPr>
            <c:extLst>
              <c:ext xmlns:c16="http://schemas.microsoft.com/office/drawing/2014/chart" uri="{C3380CC4-5D6E-409C-BE32-E72D297353CC}">
                <c16:uniqueId val="{0000000B-B52B-4260-AA99-EC5F5FDB3DEB}"/>
              </c:ext>
            </c:extLst>
          </c:dPt>
          <c:dPt>
            <c:idx val="6"/>
            <c:invertIfNegative val="0"/>
            <c:bubble3D val="0"/>
            <c:spPr>
              <a:solidFill>
                <a:srgbClr val="92D050"/>
              </a:solidFill>
              <a:ln>
                <a:noFill/>
              </a:ln>
              <a:effectLst/>
            </c:spPr>
            <c:extLst>
              <c:ext xmlns:c16="http://schemas.microsoft.com/office/drawing/2014/chart" uri="{C3380CC4-5D6E-409C-BE32-E72D297353CC}">
                <c16:uniqueId val="{0000000D-B52B-4260-AA99-EC5F5FDB3DEB}"/>
              </c:ext>
            </c:extLst>
          </c:dPt>
          <c:dPt>
            <c:idx val="7"/>
            <c:invertIfNegative val="0"/>
            <c:bubble3D val="0"/>
            <c:spPr>
              <a:solidFill>
                <a:srgbClr val="FF7C80"/>
              </a:solidFill>
              <a:ln>
                <a:noFill/>
              </a:ln>
              <a:effectLst/>
            </c:spPr>
            <c:extLst>
              <c:ext xmlns:c16="http://schemas.microsoft.com/office/drawing/2014/chart" uri="{C3380CC4-5D6E-409C-BE32-E72D297353CC}">
                <c16:uniqueId val="{0000000F-B52B-4260-AA99-EC5F5FDB3DEB}"/>
              </c:ext>
            </c:extLst>
          </c:dPt>
          <c:dLbls>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PARTICIPA'!$C$109:$C$115</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PARTICIPA'!$D$109:$D$115</c:f>
              <c:numCache>
                <c:formatCode>0.0%</c:formatCode>
                <c:ptCount val="7"/>
                <c:pt idx="0">
                  <c:v>0.41451393143111748</c:v>
                </c:pt>
                <c:pt idx="1">
                  <c:v>0.53309523809523807</c:v>
                </c:pt>
                <c:pt idx="2">
                  <c:v>0.43698654003267967</c:v>
                </c:pt>
                <c:pt idx="3">
                  <c:v>0.53851136141490141</c:v>
                </c:pt>
                <c:pt idx="4">
                  <c:v>0.30097504553734061</c:v>
                </c:pt>
                <c:pt idx="5">
                  <c:v>0.24678899476949789</c:v>
                </c:pt>
                <c:pt idx="6">
                  <c:v>0.4307264087370471</c:v>
                </c:pt>
              </c:numCache>
            </c:numRef>
          </c:val>
          <c:extLst>
            <c:ext xmlns:c16="http://schemas.microsoft.com/office/drawing/2014/chart" uri="{C3380CC4-5D6E-409C-BE32-E72D297353CC}">
              <c16:uniqueId val="{00000010-B52B-4260-AA99-EC5F5FDB3DEB}"/>
            </c:ext>
          </c:extLst>
        </c:ser>
        <c:dLbls>
          <c:showLegendKey val="0"/>
          <c:showVal val="0"/>
          <c:showCatName val="0"/>
          <c:showSerName val="0"/>
          <c:showPercent val="0"/>
          <c:showBubbleSize val="0"/>
        </c:dLbls>
        <c:gapWidth val="219"/>
        <c:overlap val="-27"/>
        <c:axId val="432692728"/>
        <c:axId val="432684496"/>
      </c:barChart>
      <c:catAx>
        <c:axId val="432692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2684496"/>
        <c:crosses val="autoZero"/>
        <c:auto val="1"/>
        <c:lblAlgn val="ctr"/>
        <c:lblOffset val="100"/>
        <c:noMultiLvlLbl val="0"/>
      </c:catAx>
      <c:valAx>
        <c:axId val="4326844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2692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del avance: Transparencia y Gobierno Abierto. Avance ponderado corte  Junio de 2025</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PARTICIPA'!$D$45</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PARTICIPA'!$C$46:$C$49</c:f>
              <c:strCache>
                <c:ptCount val="4"/>
                <c:pt idx="0">
                  <c:v>Componente Impulsor del avance: Transparencia y Gobierno Abierto
</c:v>
                </c:pt>
                <c:pt idx="1">
                  <c:v> TRANSPARENCIA Y LUCHA CONTRA LA CORRUPCIÓN</c:v>
                </c:pt>
                <c:pt idx="2">
                  <c:v> PROCESOS ADMINISTRATIVOS ÓPTIMOS Y TRANSPARENTES</c:v>
                </c:pt>
                <c:pt idx="3">
                  <c:v> CARTAGENA DIGITAL, INCLUSIVA Y CONECTADA</c:v>
                </c:pt>
              </c:strCache>
            </c:strRef>
          </c:cat>
          <c:val>
            <c:numRef>
              <c:f>'GRAFICAS INNOVACIÓN Y PARTICIPA'!$D$46:$D$49</c:f>
              <c:numCache>
                <c:formatCode>0.0%</c:formatCode>
                <c:ptCount val="4"/>
                <c:pt idx="0">
                  <c:v>0.30507499999999999</c:v>
                </c:pt>
                <c:pt idx="1">
                  <c:v>0.376</c:v>
                </c:pt>
                <c:pt idx="2">
                  <c:v>6.1249999999999992E-2</c:v>
                </c:pt>
                <c:pt idx="3">
                  <c:v>0.45433333333333331</c:v>
                </c:pt>
              </c:numCache>
            </c:numRef>
          </c:val>
          <c:extLst>
            <c:ext xmlns:c16="http://schemas.microsoft.com/office/drawing/2014/chart" uri="{C3380CC4-5D6E-409C-BE32-E72D297353CC}">
              <c16:uniqueId val="{00000000-B5C8-4817-A533-EBBC5B3499EF}"/>
            </c:ext>
          </c:extLst>
        </c:ser>
        <c:dLbls>
          <c:showLegendKey val="0"/>
          <c:showVal val="0"/>
          <c:showCatName val="0"/>
          <c:showSerName val="0"/>
          <c:showPercent val="0"/>
          <c:showBubbleSize val="0"/>
        </c:dLbls>
        <c:gapWidth val="219"/>
        <c:overlap val="-27"/>
        <c:axId val="432688808"/>
        <c:axId val="432682144"/>
      </c:barChart>
      <c:catAx>
        <c:axId val="432688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2144"/>
        <c:crosses val="autoZero"/>
        <c:auto val="1"/>
        <c:lblAlgn val="ctr"/>
        <c:lblOffset val="100"/>
        <c:noMultiLvlLbl val="0"/>
      </c:catAx>
      <c:valAx>
        <c:axId val="4326821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8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del avance: Fortalecimiento Institucional e Innovación Administrativa. Avance ponderado corte  Junio de 2025.</a:t>
            </a:r>
            <a:endParaRPr lang="es-CO">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PARTICIPA'!$D$55</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PARTICIPA'!$C$56:$C$64</c:f>
              <c:strCache>
                <c:ptCount val="9"/>
                <c:pt idx="0">
                  <c:v>Fortalecimiento Institucional e Innovación Administrativa
</c:v>
                </c:pt>
                <c:pt idx="1">
                  <c:v> MODELO INTEGRADO DE PLANEACIÓN Y GESTIÓN - MIPG</c:v>
                </c:pt>
                <c:pt idx="2">
                  <c:v> MEJORA NORMATIVA EN EL DISTRITO DE CARTAGENA DE INDIAS</c:v>
                </c:pt>
                <c:pt idx="3">
                  <c:v> PATRIMONIO PÚBLICO AL SERVICIO DE CARTAGENA</c:v>
                </c:pt>
                <c:pt idx="4">
                  <c:v> REDISEÑO INSTITUCIONAL E INNOVACIÓN ADMINISTRATIVA DEL DISTRITO</c:v>
                </c:pt>
                <c:pt idx="5">
                  <c:v> SEGURIDAD DIGITAL</c:v>
                </c:pt>
                <c:pt idx="6">
                  <c:v> TRANSFORMACIÓN DIGITAL DEL SISTEMA DE ARCHIVO PARA LA GESTIÓN PÚBLICA EFICIENTE</c:v>
                </c:pt>
                <c:pt idx="7">
                  <c:v> FORTALECIMIENTO DEL SISTEMA DE CONTROL INTERNO, SCI</c:v>
                </c:pt>
                <c:pt idx="8">
                  <c:v> FORTALECIMIENTO DE LA GESTIÓN ADMINISTRATIVA Y OPERATIVA DEL DEPARTAMENTO ADMINISTRATIVO DE TRÁNSITO Y TRANSPORTE - DATT</c:v>
                </c:pt>
              </c:strCache>
            </c:strRef>
          </c:cat>
          <c:val>
            <c:numRef>
              <c:f>'GRAFICAS INNOVACIÓN Y PARTICIPA'!$D$56:$D$64</c:f>
              <c:numCache>
                <c:formatCode>0.0%</c:formatCode>
                <c:ptCount val="9"/>
                <c:pt idx="0">
                  <c:v>0.31361473004503176</c:v>
                </c:pt>
                <c:pt idx="1">
                  <c:v>0.49680833333333341</c:v>
                </c:pt>
                <c:pt idx="2">
                  <c:v>0.33500000000000002</c:v>
                </c:pt>
                <c:pt idx="3">
                  <c:v>0.31823037141513866</c:v>
                </c:pt>
                <c:pt idx="4">
                  <c:v>0.32184000000000001</c:v>
                </c:pt>
                <c:pt idx="5">
                  <c:v>0.45500000000000002</c:v>
                </c:pt>
                <c:pt idx="6">
                  <c:v>0.264625</c:v>
                </c:pt>
                <c:pt idx="7">
                  <c:v>0.05</c:v>
                </c:pt>
                <c:pt idx="8">
                  <c:v>0.15776103841336048</c:v>
                </c:pt>
              </c:numCache>
            </c:numRef>
          </c:val>
          <c:extLst>
            <c:ext xmlns:c16="http://schemas.microsoft.com/office/drawing/2014/chart" uri="{C3380CC4-5D6E-409C-BE32-E72D297353CC}">
              <c16:uniqueId val="{00000000-B3D5-4498-A27B-E59E7ABE205E}"/>
            </c:ext>
          </c:extLst>
        </c:ser>
        <c:dLbls>
          <c:showLegendKey val="0"/>
          <c:showVal val="0"/>
          <c:showCatName val="0"/>
          <c:showSerName val="0"/>
          <c:showPercent val="0"/>
          <c:showBubbleSize val="0"/>
        </c:dLbls>
        <c:gapWidth val="219"/>
        <c:overlap val="-27"/>
        <c:axId val="432685280"/>
        <c:axId val="432689200"/>
      </c:barChart>
      <c:catAx>
        <c:axId val="432685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32689200"/>
        <c:crosses val="autoZero"/>
        <c:auto val="1"/>
        <c:lblAlgn val="ctr"/>
        <c:lblOffset val="100"/>
        <c:noMultiLvlLbl val="0"/>
      </c:catAx>
      <c:valAx>
        <c:axId val="4326892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5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del avance: Cultura Ciudadana. Avance ponderado corte  Junio de 2025</a:t>
            </a:r>
            <a:endParaRPr lang="es-CO">
              <a:effectLst/>
            </a:endParaRP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endParaRPr lang="es-CO">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PARTICIPA'!$D$73</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PARTICIPA'!$C$74:$C$79</c:f>
              <c:strCache>
                <c:ptCount val="6"/>
                <c:pt idx="0">
                  <c:v>Cultura Ciudadana
</c:v>
                </c:pt>
                <c:pt idx="1">
                  <c:v> SERVIDORES CON ESPLENDOR CONSTRUYENDO CIUDAD</c:v>
                </c:pt>
                <c:pt idx="2">
                  <c:v> CIUDADANÍA DIVERSA, PARTICIPATIVA Y PROPULSORA DEL DESARROLLO</c:v>
                </c:pt>
                <c:pt idx="3">
                  <c:v> CARTAGENEIDAD CON ORGULLO Y ESPLENDOR</c:v>
                </c:pt>
                <c:pt idx="4">
                  <c:v> CARTAGENA BRILLA CON CULTURA CIUDADANA</c:v>
                </c:pt>
                <c:pt idx="5">
                  <c:v> ESCUELA DE GOBERNANZA E INNOVACIÓN PÚBLICA</c:v>
                </c:pt>
              </c:strCache>
            </c:strRef>
          </c:cat>
          <c:val>
            <c:numRef>
              <c:f>'GRAFICAS INNOVACIÓN Y PARTICIPA'!$D$74:$D$79</c:f>
              <c:numCache>
                <c:formatCode>0.0%</c:formatCode>
                <c:ptCount val="6"/>
                <c:pt idx="0">
                  <c:v>0.37155911282984533</c:v>
                </c:pt>
                <c:pt idx="1">
                  <c:v>0.5401205641492266</c:v>
                </c:pt>
                <c:pt idx="2">
                  <c:v>0.45219999999999999</c:v>
                </c:pt>
                <c:pt idx="3">
                  <c:v>0.33750000000000002</c:v>
                </c:pt>
                <c:pt idx="4" formatCode="0.00%">
                  <c:v>0.1865</c:v>
                </c:pt>
                <c:pt idx="5">
                  <c:v>0.30625000000000002</c:v>
                </c:pt>
              </c:numCache>
            </c:numRef>
          </c:val>
          <c:extLst>
            <c:ext xmlns:c16="http://schemas.microsoft.com/office/drawing/2014/chart" uri="{C3380CC4-5D6E-409C-BE32-E72D297353CC}">
              <c16:uniqueId val="{00000000-DF12-40A1-A175-FFA28A8AAAC7}"/>
            </c:ext>
          </c:extLst>
        </c:ser>
        <c:dLbls>
          <c:showLegendKey val="0"/>
          <c:showVal val="0"/>
          <c:showCatName val="0"/>
          <c:showSerName val="0"/>
          <c:showPercent val="0"/>
          <c:showBubbleSize val="0"/>
        </c:dLbls>
        <c:gapWidth val="219"/>
        <c:overlap val="-27"/>
        <c:axId val="432686456"/>
        <c:axId val="432691160"/>
      </c:barChart>
      <c:catAx>
        <c:axId val="432686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32691160"/>
        <c:crosses val="autoZero"/>
        <c:auto val="1"/>
        <c:lblAlgn val="ctr"/>
        <c:lblOffset val="100"/>
        <c:noMultiLvlLbl val="0"/>
      </c:catAx>
      <c:valAx>
        <c:axId val="432691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6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400" b="1" i="0" u="none" strike="noStrike" kern="1200" spc="0" baseline="0">
                <a:solidFill>
                  <a:srgbClr val="000000">
                    <a:lumMod val="65000"/>
                    <a:lumOff val="35000"/>
                  </a:srgbClr>
                </a:solidFill>
                <a:effectLst/>
                <a:latin typeface="+mn-lt"/>
                <a:ea typeface="+mn-ea"/>
                <a:cs typeface="+mn-cs"/>
              </a:rPr>
              <a:t>Componente Impulsor de avance: Participación Ciudadana y Acción Comunal. </a:t>
            </a:r>
            <a:r>
              <a:rPr lang="en-US" sz="1400" b="1" i="0" u="none" strike="noStrike" baseline="0">
                <a:effectLst/>
              </a:rPr>
              <a:t>Avance ponderado corte </a:t>
            </a:r>
            <a:r>
              <a:rPr lang="en-US" sz="1400" b="1" i="0" baseline="0">
                <a:effectLst/>
              </a:rPr>
              <a:t> Junio de 2025</a:t>
            </a:r>
            <a:endParaRPr lang="es-CO" sz="1400">
              <a:effectLst/>
            </a:endParaRP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r>
              <a:rPr lang="en-US" sz="1400" b="1" i="0" u="none" strike="noStrike" baseline="0">
                <a:effectLst/>
              </a:rPr>
              <a:t>.</a:t>
            </a:r>
            <a:r>
              <a:rPr lang="en-US"/>
              <a:t> </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PARTICIPA'!$D$85</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PARTICIPA'!$C$86:$C$91</c:f>
              <c:strCache>
                <c:ptCount val="6"/>
                <c:pt idx="0">
                  <c:v>Participación Ciudadana y Acción Comunal
</c:v>
                </c:pt>
                <c:pt idx="1">
                  <c:v> ORGANISMOS COMUNALES TÉCNICOS Y ADMINISTRATIVAMENTE EFICIENTES</c:v>
                </c:pt>
                <c:pt idx="2">
                  <c:v> ORGANIZACIONES SOCIALES SÓLIDAS E INCIDENTES EN EL DESARROLLO LOCAL</c:v>
                </c:pt>
                <c:pt idx="3">
                  <c:v> PARTICIPANDO DECIDIMOS Y AVANZAMOS</c:v>
                </c:pt>
                <c:pt idx="4">
                  <c:v> PROMOCIÓN Y GARANTÍA PARA LA PARTICIPACIÓN SOCIOPOLÍTICA JUVENIL</c:v>
                </c:pt>
                <c:pt idx="5">
                  <c:v> DERECHO A LA PARTICIPACIÓN Y REPRESENTACIÓN CON EQUIDAD DE GÉNERO</c:v>
                </c:pt>
              </c:strCache>
            </c:strRef>
          </c:cat>
          <c:val>
            <c:numRef>
              <c:f>'GRAFICAS INNOVACIÓN Y PARTICIPA'!$D$86:$D$91</c:f>
              <c:numCache>
                <c:formatCode>0.0%</c:formatCode>
                <c:ptCount val="6"/>
                <c:pt idx="0">
                  <c:v>0.24946834293978234</c:v>
                </c:pt>
                <c:pt idx="1">
                  <c:v>0.59528017515410458</c:v>
                </c:pt>
                <c:pt idx="2">
                  <c:v>0.18099999999999999</c:v>
                </c:pt>
                <c:pt idx="3">
                  <c:v>0.22181699999999999</c:v>
                </c:pt>
                <c:pt idx="4">
                  <c:v>0.43506250000000002</c:v>
                </c:pt>
                <c:pt idx="5">
                  <c:v>9.003333333333334E-2</c:v>
                </c:pt>
              </c:numCache>
            </c:numRef>
          </c:val>
          <c:extLst>
            <c:ext xmlns:c16="http://schemas.microsoft.com/office/drawing/2014/chart" uri="{C3380CC4-5D6E-409C-BE32-E72D297353CC}">
              <c16:uniqueId val="{00000000-B54F-48B1-B6BF-1C18D244D274}"/>
            </c:ext>
          </c:extLst>
        </c:ser>
        <c:dLbls>
          <c:showLegendKey val="0"/>
          <c:showVal val="0"/>
          <c:showCatName val="0"/>
          <c:showSerName val="0"/>
          <c:showPercent val="0"/>
          <c:showBubbleSize val="0"/>
        </c:dLbls>
        <c:gapWidth val="219"/>
        <c:overlap val="-27"/>
        <c:axId val="432686848"/>
        <c:axId val="432688024"/>
      </c:barChart>
      <c:catAx>
        <c:axId val="432686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32688024"/>
        <c:crosses val="autoZero"/>
        <c:auto val="1"/>
        <c:lblAlgn val="ctr"/>
        <c:lblOffset val="100"/>
        <c:noMultiLvlLbl val="0"/>
      </c:catAx>
      <c:valAx>
        <c:axId val="432688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6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1" i="0" u="none" strike="noStrike" kern="1200" spc="0" baseline="0">
                <a:solidFill>
                  <a:srgbClr val="000000">
                    <a:lumMod val="65000"/>
                    <a:lumOff val="35000"/>
                  </a:srgbClr>
                </a:solidFill>
                <a:latin typeface="+mn-lt"/>
                <a:ea typeface="+mn-ea"/>
                <a:cs typeface="+mn-cs"/>
              </a:defRPr>
            </a:pPr>
            <a:r>
              <a:rPr lang="en-US" sz="1300" b="1"/>
              <a:t>AVANCE CUATRIENIO IMPULSOR DE AVANCE: TRANSPARENCIA Y GOBIERNO ABIERTO.  PROGRAMAS. CORTE </a:t>
            </a:r>
            <a:r>
              <a:rPr lang="es-CO" sz="1300" b="1" i="0" baseline="0">
                <a:effectLst/>
              </a:rPr>
              <a:t> JUNIO DE 2025</a:t>
            </a:r>
            <a:endParaRPr lang="es-CO" sz="1300">
              <a:effectLst/>
            </a:endParaRPr>
          </a:p>
          <a:p>
            <a:pPr marL="0" marR="0" indent="0" algn="ctr" defTabSz="914400" rtl="0" eaLnBrk="1" fontAlgn="auto" latinLnBrk="0" hangingPunct="1">
              <a:lnSpc>
                <a:spcPct val="100000"/>
              </a:lnSpc>
              <a:spcBef>
                <a:spcPts val="0"/>
              </a:spcBef>
              <a:spcAft>
                <a:spcPts val="0"/>
              </a:spcAft>
              <a:buClrTx/>
              <a:buSzTx/>
              <a:buFontTx/>
              <a:buNone/>
              <a:tabLst/>
              <a:defRPr sz="1300" b="1">
                <a:solidFill>
                  <a:srgbClr val="000000">
                    <a:lumMod val="65000"/>
                    <a:lumOff val="35000"/>
                  </a:srgbClr>
                </a:solidFill>
              </a:defRPr>
            </a:pPr>
            <a:endParaRPr lang="en-US" sz="1300" b="1"/>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PARTICIPA'!$E$45</c:f>
              <c:strCache>
                <c:ptCount val="1"/>
                <c:pt idx="0">
                  <c:v>AVANCE CUATRIENIO IMPULSOR DE AVANCE: TRANSPARENCIA Y GOBIERNO ABIERTO. CORTE JUNIO 2025</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941E-4C4B-8CFC-6A6A8FA0F59A}"/>
              </c:ext>
            </c:extLst>
          </c:dPt>
          <c:dPt>
            <c:idx val="1"/>
            <c:invertIfNegative val="0"/>
            <c:bubble3D val="0"/>
            <c:spPr>
              <a:solidFill>
                <a:srgbClr val="FFFF00"/>
              </a:solidFill>
              <a:ln>
                <a:noFill/>
              </a:ln>
              <a:effectLst/>
            </c:spPr>
            <c:extLst>
              <c:ext xmlns:c16="http://schemas.microsoft.com/office/drawing/2014/chart" uri="{C3380CC4-5D6E-409C-BE32-E72D297353CC}">
                <c16:uniqueId val="{0000000C-019E-4500-AA48-E0D030DC21AC}"/>
              </c:ext>
            </c:extLst>
          </c:dPt>
          <c:dPt>
            <c:idx val="2"/>
            <c:invertIfNegative val="0"/>
            <c:bubble3D val="0"/>
            <c:spPr>
              <a:solidFill>
                <a:srgbClr val="FF0000"/>
              </a:solidFill>
              <a:ln>
                <a:noFill/>
              </a:ln>
              <a:effectLst/>
            </c:spPr>
            <c:extLst>
              <c:ext xmlns:c16="http://schemas.microsoft.com/office/drawing/2014/chart" uri="{C3380CC4-5D6E-409C-BE32-E72D297353CC}">
                <c16:uniqueId val="{00000002-01B3-4897-B5E8-20D7C834EED2}"/>
              </c:ext>
            </c:extLst>
          </c:dPt>
          <c:dPt>
            <c:idx val="3"/>
            <c:invertIfNegative val="0"/>
            <c:bubble3D val="0"/>
            <c:spPr>
              <a:solidFill>
                <a:srgbClr val="92D050"/>
              </a:solidFill>
              <a:ln>
                <a:noFill/>
              </a:ln>
              <a:effectLst/>
            </c:spPr>
            <c:extLst>
              <c:ext xmlns:c16="http://schemas.microsoft.com/office/drawing/2014/chart" uri="{C3380CC4-5D6E-409C-BE32-E72D297353CC}">
                <c16:uniqueId val="{00000009-B819-4398-8C8B-8C32127D26B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PARTICIPA'!$C$46:$C$49</c:f>
              <c:strCache>
                <c:ptCount val="4"/>
                <c:pt idx="0">
                  <c:v>Componente Impulsor del avance: Transparencia y Gobierno Abierto
</c:v>
                </c:pt>
                <c:pt idx="1">
                  <c:v> TRANSPARENCIA Y LUCHA CONTRA LA CORRUPCIÓN</c:v>
                </c:pt>
                <c:pt idx="2">
                  <c:v> PROCESOS ADMINISTRATIVOS ÓPTIMOS Y TRANSPARENTES</c:v>
                </c:pt>
                <c:pt idx="3">
                  <c:v> CARTAGENA DIGITAL, INCLUSIVA Y CONECTADA</c:v>
                </c:pt>
              </c:strCache>
            </c:strRef>
          </c:cat>
          <c:val>
            <c:numRef>
              <c:f>'GRAFICAS INNOVACIÓN Y PARTICIPA'!$E$46:$E$49</c:f>
              <c:numCache>
                <c:formatCode>0.0%</c:formatCode>
                <c:ptCount val="4"/>
                <c:pt idx="0">
                  <c:v>0.27313888888888888</c:v>
                </c:pt>
                <c:pt idx="1">
                  <c:v>0.33999999999999997</c:v>
                </c:pt>
                <c:pt idx="2">
                  <c:v>5.7749999999999996E-2</c:v>
                </c:pt>
                <c:pt idx="3">
                  <c:v>0.42166666666666663</c:v>
                </c:pt>
              </c:numCache>
            </c:numRef>
          </c:val>
          <c:extLst>
            <c:ext xmlns:c16="http://schemas.microsoft.com/office/drawing/2014/chart" uri="{C3380CC4-5D6E-409C-BE32-E72D297353CC}">
              <c16:uniqueId val="{00000000-941E-4C4B-8CFC-6A6A8FA0F59A}"/>
            </c:ext>
          </c:extLst>
        </c:ser>
        <c:dLbls>
          <c:showLegendKey val="0"/>
          <c:showVal val="0"/>
          <c:showCatName val="0"/>
          <c:showSerName val="0"/>
          <c:showPercent val="0"/>
          <c:showBubbleSize val="0"/>
        </c:dLbls>
        <c:gapWidth val="219"/>
        <c:overlap val="-27"/>
        <c:axId val="432689984"/>
        <c:axId val="432693120"/>
      </c:barChart>
      <c:catAx>
        <c:axId val="4326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3120"/>
        <c:crosses val="autoZero"/>
        <c:auto val="1"/>
        <c:lblAlgn val="ctr"/>
        <c:lblOffset val="100"/>
        <c:noMultiLvlLbl val="0"/>
      </c:catAx>
      <c:valAx>
        <c:axId val="4326931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9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r>
              <a:rPr lang="en-US"/>
              <a:t>AVANCE CUATRIENIO IMPULSOR DE AVANCE: FORTALECIMIENTO INSTITUCIONAL E </a:t>
            </a:r>
            <a:r>
              <a:rPr lang="en-US" sz="1200"/>
              <a:t>INNOVACIÓN ADMINISTRATIVA. CORTE </a:t>
            </a:r>
            <a:r>
              <a:rPr lang="es-CO" sz="1200" b="1" i="0" baseline="0">
                <a:effectLst/>
              </a:rPr>
              <a:t> JUNIO DE 2025</a:t>
            </a:r>
            <a:endParaRPr lang="es-CO" sz="1200">
              <a:effectLst/>
            </a:endParaRPr>
          </a:p>
          <a:p>
            <a:pPr marL="0" marR="0" indent="0" algn="ctr" defTabSz="914400" rtl="0" eaLnBrk="1" fontAlgn="auto" latinLnBrk="0" hangingPunct="1">
              <a:lnSpc>
                <a:spcPct val="100000"/>
              </a:lnSpc>
              <a:spcBef>
                <a:spcPts val="0"/>
              </a:spcBef>
              <a:spcAft>
                <a:spcPts val="0"/>
              </a:spcAft>
              <a:buClrTx/>
              <a:buSzTx/>
              <a:buFontTx/>
              <a:buNone/>
              <a:tabLst/>
              <a:defRPr sz="1200" b="1">
                <a:solidFill>
                  <a:srgbClr val="000000">
                    <a:lumMod val="65000"/>
                    <a:lumOff val="35000"/>
                  </a:srgbClr>
                </a:solidFill>
              </a:defRPr>
            </a:pPr>
            <a:endParaRPr lang="en-US"/>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PARTICIPA'!$E$55</c:f>
              <c:strCache>
                <c:ptCount val="1"/>
                <c:pt idx="0">
                  <c:v>AVANCE CUATRIENIO IMPULSOR DE AVANCE: FORTALECIMIENTO INSTITUCIONAL. CORTE JUNIO 2025</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2046-4CCE-9C45-613420468A21}"/>
              </c:ext>
            </c:extLst>
          </c:dPt>
          <c:dPt>
            <c:idx val="1"/>
            <c:invertIfNegative val="0"/>
            <c:bubble3D val="0"/>
            <c:spPr>
              <a:solidFill>
                <a:srgbClr val="92D050"/>
              </a:solidFill>
              <a:ln>
                <a:noFill/>
              </a:ln>
              <a:effectLst/>
            </c:spPr>
            <c:extLst>
              <c:ext xmlns:c16="http://schemas.microsoft.com/office/drawing/2014/chart" uri="{C3380CC4-5D6E-409C-BE32-E72D297353CC}">
                <c16:uniqueId val="{00000002-F15D-4CF9-A746-E57DAE027BE7}"/>
              </c:ext>
            </c:extLst>
          </c:dPt>
          <c:dPt>
            <c:idx val="2"/>
            <c:invertIfNegative val="0"/>
            <c:bubble3D val="0"/>
            <c:spPr>
              <a:solidFill>
                <a:srgbClr val="FFFF00"/>
              </a:solidFill>
              <a:ln>
                <a:noFill/>
              </a:ln>
              <a:effectLst/>
            </c:spPr>
            <c:extLst>
              <c:ext xmlns:c16="http://schemas.microsoft.com/office/drawing/2014/chart" uri="{C3380CC4-5D6E-409C-BE32-E72D297353CC}">
                <c16:uniqueId val="{00000003-F15D-4CF9-A746-E57DAE027BE7}"/>
              </c:ext>
            </c:extLst>
          </c:dPt>
          <c:dPt>
            <c:idx val="3"/>
            <c:invertIfNegative val="0"/>
            <c:bubble3D val="0"/>
            <c:spPr>
              <a:solidFill>
                <a:srgbClr val="FF7C80"/>
              </a:solidFill>
              <a:ln>
                <a:noFill/>
              </a:ln>
              <a:effectLst/>
            </c:spPr>
            <c:extLst>
              <c:ext xmlns:c16="http://schemas.microsoft.com/office/drawing/2014/chart" uri="{C3380CC4-5D6E-409C-BE32-E72D297353CC}">
                <c16:uniqueId val="{00000004-F15D-4CF9-A746-E57DAE027BE7}"/>
              </c:ext>
            </c:extLst>
          </c:dPt>
          <c:dPt>
            <c:idx val="4"/>
            <c:invertIfNegative val="0"/>
            <c:bubble3D val="0"/>
            <c:spPr>
              <a:solidFill>
                <a:srgbClr val="FFFF00"/>
              </a:solidFill>
              <a:ln>
                <a:noFill/>
              </a:ln>
              <a:effectLst/>
            </c:spPr>
            <c:extLst>
              <c:ext xmlns:c16="http://schemas.microsoft.com/office/drawing/2014/chart" uri="{C3380CC4-5D6E-409C-BE32-E72D297353CC}">
                <c16:uniqueId val="{00000005-F15D-4CF9-A746-E57DAE027BE7}"/>
              </c:ext>
            </c:extLst>
          </c:dPt>
          <c:dPt>
            <c:idx val="5"/>
            <c:invertIfNegative val="0"/>
            <c:bubble3D val="0"/>
            <c:spPr>
              <a:solidFill>
                <a:srgbClr val="00B050"/>
              </a:solidFill>
              <a:ln>
                <a:noFill/>
              </a:ln>
              <a:effectLst/>
            </c:spPr>
            <c:extLst>
              <c:ext xmlns:c16="http://schemas.microsoft.com/office/drawing/2014/chart" uri="{C3380CC4-5D6E-409C-BE32-E72D297353CC}">
                <c16:uniqueId val="{00000007-F15D-4CF9-A746-E57DAE027BE7}"/>
              </c:ext>
            </c:extLst>
          </c:dPt>
          <c:dPt>
            <c:idx val="6"/>
            <c:invertIfNegative val="0"/>
            <c:bubble3D val="0"/>
            <c:spPr>
              <a:solidFill>
                <a:srgbClr val="FF7C80"/>
              </a:solidFill>
              <a:ln>
                <a:noFill/>
              </a:ln>
              <a:effectLst/>
            </c:spPr>
            <c:extLst>
              <c:ext xmlns:c16="http://schemas.microsoft.com/office/drawing/2014/chart" uri="{C3380CC4-5D6E-409C-BE32-E72D297353CC}">
                <c16:uniqueId val="{00000009-F15D-4CF9-A746-E57DAE027BE7}"/>
              </c:ext>
            </c:extLst>
          </c:dPt>
          <c:dPt>
            <c:idx val="7"/>
            <c:invertIfNegative val="0"/>
            <c:bubble3D val="0"/>
            <c:spPr>
              <a:solidFill>
                <a:srgbClr val="FF0000"/>
              </a:solidFill>
              <a:ln>
                <a:noFill/>
              </a:ln>
              <a:effectLst/>
            </c:spPr>
            <c:extLst>
              <c:ext xmlns:c16="http://schemas.microsoft.com/office/drawing/2014/chart" uri="{C3380CC4-5D6E-409C-BE32-E72D297353CC}">
                <c16:uniqueId val="{00000010-8F76-45F0-B7D9-012B2C588B2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PARTICIPA'!$C$56:$C$64</c:f>
              <c:strCache>
                <c:ptCount val="9"/>
                <c:pt idx="0">
                  <c:v>Fortalecimiento Institucional e Innovación Administrativa
</c:v>
                </c:pt>
                <c:pt idx="1">
                  <c:v> MODELO INTEGRADO DE PLANEACIÓN Y GESTIÓN - MIPG</c:v>
                </c:pt>
                <c:pt idx="2">
                  <c:v> MEJORA NORMATIVA EN EL DISTRITO DE CARTAGENA DE INDIAS</c:v>
                </c:pt>
                <c:pt idx="3">
                  <c:v> PATRIMONIO PÚBLICO AL SERVICIO DE CARTAGENA</c:v>
                </c:pt>
                <c:pt idx="4">
                  <c:v> REDISEÑO INSTITUCIONAL E INNOVACIÓN ADMINISTRATIVA DEL DISTRITO</c:v>
                </c:pt>
                <c:pt idx="5">
                  <c:v> SEGURIDAD DIGITAL</c:v>
                </c:pt>
                <c:pt idx="6">
                  <c:v> TRANSFORMACIÓN DIGITAL DEL SISTEMA DE ARCHIVO PARA LA GESTIÓN PÚBLICA EFICIENTE</c:v>
                </c:pt>
                <c:pt idx="7">
                  <c:v> FORTALECIMIENTO DEL SISTEMA DE CONTROL INTERNO, SCI</c:v>
                </c:pt>
                <c:pt idx="8">
                  <c:v> FORTALECIMIENTO DE LA GESTIÓN ADMINISTRATIVA Y OPERATIVA DEL DEPARTAMENTO ADMINISTRATIVO DE TRÁNSITO Y TRANSPORTE - DATT</c:v>
                </c:pt>
              </c:strCache>
            </c:strRef>
          </c:cat>
          <c:val>
            <c:numRef>
              <c:f>'GRAFICAS INNOVACIÓN Y PARTICIPA'!$E$56:$E$64</c:f>
              <c:numCache>
                <c:formatCode>0.0%</c:formatCode>
                <c:ptCount val="9"/>
                <c:pt idx="0">
                  <c:v>0.29147056104666003</c:v>
                </c:pt>
                <c:pt idx="1">
                  <c:v>0.39633333333333332</c:v>
                </c:pt>
                <c:pt idx="2">
                  <c:v>0.35</c:v>
                </c:pt>
                <c:pt idx="3">
                  <c:v>0.24105204513399153</c:v>
                </c:pt>
                <c:pt idx="4">
                  <c:v>0.32184000000000001</c:v>
                </c:pt>
                <c:pt idx="5">
                  <c:v>0.48333333333333334</c:v>
                </c:pt>
                <c:pt idx="6">
                  <c:v>0.24149999999999996</c:v>
                </c:pt>
                <c:pt idx="7">
                  <c:v>0.05</c:v>
                </c:pt>
                <c:pt idx="8">
                  <c:v>0.24770577657262269</c:v>
                </c:pt>
              </c:numCache>
            </c:numRef>
          </c:val>
          <c:extLst>
            <c:ext xmlns:c16="http://schemas.microsoft.com/office/drawing/2014/chart" uri="{C3380CC4-5D6E-409C-BE32-E72D297353CC}">
              <c16:uniqueId val="{00000000-2046-4CCE-9C45-613420468A21}"/>
            </c:ext>
          </c:extLst>
        </c:ser>
        <c:dLbls>
          <c:showLegendKey val="0"/>
          <c:showVal val="0"/>
          <c:showCatName val="0"/>
          <c:showSerName val="0"/>
          <c:showPercent val="0"/>
          <c:showBubbleSize val="0"/>
        </c:dLbls>
        <c:gapWidth val="219"/>
        <c:overlap val="-27"/>
        <c:axId val="432694688"/>
        <c:axId val="432697432"/>
      </c:barChart>
      <c:catAx>
        <c:axId val="43269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32697432"/>
        <c:crosses val="autoZero"/>
        <c:auto val="1"/>
        <c:lblAlgn val="ctr"/>
        <c:lblOffset val="100"/>
        <c:noMultiLvlLbl val="0"/>
      </c:catAx>
      <c:valAx>
        <c:axId val="432697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4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r>
              <a:rPr lang="en-US"/>
              <a:t>AVANCE CUATRIENIO IMPULSOR DE AVANCE: PARTICIPACIÓN CIUDADANA Y ACCIÓN COMUNAL.  </a:t>
            </a:r>
            <a:r>
              <a:rPr lang="en-US" sz="1200"/>
              <a:t>PROGRAMAS. CORTE </a:t>
            </a:r>
            <a:r>
              <a:rPr lang="es-CO" sz="1200" b="1" i="0" baseline="0">
                <a:effectLst/>
              </a:rPr>
              <a:t> JUNIO DE 2025</a:t>
            </a:r>
            <a:endParaRPr lang="es-CO" sz="1200">
              <a:effectLst/>
            </a:endParaRPr>
          </a:p>
          <a:p>
            <a:pPr marL="0" marR="0" indent="0" algn="ctr" defTabSz="914400" rtl="0" eaLnBrk="1" fontAlgn="auto" latinLnBrk="0" hangingPunct="1">
              <a:lnSpc>
                <a:spcPct val="100000"/>
              </a:lnSpc>
              <a:spcBef>
                <a:spcPts val="0"/>
              </a:spcBef>
              <a:spcAft>
                <a:spcPts val="0"/>
              </a:spcAft>
              <a:buClrTx/>
              <a:buSzTx/>
              <a:buFontTx/>
              <a:buNone/>
              <a:tabLst/>
              <a:defRPr sz="1200" b="1">
                <a:solidFill>
                  <a:srgbClr val="000000">
                    <a:lumMod val="65000"/>
                    <a:lumOff val="35000"/>
                  </a:srgbClr>
                </a:solidFill>
              </a:defRPr>
            </a:pPr>
            <a:endParaRPr lang="en-US" sz="1200"/>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PARTICIPA'!$E$85</c:f>
              <c:strCache>
                <c:ptCount val="1"/>
                <c:pt idx="0">
                  <c:v>AVANCE CUATRIENIO IMPULSOR DE AVANCE: PARTICIPACIÓN CIUDADANA Y ACCIÓN COMUNAL. CORTE JUNIO 2025</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EE4D-4EA7-93E7-5000B990A582}"/>
              </c:ext>
            </c:extLst>
          </c:dPt>
          <c:dPt>
            <c:idx val="1"/>
            <c:invertIfNegative val="0"/>
            <c:bubble3D val="0"/>
            <c:spPr>
              <a:solidFill>
                <a:srgbClr val="00B050"/>
              </a:solidFill>
              <a:ln>
                <a:noFill/>
              </a:ln>
              <a:effectLst/>
            </c:spPr>
            <c:extLst>
              <c:ext xmlns:c16="http://schemas.microsoft.com/office/drawing/2014/chart" uri="{C3380CC4-5D6E-409C-BE32-E72D297353CC}">
                <c16:uniqueId val="{00000006-6902-4F01-8D9C-E069CCE3CBF9}"/>
              </c:ext>
            </c:extLst>
          </c:dPt>
          <c:dPt>
            <c:idx val="2"/>
            <c:invertIfNegative val="0"/>
            <c:bubble3D val="0"/>
            <c:spPr>
              <a:solidFill>
                <a:srgbClr val="FF7C80"/>
              </a:solidFill>
              <a:ln>
                <a:noFill/>
              </a:ln>
              <a:effectLst/>
            </c:spPr>
            <c:extLst>
              <c:ext xmlns:c16="http://schemas.microsoft.com/office/drawing/2014/chart" uri="{C3380CC4-5D6E-409C-BE32-E72D297353CC}">
                <c16:uniqueId val="{00000002-3912-4580-B880-FA6D04A34252}"/>
              </c:ext>
            </c:extLst>
          </c:dPt>
          <c:dPt>
            <c:idx val="4"/>
            <c:invertIfNegative val="0"/>
            <c:bubble3D val="0"/>
            <c:spPr>
              <a:solidFill>
                <a:srgbClr val="92D050"/>
              </a:solidFill>
              <a:ln>
                <a:noFill/>
              </a:ln>
              <a:effectLst/>
            </c:spPr>
            <c:extLst>
              <c:ext xmlns:c16="http://schemas.microsoft.com/office/drawing/2014/chart" uri="{C3380CC4-5D6E-409C-BE32-E72D297353CC}">
                <c16:uniqueId val="{00000004-3912-4580-B880-FA6D04A34252}"/>
              </c:ext>
            </c:extLst>
          </c:dPt>
          <c:dPt>
            <c:idx val="5"/>
            <c:invertIfNegative val="0"/>
            <c:bubble3D val="0"/>
            <c:spPr>
              <a:solidFill>
                <a:srgbClr val="FF7C80"/>
              </a:solidFill>
              <a:ln>
                <a:noFill/>
              </a:ln>
              <a:effectLst/>
            </c:spPr>
            <c:extLst>
              <c:ext xmlns:c16="http://schemas.microsoft.com/office/drawing/2014/chart" uri="{C3380CC4-5D6E-409C-BE32-E72D297353CC}">
                <c16:uniqueId val="{00000009-6902-4F01-8D9C-E069CCE3CBF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PARTICIPA'!$C$86:$C$91</c:f>
              <c:strCache>
                <c:ptCount val="6"/>
                <c:pt idx="0">
                  <c:v>Participación Ciudadana y Acción Comunal
</c:v>
                </c:pt>
                <c:pt idx="1">
                  <c:v> ORGANISMOS COMUNALES TÉCNICOS Y ADMINISTRATIVAMENTE EFICIENTES</c:v>
                </c:pt>
                <c:pt idx="2">
                  <c:v> ORGANIZACIONES SOCIALES SÓLIDAS E INCIDENTES EN EL DESARROLLO LOCAL</c:v>
                </c:pt>
                <c:pt idx="3">
                  <c:v> PARTICIPANDO DECIDIMOS Y AVANZAMOS</c:v>
                </c:pt>
                <c:pt idx="4">
                  <c:v> PROMOCIÓN Y GARANTÍA PARA LA PARTICIPACIÓN SOCIOPOLÍTICA JUVENIL</c:v>
                </c:pt>
                <c:pt idx="5">
                  <c:v> DERECHO A LA PARTICIPACIÓN Y REPRESENTACIÓN CON EQUIDAD DE GÉNERO</c:v>
                </c:pt>
              </c:strCache>
            </c:strRef>
          </c:cat>
          <c:val>
            <c:numRef>
              <c:f>'GRAFICAS INNOVACIÓN Y PARTICIPA'!$E$86:$E$91</c:f>
              <c:numCache>
                <c:formatCode>0.0%</c:formatCode>
                <c:ptCount val="6"/>
                <c:pt idx="0">
                  <c:v>0.25554642132483418</c:v>
                </c:pt>
                <c:pt idx="1">
                  <c:v>0.59475575017122739</c:v>
                </c:pt>
                <c:pt idx="2">
                  <c:v>0.17833333333333329</c:v>
                </c:pt>
                <c:pt idx="3">
                  <c:v>0.22853666666666667</c:v>
                </c:pt>
                <c:pt idx="4">
                  <c:v>0.362875</c:v>
                </c:pt>
                <c:pt idx="5">
                  <c:v>0.16877777777777778</c:v>
                </c:pt>
              </c:numCache>
            </c:numRef>
          </c:val>
          <c:extLst>
            <c:ext xmlns:c16="http://schemas.microsoft.com/office/drawing/2014/chart" uri="{C3380CC4-5D6E-409C-BE32-E72D297353CC}">
              <c16:uniqueId val="{00000000-EE4D-4EA7-93E7-5000B990A582}"/>
            </c:ext>
          </c:extLst>
        </c:ser>
        <c:dLbls>
          <c:showLegendKey val="0"/>
          <c:showVal val="0"/>
          <c:showCatName val="0"/>
          <c:showSerName val="0"/>
          <c:showPercent val="0"/>
          <c:showBubbleSize val="0"/>
        </c:dLbls>
        <c:gapWidth val="219"/>
        <c:overlap val="-27"/>
        <c:axId val="432697040"/>
        <c:axId val="432696256"/>
      </c:barChart>
      <c:catAx>
        <c:axId val="43269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6256"/>
        <c:crosses val="autoZero"/>
        <c:auto val="1"/>
        <c:lblAlgn val="ctr"/>
        <c:lblOffset val="100"/>
        <c:noMultiLvlLbl val="0"/>
      </c:catAx>
      <c:valAx>
        <c:axId val="432696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7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CULTURA CIUDADANA. </a:t>
            </a:r>
            <a:r>
              <a:rPr lang="en-US" sz="1400"/>
              <a:t>PROGRAMAS. CORTE </a:t>
            </a:r>
            <a:r>
              <a:rPr lang="es-CO" sz="1400" b="1" i="0" baseline="0">
                <a:effectLst/>
              </a:rPr>
              <a:t> JUNIO DE 2025</a:t>
            </a:r>
            <a:endParaRPr lang="es-CO"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PARTICIPA'!$E$73</c:f>
              <c:strCache>
                <c:ptCount val="1"/>
                <c:pt idx="0">
                  <c:v>AVANCE CUATRIENIO IMPULSOR DE AVANCE: CULTURA CIUDADANA. CORTE JUNIO 2025</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01B0-4197-9726-F8C8C5665729}"/>
              </c:ext>
            </c:extLst>
          </c:dPt>
          <c:dPt>
            <c:idx val="1"/>
            <c:invertIfNegative val="0"/>
            <c:bubble3D val="0"/>
            <c:spPr>
              <a:solidFill>
                <a:srgbClr val="92D050"/>
              </a:solidFill>
              <a:ln>
                <a:noFill/>
              </a:ln>
              <a:effectLst/>
            </c:spPr>
            <c:extLst>
              <c:ext xmlns:c16="http://schemas.microsoft.com/office/drawing/2014/chart" uri="{C3380CC4-5D6E-409C-BE32-E72D297353CC}">
                <c16:uniqueId val="{00000008-85D2-4714-9203-75C0D038BD91}"/>
              </c:ext>
            </c:extLst>
          </c:dPt>
          <c:dPt>
            <c:idx val="2"/>
            <c:invertIfNegative val="0"/>
            <c:bubble3D val="0"/>
            <c:spPr>
              <a:solidFill>
                <a:srgbClr val="92D050"/>
              </a:solidFill>
              <a:ln>
                <a:noFill/>
              </a:ln>
              <a:effectLst/>
            </c:spPr>
            <c:extLst>
              <c:ext xmlns:c16="http://schemas.microsoft.com/office/drawing/2014/chart" uri="{C3380CC4-5D6E-409C-BE32-E72D297353CC}">
                <c16:uniqueId val="{00000007-E543-4718-BEAE-65A00454833E}"/>
              </c:ext>
            </c:extLst>
          </c:dPt>
          <c:dPt>
            <c:idx val="4"/>
            <c:invertIfNegative val="0"/>
            <c:bubble3D val="0"/>
            <c:spPr>
              <a:solidFill>
                <a:srgbClr val="FF7C80"/>
              </a:solidFill>
              <a:ln>
                <a:noFill/>
              </a:ln>
              <a:effectLst/>
            </c:spPr>
            <c:extLst>
              <c:ext xmlns:c16="http://schemas.microsoft.com/office/drawing/2014/chart" uri="{C3380CC4-5D6E-409C-BE32-E72D297353CC}">
                <c16:uniqueId val="{00000003-3B93-46C8-A282-D1DE008C819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PARTICIPA'!$C$74:$C$79</c:f>
              <c:strCache>
                <c:ptCount val="6"/>
                <c:pt idx="0">
                  <c:v>Cultura Ciudadana
</c:v>
                </c:pt>
                <c:pt idx="1">
                  <c:v> SERVIDORES CON ESPLENDOR CONSTRUYENDO CIUDAD</c:v>
                </c:pt>
                <c:pt idx="2">
                  <c:v> CIUDADANÍA DIVERSA, PARTICIPATIVA Y PROPULSORA DEL DESARROLLO</c:v>
                </c:pt>
                <c:pt idx="3">
                  <c:v> CARTAGENEIDAD CON ORGULLO Y ESPLENDOR</c:v>
                </c:pt>
                <c:pt idx="4">
                  <c:v> CARTAGENA BRILLA CON CULTURA CIUDADANA</c:v>
                </c:pt>
                <c:pt idx="5">
                  <c:v> ESCUELA DE GOBERNANZA E INNOVACIÓN PÚBLICA</c:v>
                </c:pt>
              </c:strCache>
            </c:strRef>
          </c:cat>
          <c:val>
            <c:numRef>
              <c:f>'GRAFICAS INNOVACIÓN Y PARTICIPA'!$E$74:$E$79</c:f>
              <c:numCache>
                <c:formatCode>0.0%</c:formatCode>
                <c:ptCount val="6"/>
                <c:pt idx="0">
                  <c:v>0.33923590385198665</c:v>
                </c:pt>
                <c:pt idx="1">
                  <c:v>0.44538785259326658</c:v>
                </c:pt>
                <c:pt idx="2">
                  <c:v>0.358875</c:v>
                </c:pt>
                <c:pt idx="3">
                  <c:v>0.33750000000000002</c:v>
                </c:pt>
                <c:pt idx="4">
                  <c:v>0.24816666666666665</c:v>
                </c:pt>
                <c:pt idx="5">
                  <c:v>0.30625000000000002</c:v>
                </c:pt>
              </c:numCache>
            </c:numRef>
          </c:val>
          <c:extLst>
            <c:ext xmlns:c16="http://schemas.microsoft.com/office/drawing/2014/chart" uri="{C3380CC4-5D6E-409C-BE32-E72D297353CC}">
              <c16:uniqueId val="{00000000-01B0-4197-9726-F8C8C5665729}"/>
            </c:ext>
          </c:extLst>
        </c:ser>
        <c:dLbls>
          <c:showLegendKey val="0"/>
          <c:showVal val="0"/>
          <c:showCatName val="0"/>
          <c:showSerName val="0"/>
          <c:showPercent val="0"/>
          <c:showBubbleSize val="0"/>
        </c:dLbls>
        <c:gapWidth val="219"/>
        <c:overlap val="-27"/>
        <c:axId val="432696648"/>
        <c:axId val="432695472"/>
      </c:barChart>
      <c:catAx>
        <c:axId val="43269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5472"/>
        <c:crosses val="autoZero"/>
        <c:auto val="1"/>
        <c:lblAlgn val="ctr"/>
        <c:lblOffset val="100"/>
        <c:noMultiLvlLbl val="0"/>
      </c:catAx>
      <c:valAx>
        <c:axId val="432695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6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AVANCE  PARCIAL LINEA ESTRATEGICA SEGURIDAD HUMANA. COMPONENTES IMPULSORES DE AVANCE.  VIGENCIA 2025 CORTE </a:t>
            </a:r>
            <a:r>
              <a:rPr lang="es-CO" sz="1200" b="1" i="0" u="none" strike="noStrike" baseline="0">
                <a:effectLst/>
              </a:rPr>
              <a:t> JUNIO </a:t>
            </a:r>
            <a:endParaRPr lang="es-CO" sz="1200">
              <a:effectLst/>
            </a:endParaRPr>
          </a:p>
        </c:rich>
      </c:tx>
      <c:layout>
        <c:manualLayout>
          <c:xMode val="edge"/>
          <c:yMode val="edge"/>
          <c:x val="0.12103242979758053"/>
          <c:y val="7.3994608119363949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8010071159874776E-2"/>
          <c:y val="0.17507210805228032"/>
          <c:w val="0.93527723174714594"/>
          <c:h val="0.61160031959186867"/>
        </c:manualLayout>
      </c:layout>
      <c:barChart>
        <c:barDir val="col"/>
        <c:grouping val="clustered"/>
        <c:varyColors val="0"/>
        <c:ser>
          <c:idx val="0"/>
          <c:order val="0"/>
          <c:tx>
            <c:strRef>
              <c:f>'GRAFICAS SEGURIDAD HUMANA'!$D$96</c:f>
              <c:strCache>
                <c:ptCount val="1"/>
                <c:pt idx="0">
                  <c:v>AVANCE  PARCIAL VIGENCIA  CORTE  JUNIO 2025</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4288-459A-8F06-D3EBB40AB465}"/>
              </c:ext>
            </c:extLst>
          </c:dPt>
          <c:dPt>
            <c:idx val="1"/>
            <c:invertIfNegative val="0"/>
            <c:bubble3D val="0"/>
            <c:spPr>
              <a:solidFill>
                <a:srgbClr val="FF7C80"/>
              </a:solidFill>
              <a:ln>
                <a:noFill/>
              </a:ln>
              <a:effectLst/>
            </c:spPr>
            <c:extLst>
              <c:ext xmlns:c16="http://schemas.microsoft.com/office/drawing/2014/chart" uri="{C3380CC4-5D6E-409C-BE32-E72D297353CC}">
                <c16:uniqueId val="{00000002-4288-459A-8F06-D3EBB40AB465}"/>
              </c:ext>
            </c:extLst>
          </c:dPt>
          <c:dPt>
            <c:idx val="2"/>
            <c:invertIfNegative val="0"/>
            <c:bubble3D val="0"/>
            <c:spPr>
              <a:solidFill>
                <a:srgbClr val="92D050"/>
              </a:solidFill>
              <a:ln>
                <a:noFill/>
              </a:ln>
              <a:effectLst/>
            </c:spPr>
            <c:extLst>
              <c:ext xmlns:c16="http://schemas.microsoft.com/office/drawing/2014/chart" uri="{C3380CC4-5D6E-409C-BE32-E72D297353CC}">
                <c16:uniqueId val="{00000003-4288-459A-8F06-D3EBB40AB465}"/>
              </c:ext>
            </c:extLst>
          </c:dPt>
          <c:dPt>
            <c:idx val="3"/>
            <c:invertIfNegative val="0"/>
            <c:bubble3D val="0"/>
            <c:spPr>
              <a:solidFill>
                <a:srgbClr val="92D050"/>
              </a:solidFill>
              <a:ln>
                <a:noFill/>
              </a:ln>
              <a:effectLst/>
            </c:spPr>
            <c:extLst>
              <c:ext xmlns:c16="http://schemas.microsoft.com/office/drawing/2014/chart" uri="{C3380CC4-5D6E-409C-BE32-E72D297353CC}">
                <c16:uniqueId val="{00000005-4288-459A-8F06-D3EBB40AB465}"/>
              </c:ext>
            </c:extLst>
          </c:dPt>
          <c:dPt>
            <c:idx val="4"/>
            <c:invertIfNegative val="0"/>
            <c:bubble3D val="0"/>
            <c:spPr>
              <a:solidFill>
                <a:srgbClr val="92D050"/>
              </a:solidFill>
              <a:ln>
                <a:noFill/>
              </a:ln>
              <a:effectLst/>
            </c:spPr>
            <c:extLst>
              <c:ext xmlns:c16="http://schemas.microsoft.com/office/drawing/2014/chart" uri="{C3380CC4-5D6E-409C-BE32-E72D297353CC}">
                <c16:uniqueId val="{00000007-4288-459A-8F06-D3EBB40AB465}"/>
              </c:ext>
            </c:extLst>
          </c:dPt>
          <c:dPt>
            <c:idx val="5"/>
            <c:invertIfNegative val="0"/>
            <c:bubble3D val="0"/>
            <c:spPr>
              <a:solidFill>
                <a:srgbClr val="92D050"/>
              </a:solidFill>
              <a:ln>
                <a:noFill/>
              </a:ln>
              <a:effectLst/>
            </c:spPr>
            <c:extLst>
              <c:ext xmlns:c16="http://schemas.microsoft.com/office/drawing/2014/chart" uri="{C3380CC4-5D6E-409C-BE32-E72D297353CC}">
                <c16:uniqueId val="{00000008-4288-459A-8F06-D3EBB40AB46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HUMANA'!$C$97:$C$102</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HUMANA'!$D$97:$D$102</c:f>
              <c:numCache>
                <c:formatCode>0.0%</c:formatCode>
                <c:ptCount val="6"/>
                <c:pt idx="0">
                  <c:v>0.36948496991755925</c:v>
                </c:pt>
                <c:pt idx="1">
                  <c:v>0.27357736692477463</c:v>
                </c:pt>
                <c:pt idx="2">
                  <c:v>0.40853792240693437</c:v>
                </c:pt>
                <c:pt idx="3">
                  <c:v>0.39703208372568849</c:v>
                </c:pt>
                <c:pt idx="4">
                  <c:v>0.38626405715864992</c:v>
                </c:pt>
                <c:pt idx="5">
                  <c:v>0.38201341937174882</c:v>
                </c:pt>
              </c:numCache>
            </c:numRef>
          </c:val>
          <c:extLst>
            <c:ext xmlns:c16="http://schemas.microsoft.com/office/drawing/2014/chart" uri="{C3380CC4-5D6E-409C-BE32-E72D297353CC}">
              <c16:uniqueId val="{00000000-4288-459A-8F06-D3EBB40AB465}"/>
            </c:ext>
          </c:extLst>
        </c:ser>
        <c:dLbls>
          <c:showLegendKey val="0"/>
          <c:showVal val="0"/>
          <c:showCatName val="0"/>
          <c:showSerName val="0"/>
          <c:showPercent val="0"/>
          <c:showBubbleSize val="0"/>
        </c:dLbls>
        <c:gapWidth val="219"/>
        <c:overlap val="-27"/>
        <c:axId val="428039824"/>
        <c:axId val="428035904"/>
      </c:barChart>
      <c:catAx>
        <c:axId val="428039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28035904"/>
        <c:crosses val="autoZero"/>
        <c:auto val="1"/>
        <c:lblAlgn val="ctr"/>
        <c:lblOffset val="100"/>
        <c:noMultiLvlLbl val="0"/>
      </c:catAx>
      <c:valAx>
        <c:axId val="4280359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39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s-CO" sz="1500" b="1"/>
              <a:t>AVANCE RESPECTO AL CUATRIENIO DE LOS COMPONENTES IMPULSORES LINEA ESTRATÉGICA INNOVACIÓN Y PARTICIPACIÓN. COMPARATIVO DICIEMBRE DE  2024 - </a:t>
            </a:r>
            <a:r>
              <a:rPr lang="es-CO" sz="1500" b="1" i="0" u="none" strike="noStrike" kern="1200" spc="0" baseline="0">
                <a:solidFill>
                  <a:srgbClr val="000000">
                    <a:lumMod val="65000"/>
                    <a:lumOff val="35000"/>
                  </a:srgbClr>
                </a:solidFill>
                <a:latin typeface="+mn-lt"/>
                <a:ea typeface="+mn-ea"/>
                <a:cs typeface="+mn-cs"/>
              </a:rPr>
              <a:t>JUNIO DE 2025</a:t>
            </a:r>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3166325688546572E-2"/>
          <c:y val="9.8100104931210214E-2"/>
          <c:w val="0.94682639629107501"/>
          <c:h val="0.63326333280450231"/>
        </c:manualLayout>
      </c:layout>
      <c:barChart>
        <c:barDir val="col"/>
        <c:grouping val="clustered"/>
        <c:varyColors val="0"/>
        <c:ser>
          <c:idx val="0"/>
          <c:order val="0"/>
          <c:tx>
            <c:strRef>
              <c:f>'GRAFICAS INNOVACIÓN Y PARTICIPA'!$D$4</c:f>
              <c:strCache>
                <c:ptCount val="1"/>
                <c:pt idx="0">
                  <c:v>ESPERADO  AL CUATRIENIO CORTE DICIEMBRE 2025</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PARTICIPA'!$D$5:$D$11</c:f>
              <c:numCache>
                <c:formatCode>0.0%</c:formatCode>
                <c:ptCount val="7"/>
                <c:pt idx="0">
                  <c:v>0.49760795645534717</c:v>
                </c:pt>
                <c:pt idx="1">
                  <c:v>0.44138888888888883</c:v>
                </c:pt>
                <c:pt idx="2">
                  <c:v>0.5217802133351358</c:v>
                </c:pt>
                <c:pt idx="3">
                  <c:v>0.50982794224574346</c:v>
                </c:pt>
                <c:pt idx="4">
                  <c:v>0.5349577019952263</c:v>
                </c:pt>
                <c:pt idx="5">
                  <c:v>0.49043977987101872</c:v>
                </c:pt>
                <c:pt idx="6">
                  <c:v>0.48725321239606956</c:v>
                </c:pt>
              </c:numCache>
            </c:numRef>
          </c:val>
          <c:extLst>
            <c:ext xmlns:c16="http://schemas.microsoft.com/office/drawing/2014/chart" uri="{C3380CC4-5D6E-409C-BE32-E72D297353CC}">
              <c16:uniqueId val="{00000000-125E-4083-82CC-469450A6180B}"/>
            </c:ext>
          </c:extLst>
        </c:ser>
        <c:ser>
          <c:idx val="1"/>
          <c:order val="1"/>
          <c:tx>
            <c:strRef>
              <c:f>'GRAFICAS INNOVACIÓN Y PARTICIPA'!$E$4</c:f>
              <c:strCache>
                <c:ptCount val="1"/>
                <c:pt idx="0">
                  <c:v>LOGRO VIGENCIA  CORTE JUNIO 2025 RESPECTO AL CUATRIENIO</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6-55DF-4B6F-835B-72A17ED96A7C}"/>
              </c:ext>
            </c:extLst>
          </c:dPt>
          <c:dPt>
            <c:idx val="1"/>
            <c:invertIfNegative val="0"/>
            <c:bubble3D val="0"/>
            <c:spPr>
              <a:solidFill>
                <a:srgbClr val="FFFF00"/>
              </a:solidFill>
              <a:ln>
                <a:noFill/>
              </a:ln>
              <a:effectLst/>
            </c:spPr>
            <c:extLst>
              <c:ext xmlns:c16="http://schemas.microsoft.com/office/drawing/2014/chart" uri="{C3380CC4-5D6E-409C-BE32-E72D297353CC}">
                <c16:uniqueId val="{00000008-86A9-4335-A7BD-AC48D9867D80}"/>
              </c:ext>
            </c:extLst>
          </c:dPt>
          <c:dPt>
            <c:idx val="2"/>
            <c:invertIfNegative val="0"/>
            <c:bubble3D val="0"/>
            <c:spPr>
              <a:solidFill>
                <a:srgbClr val="FFFF00"/>
              </a:solidFill>
              <a:ln>
                <a:noFill/>
              </a:ln>
              <a:effectLst/>
            </c:spPr>
            <c:extLst>
              <c:ext xmlns:c16="http://schemas.microsoft.com/office/drawing/2014/chart" uri="{C3380CC4-5D6E-409C-BE32-E72D297353CC}">
                <c16:uniqueId val="{00000009-86A9-4335-A7BD-AC48D9867D80}"/>
              </c:ext>
            </c:extLst>
          </c:dPt>
          <c:dPt>
            <c:idx val="3"/>
            <c:invertIfNegative val="0"/>
            <c:bubble3D val="0"/>
            <c:spPr>
              <a:solidFill>
                <a:srgbClr val="00B050"/>
              </a:solidFill>
              <a:ln>
                <a:noFill/>
              </a:ln>
              <a:effectLst/>
            </c:spPr>
            <c:extLst>
              <c:ext xmlns:c16="http://schemas.microsoft.com/office/drawing/2014/chart" uri="{C3380CC4-5D6E-409C-BE32-E72D297353CC}">
                <c16:uniqueId val="{00000004-CF26-4AF9-9871-BF63DC4B1D54}"/>
              </c:ext>
            </c:extLst>
          </c:dPt>
          <c:dPt>
            <c:idx val="4"/>
            <c:invertIfNegative val="0"/>
            <c:bubble3D val="0"/>
            <c:spPr>
              <a:solidFill>
                <a:srgbClr val="FFFF00"/>
              </a:solidFill>
              <a:ln>
                <a:noFill/>
              </a:ln>
              <a:effectLst/>
            </c:spPr>
            <c:extLst>
              <c:ext xmlns:c16="http://schemas.microsoft.com/office/drawing/2014/chart" uri="{C3380CC4-5D6E-409C-BE32-E72D297353CC}">
                <c16:uniqueId val="{00000000-6B9C-4488-A5D8-BFCAE3172664}"/>
              </c:ext>
            </c:extLst>
          </c:dPt>
          <c:dPt>
            <c:idx val="5"/>
            <c:invertIfNegative val="0"/>
            <c:bubble3D val="0"/>
            <c:spPr>
              <a:solidFill>
                <a:srgbClr val="FFFF00"/>
              </a:solidFill>
              <a:ln>
                <a:noFill/>
              </a:ln>
              <a:effectLst/>
            </c:spPr>
            <c:extLst>
              <c:ext xmlns:c16="http://schemas.microsoft.com/office/drawing/2014/chart" uri="{C3380CC4-5D6E-409C-BE32-E72D297353CC}">
                <c16:uniqueId val="{0000000A-86A9-4335-A7BD-AC48D9867D80}"/>
              </c:ext>
            </c:extLst>
          </c:dPt>
          <c:dPt>
            <c:idx val="6"/>
            <c:invertIfNegative val="0"/>
            <c:bubble3D val="0"/>
            <c:spPr>
              <a:solidFill>
                <a:srgbClr val="FFFF00"/>
              </a:solidFill>
              <a:ln>
                <a:noFill/>
              </a:ln>
              <a:effectLst/>
            </c:spPr>
            <c:extLst>
              <c:ext xmlns:c16="http://schemas.microsoft.com/office/drawing/2014/chart" uri="{C3380CC4-5D6E-409C-BE32-E72D297353CC}">
                <c16:uniqueId val="{00000001-6B9C-4488-A5D8-BFCAE3172664}"/>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PARTICIPA'!$E$5:$E$11</c:f>
              <c:numCache>
                <c:formatCode>0.0%</c:formatCode>
                <c:ptCount val="7"/>
                <c:pt idx="0">
                  <c:v>0.34508245592517955</c:v>
                </c:pt>
                <c:pt idx="1">
                  <c:v>0.27313888888888888</c:v>
                </c:pt>
                <c:pt idx="2">
                  <c:v>0.29147056104666003</c:v>
                </c:pt>
                <c:pt idx="3">
                  <c:v>0.45569128096258565</c:v>
                </c:pt>
                <c:pt idx="4">
                  <c:v>0.33923590385198665</c:v>
                </c:pt>
                <c:pt idx="5">
                  <c:v>0.25554642132483418</c:v>
                </c:pt>
                <c:pt idx="6">
                  <c:v>0.34377302789802794</c:v>
                </c:pt>
              </c:numCache>
            </c:numRef>
          </c:val>
          <c:extLst>
            <c:ext xmlns:c16="http://schemas.microsoft.com/office/drawing/2014/chart" uri="{C3380CC4-5D6E-409C-BE32-E72D297353CC}">
              <c16:uniqueId val="{00000001-125E-4083-82CC-469450A6180B}"/>
            </c:ext>
          </c:extLst>
        </c:ser>
        <c:ser>
          <c:idx val="2"/>
          <c:order val="2"/>
          <c:tx>
            <c:strRef>
              <c:f>'GRAFICAS INNOVACIÓN Y PARTICIPA'!$F$4</c:f>
              <c:strCache>
                <c:ptCount val="1"/>
                <c:pt idx="0">
                  <c:v>LOGRO VIGENCIA  CORTE DICIEMBRE  2024 RESPECTO AL CUATRIENIO</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PARTICIPA'!$F$5:$F$11</c:f>
              <c:numCache>
                <c:formatCode>0.0%</c:formatCode>
                <c:ptCount val="7"/>
                <c:pt idx="0">
                  <c:v>0.21734598565460142</c:v>
                </c:pt>
                <c:pt idx="1">
                  <c:v>0.21</c:v>
                </c:pt>
                <c:pt idx="2">
                  <c:v>0.20252323663937852</c:v>
                </c:pt>
                <c:pt idx="3">
                  <c:v>0.25580038172039926</c:v>
                </c:pt>
                <c:pt idx="4">
                  <c:v>0.25439168183196847</c:v>
                </c:pt>
                <c:pt idx="5">
                  <c:v>0.17211584073705719</c:v>
                </c:pt>
                <c:pt idx="6">
                  <c:v>0.20924477299880526</c:v>
                </c:pt>
              </c:numCache>
            </c:numRef>
          </c:val>
          <c:extLst>
            <c:ext xmlns:c16="http://schemas.microsoft.com/office/drawing/2014/chart" uri="{C3380CC4-5D6E-409C-BE32-E72D297353CC}">
              <c16:uniqueId val="{00000002-125E-4083-82CC-469450A6180B}"/>
            </c:ext>
          </c:extLst>
        </c:ser>
        <c:dLbls>
          <c:showLegendKey val="0"/>
          <c:showVal val="0"/>
          <c:showCatName val="0"/>
          <c:showSerName val="0"/>
          <c:showPercent val="0"/>
          <c:showBubbleSize val="0"/>
        </c:dLbls>
        <c:gapWidth val="219"/>
        <c:overlap val="-27"/>
        <c:axId val="456094968"/>
        <c:axId val="456088696"/>
      </c:barChart>
      <c:catAx>
        <c:axId val="456094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56088696"/>
        <c:crosses val="autoZero"/>
        <c:auto val="1"/>
        <c:lblAlgn val="ctr"/>
        <c:lblOffset val="100"/>
        <c:noMultiLvlLbl val="0"/>
      </c:catAx>
      <c:valAx>
        <c:axId val="4560886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94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PARTICIPA'!$E$94</c:f>
              <c:strCache>
                <c:ptCount val="1"/>
                <c:pt idx="0">
                  <c:v>AVANCE CUATRIENIO IMPULSOR DE AVANCE: SISTEMA DE PLANEACIÓN DISTRITAL. CORTE JUNIO 2025</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8-8B3E-4E9A-B096-2B5C60A1A296}"/>
              </c:ext>
            </c:extLst>
          </c:dPt>
          <c:dPt>
            <c:idx val="1"/>
            <c:invertIfNegative val="0"/>
            <c:bubble3D val="0"/>
            <c:spPr>
              <a:solidFill>
                <a:srgbClr val="92D050"/>
              </a:solidFill>
              <a:ln>
                <a:noFill/>
              </a:ln>
              <a:effectLst/>
            </c:spPr>
            <c:extLst>
              <c:ext xmlns:c16="http://schemas.microsoft.com/office/drawing/2014/chart" uri="{C3380CC4-5D6E-409C-BE32-E72D297353CC}">
                <c16:uniqueId val="{00000002-F0DC-4B6A-8D1C-769DF6F5CF73}"/>
              </c:ext>
            </c:extLst>
          </c:dPt>
          <c:dPt>
            <c:idx val="2"/>
            <c:invertIfNegative val="0"/>
            <c:bubble3D val="0"/>
            <c:spPr>
              <a:solidFill>
                <a:srgbClr val="FFFF00"/>
              </a:solidFill>
              <a:ln>
                <a:noFill/>
              </a:ln>
              <a:effectLst/>
            </c:spPr>
            <c:extLst>
              <c:ext xmlns:c16="http://schemas.microsoft.com/office/drawing/2014/chart" uri="{C3380CC4-5D6E-409C-BE32-E72D297353CC}">
                <c16:uniqueId val="{00000003-F0DC-4B6A-8D1C-769DF6F5CF73}"/>
              </c:ext>
            </c:extLst>
          </c:dPt>
          <c:dPt>
            <c:idx val="4"/>
            <c:invertIfNegative val="0"/>
            <c:bubble3D val="0"/>
            <c:spPr>
              <a:solidFill>
                <a:srgbClr val="00B050"/>
              </a:solidFill>
              <a:ln>
                <a:noFill/>
              </a:ln>
              <a:effectLst/>
            </c:spPr>
            <c:extLst>
              <c:ext xmlns:c16="http://schemas.microsoft.com/office/drawing/2014/chart" uri="{C3380CC4-5D6E-409C-BE32-E72D297353CC}">
                <c16:uniqueId val="{0000000A-DD68-440A-AFA6-6E5A21EF514D}"/>
              </c:ext>
            </c:extLst>
          </c:dPt>
          <c:dPt>
            <c:idx val="5"/>
            <c:invertIfNegative val="0"/>
            <c:bubble3D val="0"/>
            <c:spPr>
              <a:solidFill>
                <a:srgbClr val="FF7C80"/>
              </a:solidFill>
              <a:ln>
                <a:noFill/>
              </a:ln>
              <a:effectLst/>
            </c:spPr>
            <c:extLst>
              <c:ext xmlns:c16="http://schemas.microsoft.com/office/drawing/2014/chart" uri="{C3380CC4-5D6E-409C-BE32-E72D297353CC}">
                <c16:uniqueId val="{00000004-F0DC-4B6A-8D1C-769DF6F5CF73}"/>
              </c:ext>
            </c:extLst>
          </c:dPt>
          <c:dPt>
            <c:idx val="6"/>
            <c:invertIfNegative val="0"/>
            <c:bubble3D val="0"/>
            <c:spPr>
              <a:solidFill>
                <a:srgbClr val="FF7C80"/>
              </a:solidFill>
              <a:ln>
                <a:noFill/>
              </a:ln>
              <a:effectLst/>
            </c:spPr>
            <c:extLst>
              <c:ext xmlns:c16="http://schemas.microsoft.com/office/drawing/2014/chart" uri="{C3380CC4-5D6E-409C-BE32-E72D297353CC}">
                <c16:uniqueId val="{00000005-F0DC-4B6A-8D1C-769DF6F5CF73}"/>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PARTICIPA'!$C$95:$C$101</c:f>
              <c:strCache>
                <c:ptCount val="7"/>
                <c:pt idx="0">
                  <c:v>Sistema de Planeación Distrital
</c:v>
                </c:pt>
                <c:pt idx="1">
                  <c:v> CENTRO DE INVESTIGACIÓN DE INFORMACIÓN DE LA CIUDAD PARA LA TOMA DE DECISIONES (CIDI)</c:v>
                </c:pt>
                <c:pt idx="2">
                  <c:v> SISTEMAS DE INFORMACIÓN PARA EL DESARROLLO DE CARTAGENA</c:v>
                </c:pt>
                <c:pt idx="3">
                  <c:v> INVERSIÓN PÚBLICA EFICIENTE Y TRANSPARENTE</c:v>
                </c:pt>
                <c:pt idx="4">
                  <c:v> POLÍTICAS PÚBLICAS INTERSECTORIALES Y CON VISIÓN INTEGRAL</c:v>
                </c:pt>
                <c:pt idx="5">
                  <c:v> DESCENTRALIZACIÓN ADMINISTRATIVA</c:v>
                </c:pt>
                <c:pt idx="6">
                  <c:v> GESTIÓN CATASTRAL CON ENFOQUE MULTIPROPÓSITO</c:v>
                </c:pt>
              </c:strCache>
            </c:strRef>
          </c:cat>
          <c:val>
            <c:numRef>
              <c:f>'GRAFICAS INNOVACIÓN Y PARTICIPA'!$E$95:$E$101</c:f>
              <c:numCache>
                <c:formatCode>0.0%</c:formatCode>
                <c:ptCount val="7"/>
                <c:pt idx="0">
                  <c:v>0.34377302789802794</c:v>
                </c:pt>
                <c:pt idx="1">
                  <c:v>0.43666666666666665</c:v>
                </c:pt>
                <c:pt idx="2">
                  <c:v>0.27984848484848485</c:v>
                </c:pt>
                <c:pt idx="3">
                  <c:v>0.34126190476190477</c:v>
                </c:pt>
                <c:pt idx="4">
                  <c:v>0.61111111111111116</c:v>
                </c:pt>
                <c:pt idx="5">
                  <c:v>0.1875</c:v>
                </c:pt>
                <c:pt idx="6">
                  <c:v>0.20625000000000002</c:v>
                </c:pt>
              </c:numCache>
            </c:numRef>
          </c:val>
          <c:extLst>
            <c:ext xmlns:c16="http://schemas.microsoft.com/office/drawing/2014/chart" uri="{C3380CC4-5D6E-409C-BE32-E72D297353CC}">
              <c16:uniqueId val="{00000000-F0DC-4B6A-8D1C-769DF6F5CF73}"/>
            </c:ext>
          </c:extLst>
        </c:ser>
        <c:dLbls>
          <c:showLegendKey val="0"/>
          <c:showVal val="0"/>
          <c:showCatName val="0"/>
          <c:showSerName val="0"/>
          <c:showPercent val="0"/>
          <c:showBubbleSize val="0"/>
        </c:dLbls>
        <c:gapWidth val="219"/>
        <c:overlap val="-27"/>
        <c:axId val="456092616"/>
        <c:axId val="456096928"/>
      </c:barChart>
      <c:catAx>
        <c:axId val="45609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96928"/>
        <c:crosses val="autoZero"/>
        <c:auto val="1"/>
        <c:lblAlgn val="ctr"/>
        <c:lblOffset val="100"/>
        <c:noMultiLvlLbl val="0"/>
      </c:catAx>
      <c:valAx>
        <c:axId val="4560969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2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 avance: Sistema de Planeación Distrital. Avance ponderado corte  Junio de 2025</a:t>
            </a:r>
            <a:endParaRPr lang="es-CO">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PARTICIPA'!$D$94</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PARTICIPA'!$C$95:$C$101</c:f>
              <c:strCache>
                <c:ptCount val="7"/>
                <c:pt idx="0">
                  <c:v>Sistema de Planeación Distrital
</c:v>
                </c:pt>
                <c:pt idx="1">
                  <c:v> CENTRO DE INVESTIGACIÓN DE INFORMACIÓN DE LA CIUDAD PARA LA TOMA DE DECISIONES (CIDI)</c:v>
                </c:pt>
                <c:pt idx="2">
                  <c:v> SISTEMAS DE INFORMACIÓN PARA EL DESARROLLO DE CARTAGENA</c:v>
                </c:pt>
                <c:pt idx="3">
                  <c:v> INVERSIÓN PÚBLICA EFICIENTE Y TRANSPARENTE</c:v>
                </c:pt>
                <c:pt idx="4">
                  <c:v> POLÍTICAS PÚBLICAS INTERSECTORIALES Y CON VISIÓN INTEGRAL</c:v>
                </c:pt>
                <c:pt idx="5">
                  <c:v> DESCENTRALIZACIÓN ADMINISTRATIVA</c:v>
                </c:pt>
                <c:pt idx="6">
                  <c:v> GESTIÓN CATASTRAL CON ENFOQUE MULTIPROPÓSITO</c:v>
                </c:pt>
              </c:strCache>
            </c:strRef>
          </c:cat>
          <c:val>
            <c:numRef>
              <c:f>'GRAFICAS INNOVACIÓN Y PARTICIPA'!$D$95:$D$101</c:f>
              <c:numCache>
                <c:formatCode>0.0%</c:formatCode>
                <c:ptCount val="7"/>
                <c:pt idx="0">
                  <c:v>0.31612553030303031</c:v>
                </c:pt>
                <c:pt idx="1">
                  <c:v>0.32166666666666666</c:v>
                </c:pt>
                <c:pt idx="2">
                  <c:v>0.2650818181818182</c:v>
                </c:pt>
                <c:pt idx="3">
                  <c:v>0.36731666666666668</c:v>
                </c:pt>
                <c:pt idx="4">
                  <c:v>0.53333333333333333</c:v>
                </c:pt>
                <c:pt idx="5">
                  <c:v>0.17499999999999999</c:v>
                </c:pt>
                <c:pt idx="6">
                  <c:v>0.20625000000000002</c:v>
                </c:pt>
              </c:numCache>
            </c:numRef>
          </c:val>
          <c:extLst>
            <c:ext xmlns:c16="http://schemas.microsoft.com/office/drawing/2014/chart" uri="{C3380CC4-5D6E-409C-BE32-E72D297353CC}">
              <c16:uniqueId val="{00000000-0ACD-4C28-B868-A47967C61A2E}"/>
            </c:ext>
          </c:extLst>
        </c:ser>
        <c:dLbls>
          <c:showLegendKey val="0"/>
          <c:showVal val="0"/>
          <c:showCatName val="0"/>
          <c:showSerName val="0"/>
          <c:showPercent val="0"/>
          <c:showBubbleSize val="0"/>
        </c:dLbls>
        <c:gapWidth val="219"/>
        <c:overlap val="-27"/>
        <c:axId val="456096144"/>
        <c:axId val="456096536"/>
      </c:barChart>
      <c:catAx>
        <c:axId val="456096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96536"/>
        <c:crosses val="autoZero"/>
        <c:auto val="1"/>
        <c:lblAlgn val="ctr"/>
        <c:lblOffset val="100"/>
        <c:noMultiLvlLbl val="0"/>
      </c:catAx>
      <c:valAx>
        <c:axId val="456096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6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8154918135233111E-2"/>
          <c:y val="2.2841718138526097E-2"/>
          <c:w val="0.93184508186476689"/>
          <c:h val="0.77591922454303985"/>
        </c:manualLayout>
      </c:layout>
      <c:bar3DChart>
        <c:barDir val="col"/>
        <c:grouping val="clustered"/>
        <c:varyColors val="0"/>
        <c:ser>
          <c:idx val="0"/>
          <c:order val="0"/>
          <c:tx>
            <c:strRef>
              <c:f>'GRAFICAS INNOVACIÓN Y PARTICIPA'!$E$67</c:f>
              <c:strCache>
                <c:ptCount val="1"/>
                <c:pt idx="0">
                  <c:v>AVANCE CUATRIENIO IMPULSOR DE AVANCE: FINANZAS PÚBLICAS. CORTE JUNIO 2025</c:v>
                </c:pt>
              </c:strCache>
            </c:strRef>
          </c:tx>
          <c:spPr>
            <a:solidFill>
              <a:srgbClr val="00B050"/>
            </a:solidFill>
            <a:ln>
              <a:noFill/>
            </a:ln>
            <a:effectLst/>
            <a:sp3d/>
          </c:spPr>
          <c:invertIfNegative val="0"/>
          <c:dPt>
            <c:idx val="0"/>
            <c:invertIfNegative val="0"/>
            <c:bubble3D val="0"/>
            <c:spPr>
              <a:solidFill>
                <a:srgbClr val="00B050"/>
              </a:solidFill>
              <a:ln>
                <a:noFill/>
              </a:ln>
              <a:effectLst/>
              <a:sp3d/>
            </c:spPr>
            <c:extLst>
              <c:ext xmlns:c16="http://schemas.microsoft.com/office/drawing/2014/chart" uri="{C3380CC4-5D6E-409C-BE32-E72D297353CC}">
                <c16:uniqueId val="{00000003-6972-4705-8D41-5EDBDDDF0ABD}"/>
              </c:ext>
            </c:extLst>
          </c:dPt>
          <c:dPt>
            <c:idx val="1"/>
            <c:invertIfNegative val="0"/>
            <c:bubble3D val="0"/>
            <c:spPr>
              <a:solidFill>
                <a:srgbClr val="92D050"/>
              </a:solidFill>
              <a:ln>
                <a:noFill/>
              </a:ln>
              <a:effectLst/>
              <a:sp3d/>
            </c:spPr>
            <c:extLst>
              <c:ext xmlns:c16="http://schemas.microsoft.com/office/drawing/2014/chart" uri="{C3380CC4-5D6E-409C-BE32-E72D297353CC}">
                <c16:uniqueId val="{00000006-6972-4705-8D41-5EDBDDDF0ABD}"/>
              </c:ext>
            </c:extLst>
          </c:dPt>
          <c:dPt>
            <c:idx val="2"/>
            <c:invertIfNegative val="0"/>
            <c:bubble3D val="0"/>
            <c:spPr>
              <a:solidFill>
                <a:srgbClr val="00B050"/>
              </a:solidFill>
              <a:ln>
                <a:noFill/>
              </a:ln>
              <a:effectLst/>
              <a:sp3d/>
            </c:spPr>
            <c:extLst>
              <c:ext xmlns:c16="http://schemas.microsoft.com/office/drawing/2014/chart" uri="{C3380CC4-5D6E-409C-BE32-E72D297353CC}">
                <c16:uniqueId val="{00000008-6972-4705-8D41-5EDBDDDF0ABD}"/>
              </c:ext>
            </c:extLst>
          </c:dPt>
          <c:dLbls>
            <c:dLbl>
              <c:idx val="0"/>
              <c:layout>
                <c:manualLayout>
                  <c:x val="-2.976190476190476E-3"/>
                  <c:y val="0.107285429141716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72-4705-8D41-5EDBDDDF0ABD}"/>
                </c:ext>
              </c:extLst>
            </c:dLbl>
            <c:dLbl>
              <c:idx val="1"/>
              <c:layout>
                <c:manualLayout>
                  <c:x val="-1.9841269841270569E-3"/>
                  <c:y val="8.9820359281437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72-4705-8D41-5EDBDDDF0ABD}"/>
                </c:ext>
              </c:extLst>
            </c:dLbl>
            <c:dLbl>
              <c:idx val="2"/>
              <c:layout>
                <c:manualLayout>
                  <c:x val="9.9206349206349201E-4"/>
                  <c:y val="0.129740518962075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72-4705-8D41-5EDBDDDF0ABD}"/>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PARTICIPA'!$C$68:$C$70</c:f>
              <c:strCache>
                <c:ptCount val="3"/>
                <c:pt idx="0">
                  <c:v> Finanzas Públicas
</c:v>
                </c:pt>
                <c:pt idx="1">
                  <c:v> GESTIÓN FISCAL Y FINANCIERA OPORTUNA</c:v>
                </c:pt>
                <c:pt idx="2">
                  <c:v> HACIENDA MODERNA Y DIGITAL</c:v>
                </c:pt>
              </c:strCache>
            </c:strRef>
          </c:cat>
          <c:val>
            <c:numRef>
              <c:f>'GRAFICAS INNOVACIÓN Y PARTICIPA'!$E$68:$E$70</c:f>
              <c:numCache>
                <c:formatCode>0.0%</c:formatCode>
                <c:ptCount val="3"/>
                <c:pt idx="0">
                  <c:v>0.45569128096258565</c:v>
                </c:pt>
                <c:pt idx="1">
                  <c:v>0.41138256192517131</c:v>
                </c:pt>
                <c:pt idx="2">
                  <c:v>0.5</c:v>
                </c:pt>
              </c:numCache>
            </c:numRef>
          </c:val>
          <c:extLst>
            <c:ext xmlns:c16="http://schemas.microsoft.com/office/drawing/2014/chart" uri="{C3380CC4-5D6E-409C-BE32-E72D297353CC}">
              <c16:uniqueId val="{00000000-6972-4705-8D41-5EDBDDDF0ABD}"/>
            </c:ext>
          </c:extLst>
        </c:ser>
        <c:dLbls>
          <c:showLegendKey val="0"/>
          <c:showVal val="0"/>
          <c:showCatName val="0"/>
          <c:showSerName val="0"/>
          <c:showPercent val="0"/>
          <c:showBubbleSize val="0"/>
        </c:dLbls>
        <c:gapWidth val="150"/>
        <c:shape val="box"/>
        <c:axId val="305697872"/>
        <c:axId val="305696624"/>
        <c:axId val="0"/>
      </c:bar3DChart>
      <c:catAx>
        <c:axId val="3056978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305696624"/>
        <c:crosses val="autoZero"/>
        <c:auto val="1"/>
        <c:lblAlgn val="ctr"/>
        <c:lblOffset val="100"/>
        <c:noMultiLvlLbl val="0"/>
      </c:catAx>
      <c:valAx>
        <c:axId val="3056966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305697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 RESPECTO AL CUATRIENIO DE LOS COMPONENTES IMPULSORES CAPITULO</a:t>
            </a:r>
            <a:r>
              <a:rPr lang="es-CO" baseline="0"/>
              <a:t> ETNICO . JUNIO </a:t>
            </a:r>
            <a:r>
              <a:rPr lang="es-CO"/>
              <a:t>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ETNICO'!$D$4</c:f>
              <c:strCache>
                <c:ptCount val="1"/>
                <c:pt idx="0">
                  <c:v>ESPERADO  AL CUATRIENIO CORTE DICIEMBRE 2025</c:v>
                </c:pt>
              </c:strCache>
            </c:strRef>
          </c:tx>
          <c:spPr>
            <a:solidFill>
              <a:schemeClr val="tx2">
                <a:lumMod val="65000"/>
                <a:lumOff val="35000"/>
              </a:schemeClr>
            </a:solidFill>
            <a:ln>
              <a:noFill/>
            </a:ln>
            <a:effectLst/>
          </c:spPr>
          <c:invertIfNegative val="0"/>
          <c:dLbls>
            <c:dLbl>
              <c:idx val="1"/>
              <c:layout>
                <c:manualLayout>
                  <c:x val="-1.7305315203955524E-2"/>
                  <c:y val="-9.53608402993435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C9-44F4-85AF-15022E80278B}"/>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ETNICO'!$D$5:$D$7</c:f>
              <c:numCache>
                <c:formatCode>0.0%</c:formatCode>
                <c:ptCount val="3"/>
                <c:pt idx="0">
                  <c:v>0.32652777777777775</c:v>
                </c:pt>
                <c:pt idx="1">
                  <c:v>0.29083333333333339</c:v>
                </c:pt>
                <c:pt idx="2">
                  <c:v>0.36222222222222217</c:v>
                </c:pt>
              </c:numCache>
            </c:numRef>
          </c:val>
          <c:extLst>
            <c:ext xmlns:c16="http://schemas.microsoft.com/office/drawing/2014/chart" uri="{C3380CC4-5D6E-409C-BE32-E72D297353CC}">
              <c16:uniqueId val="{00000001-7BC9-44F4-85AF-15022E80278B}"/>
            </c:ext>
          </c:extLst>
        </c:ser>
        <c:ser>
          <c:idx val="1"/>
          <c:order val="1"/>
          <c:tx>
            <c:strRef>
              <c:f>'GRAFICAS CAPITULO ETNICO'!$E$4</c:f>
              <c:strCache>
                <c:ptCount val="1"/>
                <c:pt idx="0">
                  <c:v>LOGRO VIGENCIA  CORTE JUNIO 2025 RESPECTO AL CUATRIENIO</c:v>
                </c:pt>
              </c:strCache>
            </c:strRef>
          </c:tx>
          <c:spPr>
            <a:solidFill>
              <a:srgbClr val="FF0000"/>
            </a:solidFill>
            <a:ln>
              <a:noFill/>
            </a:ln>
            <a:effectLst/>
          </c:spPr>
          <c:invertIfNegative val="0"/>
          <c:dPt>
            <c:idx val="0"/>
            <c:invertIfNegative val="0"/>
            <c:bubble3D val="0"/>
            <c:spPr>
              <a:solidFill>
                <a:srgbClr val="FF9999"/>
              </a:solidFill>
              <a:ln>
                <a:noFill/>
              </a:ln>
              <a:effectLst/>
            </c:spPr>
            <c:extLst>
              <c:ext xmlns:c16="http://schemas.microsoft.com/office/drawing/2014/chart" uri="{C3380CC4-5D6E-409C-BE32-E72D297353CC}">
                <c16:uniqueId val="{00000005-5B74-4EE9-B6C7-31A574A6A036}"/>
              </c:ext>
            </c:extLst>
          </c:dPt>
          <c:dPt>
            <c:idx val="1"/>
            <c:invertIfNegative val="0"/>
            <c:bubble3D val="0"/>
            <c:spPr>
              <a:solidFill>
                <a:srgbClr val="FF9999"/>
              </a:solidFill>
              <a:ln>
                <a:noFill/>
              </a:ln>
              <a:effectLst/>
            </c:spPr>
            <c:extLst>
              <c:ext xmlns:c16="http://schemas.microsoft.com/office/drawing/2014/chart" uri="{C3380CC4-5D6E-409C-BE32-E72D297353CC}">
                <c16:uniqueId val="{00000001-0DCB-43DD-A2D3-3DC5D2BC4390}"/>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ETNICO'!$E$5:$E$7</c:f>
              <c:numCache>
                <c:formatCode>0.0%</c:formatCode>
                <c:ptCount val="3"/>
                <c:pt idx="0">
                  <c:v>0.17479861111111111</c:v>
                </c:pt>
                <c:pt idx="1">
                  <c:v>0.21113425925925924</c:v>
                </c:pt>
                <c:pt idx="2">
                  <c:v>0.13846296296296298</c:v>
                </c:pt>
              </c:numCache>
            </c:numRef>
          </c:val>
          <c:extLst>
            <c:ext xmlns:c16="http://schemas.microsoft.com/office/drawing/2014/chart" uri="{C3380CC4-5D6E-409C-BE32-E72D297353CC}">
              <c16:uniqueId val="{00000002-7BC9-44F4-85AF-15022E80278B}"/>
            </c:ext>
          </c:extLst>
        </c:ser>
        <c:dLbls>
          <c:showLegendKey val="0"/>
          <c:showVal val="0"/>
          <c:showCatName val="0"/>
          <c:showSerName val="0"/>
          <c:showPercent val="0"/>
          <c:showBubbleSize val="0"/>
        </c:dLbls>
        <c:gapWidth val="219"/>
        <c:overlap val="-27"/>
        <c:axId val="456090656"/>
        <c:axId val="456092224"/>
      </c:barChart>
      <c:catAx>
        <c:axId val="456090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56092224"/>
        <c:crosses val="autoZero"/>
        <c:auto val="1"/>
        <c:lblAlgn val="ctr"/>
        <c:lblOffset val="100"/>
        <c:noMultiLvlLbl val="0"/>
      </c:catAx>
      <c:valAx>
        <c:axId val="4560922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0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s-CO" sz="1100" b="1"/>
              <a:t>AVANCE RESPECTO AL CUATRIENIO DE LOS COMPONENTES IMPULSORES CAPITULO ETNICO  </a:t>
            </a:r>
            <a:r>
              <a:rPr lang="es-CO" sz="1100" b="1" i="0" baseline="0">
                <a:effectLst/>
              </a:rPr>
              <a:t>JUNIO DE 2025</a:t>
            </a:r>
            <a:endParaRPr lang="es-CO" sz="1100">
              <a:effectLst/>
            </a:endParaRP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r>
              <a:rPr lang="es-CO" sz="1100" b="1"/>
              <a:t>. PONDERADO</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ETNICO'!$L$4</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ETNICO'!$K$5:$K$7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ETNICO'!$L$5:$L$7</c:f>
              <c:numCache>
                <c:formatCode>0.0%</c:formatCode>
                <c:ptCount val="3"/>
                <c:pt idx="0">
                  <c:v>0.32990277777777782</c:v>
                </c:pt>
                <c:pt idx="1">
                  <c:v>0.27608333333333335</c:v>
                </c:pt>
                <c:pt idx="2">
                  <c:v>0.40344444444444449</c:v>
                </c:pt>
              </c:numCache>
            </c:numRef>
          </c:val>
          <c:extLst>
            <c:ext xmlns:c16="http://schemas.microsoft.com/office/drawing/2014/chart" uri="{C3380CC4-5D6E-409C-BE32-E72D297353CC}">
              <c16:uniqueId val="{00000000-78A2-414D-B5B1-570AF4D2AB9E}"/>
            </c:ext>
          </c:extLst>
        </c:ser>
        <c:ser>
          <c:idx val="1"/>
          <c:order val="1"/>
          <c:tx>
            <c:strRef>
              <c:f>'GRAFICAS CAPITULO ETNICO'!$M$4</c:f>
              <c:strCache>
                <c:ptCount val="1"/>
                <c:pt idx="0">
                  <c:v>LOGRO CORTE JUNIO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ETNICO'!$K$5:$K$7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ETNICO'!$M$5:$M$7</c:f>
              <c:numCache>
                <c:formatCode>0.0%</c:formatCode>
                <c:ptCount val="3"/>
                <c:pt idx="0">
                  <c:v>0.13189708333333333</c:v>
                </c:pt>
                <c:pt idx="1">
                  <c:v>0.13831111111111113</c:v>
                </c:pt>
                <c:pt idx="2">
                  <c:v>0.11265500000000001</c:v>
                </c:pt>
              </c:numCache>
            </c:numRef>
          </c:val>
          <c:extLst>
            <c:ext xmlns:c16="http://schemas.microsoft.com/office/drawing/2014/chart" uri="{C3380CC4-5D6E-409C-BE32-E72D297353CC}">
              <c16:uniqueId val="{00000001-78A2-414D-B5B1-570AF4D2AB9E}"/>
            </c:ext>
          </c:extLst>
        </c:ser>
        <c:dLbls>
          <c:showLegendKey val="0"/>
          <c:showVal val="0"/>
          <c:showCatName val="0"/>
          <c:showSerName val="0"/>
          <c:showPercent val="0"/>
          <c:showBubbleSize val="0"/>
        </c:dLbls>
        <c:gapWidth val="219"/>
        <c:overlap val="-27"/>
        <c:axId val="456091048"/>
        <c:axId val="456094576"/>
      </c:barChart>
      <c:catAx>
        <c:axId val="456091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4576"/>
        <c:crosses val="autoZero"/>
        <c:auto val="1"/>
        <c:lblAlgn val="ctr"/>
        <c:lblOffset val="100"/>
        <c:noMultiLvlLbl val="0"/>
      </c:catAx>
      <c:valAx>
        <c:axId val="4560945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1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n-US" sz="1500" b="1" i="0" baseline="0">
                <a:effectLst/>
              </a:rPr>
              <a:t>AVANCE  PARCIAL CAPITULO ETNICO VIGENCIA CORTE  JUNIO DE 2025</a:t>
            </a:r>
            <a:endParaRPr lang="es-CO" sz="1500">
              <a:effectLst/>
            </a:endParaRPr>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ETNICO'!$D$61</c:f>
              <c:strCache>
                <c:ptCount val="1"/>
                <c:pt idx="0">
                  <c:v>AVANCE  PARCIAL VIGENCIA  CORTE JUNIO 2025</c:v>
                </c:pt>
              </c:strCache>
            </c:strRef>
          </c:tx>
          <c:spPr>
            <a:solidFill>
              <a:srgbClr val="FFFF00"/>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D08E-4BD8-AF81-D6638A8F143B}"/>
              </c:ext>
            </c:extLst>
          </c:dPt>
          <c:dPt>
            <c:idx val="1"/>
            <c:invertIfNegative val="0"/>
            <c:bubble3D val="0"/>
            <c:spPr>
              <a:solidFill>
                <a:srgbClr val="00B050"/>
              </a:solidFill>
              <a:ln>
                <a:noFill/>
              </a:ln>
              <a:effectLst/>
            </c:spPr>
            <c:extLst>
              <c:ext xmlns:c16="http://schemas.microsoft.com/office/drawing/2014/chart" uri="{C3380CC4-5D6E-409C-BE32-E72D297353CC}">
                <c16:uniqueId val="{00000003-D08E-4BD8-AF81-D6638A8F143B}"/>
              </c:ext>
            </c:extLst>
          </c:dPt>
          <c:dPt>
            <c:idx val="2"/>
            <c:invertIfNegative val="0"/>
            <c:bubble3D val="0"/>
            <c:spPr>
              <a:solidFill>
                <a:srgbClr val="FFFF00"/>
              </a:solidFill>
              <a:ln>
                <a:noFill/>
              </a:ln>
              <a:effectLst/>
            </c:spPr>
            <c:extLst>
              <c:ext xmlns:c16="http://schemas.microsoft.com/office/drawing/2014/chart" uri="{C3380CC4-5D6E-409C-BE32-E72D297353CC}">
                <c16:uniqueId val="{00000005-D08E-4BD8-AF81-D6638A8F143B}"/>
              </c:ext>
            </c:extLst>
          </c:dPt>
          <c:dPt>
            <c:idx val="3"/>
            <c:invertIfNegative val="0"/>
            <c:bubble3D val="0"/>
            <c:spPr>
              <a:solidFill>
                <a:srgbClr val="FFFF00"/>
              </a:solidFill>
              <a:ln>
                <a:noFill/>
              </a:ln>
              <a:effectLst/>
            </c:spPr>
            <c:extLst>
              <c:ext xmlns:c16="http://schemas.microsoft.com/office/drawing/2014/chart" uri="{C3380CC4-5D6E-409C-BE32-E72D297353CC}">
                <c16:uniqueId val="{00000007-D08E-4BD8-AF81-D6638A8F143B}"/>
              </c:ext>
            </c:extLst>
          </c:dPt>
          <c:dPt>
            <c:idx val="4"/>
            <c:invertIfNegative val="0"/>
            <c:bubble3D val="0"/>
            <c:spPr>
              <a:solidFill>
                <a:srgbClr val="FFFF00"/>
              </a:solidFill>
              <a:ln>
                <a:noFill/>
              </a:ln>
              <a:effectLst/>
            </c:spPr>
            <c:extLst>
              <c:ext xmlns:c16="http://schemas.microsoft.com/office/drawing/2014/chart" uri="{C3380CC4-5D6E-409C-BE32-E72D297353CC}">
                <c16:uniqueId val="{00000009-D08E-4BD8-AF81-D6638A8F143B}"/>
              </c:ext>
            </c:extLst>
          </c:dPt>
          <c:dPt>
            <c:idx val="5"/>
            <c:invertIfNegative val="0"/>
            <c:bubble3D val="0"/>
            <c:spPr>
              <a:solidFill>
                <a:srgbClr val="FFFF00"/>
              </a:solidFill>
              <a:ln>
                <a:noFill/>
              </a:ln>
              <a:effectLst/>
            </c:spPr>
            <c:extLst>
              <c:ext xmlns:c16="http://schemas.microsoft.com/office/drawing/2014/chart" uri="{C3380CC4-5D6E-409C-BE32-E72D297353CC}">
                <c16:uniqueId val="{0000000B-D08E-4BD8-AF81-D6638A8F143B}"/>
              </c:ext>
            </c:extLst>
          </c:dPt>
          <c:dPt>
            <c:idx val="6"/>
            <c:invertIfNegative val="0"/>
            <c:bubble3D val="0"/>
            <c:spPr>
              <a:solidFill>
                <a:srgbClr val="FFFF00"/>
              </a:solidFill>
              <a:ln>
                <a:noFill/>
              </a:ln>
              <a:effectLst/>
            </c:spPr>
            <c:extLst>
              <c:ext xmlns:c16="http://schemas.microsoft.com/office/drawing/2014/chart" uri="{C3380CC4-5D6E-409C-BE32-E72D297353CC}">
                <c16:uniqueId val="{0000000D-D08E-4BD8-AF81-D6638A8F143B}"/>
              </c:ext>
            </c:extLst>
          </c:dPt>
          <c:dPt>
            <c:idx val="7"/>
            <c:invertIfNegative val="0"/>
            <c:bubble3D val="0"/>
            <c:spPr>
              <a:solidFill>
                <a:srgbClr val="FFFF00"/>
              </a:solidFill>
              <a:ln>
                <a:noFill/>
              </a:ln>
              <a:effectLst/>
            </c:spPr>
            <c:extLst>
              <c:ext xmlns:c16="http://schemas.microsoft.com/office/drawing/2014/chart" uri="{C3380CC4-5D6E-409C-BE32-E72D297353CC}">
                <c16:uniqueId val="{0000000F-D08E-4BD8-AF81-D6638A8F143B}"/>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ETNICO'!$C$62:$C$64</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ETNICO'!$D$62:$D$64</c:f>
              <c:numCache>
                <c:formatCode>0.0%</c:formatCode>
                <c:ptCount val="3"/>
                <c:pt idx="0">
                  <c:v>0.39426851851851852</c:v>
                </c:pt>
                <c:pt idx="1">
                  <c:v>0.46870370370370368</c:v>
                </c:pt>
                <c:pt idx="2">
                  <c:v>0.31983333333333336</c:v>
                </c:pt>
              </c:numCache>
            </c:numRef>
          </c:val>
          <c:extLst>
            <c:ext xmlns:c16="http://schemas.microsoft.com/office/drawing/2014/chart" uri="{C3380CC4-5D6E-409C-BE32-E72D297353CC}">
              <c16:uniqueId val="{00000010-D08E-4BD8-AF81-D6638A8F143B}"/>
            </c:ext>
          </c:extLst>
        </c:ser>
        <c:dLbls>
          <c:showLegendKey val="0"/>
          <c:showVal val="0"/>
          <c:showCatName val="0"/>
          <c:showSerName val="0"/>
          <c:showPercent val="0"/>
          <c:showBubbleSize val="0"/>
        </c:dLbls>
        <c:gapWidth val="219"/>
        <c:overlap val="-27"/>
        <c:axId val="456087912"/>
        <c:axId val="456093008"/>
      </c:barChart>
      <c:catAx>
        <c:axId val="456087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456093008"/>
        <c:crosses val="autoZero"/>
        <c:auto val="1"/>
        <c:lblAlgn val="ctr"/>
        <c:lblOffset val="100"/>
        <c:noMultiLvlLbl val="0"/>
      </c:catAx>
      <c:valAx>
        <c:axId val="4560930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456087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 avance: Fortalecimiento al Desarrollo Afro-Territorial de la Población Negra, Afrocolombiana, Raizal y Palenquera. Avance ponderado corte  junio de 2025.</a:t>
            </a:r>
            <a:endParaRPr lang="es-CO">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ETNICO'!$D$41</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ETNICO'!$C$42:$C$45</c:f>
              <c:strCache>
                <c:ptCount val="4"/>
                <c:pt idx="0">
                  <c:v> Fortalecimiento al Desarrollo Afro-Territorial de la Población Negra, Afrocolombiana, Raizal y Palenquera
</c:v>
                </c:pt>
                <c:pt idx="1">
                  <c:v> GOBERNANZA Y PARTICIPACIÓN DE LAS COMUNIDADES NEGRAS AFROCOLOMBIANAS, RAIZALES Y PALENQUERAS PARA EL FORTALECIMIENTO DE LA DEMOCRACIA EN EL DISTRITO</c:v>
                </c:pt>
                <c:pt idx="2">
                  <c:v> DESARROLLO LOCAL SOSTENIBLE Y PROSPERIDAD COLECTIVA EN LOS TERRITORIOS DE LAS COMUNIDADES NEGRAS DEL DISTRITO DE CARTAGENA</c:v>
                </c:pt>
                <c:pt idx="3">
                  <c:v> DESARROLLO HUMANO Y BIENESTAR SOCIAL DE LAS COMUNIDADES NEGRAS, AFROCOLOMBIANAS, RAIZALES Y PALENQUERAS</c:v>
                </c:pt>
              </c:strCache>
            </c:strRef>
          </c:cat>
          <c:val>
            <c:numRef>
              <c:f>'GRAFICAS CAPITULO ETNICO'!$D$42:$D$45</c:f>
              <c:numCache>
                <c:formatCode>0.00%</c:formatCode>
                <c:ptCount val="4"/>
                <c:pt idx="0">
                  <c:v>0.13831111111111113</c:v>
                </c:pt>
                <c:pt idx="1">
                  <c:v>0.13716666666666669</c:v>
                </c:pt>
                <c:pt idx="2">
                  <c:v>0.17</c:v>
                </c:pt>
                <c:pt idx="3">
                  <c:v>0.12361111111111112</c:v>
                </c:pt>
              </c:numCache>
            </c:numRef>
          </c:val>
          <c:extLst>
            <c:ext xmlns:c16="http://schemas.microsoft.com/office/drawing/2014/chart" uri="{C3380CC4-5D6E-409C-BE32-E72D297353CC}">
              <c16:uniqueId val="{00000000-5730-495B-9878-03F8C91CE12C}"/>
            </c:ext>
          </c:extLst>
        </c:ser>
        <c:dLbls>
          <c:showLegendKey val="0"/>
          <c:showVal val="0"/>
          <c:showCatName val="0"/>
          <c:showSerName val="0"/>
          <c:showPercent val="0"/>
          <c:showBubbleSize val="0"/>
        </c:dLbls>
        <c:gapWidth val="219"/>
        <c:overlap val="-27"/>
        <c:axId val="456097712"/>
        <c:axId val="456087520"/>
      </c:barChart>
      <c:catAx>
        <c:axId val="45609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7520"/>
        <c:crosses val="autoZero"/>
        <c:auto val="1"/>
        <c:lblAlgn val="ctr"/>
        <c:lblOffset val="100"/>
        <c:noMultiLvlLbl val="0"/>
      </c:catAx>
      <c:valAx>
        <c:axId val="4560875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7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del avance: Fortalecimiento Institucional e Innovación Administrativa. Avance ponderado corte  junio de 2025</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ETNICO'!$D$51</c:f>
              <c:strCache>
                <c:ptCount val="1"/>
                <c:pt idx="0">
                  <c:v>AVANCE PONDERADO CORTE JUNIO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ETNICO'!$C$52:$C$55</c:f>
              <c:strCache>
                <c:ptCount val="4"/>
                <c:pt idx="0">
                  <c:v>Territorio Sitio de Paz y Pensamiento Colectivo
</c:v>
                </c:pt>
                <c:pt idx="1">
                  <c:v> TERRITORIO PROPIO</c:v>
                </c:pt>
                <c:pt idx="2">
                  <c:v> ATENCIÓN INTEGRAL PARA LAS COMUNIDADES INDÍGENAS</c:v>
                </c:pt>
                <c:pt idx="3">
                  <c:v> MUJER INDÍGENA, FAMILIA Y GENERACIÓN DE INGRESOS</c:v>
                </c:pt>
              </c:strCache>
            </c:strRef>
          </c:cat>
          <c:val>
            <c:numRef>
              <c:f>'GRAFICAS CAPITULO ETNICO'!$D$52:$D$55</c:f>
              <c:numCache>
                <c:formatCode>0.0%</c:formatCode>
                <c:ptCount val="4"/>
                <c:pt idx="0">
                  <c:v>0.11265500000000001</c:v>
                </c:pt>
                <c:pt idx="1">
                  <c:v>3.6383333333333337E-2</c:v>
                </c:pt>
                <c:pt idx="2">
                  <c:v>0.14380000000000001</c:v>
                </c:pt>
                <c:pt idx="3">
                  <c:v>0.14649999999999999</c:v>
                </c:pt>
              </c:numCache>
            </c:numRef>
          </c:val>
          <c:extLst>
            <c:ext xmlns:c16="http://schemas.microsoft.com/office/drawing/2014/chart" uri="{C3380CC4-5D6E-409C-BE32-E72D297353CC}">
              <c16:uniqueId val="{00000000-169F-46A0-B982-F1AA2EBBF0BC}"/>
            </c:ext>
          </c:extLst>
        </c:ser>
        <c:dLbls>
          <c:showLegendKey val="0"/>
          <c:showVal val="0"/>
          <c:showCatName val="0"/>
          <c:showSerName val="0"/>
          <c:showPercent val="0"/>
          <c:showBubbleSize val="0"/>
        </c:dLbls>
        <c:gapWidth val="219"/>
        <c:overlap val="-27"/>
        <c:axId val="456094184"/>
        <c:axId val="456089088"/>
      </c:barChart>
      <c:catAx>
        <c:axId val="456094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56089088"/>
        <c:crosses val="autoZero"/>
        <c:auto val="1"/>
        <c:lblAlgn val="ctr"/>
        <c:lblOffset val="100"/>
        <c:noMultiLvlLbl val="0"/>
      </c:catAx>
      <c:valAx>
        <c:axId val="4560890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4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IMPULSOR DE AVANCE: FORTALECIMIENTO AL DESARROLLO AFRO-TERRITORIAL DE LA POBLACIÓN NEGRA, AFROCOLOMBIANA, RAIZAL Y PALENQUERA.  </a:t>
            </a:r>
            <a:r>
              <a:rPr lang="en-US" sz="1200"/>
              <a:t>PROGRAMAS.</a:t>
            </a:r>
            <a:r>
              <a:rPr lang="en-US" sz="1200" baseline="0"/>
              <a:t> </a:t>
            </a:r>
            <a:r>
              <a:rPr lang="en-US" sz="1200"/>
              <a:t>CORTE </a:t>
            </a:r>
            <a:r>
              <a:rPr lang="es-CO" sz="1200" b="1" i="0" baseline="0">
                <a:effectLst/>
              </a:rPr>
              <a:t> JUNIO DE 2025</a:t>
            </a:r>
            <a:endParaRPr lang="es-CO" sz="12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ETNICO'!$E$41</c:f>
              <c:strCache>
                <c:ptCount val="1"/>
                <c:pt idx="0">
                  <c:v>AVANCE CUATRIENIO IMPULSOR DE AVANCE: FORTALECIMIENTO AL DESARROLLO AFRO-TERRITORIAL DE LA POBLACIÓN NEGRA, AFROCOLOMBIANA, RAIZAL Y PALENQUERA. CORTE JUNIO 2025</c:v>
                </c:pt>
              </c:strCache>
            </c:strRef>
          </c:tx>
          <c:spPr>
            <a:solidFill>
              <a:srgbClr val="FF0000"/>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1-44B9-4AAB-858C-C23AC5ED01EE}"/>
              </c:ext>
            </c:extLst>
          </c:dPt>
          <c:dPt>
            <c:idx val="1"/>
            <c:invertIfNegative val="0"/>
            <c:bubble3D val="0"/>
            <c:spPr>
              <a:solidFill>
                <a:srgbClr val="FF7C80"/>
              </a:solidFill>
              <a:ln>
                <a:noFill/>
              </a:ln>
              <a:effectLst/>
            </c:spPr>
            <c:extLst>
              <c:ext xmlns:c16="http://schemas.microsoft.com/office/drawing/2014/chart" uri="{C3380CC4-5D6E-409C-BE32-E72D297353CC}">
                <c16:uniqueId val="{00000003-BE1B-4D67-AFB7-79D547AE7DF4}"/>
              </c:ext>
            </c:extLst>
          </c:dPt>
          <c:dPt>
            <c:idx val="2"/>
            <c:invertIfNegative val="0"/>
            <c:bubble3D val="0"/>
            <c:spPr>
              <a:solidFill>
                <a:srgbClr val="FF7C80"/>
              </a:solidFill>
              <a:ln>
                <a:noFill/>
              </a:ln>
              <a:effectLst/>
            </c:spPr>
            <c:extLst>
              <c:ext xmlns:c16="http://schemas.microsoft.com/office/drawing/2014/chart" uri="{C3380CC4-5D6E-409C-BE32-E72D297353CC}">
                <c16:uniqueId val="{00000004-12E3-4E03-9A6C-163E55A0883D}"/>
              </c:ext>
            </c:extLst>
          </c:dPt>
          <c:dPt>
            <c:idx val="3"/>
            <c:invertIfNegative val="0"/>
            <c:bubble3D val="0"/>
            <c:spPr>
              <a:solidFill>
                <a:srgbClr val="FF9999"/>
              </a:solidFill>
              <a:ln>
                <a:noFill/>
              </a:ln>
              <a:effectLst/>
            </c:spPr>
            <c:extLst>
              <c:ext xmlns:c16="http://schemas.microsoft.com/office/drawing/2014/chart" uri="{C3380CC4-5D6E-409C-BE32-E72D297353CC}">
                <c16:uniqueId val="{00000006-E560-4029-8BC9-ABC7B4D3BFA5}"/>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ETNICO'!$C$42:$C$45</c:f>
              <c:strCache>
                <c:ptCount val="4"/>
                <c:pt idx="0">
                  <c:v> Fortalecimiento al Desarrollo Afro-Territorial de la Población Negra, Afrocolombiana, Raizal y Palenquera
</c:v>
                </c:pt>
                <c:pt idx="1">
                  <c:v> GOBERNANZA Y PARTICIPACIÓN DE LAS COMUNIDADES NEGRAS AFROCOLOMBIANAS, RAIZALES Y PALENQUERAS PARA EL FORTALECIMIENTO DE LA DEMOCRACIA EN EL DISTRITO</c:v>
                </c:pt>
                <c:pt idx="2">
                  <c:v> DESARROLLO LOCAL SOSTENIBLE Y PROSPERIDAD COLECTIVA EN LOS TERRITORIOS DE LAS COMUNIDADES NEGRAS DEL DISTRITO DE CARTAGENA</c:v>
                </c:pt>
                <c:pt idx="3">
                  <c:v> DESARROLLO HUMANO Y BIENESTAR SOCIAL DE LAS COMUNIDADES NEGRAS, AFROCOLOMBIANAS, RAIZALES Y PALENQUERAS</c:v>
                </c:pt>
              </c:strCache>
            </c:strRef>
          </c:cat>
          <c:val>
            <c:numRef>
              <c:f>'GRAFICAS CAPITULO ETNICO'!$E$42:$E$45</c:f>
              <c:numCache>
                <c:formatCode>0.00%</c:formatCode>
                <c:ptCount val="4"/>
                <c:pt idx="0">
                  <c:v>0.21113425925925924</c:v>
                </c:pt>
                <c:pt idx="1">
                  <c:v>0.19729166666666664</c:v>
                </c:pt>
                <c:pt idx="2">
                  <c:v>0.23571428571428571</c:v>
                </c:pt>
                <c:pt idx="3">
                  <c:v>0.20039682539682538</c:v>
                </c:pt>
              </c:numCache>
            </c:numRef>
          </c:val>
          <c:extLst>
            <c:ext xmlns:c16="http://schemas.microsoft.com/office/drawing/2014/chart" uri="{C3380CC4-5D6E-409C-BE32-E72D297353CC}">
              <c16:uniqueId val="{00000000-44B9-4AAB-858C-C23AC5ED01EE}"/>
            </c:ext>
          </c:extLst>
        </c:ser>
        <c:dLbls>
          <c:showLegendKey val="0"/>
          <c:showVal val="0"/>
          <c:showCatName val="0"/>
          <c:showSerName val="0"/>
          <c:showPercent val="0"/>
          <c:showBubbleSize val="0"/>
        </c:dLbls>
        <c:gapWidth val="219"/>
        <c:overlap val="-27"/>
        <c:axId val="456085952"/>
        <c:axId val="456086344"/>
      </c:barChart>
      <c:catAx>
        <c:axId val="456085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6344"/>
        <c:crosses val="autoZero"/>
        <c:auto val="1"/>
        <c:lblAlgn val="ctr"/>
        <c:lblOffset val="100"/>
        <c:noMultiLvlLbl val="0"/>
      </c:catAx>
      <c:valAx>
        <c:axId val="4560863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5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a:t>AVANCE CUATRIENIO COMPONENTE IMPULSOR SEGURIDAD CIUDADANA Y ORDEN PÚBLICO.</a:t>
            </a:r>
            <a:r>
              <a:rPr lang="en-US" sz="1600" baseline="0"/>
              <a:t> PROGRAMAS.</a:t>
            </a:r>
            <a:r>
              <a:rPr lang="en-US" sz="1600"/>
              <a:t> CORTE </a:t>
            </a:r>
            <a:r>
              <a:rPr lang="es-CO" sz="1600" b="1" i="0" u="none" strike="noStrike" baseline="0">
                <a:effectLst/>
              </a:rPr>
              <a:t> JUNIO </a:t>
            </a:r>
            <a:r>
              <a:rPr lang="en-US" sz="1600"/>
              <a:t> 2025</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7626403025454091E-2"/>
          <c:y val="0.13902812969092279"/>
          <c:w val="0.96420652188591971"/>
          <c:h val="0.69604346992630561"/>
        </c:manualLayout>
      </c:layout>
      <c:barChart>
        <c:barDir val="col"/>
        <c:grouping val="clustered"/>
        <c:varyColors val="0"/>
        <c:ser>
          <c:idx val="0"/>
          <c:order val="0"/>
          <c:tx>
            <c:strRef>
              <c:f>'GRAFICAS SEGURIDAD HUMANA'!$E$31</c:f>
              <c:strCache>
                <c:ptCount val="1"/>
                <c:pt idx="0">
                  <c:v>AVANCE CUATRIENIO COMPONENTE IMPULSOR SEGURIDAD CIUDADANA Y ORDEN PÚBLICO  CORTE  JUNIO 2025</c:v>
                </c:pt>
              </c:strCache>
            </c:strRef>
          </c:tx>
          <c:spPr>
            <a:solidFill>
              <a:srgbClr val="92D05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2-EB02-4835-B231-E773302B08F3}"/>
              </c:ext>
            </c:extLst>
          </c:dPt>
          <c:dPt>
            <c:idx val="2"/>
            <c:invertIfNegative val="0"/>
            <c:bubble3D val="0"/>
            <c:spPr>
              <a:solidFill>
                <a:srgbClr val="00B050"/>
              </a:solidFill>
              <a:ln>
                <a:noFill/>
              </a:ln>
              <a:effectLst/>
            </c:spPr>
            <c:extLst>
              <c:ext xmlns:c16="http://schemas.microsoft.com/office/drawing/2014/chart" uri="{C3380CC4-5D6E-409C-BE32-E72D297353CC}">
                <c16:uniqueId val="{00000007-E80F-40A1-8607-EC5039BC63C9}"/>
              </c:ext>
            </c:extLst>
          </c:dPt>
          <c:dPt>
            <c:idx val="3"/>
            <c:invertIfNegative val="0"/>
            <c:bubble3D val="0"/>
            <c:spPr>
              <a:solidFill>
                <a:srgbClr val="FFFF00"/>
              </a:solidFill>
              <a:ln>
                <a:noFill/>
              </a:ln>
              <a:effectLst/>
            </c:spPr>
            <c:extLst>
              <c:ext xmlns:c16="http://schemas.microsoft.com/office/drawing/2014/chart" uri="{C3380CC4-5D6E-409C-BE32-E72D297353CC}">
                <c16:uniqueId val="{00000005-D297-4E27-B366-2A166E20B44A}"/>
              </c:ext>
            </c:extLst>
          </c:dPt>
          <c:dPt>
            <c:idx val="4"/>
            <c:invertIfNegative val="0"/>
            <c:bubble3D val="0"/>
            <c:spPr>
              <a:solidFill>
                <a:srgbClr val="00B050"/>
              </a:solidFill>
              <a:ln>
                <a:noFill/>
              </a:ln>
              <a:effectLst/>
            </c:spPr>
            <c:extLst>
              <c:ext xmlns:c16="http://schemas.microsoft.com/office/drawing/2014/chart" uri="{C3380CC4-5D6E-409C-BE32-E72D297353CC}">
                <c16:uniqueId val="{00000008-E80F-40A1-8607-EC5039BC63C9}"/>
              </c:ext>
            </c:extLst>
          </c:dPt>
          <c:dPt>
            <c:idx val="5"/>
            <c:invertIfNegative val="0"/>
            <c:bubble3D val="0"/>
            <c:spPr>
              <a:solidFill>
                <a:srgbClr val="00B050"/>
              </a:solidFill>
              <a:ln>
                <a:noFill/>
              </a:ln>
              <a:effectLst/>
            </c:spPr>
            <c:extLst>
              <c:ext xmlns:c16="http://schemas.microsoft.com/office/drawing/2014/chart" uri="{C3380CC4-5D6E-409C-BE32-E72D297353CC}">
                <c16:uniqueId val="{00000005-5377-4A02-A8E8-88F3984DE627}"/>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HUMANA'!$C$32:$C$37</c:f>
              <c:strCache>
                <c:ptCount val="6"/>
                <c:pt idx="0">
                  <c:v> Seguridad Ciudadana y Orden Público 
</c:v>
                </c:pt>
                <c:pt idx="1">
                  <c:v> PLAN ESTRATÉGICO DE SEGURIDAD INTEGRAL TITAN 24</c:v>
                </c:pt>
                <c:pt idx="2">
                  <c:v>EL CUERPO DE BOMBEROS AVANZA</c:v>
                </c:pt>
                <c:pt idx="3">
                  <c:v>SEGURIDAD YA CON DOTACIÓN A LOS ORGANISMOS DE SEGURIDAD, SOCORRO, JUSTICIA Y CONVIVENCIA Y TECNOLOGÍA PARA LA PREVENCIÓN</c:v>
                </c:pt>
                <c:pt idx="4">
                  <c:v> SEGURIDAD YA EN LAS PLAYAS DE CARTAGENA</c:v>
                </c:pt>
                <c:pt idx="5">
                  <c:v> EDUCACIÓN, CULTURA Y SEGURIDAD VIAL PARA AVANZAR</c:v>
                </c:pt>
              </c:strCache>
            </c:strRef>
          </c:cat>
          <c:val>
            <c:numRef>
              <c:f>'GRAFICAS SEGURIDAD HUMANA'!$E$32:$E$37</c:f>
              <c:numCache>
                <c:formatCode>0.0%</c:formatCode>
                <c:ptCount val="6"/>
                <c:pt idx="0">
                  <c:v>0.49461278874289327</c:v>
                </c:pt>
                <c:pt idx="1">
                  <c:v>0.37</c:v>
                </c:pt>
                <c:pt idx="2">
                  <c:v>0.66666666666666663</c:v>
                </c:pt>
                <c:pt idx="3">
                  <c:v>0.33748477704780006</c:v>
                </c:pt>
                <c:pt idx="4">
                  <c:v>0.625</c:v>
                </c:pt>
                <c:pt idx="5">
                  <c:v>0.47391249999999996</c:v>
                </c:pt>
              </c:numCache>
            </c:numRef>
          </c:val>
          <c:extLst>
            <c:ext xmlns:c16="http://schemas.microsoft.com/office/drawing/2014/chart" uri="{C3380CC4-5D6E-409C-BE32-E72D297353CC}">
              <c16:uniqueId val="{00000000-EB02-4835-B231-E773302B08F3}"/>
            </c:ext>
          </c:extLst>
        </c:ser>
        <c:dLbls>
          <c:showLegendKey val="0"/>
          <c:showVal val="0"/>
          <c:showCatName val="0"/>
          <c:showSerName val="0"/>
          <c:showPercent val="0"/>
          <c:showBubbleSize val="0"/>
        </c:dLbls>
        <c:gapWidth val="219"/>
        <c:overlap val="-27"/>
        <c:axId val="428039432"/>
        <c:axId val="428037080"/>
      </c:barChart>
      <c:catAx>
        <c:axId val="428039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28037080"/>
        <c:crosses val="autoZero"/>
        <c:auto val="1"/>
        <c:lblAlgn val="ctr"/>
        <c:lblOffset val="100"/>
        <c:noMultiLvlLbl val="0"/>
      </c:catAx>
      <c:valAx>
        <c:axId val="4280370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8039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ETNICO'!$E$51</c:f>
              <c:strCache>
                <c:ptCount val="1"/>
                <c:pt idx="0">
                  <c:v>AVANCE CUATRIENIO IMPULSOR DE AVANCE: TERRITORIO SITIO DE PAZ Y PENSAMIENTO COLECTIVO. CORTE JUNIO 2025</c:v>
                </c:pt>
              </c:strCache>
            </c:strRef>
          </c:tx>
          <c:spPr>
            <a:solidFill>
              <a:srgbClr val="FF0000"/>
            </a:solidFill>
            <a:ln>
              <a:noFill/>
            </a:ln>
            <a:effectLst/>
          </c:spPr>
          <c:invertIfNegative val="0"/>
          <c:dPt>
            <c:idx val="1"/>
            <c:invertIfNegative val="0"/>
            <c:bubble3D val="0"/>
            <c:spPr>
              <a:solidFill>
                <a:srgbClr val="FF7C80"/>
              </a:solidFill>
              <a:ln>
                <a:noFill/>
              </a:ln>
              <a:effectLst/>
            </c:spPr>
            <c:extLst>
              <c:ext xmlns:c16="http://schemas.microsoft.com/office/drawing/2014/chart" uri="{C3380CC4-5D6E-409C-BE32-E72D297353CC}">
                <c16:uniqueId val="{00000008-07EB-4A05-B07F-295B3CF199E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ETNICO'!$C$52:$C$55</c:f>
              <c:strCache>
                <c:ptCount val="4"/>
                <c:pt idx="0">
                  <c:v>Territorio Sitio de Paz y Pensamiento Colectivo
</c:v>
                </c:pt>
                <c:pt idx="1">
                  <c:v> TERRITORIO PROPIO</c:v>
                </c:pt>
                <c:pt idx="2">
                  <c:v> ATENCIÓN INTEGRAL PARA LAS COMUNIDADES INDÍGENAS</c:v>
                </c:pt>
                <c:pt idx="3">
                  <c:v> MUJER INDÍGENA, FAMILIA Y GENERACIÓN DE INGRESOS</c:v>
                </c:pt>
              </c:strCache>
            </c:strRef>
          </c:cat>
          <c:val>
            <c:numRef>
              <c:f>'GRAFICAS CAPITULO ETNICO'!$E$52:$E$55</c:f>
              <c:numCache>
                <c:formatCode>0.0%</c:formatCode>
                <c:ptCount val="4"/>
                <c:pt idx="0">
                  <c:v>0.13846296296296298</c:v>
                </c:pt>
                <c:pt idx="1">
                  <c:v>0.15138888888888888</c:v>
                </c:pt>
                <c:pt idx="2">
                  <c:v>0.128</c:v>
                </c:pt>
                <c:pt idx="3">
                  <c:v>0.13599999999999998</c:v>
                </c:pt>
              </c:numCache>
            </c:numRef>
          </c:val>
          <c:extLst>
            <c:ext xmlns:c16="http://schemas.microsoft.com/office/drawing/2014/chart" uri="{C3380CC4-5D6E-409C-BE32-E72D297353CC}">
              <c16:uniqueId val="{00000000-EB71-48E6-8DC4-3BA42952AD2C}"/>
            </c:ext>
          </c:extLst>
        </c:ser>
        <c:dLbls>
          <c:showLegendKey val="0"/>
          <c:showVal val="0"/>
          <c:showCatName val="0"/>
          <c:showSerName val="0"/>
          <c:showPercent val="0"/>
          <c:showBubbleSize val="0"/>
        </c:dLbls>
        <c:gapWidth val="219"/>
        <c:overlap val="-27"/>
        <c:axId val="456088304"/>
        <c:axId val="456089480"/>
      </c:barChart>
      <c:catAx>
        <c:axId val="45608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56089480"/>
        <c:crosses val="autoZero"/>
        <c:auto val="1"/>
        <c:lblAlgn val="ctr"/>
        <c:lblOffset val="100"/>
        <c:noMultiLvlLbl val="0"/>
      </c:catAx>
      <c:valAx>
        <c:axId val="456089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8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AVANCE  PARCIAL CAPÍTULO DE LOS PUEBLOS Y COMUNIDADES ÉTNICAS.</a:t>
            </a:r>
          </a:p>
          <a:p>
            <a:pPr>
              <a:defRPr/>
            </a:pPr>
            <a:r>
              <a:rPr lang="es-CO" b="1"/>
              <a:t>VIGENCIA. COMPARATIVO DICIEMBRE</a:t>
            </a:r>
            <a:r>
              <a:rPr lang="es-CO" b="1" baseline="0"/>
              <a:t> 2024</a:t>
            </a:r>
            <a:r>
              <a:rPr lang="es-CO" b="1"/>
              <a:t> -  </a:t>
            </a:r>
            <a:r>
              <a:rPr lang="es-CO" b="1" baseline="0"/>
              <a:t>JUNIO DE 2025</a:t>
            </a:r>
            <a:endParaRPr lang="es-CO"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ETNICO'!$D$4</c:f>
              <c:strCache>
                <c:ptCount val="1"/>
                <c:pt idx="0">
                  <c:v>ESPERADO  AL CUATRIENIO CORTE DICIEMBRE 2025</c:v>
                </c:pt>
              </c:strCache>
            </c:strRef>
          </c:tx>
          <c:spPr>
            <a:solidFill>
              <a:schemeClr val="accent1"/>
            </a:solidFill>
            <a:ln>
              <a:noFill/>
            </a:ln>
            <a:effectLst/>
          </c:spPr>
          <c:invertIfNegative val="0"/>
          <c:dPt>
            <c:idx val="0"/>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6-03F0-45E6-A96E-78083860E09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ETNICO'!$D$5:$D$7</c:f>
              <c:numCache>
                <c:formatCode>0.0%</c:formatCode>
                <c:ptCount val="3"/>
                <c:pt idx="0">
                  <c:v>0.32652777777777775</c:v>
                </c:pt>
                <c:pt idx="1">
                  <c:v>0.29083333333333339</c:v>
                </c:pt>
                <c:pt idx="2">
                  <c:v>0.36222222222222217</c:v>
                </c:pt>
              </c:numCache>
            </c:numRef>
          </c:val>
          <c:extLst>
            <c:ext xmlns:c16="http://schemas.microsoft.com/office/drawing/2014/chart" uri="{C3380CC4-5D6E-409C-BE32-E72D297353CC}">
              <c16:uniqueId val="{00000000-03F0-45E6-A96E-78083860E09B}"/>
            </c:ext>
          </c:extLst>
        </c:ser>
        <c:ser>
          <c:idx val="1"/>
          <c:order val="1"/>
          <c:tx>
            <c:strRef>
              <c:f>'GRAFICAS CAPITULO ETNICO'!$E$4</c:f>
              <c:strCache>
                <c:ptCount val="1"/>
                <c:pt idx="0">
                  <c:v>LOGRO VIGENCIA  CORTE JUNIO 2025 RESPECTO AL CUATRIENIO</c:v>
                </c:pt>
              </c:strCache>
            </c:strRef>
          </c:tx>
          <c:spPr>
            <a:solidFill>
              <a:srgbClr val="FF0000"/>
            </a:solidFill>
            <a:ln>
              <a:noFill/>
            </a:ln>
            <a:effectLst/>
          </c:spPr>
          <c:invertIfNegative val="0"/>
          <c:dPt>
            <c:idx val="0"/>
            <c:invertIfNegative val="0"/>
            <c:bubble3D val="0"/>
            <c:spPr>
              <a:solidFill>
                <a:srgbClr val="FF9999"/>
              </a:solidFill>
              <a:ln>
                <a:noFill/>
              </a:ln>
              <a:effectLst/>
            </c:spPr>
            <c:extLst>
              <c:ext xmlns:c16="http://schemas.microsoft.com/office/drawing/2014/chart" uri="{C3380CC4-5D6E-409C-BE32-E72D297353CC}">
                <c16:uniqueId val="{00000004-BF79-4E1C-B77F-4DD86D0E1F29}"/>
              </c:ext>
            </c:extLst>
          </c:dPt>
          <c:dPt>
            <c:idx val="1"/>
            <c:invertIfNegative val="0"/>
            <c:bubble3D val="0"/>
            <c:spPr>
              <a:solidFill>
                <a:srgbClr val="FF9999"/>
              </a:solidFill>
              <a:ln>
                <a:noFill/>
              </a:ln>
              <a:effectLst/>
            </c:spPr>
            <c:extLst>
              <c:ext xmlns:c16="http://schemas.microsoft.com/office/drawing/2014/chart" uri="{C3380CC4-5D6E-409C-BE32-E72D297353CC}">
                <c16:uniqueId val="{00000002-1DC9-4D70-B729-197BE5476725}"/>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ETNICO'!$E$5:$E$7</c:f>
              <c:numCache>
                <c:formatCode>0.0%</c:formatCode>
                <c:ptCount val="3"/>
                <c:pt idx="0">
                  <c:v>0.17479861111111111</c:v>
                </c:pt>
                <c:pt idx="1">
                  <c:v>0.21113425925925924</c:v>
                </c:pt>
                <c:pt idx="2">
                  <c:v>0.13846296296296298</c:v>
                </c:pt>
              </c:numCache>
            </c:numRef>
          </c:val>
          <c:extLst>
            <c:ext xmlns:c16="http://schemas.microsoft.com/office/drawing/2014/chart" uri="{C3380CC4-5D6E-409C-BE32-E72D297353CC}">
              <c16:uniqueId val="{00000001-03F0-45E6-A96E-78083860E09B}"/>
            </c:ext>
          </c:extLst>
        </c:ser>
        <c:ser>
          <c:idx val="2"/>
          <c:order val="2"/>
          <c:tx>
            <c:strRef>
              <c:f>'GRAFICAS CAPITULO ETNICO'!$F$4</c:f>
              <c:strCache>
                <c:ptCount val="1"/>
                <c:pt idx="0">
                  <c:v>LOGRO VIGENCIA  CORTE DICIEMBRE  2024 RESPECTO AL CUATRIENIO</c:v>
                </c:pt>
              </c:strCache>
            </c:strRef>
          </c:tx>
          <c:spPr>
            <a:solidFill>
              <a:srgbClr val="7030A0"/>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2-BF80-477C-B605-0AA4E39DB94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ETNICO'!$F$5:$F$7</c:f>
              <c:numCache>
                <c:formatCode>0.0%</c:formatCode>
                <c:ptCount val="3"/>
                <c:pt idx="0">
                  <c:v>5.5588624338624326E-2</c:v>
                </c:pt>
                <c:pt idx="1">
                  <c:v>6.4880952380952372E-2</c:v>
                </c:pt>
                <c:pt idx="2">
                  <c:v>4.6296296296296287E-2</c:v>
                </c:pt>
              </c:numCache>
            </c:numRef>
          </c:val>
          <c:extLst>
            <c:ext xmlns:c16="http://schemas.microsoft.com/office/drawing/2014/chart" uri="{C3380CC4-5D6E-409C-BE32-E72D297353CC}">
              <c16:uniqueId val="{00000002-03F0-45E6-A96E-78083860E09B}"/>
            </c:ext>
          </c:extLst>
        </c:ser>
        <c:dLbls>
          <c:showLegendKey val="0"/>
          <c:showVal val="0"/>
          <c:showCatName val="0"/>
          <c:showSerName val="0"/>
          <c:showPercent val="0"/>
          <c:showBubbleSize val="0"/>
        </c:dLbls>
        <c:gapWidth val="219"/>
        <c:overlap val="-27"/>
        <c:axId val="456098496"/>
        <c:axId val="456101240"/>
      </c:barChart>
      <c:catAx>
        <c:axId val="45609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56101240"/>
        <c:crosses val="autoZero"/>
        <c:auto val="1"/>
        <c:lblAlgn val="ctr"/>
        <c:lblOffset val="100"/>
        <c:noMultiLvlLbl val="0"/>
      </c:catAx>
      <c:valAx>
        <c:axId val="4561012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8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chart" Target="../charts/chart17.xml"/><Relationship Id="rId2" Type="http://schemas.openxmlformats.org/officeDocument/2006/relationships/chart" Target="../charts/chart7.xml"/><Relationship Id="rId16" Type="http://schemas.openxmlformats.org/officeDocument/2006/relationships/image" Target="../media/image2.emf"/><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5" Type="http://schemas.openxmlformats.org/officeDocument/2006/relationships/image" Target="../media/image1.emf"/><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3.xml"/><Relationship Id="rId13" Type="http://schemas.openxmlformats.org/officeDocument/2006/relationships/chart" Target="../charts/chart48.xml"/><Relationship Id="rId3" Type="http://schemas.openxmlformats.org/officeDocument/2006/relationships/chart" Target="../charts/chart38.xml"/><Relationship Id="rId7" Type="http://schemas.openxmlformats.org/officeDocument/2006/relationships/chart" Target="../charts/chart42.xml"/><Relationship Id="rId12" Type="http://schemas.openxmlformats.org/officeDocument/2006/relationships/chart" Target="../charts/chart47.xml"/><Relationship Id="rId2" Type="http://schemas.openxmlformats.org/officeDocument/2006/relationships/chart" Target="../charts/chart37.xml"/><Relationship Id="rId16" Type="http://schemas.openxmlformats.org/officeDocument/2006/relationships/chart" Target="../charts/chart51.xml"/><Relationship Id="rId1" Type="http://schemas.openxmlformats.org/officeDocument/2006/relationships/chart" Target="../charts/chart36.xml"/><Relationship Id="rId6" Type="http://schemas.openxmlformats.org/officeDocument/2006/relationships/chart" Target="../charts/chart41.xml"/><Relationship Id="rId11" Type="http://schemas.openxmlformats.org/officeDocument/2006/relationships/chart" Target="../charts/chart46.xml"/><Relationship Id="rId5" Type="http://schemas.openxmlformats.org/officeDocument/2006/relationships/chart" Target="../charts/chart40.xml"/><Relationship Id="rId15" Type="http://schemas.openxmlformats.org/officeDocument/2006/relationships/chart" Target="../charts/chart5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 Id="rId14"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4.xml"/><Relationship Id="rId3" Type="http://schemas.openxmlformats.org/officeDocument/2006/relationships/chart" Target="../charts/chart54.xml"/><Relationship Id="rId7" Type="http://schemas.openxmlformats.org/officeDocument/2006/relationships/chart" Target="../charts/chart58.xml"/><Relationship Id="rId12" Type="http://schemas.openxmlformats.org/officeDocument/2006/relationships/chart" Target="../charts/chart63.xml"/><Relationship Id="rId17" Type="http://schemas.openxmlformats.org/officeDocument/2006/relationships/chart" Target="../charts/chart68.xml"/><Relationship Id="rId2" Type="http://schemas.openxmlformats.org/officeDocument/2006/relationships/chart" Target="../charts/chart53.xml"/><Relationship Id="rId16" Type="http://schemas.openxmlformats.org/officeDocument/2006/relationships/chart" Target="../charts/chart67.xml"/><Relationship Id="rId1" Type="http://schemas.openxmlformats.org/officeDocument/2006/relationships/chart" Target="../charts/chart52.xml"/><Relationship Id="rId6" Type="http://schemas.openxmlformats.org/officeDocument/2006/relationships/chart" Target="../charts/chart57.xml"/><Relationship Id="rId11" Type="http://schemas.openxmlformats.org/officeDocument/2006/relationships/chart" Target="../charts/chart62.xml"/><Relationship Id="rId5" Type="http://schemas.openxmlformats.org/officeDocument/2006/relationships/chart" Target="../charts/chart56.xml"/><Relationship Id="rId15" Type="http://schemas.openxmlformats.org/officeDocument/2006/relationships/chart" Target="../charts/chart66.xml"/><Relationship Id="rId10" Type="http://schemas.openxmlformats.org/officeDocument/2006/relationships/chart" Target="../charts/chart61.xml"/><Relationship Id="rId4" Type="http://schemas.openxmlformats.org/officeDocument/2006/relationships/chart" Target="../charts/chart55.xml"/><Relationship Id="rId9" Type="http://schemas.openxmlformats.org/officeDocument/2006/relationships/chart" Target="../charts/chart60.xml"/><Relationship Id="rId14"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76.xml"/><Relationship Id="rId13" Type="http://schemas.openxmlformats.org/officeDocument/2006/relationships/chart" Target="../charts/chart81.xml"/><Relationship Id="rId3" Type="http://schemas.openxmlformats.org/officeDocument/2006/relationships/chart" Target="../charts/chart71.xml"/><Relationship Id="rId7" Type="http://schemas.openxmlformats.org/officeDocument/2006/relationships/chart" Target="../charts/chart75.xml"/><Relationship Id="rId12" Type="http://schemas.openxmlformats.org/officeDocument/2006/relationships/chart" Target="../charts/chart80.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11" Type="http://schemas.openxmlformats.org/officeDocument/2006/relationships/chart" Target="../charts/chart79.xml"/><Relationship Id="rId5" Type="http://schemas.openxmlformats.org/officeDocument/2006/relationships/chart" Target="../charts/chart73.xml"/><Relationship Id="rId15" Type="http://schemas.openxmlformats.org/officeDocument/2006/relationships/chart" Target="../charts/chart83.xml"/><Relationship Id="rId10" Type="http://schemas.openxmlformats.org/officeDocument/2006/relationships/chart" Target="../charts/chart78.xml"/><Relationship Id="rId4" Type="http://schemas.openxmlformats.org/officeDocument/2006/relationships/chart" Target="../charts/chart72.xml"/><Relationship Id="rId9" Type="http://schemas.openxmlformats.org/officeDocument/2006/relationships/chart" Target="../charts/chart77.xml"/><Relationship Id="rId14" Type="http://schemas.openxmlformats.org/officeDocument/2006/relationships/chart" Target="../charts/chart8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91.xml"/><Relationship Id="rId3" Type="http://schemas.openxmlformats.org/officeDocument/2006/relationships/chart" Target="../charts/chart86.xml"/><Relationship Id="rId7" Type="http://schemas.openxmlformats.org/officeDocument/2006/relationships/chart" Target="../charts/chart90.xml"/><Relationship Id="rId2" Type="http://schemas.openxmlformats.org/officeDocument/2006/relationships/chart" Target="../charts/chart85.xml"/><Relationship Id="rId1" Type="http://schemas.openxmlformats.org/officeDocument/2006/relationships/chart" Target="../charts/chart84.xml"/><Relationship Id="rId6" Type="http://schemas.openxmlformats.org/officeDocument/2006/relationships/chart" Target="../charts/chart89.xml"/><Relationship Id="rId5" Type="http://schemas.openxmlformats.org/officeDocument/2006/relationships/chart" Target="../charts/chart88.xml"/><Relationship Id="rId4" Type="http://schemas.openxmlformats.org/officeDocument/2006/relationships/chart" Target="../charts/chart87.xml"/></Relationships>
</file>

<file path=xl/drawings/drawing1.xml><?xml version="1.0" encoding="utf-8"?>
<xdr:wsDr xmlns:xdr="http://schemas.openxmlformats.org/drawingml/2006/spreadsheetDrawing" xmlns:a="http://schemas.openxmlformats.org/drawingml/2006/main">
  <xdr:twoCellAnchor>
    <xdr:from>
      <xdr:col>13</xdr:col>
      <xdr:colOff>438150</xdr:colOff>
      <xdr:row>9</xdr:row>
      <xdr:rowOff>682625</xdr:rowOff>
    </xdr:from>
    <xdr:to>
      <xdr:col>23</xdr:col>
      <xdr:colOff>323850</xdr:colOff>
      <xdr:row>62</xdr:row>
      <xdr:rowOff>50800</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4495800</xdr:colOff>
      <xdr:row>9</xdr:row>
      <xdr:rowOff>774700</xdr:rowOff>
    </xdr:from>
    <xdr:to>
      <xdr:col>12</xdr:col>
      <xdr:colOff>2438400</xdr:colOff>
      <xdr:row>63</xdr:row>
      <xdr:rowOff>0</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3505200</xdr:colOff>
      <xdr:row>67</xdr:row>
      <xdr:rowOff>63500</xdr:rowOff>
    </xdr:from>
    <xdr:to>
      <xdr:col>12</xdr:col>
      <xdr:colOff>2997200</xdr:colOff>
      <xdr:row>134</xdr:row>
      <xdr:rowOff>114300</xdr:rowOff>
    </xdr:to>
    <xdr:graphicFrame macro="">
      <xdr:nvGraphicFramePr>
        <xdr:cNvPr id="6" name="Gráfico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736600</xdr:colOff>
      <xdr:row>66</xdr:row>
      <xdr:rowOff>127000</xdr:rowOff>
    </xdr:from>
    <xdr:to>
      <xdr:col>24</xdr:col>
      <xdr:colOff>812800</xdr:colOff>
      <xdr:row>122</xdr:row>
      <xdr:rowOff>127000</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1447800</xdr:colOff>
      <xdr:row>4</xdr:row>
      <xdr:rowOff>742950</xdr:rowOff>
    </xdr:from>
    <xdr:to>
      <xdr:col>55</xdr:col>
      <xdr:colOff>0</xdr:colOff>
      <xdr:row>36</xdr:row>
      <xdr:rowOff>114300</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1143000</xdr:colOff>
      <xdr:row>21</xdr:row>
      <xdr:rowOff>77470</xdr:rowOff>
    </xdr:from>
    <xdr:to>
      <xdr:col>10</xdr:col>
      <xdr:colOff>518160</xdr:colOff>
      <xdr:row>42</xdr:row>
      <xdr:rowOff>30480</xdr:rowOff>
    </xdr:to>
    <xdr:graphicFrame macro="">
      <xdr:nvGraphicFramePr>
        <xdr:cNvPr id="10" name="Gráfico 9">
          <a:extLst>
            <a:ext uri="{FF2B5EF4-FFF2-40B4-BE49-F238E27FC236}">
              <a16:creationId xmlns:a16="http://schemas.microsoft.com/office/drawing/2014/main" id="{00000000-0008-0000-09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324939</xdr:colOff>
      <xdr:row>0</xdr:row>
      <xdr:rowOff>0</xdr:rowOff>
    </xdr:from>
    <xdr:to>
      <xdr:col>37</xdr:col>
      <xdr:colOff>136616</xdr:colOff>
      <xdr:row>13</xdr:row>
      <xdr:rowOff>93073</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1163683</xdr:colOff>
      <xdr:row>92</xdr:row>
      <xdr:rowOff>519792</xdr:rowOff>
    </xdr:from>
    <xdr:to>
      <xdr:col>8</xdr:col>
      <xdr:colOff>2911383</xdr:colOff>
      <xdr:row>112</xdr:row>
      <xdr:rowOff>45720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114300</xdr:colOff>
      <xdr:row>10</xdr:row>
      <xdr:rowOff>97791</xdr:rowOff>
    </xdr:from>
    <xdr:to>
      <xdr:col>23</xdr:col>
      <xdr:colOff>733514</xdr:colOff>
      <xdr:row>34</xdr:row>
      <xdr:rowOff>60599</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218802</xdr:colOff>
      <xdr:row>34</xdr:row>
      <xdr:rowOff>229688</xdr:rowOff>
    </xdr:from>
    <xdr:to>
      <xdr:col>24</xdr:col>
      <xdr:colOff>154396</xdr:colOff>
      <xdr:row>52</xdr:row>
      <xdr:rowOff>16510</xdr:rowOff>
    </xdr:to>
    <xdr:graphicFrame macro="">
      <xdr:nvGraphicFramePr>
        <xdr:cNvPr id="9" name="Gráfico 8">
          <a:extLst>
            <a:ext uri="{FF2B5EF4-FFF2-40B4-BE49-F238E27FC236}">
              <a16:creationId xmlns:a16="http://schemas.microsoft.com/office/drawing/2014/main" id="{00000000-0008-0000-0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21043</xdr:colOff>
      <xdr:row>52</xdr:row>
      <xdr:rowOff>175261</xdr:rowOff>
    </xdr:from>
    <xdr:to>
      <xdr:col>24</xdr:col>
      <xdr:colOff>40096</xdr:colOff>
      <xdr:row>68</xdr:row>
      <xdr:rowOff>815341</xdr:rowOff>
    </xdr:to>
    <xdr:graphicFrame macro="">
      <xdr:nvGraphicFramePr>
        <xdr:cNvPr id="12" name="Gráfico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31206</xdr:colOff>
      <xdr:row>69</xdr:row>
      <xdr:rowOff>70574</xdr:rowOff>
    </xdr:from>
    <xdr:to>
      <xdr:col>24</xdr:col>
      <xdr:colOff>162379</xdr:colOff>
      <xdr:row>82</xdr:row>
      <xdr:rowOff>80010</xdr:rowOff>
    </xdr:to>
    <xdr:graphicFrame macro="">
      <xdr:nvGraphicFramePr>
        <xdr:cNvPr id="13" name="Gráfico 12">
          <a:extLst>
            <a:ext uri="{FF2B5EF4-FFF2-40B4-BE49-F238E27FC236}">
              <a16:creationId xmlns:a16="http://schemas.microsoft.com/office/drawing/2014/main" id="{00000000-0008-0000-09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1329145</xdr:colOff>
      <xdr:row>73</xdr:row>
      <xdr:rowOff>118653</xdr:rowOff>
    </xdr:from>
    <xdr:to>
      <xdr:col>10</xdr:col>
      <xdr:colOff>1318804</xdr:colOff>
      <xdr:row>90</xdr:row>
      <xdr:rowOff>122465</xdr:rowOff>
    </xdr:to>
    <xdr:graphicFrame macro="">
      <xdr:nvGraphicFramePr>
        <xdr:cNvPr id="14" name="Gráfico 13">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185058</xdr:colOff>
      <xdr:row>15</xdr:row>
      <xdr:rowOff>48985</xdr:rowOff>
    </xdr:from>
    <xdr:to>
      <xdr:col>36</xdr:col>
      <xdr:colOff>424543</xdr:colOff>
      <xdr:row>32</xdr:row>
      <xdr:rowOff>76200</xdr:rowOff>
    </xdr:to>
    <xdr:graphicFrame macro="">
      <xdr:nvGraphicFramePr>
        <xdr:cNvPr id="15" name="Gráfico 14">
          <a:extLst>
            <a:ext uri="{FF2B5EF4-FFF2-40B4-BE49-F238E27FC236}">
              <a16:creationId xmlns:a16="http://schemas.microsoft.com/office/drawing/2014/main" id="{00000000-0008-0000-09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204106</xdr:colOff>
      <xdr:row>32</xdr:row>
      <xdr:rowOff>234041</xdr:rowOff>
    </xdr:from>
    <xdr:to>
      <xdr:col>36</xdr:col>
      <xdr:colOff>628649</xdr:colOff>
      <xdr:row>46</xdr:row>
      <xdr:rowOff>62592</xdr:rowOff>
    </xdr:to>
    <xdr:graphicFrame macro="">
      <xdr:nvGraphicFramePr>
        <xdr:cNvPr id="16" name="Gráfico 15">
          <a:extLst>
            <a:ext uri="{FF2B5EF4-FFF2-40B4-BE49-F238E27FC236}">
              <a16:creationId xmlns:a16="http://schemas.microsoft.com/office/drawing/2014/main" id="{00000000-0008-0000-09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223156</xdr:colOff>
      <xdr:row>46</xdr:row>
      <xdr:rowOff>225878</xdr:rowOff>
    </xdr:from>
    <xdr:to>
      <xdr:col>36</xdr:col>
      <xdr:colOff>590550</xdr:colOff>
      <xdr:row>57</xdr:row>
      <xdr:rowOff>95249</xdr:rowOff>
    </xdr:to>
    <xdr:graphicFrame macro="">
      <xdr:nvGraphicFramePr>
        <xdr:cNvPr id="17" name="Gráfico 16">
          <a:extLst>
            <a:ext uri="{FF2B5EF4-FFF2-40B4-BE49-F238E27FC236}">
              <a16:creationId xmlns:a16="http://schemas.microsoft.com/office/drawing/2014/main" id="{00000000-0008-0000-0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315685</xdr:colOff>
      <xdr:row>58</xdr:row>
      <xdr:rowOff>397327</xdr:rowOff>
    </xdr:from>
    <xdr:to>
      <xdr:col>36</xdr:col>
      <xdr:colOff>424543</xdr:colOff>
      <xdr:row>69</xdr:row>
      <xdr:rowOff>440869</xdr:rowOff>
    </xdr:to>
    <xdr:graphicFrame macro="">
      <xdr:nvGraphicFramePr>
        <xdr:cNvPr id="18" name="Gráfico 17">
          <a:extLst>
            <a:ext uri="{FF2B5EF4-FFF2-40B4-BE49-F238E27FC236}">
              <a16:creationId xmlns:a16="http://schemas.microsoft.com/office/drawing/2014/main" id="{00000000-0008-0000-09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152399</xdr:colOff>
      <xdr:row>71</xdr:row>
      <xdr:rowOff>907</xdr:rowOff>
    </xdr:from>
    <xdr:to>
      <xdr:col>37</xdr:col>
      <xdr:colOff>152399</xdr:colOff>
      <xdr:row>82</xdr:row>
      <xdr:rowOff>54427</xdr:rowOff>
    </xdr:to>
    <xdr:graphicFrame macro="">
      <xdr:nvGraphicFramePr>
        <xdr:cNvPr id="19" name="Gráfico 18">
          <a:extLst>
            <a:ext uri="{FF2B5EF4-FFF2-40B4-BE49-F238E27FC236}">
              <a16:creationId xmlns:a16="http://schemas.microsoft.com/office/drawing/2014/main" id="{00000000-0008-0000-09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1084580</xdr:colOff>
      <xdr:row>1</xdr:row>
      <xdr:rowOff>36830</xdr:rowOff>
    </xdr:from>
    <xdr:to>
      <xdr:col>10</xdr:col>
      <xdr:colOff>518160</xdr:colOff>
      <xdr:row>20</xdr:row>
      <xdr:rowOff>30480</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6</xdr:col>
      <xdr:colOff>960120</xdr:colOff>
      <xdr:row>67</xdr:row>
      <xdr:rowOff>45720</xdr:rowOff>
    </xdr:from>
    <xdr:to>
      <xdr:col>9</xdr:col>
      <xdr:colOff>1005840</xdr:colOff>
      <xdr:row>71</xdr:row>
      <xdr:rowOff>579120</xdr:rowOff>
    </xdr:to>
    <xdr:pic>
      <xdr:nvPicPr>
        <xdr:cNvPr id="20" name="Imagen 19">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5011400" y="18211800"/>
          <a:ext cx="10607040" cy="259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624840</xdr:colOff>
      <xdr:row>71</xdr:row>
      <xdr:rowOff>365760</xdr:rowOff>
    </xdr:from>
    <xdr:to>
      <xdr:col>8</xdr:col>
      <xdr:colOff>571500</xdr:colOff>
      <xdr:row>80</xdr:row>
      <xdr:rowOff>175260</xdr:rowOff>
    </xdr:to>
    <xdr:pic>
      <xdr:nvPicPr>
        <xdr:cNvPr id="21" name="Imagen 20">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4676120" y="20589240"/>
          <a:ext cx="6987540"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546100</xdr:colOff>
      <xdr:row>11</xdr:row>
      <xdr:rowOff>180763</xdr:rowOff>
    </xdr:from>
    <xdr:to>
      <xdr:col>5</xdr:col>
      <xdr:colOff>746760</xdr:colOff>
      <xdr:row>34</xdr:row>
      <xdr:rowOff>30480</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277586</xdr:colOff>
      <xdr:row>0</xdr:row>
      <xdr:rowOff>0</xdr:rowOff>
    </xdr:from>
    <xdr:to>
      <xdr:col>30</xdr:col>
      <xdr:colOff>533400</xdr:colOff>
      <xdr:row>14</xdr:row>
      <xdr:rowOff>100693</xdr:rowOff>
    </xdr:to>
    <xdr:graphicFrame macro="">
      <xdr:nvGraphicFramePr>
        <xdr:cNvPr id="4" name="Gráfico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761636</xdr:colOff>
      <xdr:row>39</xdr:row>
      <xdr:rowOff>125366</xdr:rowOff>
    </xdr:from>
    <xdr:to>
      <xdr:col>48</xdr:col>
      <xdr:colOff>45720</xdr:colOff>
      <xdr:row>52</xdr:row>
      <xdr:rowOff>15239</xdr:rowOff>
    </xdr:to>
    <xdr:graphicFrame macro="">
      <xdr:nvGraphicFramePr>
        <xdr:cNvPr id="7" name="Gráfico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11973</xdr:colOff>
      <xdr:row>53</xdr:row>
      <xdr:rowOff>30480</xdr:rowOff>
    </xdr:from>
    <xdr:to>
      <xdr:col>47</xdr:col>
      <xdr:colOff>746760</xdr:colOff>
      <xdr:row>69</xdr:row>
      <xdr:rowOff>106680</xdr:rowOff>
    </xdr:to>
    <xdr:graphicFrame macro="">
      <xdr:nvGraphicFramePr>
        <xdr:cNvPr id="8" name="Gráfico 7">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783770</xdr:colOff>
      <xdr:row>70</xdr:row>
      <xdr:rowOff>380456</xdr:rowOff>
    </xdr:from>
    <xdr:to>
      <xdr:col>47</xdr:col>
      <xdr:colOff>701040</xdr:colOff>
      <xdr:row>83</xdr:row>
      <xdr:rowOff>15240</xdr:rowOff>
    </xdr:to>
    <xdr:graphicFrame macro="">
      <xdr:nvGraphicFramePr>
        <xdr:cNvPr id="9" name="Gráfico 8">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776754</xdr:colOff>
      <xdr:row>84</xdr:row>
      <xdr:rowOff>72451</xdr:rowOff>
    </xdr:from>
    <xdr:to>
      <xdr:col>47</xdr:col>
      <xdr:colOff>624840</xdr:colOff>
      <xdr:row>95</xdr:row>
      <xdr:rowOff>413658</xdr:rowOff>
    </xdr:to>
    <xdr:graphicFrame macro="">
      <xdr:nvGraphicFramePr>
        <xdr:cNvPr id="10" name="Gráfico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1002695</xdr:colOff>
      <xdr:row>108</xdr:row>
      <xdr:rowOff>108372</xdr:rowOff>
    </xdr:from>
    <xdr:to>
      <xdr:col>9</xdr:col>
      <xdr:colOff>350520</xdr:colOff>
      <xdr:row>131</xdr:row>
      <xdr:rowOff>91440</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56362</xdr:colOff>
      <xdr:row>15</xdr:row>
      <xdr:rowOff>85756</xdr:rowOff>
    </xdr:from>
    <xdr:to>
      <xdr:col>47</xdr:col>
      <xdr:colOff>459134</xdr:colOff>
      <xdr:row>39</xdr:row>
      <xdr:rowOff>137645</xdr:rowOff>
    </xdr:to>
    <xdr:graphicFrame macro="">
      <xdr:nvGraphicFramePr>
        <xdr:cNvPr id="5" name="Gráfico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11125</xdr:colOff>
      <xdr:row>96</xdr:row>
      <xdr:rowOff>385474</xdr:rowOff>
    </xdr:from>
    <xdr:to>
      <xdr:col>47</xdr:col>
      <xdr:colOff>670560</xdr:colOff>
      <xdr:row>109</xdr:row>
      <xdr:rowOff>60960</xdr:rowOff>
    </xdr:to>
    <xdr:graphicFrame macro="">
      <xdr:nvGraphicFramePr>
        <xdr:cNvPr id="11" name="Gráfico 10">
          <a:extLst>
            <a:ext uri="{FF2B5EF4-FFF2-40B4-BE49-F238E27FC236}">
              <a16:creationId xmlns:a16="http://schemas.microsoft.com/office/drawing/2014/main" id="{00000000-0008-0000-0A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1789610</xdr:colOff>
      <xdr:row>13</xdr:row>
      <xdr:rowOff>105586</xdr:rowOff>
    </xdr:from>
    <xdr:to>
      <xdr:col>19</xdr:col>
      <xdr:colOff>729343</xdr:colOff>
      <xdr:row>53</xdr:row>
      <xdr:rowOff>350520</xdr:rowOff>
    </xdr:to>
    <xdr:graphicFrame macro="">
      <xdr:nvGraphicFramePr>
        <xdr:cNvPr id="6" name="Gráfico 5">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108856</xdr:colOff>
      <xdr:row>47</xdr:row>
      <xdr:rowOff>360316</xdr:rowOff>
    </xdr:from>
    <xdr:to>
      <xdr:col>33</xdr:col>
      <xdr:colOff>533399</xdr:colOff>
      <xdr:row>70</xdr:row>
      <xdr:rowOff>350519</xdr:rowOff>
    </xdr:to>
    <xdr:graphicFrame macro="">
      <xdr:nvGraphicFramePr>
        <xdr:cNvPr id="12" name="Gráfico 11">
          <a:extLst>
            <a:ext uri="{FF2B5EF4-FFF2-40B4-BE49-F238E27FC236}">
              <a16:creationId xmlns:a16="http://schemas.microsoft.com/office/drawing/2014/main" id="{00000000-0008-0000-0A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1563188</xdr:colOff>
      <xdr:row>71</xdr:row>
      <xdr:rowOff>230778</xdr:rowOff>
    </xdr:from>
    <xdr:to>
      <xdr:col>20</xdr:col>
      <xdr:colOff>60960</xdr:colOff>
      <xdr:row>82</xdr:row>
      <xdr:rowOff>502920</xdr:rowOff>
    </xdr:to>
    <xdr:graphicFrame macro="">
      <xdr:nvGraphicFramePr>
        <xdr:cNvPr id="14" name="Gráfico 13">
          <a:extLst>
            <a:ext uri="{FF2B5EF4-FFF2-40B4-BE49-F238E27FC236}">
              <a16:creationId xmlns:a16="http://schemas.microsoft.com/office/drawing/2014/main" id="{00000000-0008-0000-0A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1619792</xdr:colOff>
      <xdr:row>83</xdr:row>
      <xdr:rowOff>202474</xdr:rowOff>
    </xdr:from>
    <xdr:to>
      <xdr:col>20</xdr:col>
      <xdr:colOff>121919</xdr:colOff>
      <xdr:row>95</xdr:row>
      <xdr:rowOff>171992</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1680754</xdr:colOff>
      <xdr:row>96</xdr:row>
      <xdr:rowOff>77287</xdr:rowOff>
    </xdr:from>
    <xdr:to>
      <xdr:col>20</xdr:col>
      <xdr:colOff>259080</xdr:colOff>
      <xdr:row>109</xdr:row>
      <xdr:rowOff>45720</xdr:rowOff>
    </xdr:to>
    <xdr:graphicFrame macro="">
      <xdr:nvGraphicFramePr>
        <xdr:cNvPr id="16" name="Gráfico 15">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1463040</xdr:colOff>
      <xdr:row>13</xdr:row>
      <xdr:rowOff>15240</xdr:rowOff>
    </xdr:from>
    <xdr:to>
      <xdr:col>12</xdr:col>
      <xdr:colOff>1203960</xdr:colOff>
      <xdr:row>42</xdr:row>
      <xdr:rowOff>121920</xdr:rowOff>
    </xdr:to>
    <xdr:graphicFrame macro="">
      <xdr:nvGraphicFramePr>
        <xdr:cNvPr id="19" name="Gráfico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1539240</xdr:colOff>
      <xdr:row>54</xdr:row>
      <xdr:rowOff>106680</xdr:rowOff>
    </xdr:from>
    <xdr:to>
      <xdr:col>19</xdr:col>
      <xdr:colOff>677094</xdr:colOff>
      <xdr:row>71</xdr:row>
      <xdr:rowOff>126274</xdr:rowOff>
    </xdr:to>
    <xdr:graphicFrame macro="">
      <xdr:nvGraphicFramePr>
        <xdr:cNvPr id="24" name="Gráfico 23">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902968</xdr:colOff>
      <xdr:row>13</xdr:row>
      <xdr:rowOff>57150</xdr:rowOff>
    </xdr:from>
    <xdr:to>
      <xdr:col>23</xdr:col>
      <xdr:colOff>158114</xdr:colOff>
      <xdr:row>36</xdr:row>
      <xdr:rowOff>579120</xdr:rowOff>
    </xdr:to>
    <xdr:graphicFrame macro="">
      <xdr:nvGraphicFramePr>
        <xdr:cNvPr id="11" name="Gráfico 10">
          <a:extLst>
            <a:ext uri="{FF2B5EF4-FFF2-40B4-BE49-F238E27FC236}">
              <a16:creationId xmlns:a16="http://schemas.microsoft.com/office/drawing/2014/main" id="{00000000-0008-0000-0B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400684</xdr:colOff>
      <xdr:row>2</xdr:row>
      <xdr:rowOff>35877</xdr:rowOff>
    </xdr:from>
    <xdr:to>
      <xdr:col>31</xdr:col>
      <xdr:colOff>334009</xdr:colOff>
      <xdr:row>9</xdr:row>
      <xdr:rowOff>106680</xdr:rowOff>
    </xdr:to>
    <xdr:graphicFrame macro="">
      <xdr:nvGraphicFramePr>
        <xdr:cNvPr id="12" name="Gráfico 11">
          <a:extLst>
            <a:ext uri="{FF2B5EF4-FFF2-40B4-BE49-F238E27FC236}">
              <a16:creationId xmlns:a16="http://schemas.microsoft.com/office/drawing/2014/main" id="{00000000-0008-0000-0B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670560</xdr:colOff>
      <xdr:row>27</xdr:row>
      <xdr:rowOff>113348</xdr:rowOff>
    </xdr:from>
    <xdr:to>
      <xdr:col>56</xdr:col>
      <xdr:colOff>350520</xdr:colOff>
      <xdr:row>36</xdr:row>
      <xdr:rowOff>640080</xdr:rowOff>
    </xdr:to>
    <xdr:graphicFrame macro="">
      <xdr:nvGraphicFramePr>
        <xdr:cNvPr id="13" name="Gráfico 12">
          <a:extLst>
            <a:ext uri="{FF2B5EF4-FFF2-40B4-BE49-F238E27FC236}">
              <a16:creationId xmlns:a16="http://schemas.microsoft.com/office/drawing/2014/main" id="{00000000-0008-0000-0B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661670</xdr:colOff>
      <xdr:row>37</xdr:row>
      <xdr:rowOff>106680</xdr:rowOff>
    </xdr:from>
    <xdr:to>
      <xdr:col>56</xdr:col>
      <xdr:colOff>441960</xdr:colOff>
      <xdr:row>45</xdr:row>
      <xdr:rowOff>289559</xdr:rowOff>
    </xdr:to>
    <xdr:graphicFrame macro="">
      <xdr:nvGraphicFramePr>
        <xdr:cNvPr id="14" name="Gráfico 13">
          <a:extLst>
            <a:ext uri="{FF2B5EF4-FFF2-40B4-BE49-F238E27FC236}">
              <a16:creationId xmlns:a16="http://schemas.microsoft.com/office/drawing/2014/main" id="{00000000-0008-0000-0B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3808</xdr:colOff>
      <xdr:row>45</xdr:row>
      <xdr:rowOff>660082</xdr:rowOff>
    </xdr:from>
    <xdr:to>
      <xdr:col>56</xdr:col>
      <xdr:colOff>396239</xdr:colOff>
      <xdr:row>56</xdr:row>
      <xdr:rowOff>106680</xdr:rowOff>
    </xdr:to>
    <xdr:graphicFrame macro="">
      <xdr:nvGraphicFramePr>
        <xdr:cNvPr id="15" name="Gráfico 14">
          <a:extLst>
            <a:ext uri="{FF2B5EF4-FFF2-40B4-BE49-F238E27FC236}">
              <a16:creationId xmlns:a16="http://schemas.microsoft.com/office/drawing/2014/main" id="{00000000-0008-0000-0B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308609</xdr:colOff>
      <xdr:row>68</xdr:row>
      <xdr:rowOff>149543</xdr:rowOff>
    </xdr:from>
    <xdr:to>
      <xdr:col>56</xdr:col>
      <xdr:colOff>0</xdr:colOff>
      <xdr:row>78</xdr:row>
      <xdr:rowOff>487681</xdr:rowOff>
    </xdr:to>
    <xdr:graphicFrame macro="">
      <xdr:nvGraphicFramePr>
        <xdr:cNvPr id="16" name="Gráfico 15">
          <a:extLst>
            <a:ext uri="{FF2B5EF4-FFF2-40B4-BE49-F238E27FC236}">
              <a16:creationId xmlns:a16="http://schemas.microsoft.com/office/drawing/2014/main" id="{00000000-0008-0000-0B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361949</xdr:colOff>
      <xdr:row>80</xdr:row>
      <xdr:rowOff>41593</xdr:rowOff>
    </xdr:from>
    <xdr:to>
      <xdr:col>63</xdr:col>
      <xdr:colOff>72389</xdr:colOff>
      <xdr:row>90</xdr:row>
      <xdr:rowOff>249238</xdr:rowOff>
    </xdr:to>
    <xdr:graphicFrame macro="">
      <xdr:nvGraphicFramePr>
        <xdr:cNvPr id="17" name="Gráfico 16">
          <a:extLst>
            <a:ext uri="{FF2B5EF4-FFF2-40B4-BE49-F238E27FC236}">
              <a16:creationId xmlns:a16="http://schemas.microsoft.com/office/drawing/2014/main" id="{00000000-0008-0000-0B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1283334</xdr:colOff>
      <xdr:row>86</xdr:row>
      <xdr:rowOff>129858</xdr:rowOff>
    </xdr:from>
    <xdr:to>
      <xdr:col>9</xdr:col>
      <xdr:colOff>731520</xdr:colOff>
      <xdr:row>98</xdr:row>
      <xdr:rowOff>76200</xdr:rowOff>
    </xdr:to>
    <xdr:graphicFrame macro="">
      <xdr:nvGraphicFramePr>
        <xdr:cNvPr id="18" name="Gráfico 17">
          <a:extLst>
            <a:ext uri="{FF2B5EF4-FFF2-40B4-BE49-F238E27FC236}">
              <a16:creationId xmlns:a16="http://schemas.microsoft.com/office/drawing/2014/main" id="{00000000-0008-0000-0B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548640</xdr:colOff>
      <xdr:row>28</xdr:row>
      <xdr:rowOff>99060</xdr:rowOff>
    </xdr:from>
    <xdr:to>
      <xdr:col>41</xdr:col>
      <xdr:colOff>243840</xdr:colOff>
      <xdr:row>37</xdr:row>
      <xdr:rowOff>76200</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487680</xdr:colOff>
      <xdr:row>37</xdr:row>
      <xdr:rowOff>182880</xdr:rowOff>
    </xdr:from>
    <xdr:to>
      <xdr:col>41</xdr:col>
      <xdr:colOff>304800</xdr:colOff>
      <xdr:row>45</xdr:row>
      <xdr:rowOff>182880</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213360</xdr:colOff>
      <xdr:row>45</xdr:row>
      <xdr:rowOff>510540</xdr:rowOff>
    </xdr:from>
    <xdr:to>
      <xdr:col>40</xdr:col>
      <xdr:colOff>685800</xdr:colOff>
      <xdr:row>54</xdr:row>
      <xdr:rowOff>396240</xdr:rowOff>
    </xdr:to>
    <xdr:graphicFrame macro="">
      <xdr:nvGraphicFramePr>
        <xdr:cNvPr id="4" name="Gráfico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381000</xdr:colOff>
      <xdr:row>67</xdr:row>
      <xdr:rowOff>525780</xdr:rowOff>
    </xdr:from>
    <xdr:to>
      <xdr:col>39</xdr:col>
      <xdr:colOff>762000</xdr:colOff>
      <xdr:row>79</xdr:row>
      <xdr:rowOff>304800</xdr:rowOff>
    </xdr:to>
    <xdr:graphicFrame macro="">
      <xdr:nvGraphicFramePr>
        <xdr:cNvPr id="5" name="Gráfico 4">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613410</xdr:colOff>
      <xdr:row>13</xdr:row>
      <xdr:rowOff>26670</xdr:rowOff>
    </xdr:from>
    <xdr:to>
      <xdr:col>12</xdr:col>
      <xdr:colOff>598170</xdr:colOff>
      <xdr:row>36</xdr:row>
      <xdr:rowOff>621030</xdr:rowOff>
    </xdr:to>
    <xdr:graphicFrame macro="">
      <xdr:nvGraphicFramePr>
        <xdr:cNvPr id="7" name="Gráfico 6">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548640</xdr:colOff>
      <xdr:row>9</xdr:row>
      <xdr:rowOff>312420</xdr:rowOff>
    </xdr:from>
    <xdr:to>
      <xdr:col>39</xdr:col>
      <xdr:colOff>45720</xdr:colOff>
      <xdr:row>27</xdr:row>
      <xdr:rowOff>167640</xdr:rowOff>
    </xdr:to>
    <xdr:graphicFrame macro="">
      <xdr:nvGraphicFramePr>
        <xdr:cNvPr id="19" name="Gráfico 18">
          <a:extLst>
            <a:ext uri="{FF2B5EF4-FFF2-40B4-BE49-F238E27FC236}">
              <a16:creationId xmlns:a16="http://schemas.microsoft.com/office/drawing/2014/main" id="{00000000-0008-0000-0B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289560</xdr:colOff>
      <xdr:row>55</xdr:row>
      <xdr:rowOff>99060</xdr:rowOff>
    </xdr:from>
    <xdr:to>
      <xdr:col>40</xdr:col>
      <xdr:colOff>594360</xdr:colOff>
      <xdr:row>67</xdr:row>
      <xdr:rowOff>320040</xdr:rowOff>
    </xdr:to>
    <xdr:graphicFrame macro="">
      <xdr:nvGraphicFramePr>
        <xdr:cNvPr id="9" name="Gráfico 8">
          <a:extLst>
            <a:ext uri="{FF2B5EF4-FFF2-40B4-BE49-F238E27FC236}">
              <a16:creationId xmlns:a16="http://schemas.microsoft.com/office/drawing/2014/main" id="{00000000-0008-0000-0B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441960</xdr:colOff>
      <xdr:row>81</xdr:row>
      <xdr:rowOff>91440</xdr:rowOff>
    </xdr:from>
    <xdr:to>
      <xdr:col>40</xdr:col>
      <xdr:colOff>121920</xdr:colOff>
      <xdr:row>92</xdr:row>
      <xdr:rowOff>243840</xdr:rowOff>
    </xdr:to>
    <xdr:graphicFrame macro="">
      <xdr:nvGraphicFramePr>
        <xdr:cNvPr id="22" name="Gráfico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403860</xdr:colOff>
      <xdr:row>14</xdr:row>
      <xdr:rowOff>140970</xdr:rowOff>
    </xdr:from>
    <xdr:to>
      <xdr:col>5</xdr:col>
      <xdr:colOff>810260</xdr:colOff>
      <xdr:row>42</xdr:row>
      <xdr:rowOff>40640</xdr:rowOff>
    </xdr:to>
    <xdr:graphicFrame macro="">
      <xdr:nvGraphicFramePr>
        <xdr:cNvPr id="18" name="Gráfico 17">
          <a:extLst>
            <a:ext uri="{FF2B5EF4-FFF2-40B4-BE49-F238E27FC236}">
              <a16:creationId xmlns:a16="http://schemas.microsoft.com/office/drawing/2014/main" id="{00000000-0008-0000-0C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706120</xdr:colOff>
      <xdr:row>2</xdr:row>
      <xdr:rowOff>36830</xdr:rowOff>
    </xdr:from>
    <xdr:to>
      <xdr:col>44</xdr:col>
      <xdr:colOff>591820</xdr:colOff>
      <xdr:row>11</xdr:row>
      <xdr:rowOff>142240</xdr:rowOff>
    </xdr:to>
    <xdr:graphicFrame macro="">
      <xdr:nvGraphicFramePr>
        <xdr:cNvPr id="19" name="Gráfico 18">
          <a:extLst>
            <a:ext uri="{FF2B5EF4-FFF2-40B4-BE49-F238E27FC236}">
              <a16:creationId xmlns:a16="http://schemas.microsoft.com/office/drawing/2014/main" id="{00000000-0008-0000-0C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784860</xdr:colOff>
      <xdr:row>15</xdr:row>
      <xdr:rowOff>171450</xdr:rowOff>
    </xdr:from>
    <xdr:to>
      <xdr:col>44</xdr:col>
      <xdr:colOff>167640</xdr:colOff>
      <xdr:row>38</xdr:row>
      <xdr:rowOff>172720</xdr:rowOff>
    </xdr:to>
    <xdr:graphicFrame macro="">
      <xdr:nvGraphicFramePr>
        <xdr:cNvPr id="20" name="Gráfico 19">
          <a:extLst>
            <a:ext uri="{FF2B5EF4-FFF2-40B4-BE49-F238E27FC236}">
              <a16:creationId xmlns:a16="http://schemas.microsoft.com/office/drawing/2014/main" id="{00000000-0008-0000-0C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421640</xdr:colOff>
      <xdr:row>45</xdr:row>
      <xdr:rowOff>425450</xdr:rowOff>
    </xdr:from>
    <xdr:to>
      <xdr:col>38</xdr:col>
      <xdr:colOff>312420</xdr:colOff>
      <xdr:row>55</xdr:row>
      <xdr:rowOff>50800</xdr:rowOff>
    </xdr:to>
    <xdr:graphicFrame macro="">
      <xdr:nvGraphicFramePr>
        <xdr:cNvPr id="21" name="Gráfico 20">
          <a:extLst>
            <a:ext uri="{FF2B5EF4-FFF2-40B4-BE49-F238E27FC236}">
              <a16:creationId xmlns:a16="http://schemas.microsoft.com/office/drawing/2014/main" id="{00000000-0008-0000-0C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459740</xdr:colOff>
      <xdr:row>55</xdr:row>
      <xdr:rowOff>417830</xdr:rowOff>
    </xdr:from>
    <xdr:to>
      <xdr:col>40</xdr:col>
      <xdr:colOff>596900</xdr:colOff>
      <xdr:row>68</xdr:row>
      <xdr:rowOff>106680</xdr:rowOff>
    </xdr:to>
    <xdr:graphicFrame macro="">
      <xdr:nvGraphicFramePr>
        <xdr:cNvPr id="22" name="Gráfico 21">
          <a:extLst>
            <a:ext uri="{FF2B5EF4-FFF2-40B4-BE49-F238E27FC236}">
              <a16:creationId xmlns:a16="http://schemas.microsoft.com/office/drawing/2014/main" id="{00000000-0008-0000-0C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523240</xdr:colOff>
      <xdr:row>69</xdr:row>
      <xdr:rowOff>102870</xdr:rowOff>
    </xdr:from>
    <xdr:to>
      <xdr:col>45</xdr:col>
      <xdr:colOff>147320</xdr:colOff>
      <xdr:row>77</xdr:row>
      <xdr:rowOff>182880</xdr:rowOff>
    </xdr:to>
    <xdr:graphicFrame macro="">
      <xdr:nvGraphicFramePr>
        <xdr:cNvPr id="23" name="Gráfico 22">
          <a:extLst>
            <a:ext uri="{FF2B5EF4-FFF2-40B4-BE49-F238E27FC236}">
              <a16:creationId xmlns:a16="http://schemas.microsoft.com/office/drawing/2014/main" id="{00000000-0008-0000-0C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538480</xdr:colOff>
      <xdr:row>79</xdr:row>
      <xdr:rowOff>193040</xdr:rowOff>
    </xdr:from>
    <xdr:to>
      <xdr:col>45</xdr:col>
      <xdr:colOff>149860</xdr:colOff>
      <xdr:row>90</xdr:row>
      <xdr:rowOff>5080</xdr:rowOff>
    </xdr:to>
    <xdr:graphicFrame macro="">
      <xdr:nvGraphicFramePr>
        <xdr:cNvPr id="24" name="Gráfico 23">
          <a:extLst>
            <a:ext uri="{FF2B5EF4-FFF2-40B4-BE49-F238E27FC236}">
              <a16:creationId xmlns:a16="http://schemas.microsoft.com/office/drawing/2014/main" id="{00000000-0008-0000-0C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553720</xdr:colOff>
      <xdr:row>91</xdr:row>
      <xdr:rowOff>26670</xdr:rowOff>
    </xdr:from>
    <xdr:to>
      <xdr:col>45</xdr:col>
      <xdr:colOff>45720</xdr:colOff>
      <xdr:row>101</xdr:row>
      <xdr:rowOff>5080</xdr:rowOff>
    </xdr:to>
    <xdr:graphicFrame macro="">
      <xdr:nvGraphicFramePr>
        <xdr:cNvPr id="25" name="Gráfico 24">
          <a:extLst>
            <a:ext uri="{FF2B5EF4-FFF2-40B4-BE49-F238E27FC236}">
              <a16:creationId xmlns:a16="http://schemas.microsoft.com/office/drawing/2014/main" id="{00000000-0008-0000-0C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3611880</xdr:colOff>
      <xdr:row>113</xdr:row>
      <xdr:rowOff>166370</xdr:rowOff>
    </xdr:from>
    <xdr:to>
      <xdr:col>10</xdr:col>
      <xdr:colOff>360680</xdr:colOff>
      <xdr:row>133</xdr:row>
      <xdr:rowOff>30480</xdr:rowOff>
    </xdr:to>
    <xdr:graphicFrame macro="">
      <xdr:nvGraphicFramePr>
        <xdr:cNvPr id="26" name="Gráfico 25">
          <a:extLst>
            <a:ext uri="{FF2B5EF4-FFF2-40B4-BE49-F238E27FC236}">
              <a16:creationId xmlns:a16="http://schemas.microsoft.com/office/drawing/2014/main" id="{00000000-0008-0000-0C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1750060</xdr:colOff>
      <xdr:row>45</xdr:row>
      <xdr:rowOff>509270</xdr:rowOff>
    </xdr:from>
    <xdr:to>
      <xdr:col>23</xdr:col>
      <xdr:colOff>208280</xdr:colOff>
      <xdr:row>55</xdr:row>
      <xdr:rowOff>269240</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1818640</xdr:colOff>
      <xdr:row>69</xdr:row>
      <xdr:rowOff>115570</xdr:rowOff>
    </xdr:from>
    <xdr:to>
      <xdr:col>23</xdr:col>
      <xdr:colOff>381000</xdr:colOff>
      <xdr:row>77</xdr:row>
      <xdr:rowOff>233680</xdr:rowOff>
    </xdr:to>
    <xdr:graphicFrame macro="">
      <xdr:nvGraphicFramePr>
        <xdr:cNvPr id="4" name="Gráfico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1938020</xdr:colOff>
      <xdr:row>79</xdr:row>
      <xdr:rowOff>120650</xdr:rowOff>
    </xdr:from>
    <xdr:to>
      <xdr:col>23</xdr:col>
      <xdr:colOff>685800</xdr:colOff>
      <xdr:row>92</xdr:row>
      <xdr:rowOff>106680</xdr:rowOff>
    </xdr:to>
    <xdr:graphicFrame macro="">
      <xdr:nvGraphicFramePr>
        <xdr:cNvPr id="5" name="Gráfico 4">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1672590</xdr:colOff>
      <xdr:row>94</xdr:row>
      <xdr:rowOff>113030</xdr:rowOff>
    </xdr:from>
    <xdr:to>
      <xdr:col>23</xdr:col>
      <xdr:colOff>544830</xdr:colOff>
      <xdr:row>105</xdr:row>
      <xdr:rowOff>293370</xdr:rowOff>
    </xdr:to>
    <xdr:graphicFrame macro="">
      <xdr:nvGraphicFramePr>
        <xdr:cNvPr id="6" name="Gráfico 5">
          <a:extLst>
            <a:ext uri="{FF2B5EF4-FFF2-40B4-BE49-F238E27FC236}">
              <a16:creationId xmlns:a16="http://schemas.microsoft.com/office/drawing/2014/main"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1722120</xdr:colOff>
      <xdr:row>16</xdr:row>
      <xdr:rowOff>48260</xdr:rowOff>
    </xdr:from>
    <xdr:to>
      <xdr:col>22</xdr:col>
      <xdr:colOff>492760</xdr:colOff>
      <xdr:row>45</xdr:row>
      <xdr:rowOff>182880</xdr:rowOff>
    </xdr:to>
    <xdr:graphicFrame macro="">
      <xdr:nvGraphicFramePr>
        <xdr:cNvPr id="7" name="Gráfico 6">
          <a:extLst>
            <a:ext uri="{FF2B5EF4-FFF2-40B4-BE49-F238E27FC236}">
              <a16:creationId xmlns:a16="http://schemas.microsoft.com/office/drawing/2014/main" id="{00000000-0008-0000-0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1158240</xdr:colOff>
      <xdr:row>14</xdr:row>
      <xdr:rowOff>175260</xdr:rowOff>
    </xdr:from>
    <xdr:to>
      <xdr:col>13</xdr:col>
      <xdr:colOff>1264920</xdr:colOff>
      <xdr:row>45</xdr:row>
      <xdr:rowOff>701040</xdr:rowOff>
    </xdr:to>
    <xdr:graphicFrame macro="">
      <xdr:nvGraphicFramePr>
        <xdr:cNvPr id="8" name="Gráfico 7">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819150</xdr:colOff>
      <xdr:row>54</xdr:row>
      <xdr:rowOff>384810</xdr:rowOff>
    </xdr:from>
    <xdr:to>
      <xdr:col>13</xdr:col>
      <xdr:colOff>457200</xdr:colOff>
      <xdr:row>62</xdr:row>
      <xdr:rowOff>476250</xdr:rowOff>
    </xdr:to>
    <xdr:graphicFrame macro="">
      <xdr:nvGraphicFramePr>
        <xdr:cNvPr id="10" name="Gráfico 9">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1950720</xdr:colOff>
      <xdr:row>55</xdr:row>
      <xdr:rowOff>365760</xdr:rowOff>
    </xdr:from>
    <xdr:to>
      <xdr:col>23</xdr:col>
      <xdr:colOff>347980</xdr:colOff>
      <xdr:row>64</xdr:row>
      <xdr:rowOff>398780</xdr:rowOff>
    </xdr:to>
    <xdr:graphicFrame macro="">
      <xdr:nvGraphicFramePr>
        <xdr:cNvPr id="29" name="Gráfico 28">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419100</xdr:colOff>
      <xdr:row>12</xdr:row>
      <xdr:rowOff>19050</xdr:rowOff>
    </xdr:from>
    <xdr:to>
      <xdr:col>5</xdr:col>
      <xdr:colOff>825500</xdr:colOff>
      <xdr:row>39</xdr:row>
      <xdr:rowOff>101600</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107950</xdr:colOff>
      <xdr:row>1</xdr:row>
      <xdr:rowOff>48260</xdr:rowOff>
    </xdr:from>
    <xdr:to>
      <xdr:col>35</xdr:col>
      <xdr:colOff>698500</xdr:colOff>
      <xdr:row>12</xdr:row>
      <xdr:rowOff>54610</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2862580</xdr:colOff>
      <xdr:row>104</xdr:row>
      <xdr:rowOff>31750</xdr:rowOff>
    </xdr:from>
    <xdr:to>
      <xdr:col>12</xdr:col>
      <xdr:colOff>838200</xdr:colOff>
      <xdr:row>119</xdr:row>
      <xdr:rowOff>140970</xdr:rowOff>
    </xdr:to>
    <xdr:graphicFrame macro="">
      <xdr:nvGraphicFramePr>
        <xdr:cNvPr id="10" name="Gráfico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744220</xdr:colOff>
      <xdr:row>21</xdr:row>
      <xdr:rowOff>139700</xdr:rowOff>
    </xdr:from>
    <xdr:to>
      <xdr:col>47</xdr:col>
      <xdr:colOff>217170</xdr:colOff>
      <xdr:row>42</xdr:row>
      <xdr:rowOff>154940</xdr:rowOff>
    </xdr:to>
    <xdr:graphicFrame macro="">
      <xdr:nvGraphicFramePr>
        <xdr:cNvPr id="11" name="Gráfico 10">
          <a:extLst>
            <a:ext uri="{FF2B5EF4-FFF2-40B4-BE49-F238E27FC236}">
              <a16:creationId xmlns:a16="http://schemas.microsoft.com/office/drawing/2014/main" id="{00000000-0008-0000-0D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76200</xdr:colOff>
      <xdr:row>44</xdr:row>
      <xdr:rowOff>105410</xdr:rowOff>
    </xdr:from>
    <xdr:to>
      <xdr:col>48</xdr:col>
      <xdr:colOff>449580</xdr:colOff>
      <xdr:row>56</xdr:row>
      <xdr:rowOff>180340</xdr:rowOff>
    </xdr:to>
    <xdr:graphicFrame macro="">
      <xdr:nvGraphicFramePr>
        <xdr:cNvPr id="12" name="Gráfico 11">
          <a:extLst>
            <a:ext uri="{FF2B5EF4-FFF2-40B4-BE49-F238E27FC236}">
              <a16:creationId xmlns:a16="http://schemas.microsoft.com/office/drawing/2014/main" id="{00000000-0008-0000-0D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55880</xdr:colOff>
      <xdr:row>57</xdr:row>
      <xdr:rowOff>224790</xdr:rowOff>
    </xdr:from>
    <xdr:to>
      <xdr:col>53</xdr:col>
      <xdr:colOff>340360</xdr:colOff>
      <xdr:row>68</xdr:row>
      <xdr:rowOff>35560</xdr:rowOff>
    </xdr:to>
    <xdr:graphicFrame macro="">
      <xdr:nvGraphicFramePr>
        <xdr:cNvPr id="13" name="Gráfico 12">
          <a:extLst>
            <a:ext uri="{FF2B5EF4-FFF2-40B4-BE49-F238E27FC236}">
              <a16:creationId xmlns:a16="http://schemas.microsoft.com/office/drawing/2014/main" id="{00000000-0008-0000-0D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190500</xdr:colOff>
      <xdr:row>68</xdr:row>
      <xdr:rowOff>400050</xdr:rowOff>
    </xdr:from>
    <xdr:to>
      <xdr:col>49</xdr:col>
      <xdr:colOff>5080</xdr:colOff>
      <xdr:row>77</xdr:row>
      <xdr:rowOff>279400</xdr:rowOff>
    </xdr:to>
    <xdr:graphicFrame macro="">
      <xdr:nvGraphicFramePr>
        <xdr:cNvPr id="14" name="Gráfico 13">
          <a:extLst>
            <a:ext uri="{FF2B5EF4-FFF2-40B4-BE49-F238E27FC236}">
              <a16:creationId xmlns:a16="http://schemas.microsoft.com/office/drawing/2014/main" id="{00000000-0008-0000-0D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2054860</xdr:colOff>
      <xdr:row>18</xdr:row>
      <xdr:rowOff>116840</xdr:rowOff>
    </xdr:from>
    <xdr:to>
      <xdr:col>25</xdr:col>
      <xdr:colOff>381000</xdr:colOff>
      <xdr:row>40</xdr:row>
      <xdr:rowOff>25400</xdr:rowOff>
    </xdr:to>
    <xdr:graphicFrame macro="">
      <xdr:nvGraphicFramePr>
        <xdr:cNvPr id="4" name="Gráfico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1162050</xdr:colOff>
      <xdr:row>41</xdr:row>
      <xdr:rowOff>113030</xdr:rowOff>
    </xdr:from>
    <xdr:to>
      <xdr:col>23</xdr:col>
      <xdr:colOff>394970</xdr:colOff>
      <xdr:row>55</xdr:row>
      <xdr:rowOff>330200</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1168400</xdr:colOff>
      <xdr:row>68</xdr:row>
      <xdr:rowOff>172720</xdr:rowOff>
    </xdr:from>
    <xdr:to>
      <xdr:col>23</xdr:col>
      <xdr:colOff>373380</xdr:colOff>
      <xdr:row>77</xdr:row>
      <xdr:rowOff>250190</xdr:rowOff>
    </xdr:to>
    <xdr:graphicFrame macro="">
      <xdr:nvGraphicFramePr>
        <xdr:cNvPr id="6" name="Gráfico 5">
          <a:extLst>
            <a:ext uri="{FF2B5EF4-FFF2-40B4-BE49-F238E27FC236}">
              <a16:creationId xmlns:a16="http://schemas.microsoft.com/office/drawing/2014/main" id="{00000000-0008-0000-0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1610360</xdr:colOff>
      <xdr:row>55</xdr:row>
      <xdr:rowOff>704850</xdr:rowOff>
    </xdr:from>
    <xdr:to>
      <xdr:col>23</xdr:col>
      <xdr:colOff>647700</xdr:colOff>
      <xdr:row>67</xdr:row>
      <xdr:rowOff>187960</xdr:rowOff>
    </xdr:to>
    <xdr:graphicFrame macro="">
      <xdr:nvGraphicFramePr>
        <xdr:cNvPr id="7" name="Gráfico 6">
          <a:extLst>
            <a:ext uri="{FF2B5EF4-FFF2-40B4-BE49-F238E27FC236}">
              <a16:creationId xmlns:a16="http://schemas.microsoft.com/office/drawing/2014/main" id="{00000000-0008-0000-0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1767840</xdr:colOff>
      <xdr:row>11</xdr:row>
      <xdr:rowOff>83820</xdr:rowOff>
    </xdr:from>
    <xdr:to>
      <xdr:col>12</xdr:col>
      <xdr:colOff>167640</xdr:colOff>
      <xdr:row>46</xdr:row>
      <xdr:rowOff>30480</xdr:rowOff>
    </xdr:to>
    <xdr:graphicFrame macro="">
      <xdr:nvGraphicFramePr>
        <xdr:cNvPr id="9" name="Gráfico 8">
          <a:extLst>
            <a:ext uri="{FF2B5EF4-FFF2-40B4-BE49-F238E27FC236}">
              <a16:creationId xmlns:a16="http://schemas.microsoft.com/office/drawing/2014/main" id="{00000000-0008-0000-0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891540</xdr:colOff>
      <xdr:row>79</xdr:row>
      <xdr:rowOff>403860</xdr:rowOff>
    </xdr:from>
    <xdr:to>
      <xdr:col>25</xdr:col>
      <xdr:colOff>708660</xdr:colOff>
      <xdr:row>93</xdr:row>
      <xdr:rowOff>274320</xdr:rowOff>
    </xdr:to>
    <xdr:graphicFrame macro="">
      <xdr:nvGraphicFramePr>
        <xdr:cNvPr id="17" name="Gráfico 16">
          <a:extLst>
            <a:ext uri="{FF2B5EF4-FFF2-40B4-BE49-F238E27FC236}">
              <a16:creationId xmlns:a16="http://schemas.microsoft.com/office/drawing/2014/main" id="{00000000-0008-0000-0D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32</xdr:col>
      <xdr:colOff>0</xdr:colOff>
      <xdr:row>79</xdr:row>
      <xdr:rowOff>281940</xdr:rowOff>
    </xdr:from>
    <xdr:to>
      <xdr:col>49</xdr:col>
      <xdr:colOff>487680</xdr:colOff>
      <xdr:row>93</xdr:row>
      <xdr:rowOff>289560</xdr:rowOff>
    </xdr:to>
    <xdr:graphicFrame macro="">
      <xdr:nvGraphicFramePr>
        <xdr:cNvPr id="18" name="Gráfico 17">
          <a:extLst>
            <a:ext uri="{FF2B5EF4-FFF2-40B4-BE49-F238E27FC236}">
              <a16:creationId xmlns:a16="http://schemas.microsoft.com/office/drawing/2014/main" id="{00000000-0008-0000-0D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2819400</xdr:colOff>
      <xdr:row>60</xdr:row>
      <xdr:rowOff>457200</xdr:rowOff>
    </xdr:from>
    <xdr:to>
      <xdr:col>12</xdr:col>
      <xdr:colOff>45720</xdr:colOff>
      <xdr:row>72</xdr:row>
      <xdr:rowOff>441960</xdr:rowOff>
    </xdr:to>
    <xdr:graphicFrame macro="">
      <xdr:nvGraphicFramePr>
        <xdr:cNvPr id="8" name="Gráfico 7">
          <a:extLst>
            <a:ext uri="{FF2B5EF4-FFF2-40B4-BE49-F238E27FC236}">
              <a16:creationId xmlns:a16="http://schemas.microsoft.com/office/drawing/2014/main" id="{00000000-0008-0000-0D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266700</xdr:colOff>
      <xdr:row>8</xdr:row>
      <xdr:rowOff>57150</xdr:rowOff>
    </xdr:from>
    <xdr:to>
      <xdr:col>5</xdr:col>
      <xdr:colOff>2152650</xdr:colOff>
      <xdr:row>38</xdr:row>
      <xdr:rowOff>76200</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96520</xdr:colOff>
      <xdr:row>1</xdr:row>
      <xdr:rowOff>128270</xdr:rowOff>
    </xdr:from>
    <xdr:to>
      <xdr:col>28</xdr:col>
      <xdr:colOff>774700</xdr:colOff>
      <xdr:row>17</xdr:row>
      <xdr:rowOff>157480</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3017520</xdr:colOff>
      <xdr:row>59</xdr:row>
      <xdr:rowOff>95250</xdr:rowOff>
    </xdr:from>
    <xdr:to>
      <xdr:col>12</xdr:col>
      <xdr:colOff>266700</xdr:colOff>
      <xdr:row>71</xdr:row>
      <xdr:rowOff>264160</xdr:rowOff>
    </xdr:to>
    <xdr:graphicFrame macro="">
      <xdr:nvGraphicFramePr>
        <xdr:cNvPr id="4" name="Gráfico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444500</xdr:colOff>
      <xdr:row>20</xdr:row>
      <xdr:rowOff>41910</xdr:rowOff>
    </xdr:from>
    <xdr:to>
      <xdr:col>48</xdr:col>
      <xdr:colOff>5080</xdr:colOff>
      <xdr:row>41</xdr:row>
      <xdr:rowOff>137160</xdr:rowOff>
    </xdr:to>
    <xdr:graphicFrame macro="">
      <xdr:nvGraphicFramePr>
        <xdr:cNvPr id="5" name="Gráfico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429260</xdr:colOff>
      <xdr:row>42</xdr:row>
      <xdr:rowOff>689610</xdr:rowOff>
    </xdr:from>
    <xdr:to>
      <xdr:col>29</xdr:col>
      <xdr:colOff>706120</xdr:colOff>
      <xdr:row>49</xdr:row>
      <xdr:rowOff>177800</xdr:rowOff>
    </xdr:to>
    <xdr:graphicFrame macro="">
      <xdr:nvGraphicFramePr>
        <xdr:cNvPr id="6" name="Gráfico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472440</xdr:colOff>
      <xdr:row>20</xdr:row>
      <xdr:rowOff>26670</xdr:rowOff>
    </xdr:from>
    <xdr:to>
      <xdr:col>29</xdr:col>
      <xdr:colOff>579120</xdr:colOff>
      <xdr:row>41</xdr:row>
      <xdr:rowOff>588010</xdr:rowOff>
    </xdr:to>
    <xdr:graphicFrame macro="">
      <xdr:nvGraphicFramePr>
        <xdr:cNvPr id="10" name="Gráfico 9">
          <a:extLst>
            <a:ext uri="{FF2B5EF4-FFF2-40B4-BE49-F238E27FC236}">
              <a16:creationId xmlns:a16="http://schemas.microsoft.com/office/drawing/2014/main" id="{00000000-0008-0000-0E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726440</xdr:colOff>
      <xdr:row>42</xdr:row>
      <xdr:rowOff>8890</xdr:rowOff>
    </xdr:from>
    <xdr:to>
      <xdr:col>12</xdr:col>
      <xdr:colOff>1460500</xdr:colOff>
      <xdr:row>51</xdr:row>
      <xdr:rowOff>716280</xdr:rowOff>
    </xdr:to>
    <xdr:graphicFrame macro="">
      <xdr:nvGraphicFramePr>
        <xdr:cNvPr id="11" name="Gráfico 10">
          <a:extLst>
            <a:ext uri="{FF2B5EF4-FFF2-40B4-BE49-F238E27FC236}">
              <a16:creationId xmlns:a16="http://schemas.microsoft.com/office/drawing/2014/main" id="{00000000-0008-0000-0E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1272540</xdr:colOff>
      <xdr:row>10</xdr:row>
      <xdr:rowOff>91440</xdr:rowOff>
    </xdr:from>
    <xdr:to>
      <xdr:col>14</xdr:col>
      <xdr:colOff>19050</xdr:colOff>
      <xdr:row>41</xdr:row>
      <xdr:rowOff>144780</xdr:rowOff>
    </xdr:to>
    <xdr:graphicFrame macro="">
      <xdr:nvGraphicFramePr>
        <xdr:cNvPr id="9" name="Gráfico 8">
          <a:extLst>
            <a:ext uri="{FF2B5EF4-FFF2-40B4-BE49-F238E27FC236}">
              <a16:creationId xmlns:a16="http://schemas.microsoft.com/office/drawing/2014/main" id="{00000000-0008-0000-0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cart-my.sharepoint.com/personal/centrodeinvestigacion_cartagena_gov_co/Documents/Bases%20de%20datos%20Visores/Seguimiento%20a%20Plan%20de%20Desarrollo/Matriz%20de%20seguimiento%20PDD%202024%20-%202027.%20%20Vigencia%2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nformatica\Downloads\Avance%20programas%20ponde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idad Humana"/>
      <sheetName val="Vida Digna"/>
      <sheetName val="Desarrollo Economico"/>
      <sheetName val="Ciudad Conectada"/>
      <sheetName val="Innovación Pública"/>
      <sheetName val="Capitulo Etnico"/>
      <sheetName val="PLAN DE DESARROLLO 2024 - 2027"/>
      <sheetName val="SEGUIMIENTO DEL PLAN DE DESARRO"/>
      <sheetName val="CRITERIOS DE EVALUACIÓN"/>
      <sheetName val="GRAFICAS SEGURIDAD HUMANA"/>
      <sheetName val="GRAFICAS VIDA DIGNA "/>
      <sheetName val="GRAFICAS DESARROLLO ECONOMICO"/>
      <sheetName val="GRAFICAS CIUDAD CONECTADA"/>
      <sheetName val="GRAFICAS INNOVACIÓN Y PARTICIPA"/>
      <sheetName val="GRAFICAS CAPITULO ETNICO"/>
      <sheetName val="Hoja1"/>
    </sheetNames>
    <sheetDataSet>
      <sheetData sheetId="0" refreshError="1"/>
      <sheetData sheetId="1" refreshError="1"/>
      <sheetData sheetId="2" refreshError="1"/>
      <sheetData sheetId="3" refreshError="1"/>
      <sheetData sheetId="4" refreshError="1"/>
      <sheetData sheetId="5" refreshError="1"/>
      <sheetData sheetId="6" refreshError="1">
        <row r="4">
          <cell r="K4">
            <v>0.29293663727866731</v>
          </cell>
          <cell r="M4">
            <v>0.24028917333263158</v>
          </cell>
        </row>
        <row r="5">
          <cell r="K5">
            <v>0.43173821655610001</v>
          </cell>
          <cell r="M5">
            <v>0.36421067601552731</v>
          </cell>
        </row>
        <row r="6">
          <cell r="K6">
            <v>0.35</v>
          </cell>
        </row>
        <row r="7">
          <cell r="K7">
            <v>0.66666666666666663</v>
          </cell>
        </row>
        <row r="8">
          <cell r="K8">
            <v>0.25781052722494452</v>
          </cell>
        </row>
        <row r="9">
          <cell r="K9">
            <v>0.625</v>
          </cell>
        </row>
        <row r="10">
          <cell r="K10">
            <v>0.25921388888888885</v>
          </cell>
        </row>
        <row r="11">
          <cell r="K11">
            <v>0.31811397569444444</v>
          </cell>
          <cell r="M11">
            <v>0.24196521875000004</v>
          </cell>
        </row>
        <row r="12">
          <cell r="K12">
            <v>0.47753333333333331</v>
          </cell>
        </row>
        <row r="13">
          <cell r="K13">
            <v>0.33499999999999996</v>
          </cell>
        </row>
        <row r="14">
          <cell r="K14">
            <v>0.27083333333333337</v>
          </cell>
        </row>
        <row r="15">
          <cell r="K15">
            <v>0.22055555555555553</v>
          </cell>
        </row>
        <row r="16">
          <cell r="K16">
            <v>0.30199999999999999</v>
          </cell>
        </row>
        <row r="17">
          <cell r="K17">
            <v>0.24445833333333333</v>
          </cell>
        </row>
        <row r="18">
          <cell r="K18">
            <v>0.31953124999999999</v>
          </cell>
        </row>
        <row r="19">
          <cell r="K19">
            <v>0.375</v>
          </cell>
        </row>
        <row r="20">
          <cell r="K20">
            <v>0.23527151611744229</v>
          </cell>
          <cell r="M20">
            <v>0.2170625911038922</v>
          </cell>
        </row>
        <row r="21">
          <cell r="K21">
            <v>0.26717664873866304</v>
          </cell>
        </row>
        <row r="22">
          <cell r="K22">
            <v>0.21388333333333334</v>
          </cell>
        </row>
        <row r="23">
          <cell r="K23">
            <v>0.15948275862068967</v>
          </cell>
        </row>
        <row r="24">
          <cell r="K24">
            <v>0.26081483989452564</v>
          </cell>
        </row>
        <row r="25">
          <cell r="K25">
            <v>0.27500000000000002</v>
          </cell>
        </row>
        <row r="26">
          <cell r="K26">
            <v>0.26520247826018756</v>
          </cell>
          <cell r="M26">
            <v>0.20558940382884341</v>
          </cell>
        </row>
        <row r="27">
          <cell r="K27">
            <v>0.30297379192497215</v>
          </cell>
        </row>
        <row r="28">
          <cell r="K28">
            <v>0.13789107763615296</v>
          </cell>
        </row>
        <row r="29">
          <cell r="K29">
            <v>0.20291666666666666</v>
          </cell>
        </row>
        <row r="30">
          <cell r="K30">
            <v>0.44583333333333341</v>
          </cell>
        </row>
        <row r="31">
          <cell r="K31">
            <v>0.25</v>
          </cell>
        </row>
        <row r="32">
          <cell r="K32">
            <v>0.25159999999999999</v>
          </cell>
        </row>
        <row r="33">
          <cell r="K33">
            <v>0</v>
          </cell>
        </row>
        <row r="34">
          <cell r="K34">
            <v>0.2143569997651622</v>
          </cell>
          <cell r="M34">
            <v>0.12535549571208945</v>
          </cell>
        </row>
        <row r="35">
          <cell r="K35">
            <v>0.21968750000000001</v>
          </cell>
        </row>
        <row r="36">
          <cell r="K36">
            <v>0.47095833333333337</v>
          </cell>
        </row>
        <row r="37">
          <cell r="K37">
            <v>0.13305328807981076</v>
          </cell>
        </row>
        <row r="38">
          <cell r="K38">
            <v>0</v>
          </cell>
        </row>
        <row r="39">
          <cell r="K39">
            <v>0.20016200657894737</v>
          </cell>
        </row>
        <row r="40">
          <cell r="K40">
            <v>2.3449999999999999E-2</v>
          </cell>
        </row>
        <row r="41">
          <cell r="K41">
            <v>0.32221001221001222</v>
          </cell>
        </row>
        <row r="42">
          <cell r="K42">
            <v>0.25741666666666668</v>
          </cell>
        </row>
        <row r="43">
          <cell r="K43">
            <v>0.33088235294117646</v>
          </cell>
        </row>
        <row r="44">
          <cell r="K44">
            <v>0.15972222222222221</v>
          </cell>
        </row>
        <row r="45">
          <cell r="K45">
            <v>0.24038461538461539</v>
          </cell>
        </row>
        <row r="46">
          <cell r="K46">
            <v>0.28357478219025023</v>
          </cell>
          <cell r="M46">
            <v>0.25251661967012345</v>
          </cell>
        </row>
        <row r="47">
          <cell r="K47">
            <v>0.29578926734134092</v>
          </cell>
          <cell r="M47">
            <v>0.26592582694462413</v>
          </cell>
        </row>
        <row r="48">
          <cell r="K48">
            <v>0.15</v>
          </cell>
        </row>
        <row r="49">
          <cell r="K49">
            <v>0.69047619047619047</v>
          </cell>
        </row>
        <row r="50">
          <cell r="K50">
            <v>0.31760453817784751</v>
          </cell>
        </row>
        <row r="51">
          <cell r="K51">
            <v>0.43130491491989748</v>
          </cell>
        </row>
        <row r="52">
          <cell r="K52">
            <v>0.39682005385712021</v>
          </cell>
        </row>
        <row r="53">
          <cell r="K53">
            <v>0.14352564102564103</v>
          </cell>
        </row>
        <row r="54">
          <cell r="K54">
            <v>0.453101733447002</v>
          </cell>
        </row>
        <row r="55">
          <cell r="K55">
            <v>0.25908045977011496</v>
          </cell>
        </row>
        <row r="57">
          <cell r="K57">
            <v>0.38465732087227411</v>
          </cell>
        </row>
        <row r="58">
          <cell r="K58">
            <v>0.15194704049844235</v>
          </cell>
        </row>
        <row r="59">
          <cell r="K59">
            <v>0.24000359477124183</v>
          </cell>
        </row>
        <row r="60">
          <cell r="K60">
            <v>0.1677138157894737</v>
          </cell>
        </row>
        <row r="61">
          <cell r="K61">
            <v>0.27882352941176475</v>
          </cell>
        </row>
        <row r="62">
          <cell r="K62">
            <v>0</v>
          </cell>
        </row>
        <row r="63">
          <cell r="K63">
            <v>0.66756944444444444</v>
          </cell>
        </row>
        <row r="64">
          <cell r="K64">
            <v>0.22921261370670454</v>
          </cell>
          <cell r="M64">
            <v>0.21558039327044773</v>
          </cell>
        </row>
        <row r="65">
          <cell r="K65">
            <v>0.35563784112011365</v>
          </cell>
        </row>
        <row r="66">
          <cell r="K66">
            <v>0.14152380952380952</v>
          </cell>
        </row>
        <row r="67">
          <cell r="K67">
            <v>0.19047619047619047</v>
          </cell>
        </row>
        <row r="68">
          <cell r="K68">
            <v>0.1746377450980392</v>
          </cell>
          <cell r="M68">
            <v>0.14932529411764706</v>
          </cell>
        </row>
        <row r="69">
          <cell r="K69">
            <v>4.1099999999999998E-2</v>
          </cell>
        </row>
        <row r="70">
          <cell r="K70">
            <v>0.24345098039215687</v>
          </cell>
        </row>
        <row r="71">
          <cell r="K71">
            <v>0.24099999999999999</v>
          </cell>
        </row>
        <row r="72">
          <cell r="K72">
            <v>0.17299999999999999</v>
          </cell>
        </row>
        <row r="73">
          <cell r="K73">
            <v>0.30468955227047623</v>
          </cell>
          <cell r="M73">
            <v>0.25984040977313172</v>
          </cell>
        </row>
        <row r="74">
          <cell r="K74">
            <v>0.20194776135238096</v>
          </cell>
        </row>
        <row r="75">
          <cell r="K75">
            <v>0.45774999999999999</v>
          </cell>
        </row>
        <row r="76">
          <cell r="K76">
            <v>0.30625000000000002</v>
          </cell>
        </row>
        <row r="77">
          <cell r="K77">
            <v>0.27</v>
          </cell>
        </row>
        <row r="78">
          <cell r="K78">
            <v>0.28749999999999998</v>
          </cell>
        </row>
        <row r="79">
          <cell r="K79">
            <v>0</v>
          </cell>
        </row>
        <row r="80">
          <cell r="K80">
            <v>0.32618503263111615</v>
          </cell>
          <cell r="M80">
            <v>0.28962755963439352</v>
          </cell>
        </row>
        <row r="81">
          <cell r="K81">
            <v>0.29583333333333334</v>
          </cell>
        </row>
        <row r="82">
          <cell r="K82">
            <v>0.17125662544169612</v>
          </cell>
        </row>
        <row r="83">
          <cell r="K83">
            <v>0.36161627906976745</v>
          </cell>
        </row>
        <row r="84">
          <cell r="K84">
            <v>0.38292488450604123</v>
          </cell>
        </row>
        <row r="85">
          <cell r="K85">
            <v>0.25970491803278689</v>
          </cell>
        </row>
        <row r="86">
          <cell r="K86">
            <v>0.35400277777777778</v>
          </cell>
        </row>
        <row r="87">
          <cell r="K87">
            <v>0.45795641025641026</v>
          </cell>
        </row>
        <row r="88">
          <cell r="J88">
            <v>0.33997892066194169</v>
          </cell>
          <cell r="K88">
            <v>0.37093448209382435</v>
          </cell>
          <cell r="M88">
            <v>0.26231152970052202</v>
          </cell>
        </row>
        <row r="89">
          <cell r="K89">
            <v>0.36938472000473066</v>
          </cell>
        </row>
        <row r="90">
          <cell r="K90">
            <v>0.26897048611111107</v>
          </cell>
        </row>
        <row r="91">
          <cell r="K91">
            <v>0.47444824016563147</v>
          </cell>
        </row>
        <row r="92">
          <cell r="K92">
            <v>0.27017707911062067</v>
          </cell>
          <cell r="M92">
            <v>0.25050860314981654</v>
          </cell>
        </row>
        <row r="93">
          <cell r="K93">
            <v>0.3783333333333333</v>
          </cell>
          <cell r="M93">
            <v>0.32850000000000001</v>
          </cell>
        </row>
        <row r="94">
          <cell r="K94">
            <v>0.5</v>
          </cell>
        </row>
        <row r="95">
          <cell r="K95">
            <v>0.25666666666666665</v>
          </cell>
        </row>
        <row r="96">
          <cell r="K96">
            <v>0.36955295801526716</v>
          </cell>
          <cell r="M96">
            <v>0.52752194656488549</v>
          </cell>
        </row>
        <row r="97">
          <cell r="K97">
            <v>0.63124999999999998</v>
          </cell>
        </row>
        <row r="98">
          <cell r="K98">
            <v>0.35496183206106868</v>
          </cell>
        </row>
        <row r="99">
          <cell r="K99">
            <v>0.24199999999999999</v>
          </cell>
        </row>
        <row r="100">
          <cell r="K100">
            <v>0.25</v>
          </cell>
        </row>
        <row r="101">
          <cell r="K101">
            <v>0.31219487179487176</v>
          </cell>
        </row>
        <row r="102">
          <cell r="K102">
            <v>0.11370000000000001</v>
          </cell>
        </row>
        <row r="103">
          <cell r="K103">
            <v>0.3775</v>
          </cell>
        </row>
        <row r="104">
          <cell r="K104">
            <v>0.44538461538461538</v>
          </cell>
        </row>
        <row r="105">
          <cell r="K105">
            <v>0.13440625</v>
          </cell>
          <cell r="M105">
            <v>0.1233525</v>
          </cell>
        </row>
        <row r="106">
          <cell r="K106">
            <v>0.185</v>
          </cell>
        </row>
        <row r="107">
          <cell r="K107">
            <v>8.7124999999999994E-2</v>
          </cell>
        </row>
        <row r="108">
          <cell r="K108">
            <v>0.26550000000000001</v>
          </cell>
        </row>
        <row r="109">
          <cell r="K109">
            <v>0</v>
          </cell>
        </row>
        <row r="110">
          <cell r="K110">
            <v>0.16916666666666663</v>
          </cell>
          <cell r="M110">
            <v>0.16375000000000001</v>
          </cell>
        </row>
        <row r="111">
          <cell r="K111">
            <v>0</v>
          </cell>
        </row>
        <row r="112">
          <cell r="K112">
            <v>0</v>
          </cell>
        </row>
        <row r="113">
          <cell r="K113">
            <v>0.51249999999999996</v>
          </cell>
        </row>
        <row r="114">
          <cell r="K114">
            <v>0</v>
          </cell>
        </row>
        <row r="115">
          <cell r="K115">
            <v>0.33333333333333331</v>
          </cell>
        </row>
        <row r="116">
          <cell r="K116">
            <v>0.23817818229753918</v>
          </cell>
          <cell r="M116">
            <v>0.21525263088160634</v>
          </cell>
        </row>
        <row r="117">
          <cell r="K117">
            <v>0.30715959252971137</v>
          </cell>
        </row>
        <row r="118">
          <cell r="K118">
            <v>0.15737495436290616</v>
          </cell>
        </row>
        <row r="119">
          <cell r="K119">
            <v>0.25</v>
          </cell>
        </row>
        <row r="120">
          <cell r="K120">
            <v>0.24676666666666666</v>
          </cell>
          <cell r="M120">
            <v>0.19011249999999999</v>
          </cell>
        </row>
        <row r="121">
          <cell r="K121">
            <v>9.9999999999999992E-2</v>
          </cell>
        </row>
        <row r="122">
          <cell r="K122">
            <v>0.39353333333333335</v>
          </cell>
        </row>
        <row r="123">
          <cell r="K123">
            <v>0.26239975735212717</v>
          </cell>
          <cell r="M123">
            <v>0.20174333228533195</v>
          </cell>
        </row>
        <row r="124">
          <cell r="K124">
            <v>0.27085566891891893</v>
          </cell>
          <cell r="M124">
            <v>0.25944237108108109</v>
          </cell>
        </row>
        <row r="125">
          <cell r="K125">
            <v>0.2578125</v>
          </cell>
        </row>
        <row r="126">
          <cell r="K126">
            <v>0.28389883783783787</v>
          </cell>
        </row>
        <row r="127">
          <cell r="K127">
            <v>0.20083333333333336</v>
          </cell>
          <cell r="M127">
            <v>0.32068750000000001</v>
          </cell>
        </row>
        <row r="128">
          <cell r="K128">
            <v>0.1</v>
          </cell>
        </row>
        <row r="129">
          <cell r="K129">
            <v>0.30166666666666669</v>
          </cell>
        </row>
        <row r="130">
          <cell r="K130">
            <v>0.15049988888888891</v>
          </cell>
          <cell r="M130">
            <v>9.8146749999999991E-2</v>
          </cell>
        </row>
        <row r="131">
          <cell r="K131">
            <v>0.12639999999999998</v>
          </cell>
        </row>
        <row r="132">
          <cell r="K132">
            <v>0.10897444444444444</v>
          </cell>
        </row>
        <row r="133">
          <cell r="K133">
            <v>0.16750000000000001</v>
          </cell>
        </row>
        <row r="134">
          <cell r="K134">
            <v>0.26629166666666665</v>
          </cell>
        </row>
        <row r="135">
          <cell r="K135">
            <v>8.3333333333333329E-2</v>
          </cell>
        </row>
        <row r="136">
          <cell r="K136">
            <v>0.41110360120264539</v>
          </cell>
          <cell r="M136">
            <v>0.3779372351486594</v>
          </cell>
        </row>
        <row r="137">
          <cell r="K137">
            <v>0.32500000000000001</v>
          </cell>
        </row>
        <row r="138">
          <cell r="K138">
            <v>0.3529810606060606</v>
          </cell>
        </row>
        <row r="140">
          <cell r="K140">
            <v>0.42712068965517241</v>
          </cell>
        </row>
        <row r="141">
          <cell r="K141">
            <v>0.14285714285714285</v>
          </cell>
        </row>
        <row r="142">
          <cell r="K142">
            <v>0.63500000000000001</v>
          </cell>
        </row>
        <row r="143">
          <cell r="K143">
            <v>0.16314336734693877</v>
          </cell>
          <cell r="M143">
            <v>9.5123946428571443E-2</v>
          </cell>
        </row>
        <row r="144">
          <cell r="K144">
            <v>9.4430102040816324E-2</v>
          </cell>
        </row>
        <row r="145">
          <cell r="K145">
            <v>0.02</v>
          </cell>
        </row>
        <row r="146">
          <cell r="K146">
            <v>0.375</v>
          </cell>
        </row>
        <row r="147">
          <cell r="K147">
            <v>0.37391919805103979</v>
          </cell>
          <cell r="M147">
            <v>0.1413865782697985</v>
          </cell>
        </row>
        <row r="148">
          <cell r="K148">
            <v>0</v>
          </cell>
        </row>
        <row r="149">
          <cell r="K149">
            <v>0.54581547619047621</v>
          </cell>
        </row>
        <row r="150">
          <cell r="K150">
            <v>0</v>
          </cell>
        </row>
        <row r="151">
          <cell r="K151">
            <v>0.33406220779610435</v>
          </cell>
        </row>
        <row r="152">
          <cell r="K152">
            <v>0.61579910821757866</v>
          </cell>
        </row>
        <row r="153">
          <cell r="K153">
            <v>0.34122708333333335</v>
          </cell>
          <cell r="M153">
            <v>0.24618175</v>
          </cell>
        </row>
        <row r="154">
          <cell r="K154">
            <v>0.18507500000000002</v>
          </cell>
        </row>
        <row r="155">
          <cell r="K155">
            <v>0.60866666666666669</v>
          </cell>
        </row>
        <row r="156">
          <cell r="K156">
            <v>0.434</v>
          </cell>
        </row>
        <row r="157">
          <cell r="K157">
            <v>0.13716666666666669</v>
          </cell>
        </row>
        <row r="158">
          <cell r="K158">
            <v>0</v>
          </cell>
        </row>
        <row r="161">
          <cell r="J161">
            <v>0.21734598565460142</v>
          </cell>
          <cell r="K161">
            <v>0.25845384584399683</v>
          </cell>
          <cell r="M161">
            <v>0.24647581985093744</v>
          </cell>
        </row>
        <row r="162">
          <cell r="J162">
            <v>0.21</v>
          </cell>
          <cell r="K162">
            <v>0.19166666666666665</v>
          </cell>
          <cell r="M162">
            <v>0.208125</v>
          </cell>
        </row>
        <row r="163">
          <cell r="K163">
            <v>2.5000000000000001E-2</v>
          </cell>
        </row>
        <row r="164">
          <cell r="K164">
            <v>0.1875</v>
          </cell>
        </row>
        <row r="165">
          <cell r="K165">
            <v>0.36249999999999999</v>
          </cell>
        </row>
        <row r="166">
          <cell r="K166">
            <v>0.22116069173966579</v>
          </cell>
          <cell r="M166">
            <v>0.23451309458253802</v>
          </cell>
        </row>
        <row r="167">
          <cell r="K167">
            <v>0.44305555555555554</v>
          </cell>
        </row>
        <row r="168">
          <cell r="K168">
            <v>0.25</v>
          </cell>
        </row>
        <row r="169">
          <cell r="K169">
            <v>0.2147249647390691</v>
          </cell>
        </row>
        <row r="170">
          <cell r="K170">
            <v>0.3</v>
          </cell>
        </row>
        <row r="171">
          <cell r="K171">
            <v>0.16666666666666666</v>
          </cell>
        </row>
        <row r="172">
          <cell r="K172">
            <v>0.19500000000000001</v>
          </cell>
        </row>
        <row r="173">
          <cell r="K173">
            <v>0</v>
          </cell>
        </row>
        <row r="174">
          <cell r="K174">
            <v>0.19983834695603492</v>
          </cell>
        </row>
        <row r="175">
          <cell r="K175">
            <v>0.30645929363983626</v>
          </cell>
          <cell r="M175">
            <v>0.32167780464535306</v>
          </cell>
        </row>
        <row r="176">
          <cell r="K176">
            <v>0.36291858727967258</v>
          </cell>
        </row>
        <row r="177">
          <cell r="K177">
            <v>0.25</v>
          </cell>
        </row>
        <row r="178">
          <cell r="K178">
            <v>0.27789168183196844</v>
          </cell>
          <cell r="M178">
            <v>0.30658085759781617</v>
          </cell>
        </row>
        <row r="179">
          <cell r="K179">
            <v>0.3959167424931756</v>
          </cell>
        </row>
        <row r="180">
          <cell r="K180">
            <v>0.25562499999999999</v>
          </cell>
        </row>
        <row r="181">
          <cell r="K181">
            <v>0.27500000000000002</v>
          </cell>
        </row>
        <row r="182">
          <cell r="K182">
            <v>0.19416666666666665</v>
          </cell>
        </row>
        <row r="183">
          <cell r="K183">
            <v>0.26875000000000004</v>
          </cell>
        </row>
        <row r="184">
          <cell r="K184">
            <v>0.20161705435056146</v>
          </cell>
          <cell r="M184">
            <v>0.18265127235728812</v>
          </cell>
        </row>
        <row r="185">
          <cell r="K185">
            <v>0.41443843721447998</v>
          </cell>
        </row>
        <row r="186">
          <cell r="K186">
            <v>0.15999999999999998</v>
          </cell>
        </row>
        <row r="187">
          <cell r="K187">
            <v>0</v>
          </cell>
        </row>
        <row r="188">
          <cell r="K188">
            <v>0.21366666666666667</v>
          </cell>
        </row>
        <row r="189">
          <cell r="K189">
            <v>0.295375</v>
          </cell>
        </row>
        <row r="190">
          <cell r="K190">
            <v>0.12622222222222224</v>
          </cell>
        </row>
        <row r="191">
          <cell r="K191">
            <v>0.25033330230104422</v>
          </cell>
          <cell r="M191">
            <v>0.22981556695992181</v>
          </cell>
        </row>
        <row r="192">
          <cell r="K192">
            <v>0.29666666666666669</v>
          </cell>
        </row>
        <row r="193">
          <cell r="K193">
            <v>0.24052272727272728</v>
          </cell>
        </row>
        <row r="194">
          <cell r="K194">
            <v>0.26828264208909369</v>
          </cell>
        </row>
        <row r="195">
          <cell r="K195">
            <v>0.31111111111111112</v>
          </cell>
        </row>
        <row r="196">
          <cell r="K196">
            <v>0.19791666666666666</v>
          </cell>
        </row>
        <row r="197">
          <cell r="K197">
            <v>0.1875</v>
          </cell>
        </row>
        <row r="198">
          <cell r="K198">
            <v>6.9685846560846545E-2</v>
          </cell>
          <cell r="M198">
            <v>3.4556250000000004E-2</v>
          </cell>
        </row>
        <row r="199">
          <cell r="K199">
            <v>6.974206349206348E-2</v>
          </cell>
          <cell r="M199">
            <v>3.5866666666666672E-2</v>
          </cell>
        </row>
        <row r="200">
          <cell r="K200">
            <v>0.15208333333333332</v>
          </cell>
        </row>
        <row r="201">
          <cell r="K201">
            <v>0</v>
          </cell>
        </row>
        <row r="202">
          <cell r="K202">
            <v>5.7142857142857141E-2</v>
          </cell>
        </row>
        <row r="203">
          <cell r="K203">
            <v>6.9629629629629611E-2</v>
          </cell>
          <cell r="M203">
            <v>3.0624999999999999E-2</v>
          </cell>
        </row>
        <row r="204">
          <cell r="K204">
            <v>0.13888888888888887</v>
          </cell>
        </row>
        <row r="205">
          <cell r="K205">
            <v>0</v>
          </cell>
        </row>
        <row r="206">
          <cell r="K206">
            <v>6.9999999999999993E-2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row r="2">
          <cell r="B2">
            <v>0.35514705882352937</v>
          </cell>
        </row>
        <row r="3">
          <cell r="B3">
            <v>0.39456388039163154</v>
          </cell>
        </row>
        <row r="4">
          <cell r="B4">
            <v>0.78099999999999992</v>
          </cell>
        </row>
        <row r="5">
          <cell r="B5">
            <v>0.14800000000000002</v>
          </cell>
        </row>
        <row r="6">
          <cell r="B6">
            <v>0.24820393974507535</v>
          </cell>
        </row>
        <row r="7">
          <cell r="B7">
            <v>0.14335000000000001</v>
          </cell>
        </row>
        <row r="8">
          <cell r="B8">
            <v>0.151</v>
          </cell>
        </row>
        <row r="9">
          <cell r="B9">
            <v>2.5000000000000001E-2</v>
          </cell>
        </row>
        <row r="10">
          <cell r="B10">
            <v>0</v>
          </cell>
        </row>
        <row r="11">
          <cell r="B11">
            <v>0</v>
          </cell>
        </row>
        <row r="12">
          <cell r="B12">
            <v>7.375000000000001E-2</v>
          </cell>
        </row>
        <row r="13">
          <cell r="B13">
            <v>0.20570526315789472</v>
          </cell>
        </row>
        <row r="14">
          <cell r="B14">
            <v>0.17424999999999999</v>
          </cell>
        </row>
        <row r="15">
          <cell r="B15">
            <v>0.10614285714285715</v>
          </cell>
        </row>
        <row r="16">
          <cell r="B16">
            <v>0.75238095238095237</v>
          </cell>
        </row>
        <row r="17">
          <cell r="B17">
            <v>6.6166666666666665E-2</v>
          </cell>
        </row>
        <row r="18">
          <cell r="B18">
            <v>0.22035277777777779</v>
          </cell>
        </row>
        <row r="19">
          <cell r="B19">
            <v>7.0349999999999996E-3</v>
          </cell>
        </row>
        <row r="20">
          <cell r="B20">
            <v>3.3340000000000002E-2</v>
          </cell>
        </row>
        <row r="21">
          <cell r="B21">
            <v>0.24583333333333335</v>
          </cell>
        </row>
        <row r="22">
          <cell r="B22">
            <v>0.15775</v>
          </cell>
        </row>
        <row r="23">
          <cell r="B23">
            <v>0.13625000000000004</v>
          </cell>
        </row>
        <row r="24">
          <cell r="B24">
            <v>0.38375000000000004</v>
          </cell>
        </row>
        <row r="25">
          <cell r="B25">
            <v>0.33749999999999997</v>
          </cell>
        </row>
        <row r="26">
          <cell r="B26">
            <v>0.47766974358974362</v>
          </cell>
        </row>
        <row r="27">
          <cell r="B27">
            <v>0.40166666666666662</v>
          </cell>
        </row>
        <row r="28">
          <cell r="B28">
            <v>0.19040000000000001</v>
          </cell>
        </row>
        <row r="29">
          <cell r="B29">
            <v>0.146425</v>
          </cell>
        </row>
        <row r="30">
          <cell r="B30">
            <v>0.24750000000000003</v>
          </cell>
        </row>
        <row r="31">
          <cell r="B31">
            <v>0.3129859335038363</v>
          </cell>
        </row>
        <row r="32">
          <cell r="B32">
            <v>0.18148717948717949</v>
          </cell>
        </row>
        <row r="33">
          <cell r="B33">
            <v>0.25094117647058822</v>
          </cell>
        </row>
        <row r="34">
          <cell r="B34">
            <v>0.27500000000000002</v>
          </cell>
        </row>
        <row r="35">
          <cell r="B35">
            <v>0.21</v>
          </cell>
        </row>
        <row r="36">
          <cell r="B36">
            <v>1.1966666666666668</v>
          </cell>
        </row>
        <row r="37">
          <cell r="B37">
            <v>0.36899999999999999</v>
          </cell>
        </row>
        <row r="38">
          <cell r="B38">
            <v>0.26875000000000004</v>
          </cell>
        </row>
        <row r="39">
          <cell r="B39">
            <v>0.01</v>
          </cell>
        </row>
        <row r="40">
          <cell r="B40">
            <v>0.35532727272727277</v>
          </cell>
        </row>
        <row r="41">
          <cell r="B41">
            <v>0.38396946564885492</v>
          </cell>
        </row>
        <row r="42">
          <cell r="B42">
            <v>0.59549999999999992</v>
          </cell>
        </row>
        <row r="43">
          <cell r="B43">
            <v>7.6466666666666683E-2</v>
          </cell>
        </row>
        <row r="44">
          <cell r="B44">
            <v>0.38600000000000001</v>
          </cell>
        </row>
        <row r="45">
          <cell r="B45">
            <v>0.44538461538461538</v>
          </cell>
        </row>
        <row r="46">
          <cell r="B46">
            <v>0.27</v>
          </cell>
        </row>
        <row r="47">
          <cell r="B47">
            <v>0.22916000000000003</v>
          </cell>
        </row>
        <row r="48">
          <cell r="B48">
            <v>0.17574218750000001</v>
          </cell>
        </row>
        <row r="49">
          <cell r="B49">
            <v>0.16666666666666666</v>
          </cell>
        </row>
        <row r="50">
          <cell r="B50">
            <v>0</v>
          </cell>
        </row>
        <row r="51">
          <cell r="B51">
            <v>4.0000000000000008E-2</v>
          </cell>
        </row>
        <row r="52">
          <cell r="B52">
            <v>0.15833333333333333</v>
          </cell>
        </row>
        <row r="53">
          <cell r="B53">
            <v>0.32931501831501825</v>
          </cell>
        </row>
        <row r="54">
          <cell r="B54">
            <v>0.21999999999999997</v>
          </cell>
        </row>
        <row r="56">
          <cell r="B56">
            <v>0.25921388888888885</v>
          </cell>
        </row>
        <row r="57">
          <cell r="B57">
            <v>0.64999999999999991</v>
          </cell>
        </row>
        <row r="58">
          <cell r="B58">
            <v>9.4384999999999997E-2</v>
          </cell>
        </row>
        <row r="59">
          <cell r="B59">
            <v>0.17771416533617174</v>
          </cell>
        </row>
        <row r="60">
          <cell r="B60">
            <v>0.12517636591043887</v>
          </cell>
        </row>
        <row r="61">
          <cell r="B61">
            <v>0.26875000000000004</v>
          </cell>
        </row>
        <row r="62">
          <cell r="B62">
            <v>0.40093061935688268</v>
          </cell>
        </row>
        <row r="63">
          <cell r="B63">
            <v>0.1201949616648412</v>
          </cell>
        </row>
        <row r="64">
          <cell r="B64">
            <v>0.18225927561837454</v>
          </cell>
        </row>
        <row r="65">
          <cell r="B65">
            <v>0</v>
          </cell>
        </row>
        <row r="66">
          <cell r="B66">
            <v>0.34112500000000001</v>
          </cell>
        </row>
        <row r="67">
          <cell r="B67">
            <v>0.60631944444444441</v>
          </cell>
        </row>
        <row r="68">
          <cell r="B68">
            <v>0.3801401869158878</v>
          </cell>
        </row>
        <row r="69">
          <cell r="B69">
            <v>0.2153430793991416</v>
          </cell>
        </row>
        <row r="70">
          <cell r="B70">
            <v>0.10187067756482795</v>
          </cell>
        </row>
        <row r="71">
          <cell r="B71">
            <v>0.19542056074766356</v>
          </cell>
        </row>
        <row r="72">
          <cell r="B72">
            <v>0.35626279069767441</v>
          </cell>
        </row>
        <row r="73">
          <cell r="B73">
            <v>6.3793103448275865E-2</v>
          </cell>
        </row>
        <row r="74">
          <cell r="B74">
            <v>0.2885664090262971</v>
          </cell>
        </row>
        <row r="75">
          <cell r="B75">
            <v>0.25970491803278689</v>
          </cell>
        </row>
        <row r="76">
          <cell r="B76">
            <v>0</v>
          </cell>
        </row>
        <row r="77">
          <cell r="B77">
            <v>0.24230769230769231</v>
          </cell>
        </row>
        <row r="78">
          <cell r="B78">
            <v>0.16944444444444445</v>
          </cell>
        </row>
        <row r="79">
          <cell r="B79">
            <v>0.29583333333333334</v>
          </cell>
        </row>
        <row r="80">
          <cell r="B80">
            <v>6.6666666666666666E-2</v>
          </cell>
        </row>
        <row r="81">
          <cell r="B81">
            <v>0.1875</v>
          </cell>
        </row>
        <row r="82">
          <cell r="B82">
            <v>0</v>
          </cell>
        </row>
        <row r="83">
          <cell r="B83">
            <v>0.32545032067931901</v>
          </cell>
        </row>
        <row r="84">
          <cell r="B84">
            <v>0.26044999999999996</v>
          </cell>
        </row>
        <row r="85">
          <cell r="B85">
            <v>0.10056933333333333</v>
          </cell>
        </row>
        <row r="86">
          <cell r="B86">
            <v>8.3283750000000004E-2</v>
          </cell>
        </row>
        <row r="87">
          <cell r="B87">
            <v>0.8</v>
          </cell>
        </row>
        <row r="88">
          <cell r="B88">
            <v>6.9666666666666668E-2</v>
          </cell>
        </row>
        <row r="89">
          <cell r="B89">
            <v>0</v>
          </cell>
        </row>
        <row r="90">
          <cell r="B90">
            <v>0.25</v>
          </cell>
        </row>
        <row r="91">
          <cell r="B91">
            <v>0.15378125000000001</v>
          </cell>
        </row>
        <row r="92">
          <cell r="B92">
            <v>0.30715959252971137</v>
          </cell>
        </row>
        <row r="93">
          <cell r="B93">
            <v>0</v>
          </cell>
        </row>
        <row r="94">
          <cell r="B94">
            <v>0.15668414473684211</v>
          </cell>
        </row>
        <row r="95">
          <cell r="B95">
            <v>0.28400950000000003</v>
          </cell>
        </row>
        <row r="96">
          <cell r="B96">
            <v>0</v>
          </cell>
        </row>
        <row r="97">
          <cell r="B97">
            <v>0.29315510752688173</v>
          </cell>
        </row>
        <row r="98">
          <cell r="B98">
            <v>0.25802750000000002</v>
          </cell>
        </row>
        <row r="99">
          <cell r="B99">
            <v>0.47346501035196686</v>
          </cell>
        </row>
        <row r="100">
          <cell r="B100">
            <v>0.22135057471264369</v>
          </cell>
        </row>
        <row r="101">
          <cell r="B101">
            <v>0.34100862068965521</v>
          </cell>
        </row>
        <row r="102">
          <cell r="B102">
            <v>0.30189198330677819</v>
          </cell>
        </row>
        <row r="103">
          <cell r="B103">
            <v>0.25</v>
          </cell>
        </row>
        <row r="104">
          <cell r="B104">
            <v>0</v>
          </cell>
        </row>
        <row r="105">
          <cell r="B105">
            <v>0.24345098039215687</v>
          </cell>
        </row>
        <row r="106">
          <cell r="B106">
            <v>0.24099999999999999</v>
          </cell>
        </row>
        <row r="107">
          <cell r="B107">
            <v>0.3775</v>
          </cell>
        </row>
        <row r="108">
          <cell r="B108">
            <v>7.8800000000000009E-2</v>
          </cell>
        </row>
        <row r="109">
          <cell r="B109">
            <v>0.44041666666666668</v>
          </cell>
        </row>
        <row r="110">
          <cell r="B110">
            <v>0.16166666666666668</v>
          </cell>
        </row>
        <row r="111">
          <cell r="B111">
            <v>0.27791111632027071</v>
          </cell>
        </row>
        <row r="112">
          <cell r="B112">
            <v>5.2499999999999998E-2</v>
          </cell>
        </row>
        <row r="113">
          <cell r="B113">
            <v>0.375</v>
          </cell>
        </row>
        <row r="114">
          <cell r="B114">
            <v>0</v>
          </cell>
        </row>
        <row r="115">
          <cell r="B115">
            <v>9.7500000000000003E-2</v>
          </cell>
        </row>
        <row r="116">
          <cell r="B116">
            <v>0.382994593493032</v>
          </cell>
        </row>
        <row r="117">
          <cell r="B117">
            <v>0.14799999999999999</v>
          </cell>
        </row>
        <row r="118">
          <cell r="B118">
            <v>0.20865</v>
          </cell>
        </row>
        <row r="119">
          <cell r="B119">
            <v>0.18272496473906913</v>
          </cell>
        </row>
        <row r="120">
          <cell r="B120">
            <v>0.10250000000000001</v>
          </cell>
        </row>
        <row r="121">
          <cell r="B121">
            <v>0.32500000000000001</v>
          </cell>
        </row>
        <row r="122">
          <cell r="B122">
            <v>0.29333333333333333</v>
          </cell>
        </row>
        <row r="123">
          <cell r="B123">
            <v>0</v>
          </cell>
        </row>
        <row r="124">
          <cell r="B124">
            <v>8.7499999999999991E-3</v>
          </cell>
        </row>
        <row r="125">
          <cell r="B125">
            <v>0.3529713888888889</v>
          </cell>
        </row>
        <row r="126">
          <cell r="B126">
            <v>0.4375</v>
          </cell>
        </row>
        <row r="127">
          <cell r="B127">
            <v>0.23778749999999998</v>
          </cell>
        </row>
        <row r="129">
          <cell r="B129">
            <v>0.14285714285714285</v>
          </cell>
        </row>
        <row r="130">
          <cell r="B130">
            <v>0.79849999999999999</v>
          </cell>
        </row>
        <row r="131">
          <cell r="B131">
            <v>0.31600000000000006</v>
          </cell>
        </row>
        <row r="132">
          <cell r="B132">
            <v>0.20211907027027029</v>
          </cell>
        </row>
        <row r="133">
          <cell r="B133">
            <v>0.375</v>
          </cell>
        </row>
        <row r="134">
          <cell r="B134">
            <v>0.3</v>
          </cell>
        </row>
        <row r="135">
          <cell r="B135">
            <v>0.62548089591567846</v>
          </cell>
        </row>
        <row r="137">
          <cell r="B137">
            <v>0.211759440843759</v>
          </cell>
        </row>
        <row r="138">
          <cell r="B138">
            <v>0.33227499999999999</v>
          </cell>
        </row>
        <row r="139">
          <cell r="B139">
            <v>0.25787869115937234</v>
          </cell>
        </row>
        <row r="140">
          <cell r="B140">
            <v>0.14611666666666664</v>
          </cell>
        </row>
        <row r="141">
          <cell r="B141">
            <v>0.15</v>
          </cell>
        </row>
        <row r="142">
          <cell r="B142">
            <v>0.16513095708879477</v>
          </cell>
        </row>
        <row r="143">
          <cell r="B143">
            <v>0.77499999999999991</v>
          </cell>
        </row>
        <row r="144">
          <cell r="B144">
            <v>0</v>
          </cell>
        </row>
        <row r="145">
          <cell r="B145">
            <v>0.46846678798908098</v>
          </cell>
        </row>
        <row r="146">
          <cell r="B146">
            <v>0</v>
          </cell>
        </row>
        <row r="147">
          <cell r="B147">
            <v>0.1875</v>
          </cell>
        </row>
        <row r="148">
          <cell r="B148">
            <v>0.23404772727272727</v>
          </cell>
        </row>
        <row r="149">
          <cell r="B149">
            <v>0</v>
          </cell>
        </row>
        <row r="150">
          <cell r="B150">
            <v>0.1180532142857143</v>
          </cell>
        </row>
        <row r="151">
          <cell r="B151">
            <v>3.2083333333333332E-2</v>
          </cell>
        </row>
        <row r="152">
          <cell r="B152">
            <v>0.13250000000000001</v>
          </cell>
        </row>
        <row r="153">
          <cell r="B153">
            <v>0.6</v>
          </cell>
        </row>
        <row r="154">
          <cell r="B154">
            <v>0.21249999999999999</v>
          </cell>
        </row>
        <row r="155">
          <cell r="B155">
            <v>0.49849955410878943</v>
          </cell>
        </row>
        <row r="156">
          <cell r="B156">
            <v>0</v>
          </cell>
        </row>
        <row r="157">
          <cell r="B157">
            <v>0.55504000000000009</v>
          </cell>
        </row>
        <row r="158">
          <cell r="B158">
            <v>0.19800000000000001</v>
          </cell>
        </row>
        <row r="159">
          <cell r="B159">
            <v>0.15592630718954248</v>
          </cell>
        </row>
        <row r="160">
          <cell r="B160">
            <v>0.85250000000000004</v>
          </cell>
        </row>
        <row r="161">
          <cell r="B161">
            <v>0.13333333333333333</v>
          </cell>
        </row>
        <row r="162">
          <cell r="B162">
            <v>0.45</v>
          </cell>
        </row>
        <row r="163">
          <cell r="B163">
            <v>4.1099999999999998E-2</v>
          </cell>
        </row>
        <row r="164">
          <cell r="B164">
            <v>0.45714235707833262</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001"/>
  <sheetViews>
    <sheetView tabSelected="1" zoomScale="30" zoomScaleNormal="30" workbookViewId="0">
      <pane xSplit="3" ySplit="2" topLeftCell="O3" activePane="bottomRight" state="frozen"/>
      <selection pane="topRight" activeCell="K14" sqref="K14"/>
      <selection pane="bottomLeft" activeCell="K14" sqref="K14"/>
      <selection pane="bottomRight" activeCell="S156" sqref="S156"/>
    </sheetView>
  </sheetViews>
  <sheetFormatPr baseColWidth="10" defaultColWidth="14.42578125" defaultRowHeight="15" customHeight="1" x14ac:dyDescent="0.3"/>
  <cols>
    <col min="1" max="1" width="3.5703125" style="190" customWidth="1"/>
    <col min="2" max="2" width="59.85546875" style="366" customWidth="1"/>
    <col min="3" max="3" width="72.42578125" style="366" customWidth="1"/>
    <col min="4" max="4" width="49.28515625" style="190" customWidth="1"/>
    <col min="5" max="5" width="24.7109375" style="366" hidden="1" customWidth="1"/>
    <col min="6" max="6" width="28.5703125" style="366" customWidth="1"/>
    <col min="7" max="8" width="35.85546875" style="366" customWidth="1"/>
    <col min="9" max="9" width="37.28515625" style="366" customWidth="1"/>
    <col min="10" max="10" width="38.85546875" style="366" customWidth="1"/>
    <col min="11" max="11" width="36.7109375" style="366" hidden="1" customWidth="1"/>
    <col min="12" max="12" width="43.28515625" style="366" hidden="1" customWidth="1"/>
    <col min="13" max="13" width="42.28515625" style="366" customWidth="1"/>
    <col min="14" max="15" width="35.5703125" style="366" customWidth="1"/>
    <col min="16" max="16" width="38.85546875" style="366" hidden="1" customWidth="1"/>
    <col min="17" max="17" width="38.140625" style="366" hidden="1" customWidth="1"/>
    <col min="18" max="18" width="32.28515625" style="366" customWidth="1"/>
    <col min="19" max="19" width="42.28515625" style="366" customWidth="1"/>
    <col min="20" max="20" width="40" style="366" hidden="1" customWidth="1"/>
    <col min="21" max="21" width="40.42578125" style="366" customWidth="1"/>
    <col min="22" max="22" width="0.42578125" style="366" hidden="1" customWidth="1"/>
    <col min="23" max="23" width="0.28515625" style="366" hidden="1" customWidth="1"/>
    <col min="24" max="24" width="46" style="366" customWidth="1"/>
    <col min="25" max="25" width="42.28515625" style="366" customWidth="1"/>
    <col min="26" max="26" width="45.5703125" style="366" customWidth="1"/>
    <col min="27" max="27" width="39.42578125" style="366" customWidth="1"/>
    <col min="28" max="28" width="54.85546875" style="321" hidden="1" customWidth="1"/>
    <col min="29" max="29" width="71.28515625" style="190" hidden="1" customWidth="1"/>
    <col min="30" max="30" width="57.7109375" style="190" hidden="1" customWidth="1"/>
    <col min="31" max="31" width="82.140625" style="190" customWidth="1"/>
    <col min="32" max="32" width="65.140625" style="190" customWidth="1"/>
    <col min="33" max="33" width="25.140625" style="190" customWidth="1"/>
    <col min="34" max="34" width="26.28515625" style="190" customWidth="1"/>
    <col min="35" max="35" width="31.42578125" style="190" customWidth="1"/>
    <col min="36" max="42" width="10.7109375" style="190" customWidth="1"/>
    <col min="43" max="16384" width="14.42578125" style="190"/>
  </cols>
  <sheetData>
    <row r="1" spans="1:35" ht="21" customHeight="1" thickBot="1" x14ac:dyDescent="0.35">
      <c r="A1" s="488"/>
      <c r="B1" s="364"/>
      <c r="C1" s="364"/>
      <c r="D1" s="489"/>
      <c r="E1" s="504"/>
      <c r="F1" s="504"/>
      <c r="G1" s="364"/>
      <c r="H1" s="364"/>
      <c r="I1" s="364"/>
      <c r="J1" s="364"/>
      <c r="K1" s="364"/>
      <c r="L1" s="364"/>
      <c r="M1" s="505"/>
      <c r="N1" s="505"/>
      <c r="O1" s="505"/>
      <c r="P1" s="505"/>
      <c r="Q1" s="505"/>
      <c r="R1" s="505"/>
      <c r="S1" s="505"/>
      <c r="T1" s="571"/>
      <c r="U1" s="571"/>
      <c r="V1" s="364"/>
      <c r="W1" s="364"/>
      <c r="X1" s="364"/>
      <c r="Y1" s="595"/>
      <c r="Z1" s="595"/>
      <c r="AA1" s="766"/>
      <c r="AB1" s="490"/>
      <c r="AC1" s="491"/>
      <c r="AD1" s="188"/>
      <c r="AE1" s="188"/>
      <c r="AF1" s="188"/>
      <c r="AG1" s="187"/>
      <c r="AH1" s="187"/>
      <c r="AI1" s="187"/>
    </row>
    <row r="2" spans="1:35" ht="223.15" customHeight="1" thickBot="1" x14ac:dyDescent="0.35">
      <c r="A2" s="191"/>
      <c r="B2" s="1287" t="s">
        <v>0</v>
      </c>
      <c r="C2" s="1288"/>
      <c r="D2" s="492" t="s">
        <v>1</v>
      </c>
      <c r="E2" s="506" t="s">
        <v>2</v>
      </c>
      <c r="F2" s="506" t="s">
        <v>3</v>
      </c>
      <c r="G2" s="506" t="s">
        <v>4</v>
      </c>
      <c r="H2" s="507" t="s">
        <v>5</v>
      </c>
      <c r="I2" s="506" t="s">
        <v>6</v>
      </c>
      <c r="J2" s="507" t="s">
        <v>7</v>
      </c>
      <c r="K2" s="508" t="s">
        <v>8</v>
      </c>
      <c r="L2" s="509" t="s">
        <v>9</v>
      </c>
      <c r="M2" s="510" t="s">
        <v>10</v>
      </c>
      <c r="N2" s="375" t="s">
        <v>11</v>
      </c>
      <c r="O2" s="375" t="s">
        <v>12</v>
      </c>
      <c r="P2" s="375" t="s">
        <v>13</v>
      </c>
      <c r="Q2" s="375" t="s">
        <v>14</v>
      </c>
      <c r="R2" s="375" t="s">
        <v>15</v>
      </c>
      <c r="S2" s="375" t="s">
        <v>16</v>
      </c>
      <c r="T2" s="572" t="s">
        <v>17</v>
      </c>
      <c r="U2" s="573" t="s">
        <v>18</v>
      </c>
      <c r="V2" s="508" t="s">
        <v>19</v>
      </c>
      <c r="W2" s="596" t="s">
        <v>20</v>
      </c>
      <c r="X2" s="506" t="s">
        <v>21</v>
      </c>
      <c r="Y2" s="507" t="s">
        <v>22</v>
      </c>
      <c r="Z2" s="767" t="s">
        <v>23</v>
      </c>
      <c r="AA2" s="778" t="s">
        <v>24</v>
      </c>
      <c r="AB2" s="768" t="s">
        <v>25</v>
      </c>
      <c r="AC2" s="363" t="s">
        <v>26</v>
      </c>
      <c r="AD2" s="363" t="s">
        <v>27</v>
      </c>
      <c r="AE2" s="363" t="s">
        <v>28</v>
      </c>
      <c r="AF2" s="363" t="s">
        <v>25</v>
      </c>
      <c r="AG2" s="200"/>
      <c r="AH2" s="187"/>
      <c r="AI2" s="187"/>
    </row>
    <row r="3" spans="1:35" ht="96.6" customHeight="1" thickBot="1" x14ac:dyDescent="0.35">
      <c r="A3" s="331"/>
      <c r="B3" s="1289" t="s">
        <v>29</v>
      </c>
      <c r="C3" s="1290"/>
      <c r="D3" s="493"/>
      <c r="E3" s="511">
        <v>0.3</v>
      </c>
      <c r="F3" s="512"/>
      <c r="G3" s="513"/>
      <c r="H3" s="513"/>
      <c r="I3" s="514">
        <f>+(I4+I31+I91+I130+I171)/5</f>
        <v>0.27144914611233045</v>
      </c>
      <c r="J3" s="514">
        <f>+(J4+J31+J91+J130+J171)/5</f>
        <v>0.35746043083896151</v>
      </c>
      <c r="K3" s="515">
        <f>+(K4+K31+K91+K130+K171)/5</f>
        <v>0.1963447624265218</v>
      </c>
      <c r="L3" s="515">
        <f>+(L4+L31+L91+L130+L171)/5</f>
        <v>0.24648504898900425</v>
      </c>
      <c r="M3" s="516"/>
      <c r="N3" s="516"/>
      <c r="O3" s="516"/>
      <c r="P3" s="516"/>
      <c r="Q3" s="516"/>
      <c r="R3" s="516"/>
      <c r="S3" s="516"/>
      <c r="T3" s="983">
        <f>+(T4+T31+T91+T130+T171)/5</f>
        <v>0.84423613286457644</v>
      </c>
      <c r="U3" s="983">
        <f>+(U4+U31+U91+U130+U171)/5</f>
        <v>0.36948496991755925</v>
      </c>
      <c r="V3" s="984">
        <f>+F4+F31+F91+F130+F171</f>
        <v>0.66052564143691994</v>
      </c>
      <c r="W3" s="985">
        <f>+H4+H31+H91+H130+H171</f>
        <v>0.30352900642335739</v>
      </c>
      <c r="X3" s="986">
        <f>+(X4+X31+X91+X130+X171)/5</f>
        <v>0.25488092957220809</v>
      </c>
      <c r="Y3" s="986">
        <f>+(Y4+Y31+Y91+Y130+Y171)/5</f>
        <v>0.34188930071628293</v>
      </c>
      <c r="Z3" s="987">
        <f>+(Z4+Z31+Z91+Z130+Z171)/5</f>
        <v>0.21296825159703686</v>
      </c>
      <c r="AA3" s="997">
        <f>+(AA4*E4)+(AA31*E31)+(AA91*E91)+(AA130*E130)+(AA171*E171)</f>
        <v>0.31656637577834912</v>
      </c>
      <c r="AB3" s="769"/>
      <c r="AC3" s="493"/>
      <c r="AD3" s="493"/>
      <c r="AE3" s="493"/>
      <c r="AF3" s="493"/>
      <c r="AG3" s="187"/>
      <c r="AH3" s="187"/>
      <c r="AI3" s="187"/>
    </row>
    <row r="4" spans="1:35" ht="64.5" customHeight="1" thickBot="1" x14ac:dyDescent="0.35">
      <c r="A4" s="331"/>
      <c r="B4" s="1291" t="s">
        <v>30</v>
      </c>
      <c r="C4" s="1285"/>
      <c r="D4" s="494"/>
      <c r="E4" s="517">
        <v>0.25</v>
      </c>
      <c r="F4" s="518">
        <f>+E4*V4</f>
        <v>0.13864386792452829</v>
      </c>
      <c r="G4" s="513"/>
      <c r="H4" s="979">
        <f>E4*W4</f>
        <v>4.5350020340029176E-2</v>
      </c>
      <c r="I4" s="519">
        <f>+(I5+I12+I16+I23+I26)/5</f>
        <v>0.40844696306703598</v>
      </c>
      <c r="J4" s="519">
        <f>+(J5+J12+J16+J23+J26)/5</f>
        <v>0.45046175388431281</v>
      </c>
      <c r="K4" s="520">
        <f>+(K5+K12+K16+K23+K26)/5</f>
        <v>0.35458117744760276</v>
      </c>
      <c r="L4" s="520">
        <f>+(L5+L12+L16+L23+L26)/5</f>
        <v>0.24556110117236232</v>
      </c>
      <c r="M4" s="521"/>
      <c r="N4" s="521"/>
      <c r="O4" s="574"/>
      <c r="P4" s="574"/>
      <c r="Q4" s="574"/>
      <c r="R4" s="574"/>
      <c r="S4" s="574"/>
      <c r="T4" s="519">
        <f>+(T5+T12+T16+T23+T26)/5</f>
        <v>0.82393081761006282</v>
      </c>
      <c r="U4" s="519">
        <f>+(U5+U12+U16+U23+U26)/5</f>
        <v>0.27357736692477463</v>
      </c>
      <c r="V4" s="520">
        <f>+V5+V12+V16+V23+V26</f>
        <v>0.55457547169811316</v>
      </c>
      <c r="W4" s="597">
        <f>+W5+W12+W16+W23+W26</f>
        <v>0.18140008136011671</v>
      </c>
      <c r="X4" s="598">
        <f>+(X5+X12+X16+X23+X26)/5</f>
        <v>0.40033301822466277</v>
      </c>
      <c r="Y4" s="598">
        <f>+(Y5+Y12+Y16+Y23+Y26)/5</f>
        <v>0.49461278874289327</v>
      </c>
      <c r="Z4" s="597">
        <f>+Z5+Z12+Z16+Z23+Z26</f>
        <v>0.34369348640612268</v>
      </c>
      <c r="AA4" s="776">
        <f>+(AA5*E5)+(AA12*E12)+(AA16*E16)+(AA23*E23)+(AA26*E26)</f>
        <v>0.41274628372019412</v>
      </c>
      <c r="AB4" s="207"/>
      <c r="AC4" s="494"/>
      <c r="AD4" s="494"/>
      <c r="AE4" s="494"/>
      <c r="AF4" s="494"/>
      <c r="AG4" s="187"/>
      <c r="AH4" s="187"/>
      <c r="AI4" s="187"/>
    </row>
    <row r="5" spans="1:35" ht="123.6" customHeight="1" thickBot="1" x14ac:dyDescent="0.35">
      <c r="A5" s="331"/>
      <c r="B5" s="500" t="s">
        <v>31</v>
      </c>
      <c r="C5" s="501"/>
      <c r="D5" s="1258"/>
      <c r="E5" s="522">
        <v>0.35</v>
      </c>
      <c r="F5" s="523"/>
      <c r="G5" s="523"/>
      <c r="H5" s="523"/>
      <c r="I5" s="524">
        <f>+AVERAGE(I6:I11)</f>
        <v>0.37666666666666665</v>
      </c>
      <c r="J5" s="524">
        <f>+AVERAGE(J6:J11)</f>
        <v>0.38750000000000001</v>
      </c>
      <c r="K5" s="524">
        <f>+K6+K7+K8+K9+K10+K11</f>
        <v>0.26083333333333331</v>
      </c>
      <c r="L5" s="524">
        <f>+L6+L7+L8+L9+L10+L11</f>
        <v>0.17749999999999999</v>
      </c>
      <c r="M5" s="527"/>
      <c r="N5" s="527"/>
      <c r="O5" s="527"/>
      <c r="P5" s="527"/>
      <c r="Q5" s="527"/>
      <c r="R5" s="527"/>
      <c r="S5" s="527"/>
      <c r="T5" s="579">
        <f>+AVERAGE(T6:T11)</f>
        <v>0.6</v>
      </c>
      <c r="U5" s="579">
        <f>+AVERAGE(U6:U11)</f>
        <v>0.35</v>
      </c>
      <c r="V5" s="579">
        <f>+(V6+V7+V8+V9+V10+V11)*E5</f>
        <v>0.17499999999999999</v>
      </c>
      <c r="W5" s="579">
        <f>+(W6+W7+W8+W9+W10+W11)*E5</f>
        <v>4.5499999999999999E-2</v>
      </c>
      <c r="X5" s="599">
        <f>+AVERAGE(X6:X11)</f>
        <v>0.3</v>
      </c>
      <c r="Y5" s="896">
        <f>+AVERAGE(Y6:Y11)</f>
        <v>0.37</v>
      </c>
      <c r="Z5" s="539">
        <f>+(Z6+Z7+Z8+Z9+Z10+Z11)*E5</f>
        <v>0.109375</v>
      </c>
      <c r="AA5" s="599">
        <f>+(AA6+AA7+AA8+AA9+AA10+AA11)</f>
        <v>0.34500000000000003</v>
      </c>
      <c r="AB5" s="215"/>
      <c r="AC5" s="999" t="s">
        <v>32</v>
      </c>
      <c r="AD5" s="494"/>
      <c r="AE5" s="494"/>
      <c r="AF5" s="494"/>
      <c r="AG5" s="187"/>
      <c r="AH5" s="187"/>
      <c r="AI5" s="187"/>
    </row>
    <row r="6" spans="1:35" ht="101.45" customHeight="1" thickBot="1" x14ac:dyDescent="0.35">
      <c r="A6" s="331"/>
      <c r="B6" s="1071" t="s">
        <v>33</v>
      </c>
      <c r="C6" s="1071" t="s">
        <v>34</v>
      </c>
      <c r="D6" s="495" t="s">
        <v>35</v>
      </c>
      <c r="E6" s="1259">
        <v>0.25</v>
      </c>
      <c r="F6" s="568">
        <v>3</v>
      </c>
      <c r="G6" s="525">
        <v>1</v>
      </c>
      <c r="H6" s="525"/>
      <c r="I6" s="528">
        <f>+G6/F6</f>
        <v>0.33333333333333331</v>
      </c>
      <c r="J6" s="528"/>
      <c r="K6" s="528">
        <f>+(G6/F6)*E6</f>
        <v>8.3333333333333329E-2</v>
      </c>
      <c r="L6" s="528"/>
      <c r="M6" s="525">
        <v>3</v>
      </c>
      <c r="N6" s="576">
        <v>0</v>
      </c>
      <c r="O6" s="576"/>
      <c r="P6" s="525"/>
      <c r="Q6" s="525"/>
      <c r="R6" s="577">
        <f>+N6+O6+P6+Q6</f>
        <v>0</v>
      </c>
      <c r="S6" s="525">
        <f>+R6+M6</f>
        <v>3</v>
      </c>
      <c r="T6" s="528">
        <v>1</v>
      </c>
      <c r="U6" s="578"/>
      <c r="V6" s="528">
        <f>+T6*E6</f>
        <v>0.25</v>
      </c>
      <c r="W6" s="600"/>
      <c r="X6" s="544">
        <f>+M6/F6</f>
        <v>1</v>
      </c>
      <c r="Y6" s="601">
        <f>+S6/F6</f>
        <v>1</v>
      </c>
      <c r="Z6" s="543">
        <f>+X6*E6</f>
        <v>0.25</v>
      </c>
      <c r="AA6" s="544">
        <f>+Y6*E6</f>
        <v>0.25</v>
      </c>
      <c r="AB6" s="221" t="s">
        <v>36</v>
      </c>
      <c r="AC6" s="886" t="s">
        <v>37</v>
      </c>
      <c r="AD6" s="726" t="s">
        <v>38</v>
      </c>
      <c r="AE6" s="892" t="s">
        <v>39</v>
      </c>
      <c r="AF6" s="494"/>
      <c r="AG6" s="187"/>
      <c r="AH6" s="187"/>
      <c r="AI6" s="187"/>
    </row>
    <row r="7" spans="1:35" ht="125.45" customHeight="1" thickBot="1" x14ac:dyDescent="0.35">
      <c r="A7" s="496"/>
      <c r="B7" s="1071" t="s">
        <v>40</v>
      </c>
      <c r="C7" s="1071" t="s">
        <v>41</v>
      </c>
      <c r="D7" s="495" t="s">
        <v>42</v>
      </c>
      <c r="E7" s="1259">
        <v>0.05</v>
      </c>
      <c r="F7" s="568">
        <v>4</v>
      </c>
      <c r="G7" s="525">
        <v>1</v>
      </c>
      <c r="H7" s="525">
        <v>1</v>
      </c>
      <c r="I7" s="528">
        <f>+G7/F7</f>
        <v>0.25</v>
      </c>
      <c r="J7" s="528">
        <f>+H7/F7</f>
        <v>0.25</v>
      </c>
      <c r="K7" s="528">
        <f>+(G7/F7)*E7</f>
        <v>1.2500000000000001E-2</v>
      </c>
      <c r="L7" s="528">
        <f>+(H7/F7)*E7</f>
        <v>1.2500000000000001E-2</v>
      </c>
      <c r="M7" s="525">
        <v>1</v>
      </c>
      <c r="N7" s="576">
        <v>1</v>
      </c>
      <c r="O7" s="576">
        <v>0</v>
      </c>
      <c r="P7" s="525"/>
      <c r="Q7" s="525"/>
      <c r="R7" s="577">
        <f t="shared" ref="R7:R8" si="0">+N7+O7+P7+Q7</f>
        <v>1</v>
      </c>
      <c r="S7" s="525">
        <f t="shared" ref="S7:S11" si="1">+R7+M7</f>
        <v>2</v>
      </c>
      <c r="T7" s="528">
        <f>+(M7/G7)</f>
        <v>1</v>
      </c>
      <c r="U7" s="578">
        <f t="shared" ref="U7:U8" si="2">+R7/H7</f>
        <v>1</v>
      </c>
      <c r="V7" s="528">
        <f>+T7*E7</f>
        <v>0.05</v>
      </c>
      <c r="W7" s="600">
        <f t="shared" ref="W7:W8" si="3">+U7*E7</f>
        <v>0.05</v>
      </c>
      <c r="X7" s="544">
        <f>+M7/F7</f>
        <v>0.25</v>
      </c>
      <c r="Y7" s="601">
        <f t="shared" ref="Y7:Y30" si="4">+S7/F7</f>
        <v>0.5</v>
      </c>
      <c r="Z7" s="543">
        <f>+X7*E7</f>
        <v>1.2500000000000001E-2</v>
      </c>
      <c r="AA7" s="544">
        <f>+Y7*E7</f>
        <v>2.5000000000000001E-2</v>
      </c>
      <c r="AB7" s="221" t="s">
        <v>43</v>
      </c>
      <c r="AC7" s="726" t="s">
        <v>44</v>
      </c>
      <c r="AD7" s="726" t="s">
        <v>38</v>
      </c>
      <c r="AE7" s="892" t="s">
        <v>39</v>
      </c>
      <c r="AF7" s="494"/>
      <c r="AG7" s="187"/>
      <c r="AH7" s="187"/>
      <c r="AI7" s="187"/>
    </row>
    <row r="8" spans="1:35" ht="101.45" customHeight="1" thickBot="1" x14ac:dyDescent="0.35">
      <c r="A8" s="331"/>
      <c r="B8" s="1196" t="s">
        <v>45</v>
      </c>
      <c r="C8" s="1196" t="s">
        <v>46</v>
      </c>
      <c r="D8" s="495" t="s">
        <v>47</v>
      </c>
      <c r="E8" s="1259">
        <v>0.2</v>
      </c>
      <c r="F8" s="568">
        <v>20</v>
      </c>
      <c r="G8" s="525">
        <v>5</v>
      </c>
      <c r="H8" s="525">
        <v>5</v>
      </c>
      <c r="I8" s="528">
        <f>+G8/F8</f>
        <v>0.25</v>
      </c>
      <c r="J8" s="528">
        <f t="shared" ref="J8:J11" si="5">+H8/F8</f>
        <v>0.25</v>
      </c>
      <c r="K8" s="528">
        <f>+(G8/F8)*E8</f>
        <v>0.05</v>
      </c>
      <c r="L8" s="528">
        <f t="shared" ref="L8" si="6">+(H8/F8)*E8</f>
        <v>0.05</v>
      </c>
      <c r="M8" s="525">
        <v>5</v>
      </c>
      <c r="N8" s="576">
        <v>0</v>
      </c>
      <c r="O8" s="525">
        <v>2</v>
      </c>
      <c r="P8" s="525"/>
      <c r="Q8" s="525"/>
      <c r="R8" s="577">
        <f t="shared" si="0"/>
        <v>2</v>
      </c>
      <c r="S8" s="525">
        <f t="shared" si="1"/>
        <v>7</v>
      </c>
      <c r="T8" s="528">
        <f>+(M8/G8)</f>
        <v>1</v>
      </c>
      <c r="U8" s="578">
        <f t="shared" si="2"/>
        <v>0.4</v>
      </c>
      <c r="V8" s="528">
        <f>+T8*E8</f>
        <v>0.2</v>
      </c>
      <c r="W8" s="600">
        <f t="shared" si="3"/>
        <v>8.0000000000000016E-2</v>
      </c>
      <c r="X8" s="544">
        <f>+M8/F8</f>
        <v>0.25</v>
      </c>
      <c r="Y8" s="601">
        <f t="shared" si="4"/>
        <v>0.35</v>
      </c>
      <c r="Z8" s="543">
        <f>+X8*E8</f>
        <v>0.05</v>
      </c>
      <c r="AA8" s="544">
        <f>+Y8*E8</f>
        <v>6.9999999999999993E-2</v>
      </c>
      <c r="AB8" s="221" t="s">
        <v>43</v>
      </c>
      <c r="AC8" s="739" t="s">
        <v>48</v>
      </c>
      <c r="AD8" s="726" t="s">
        <v>38</v>
      </c>
      <c r="AE8" s="892" t="s">
        <v>39</v>
      </c>
      <c r="AF8" s="494"/>
      <c r="AG8" s="187"/>
      <c r="AH8" s="187"/>
      <c r="AI8" s="187"/>
    </row>
    <row r="9" spans="1:35" ht="101.45" customHeight="1" thickBot="1" x14ac:dyDescent="0.35">
      <c r="A9" s="331"/>
      <c r="B9" s="1071" t="s">
        <v>49</v>
      </c>
      <c r="C9" s="1071" t="s">
        <v>50</v>
      </c>
      <c r="D9" s="495" t="s">
        <v>35</v>
      </c>
      <c r="E9" s="1259">
        <v>0.1</v>
      </c>
      <c r="F9" s="568">
        <v>1</v>
      </c>
      <c r="G9" s="525">
        <v>1</v>
      </c>
      <c r="H9" s="525">
        <v>1</v>
      </c>
      <c r="I9" s="528">
        <f>+G9/F9</f>
        <v>1</v>
      </c>
      <c r="J9" s="528">
        <f t="shared" si="5"/>
        <v>1</v>
      </c>
      <c r="K9" s="528">
        <f>+(G9/F9)*E9</f>
        <v>0.1</v>
      </c>
      <c r="L9" s="528">
        <f>+(H9/F9)*E9</f>
        <v>0.1</v>
      </c>
      <c r="M9" s="525">
        <v>0</v>
      </c>
      <c r="N9" s="576">
        <v>0</v>
      </c>
      <c r="O9" s="525"/>
      <c r="P9" s="525"/>
      <c r="Q9" s="525"/>
      <c r="R9" s="577">
        <f t="shared" ref="R9:R10" si="7">+N9+O9+P9+Q9</f>
        <v>0</v>
      </c>
      <c r="S9" s="525">
        <f t="shared" si="1"/>
        <v>0</v>
      </c>
      <c r="T9" s="528">
        <f>+(M9/G9)</f>
        <v>0</v>
      </c>
      <c r="U9" s="578">
        <f>+R9/H9</f>
        <v>0</v>
      </c>
      <c r="V9" s="528">
        <f>+T9*E9</f>
        <v>0</v>
      </c>
      <c r="W9" s="600">
        <f>+U9*E9</f>
        <v>0</v>
      </c>
      <c r="X9" s="544">
        <f>+M9/F9</f>
        <v>0</v>
      </c>
      <c r="Y9" s="601">
        <f t="shared" si="4"/>
        <v>0</v>
      </c>
      <c r="Z9" s="543">
        <f>+X9*E9</f>
        <v>0</v>
      </c>
      <c r="AA9" s="544">
        <f>+Y9*E9</f>
        <v>0</v>
      </c>
      <c r="AB9" s="221" t="s">
        <v>43</v>
      </c>
      <c r="AC9" s="726" t="s">
        <v>44</v>
      </c>
      <c r="AD9" s="726" t="s">
        <v>38</v>
      </c>
      <c r="AE9" s="892" t="s">
        <v>39</v>
      </c>
      <c r="AF9" s="494"/>
      <c r="AG9" s="187"/>
      <c r="AH9" s="187"/>
      <c r="AI9" s="187"/>
    </row>
    <row r="10" spans="1:35" ht="121.15" customHeight="1" thickBot="1" x14ac:dyDescent="0.35">
      <c r="A10" s="331"/>
      <c r="B10" s="1070" t="s">
        <v>51</v>
      </c>
      <c r="C10" s="1070" t="s">
        <v>52</v>
      </c>
      <c r="D10" s="495" t="s">
        <v>47</v>
      </c>
      <c r="E10" s="1259">
        <v>0.1</v>
      </c>
      <c r="F10" s="568">
        <v>1</v>
      </c>
      <c r="G10" s="525">
        <v>0</v>
      </c>
      <c r="H10" s="525">
        <v>0</v>
      </c>
      <c r="I10" s="528"/>
      <c r="J10" s="528"/>
      <c r="K10" s="528"/>
      <c r="L10" s="528"/>
      <c r="M10" s="525"/>
      <c r="N10" s="576"/>
      <c r="O10" s="576"/>
      <c r="P10" s="525"/>
      <c r="Q10" s="525"/>
      <c r="R10" s="577">
        <f t="shared" si="7"/>
        <v>0</v>
      </c>
      <c r="S10" s="525">
        <f t="shared" si="1"/>
        <v>0</v>
      </c>
      <c r="T10" s="528"/>
      <c r="U10" s="578"/>
      <c r="V10" s="528"/>
      <c r="W10" s="600">
        <f t="shared" ref="W10:W11" si="8">+U10*E10</f>
        <v>0</v>
      </c>
      <c r="X10" s="544"/>
      <c r="Y10" s="601"/>
      <c r="Z10" s="543">
        <v>0</v>
      </c>
      <c r="AA10" s="544">
        <v>0</v>
      </c>
      <c r="AB10" s="221" t="s">
        <v>43</v>
      </c>
      <c r="AC10" s="887" t="s">
        <v>53</v>
      </c>
      <c r="AD10" s="726" t="s">
        <v>38</v>
      </c>
      <c r="AE10" s="892" t="s">
        <v>39</v>
      </c>
      <c r="AF10" s="494"/>
      <c r="AG10" s="187"/>
      <c r="AH10" s="187"/>
      <c r="AI10" s="187"/>
    </row>
    <row r="11" spans="1:35" ht="118.9" customHeight="1" thickBot="1" x14ac:dyDescent="0.35">
      <c r="A11" s="331"/>
      <c r="B11" s="1254" t="s">
        <v>54</v>
      </c>
      <c r="C11" s="1254" t="s">
        <v>55</v>
      </c>
      <c r="D11" s="495" t="s">
        <v>56</v>
      </c>
      <c r="E11" s="1259">
        <v>0.3</v>
      </c>
      <c r="F11" s="568">
        <v>40</v>
      </c>
      <c r="G11" s="525">
        <v>2</v>
      </c>
      <c r="H11" s="525">
        <v>2</v>
      </c>
      <c r="I11" s="528">
        <f>+G11/F11</f>
        <v>0.05</v>
      </c>
      <c r="J11" s="528">
        <f t="shared" si="5"/>
        <v>0.05</v>
      </c>
      <c r="K11" s="528">
        <f>+(G11/F11)*E11</f>
        <v>1.4999999999999999E-2</v>
      </c>
      <c r="L11" s="528">
        <f>+(H11/F11)*E11</f>
        <v>1.4999999999999999E-2</v>
      </c>
      <c r="M11" s="525">
        <v>0</v>
      </c>
      <c r="N11" s="576">
        <v>0</v>
      </c>
      <c r="O11" s="525">
        <v>0</v>
      </c>
      <c r="P11" s="525"/>
      <c r="Q11" s="525"/>
      <c r="R11" s="577">
        <f>+N11+O11+P11+Q11</f>
        <v>0</v>
      </c>
      <c r="S11" s="525">
        <f t="shared" si="1"/>
        <v>0</v>
      </c>
      <c r="T11" s="528">
        <f>+(M11/G11)</f>
        <v>0</v>
      </c>
      <c r="U11" s="578">
        <f>+R11/H11</f>
        <v>0</v>
      </c>
      <c r="V11" s="528">
        <f>+T11*E11</f>
        <v>0</v>
      </c>
      <c r="W11" s="600">
        <f t="shared" si="8"/>
        <v>0</v>
      </c>
      <c r="X11" s="549">
        <f>+M11/F11</f>
        <v>0</v>
      </c>
      <c r="Y11" s="602">
        <f t="shared" si="4"/>
        <v>0</v>
      </c>
      <c r="Z11" s="543">
        <f>+X11*E11</f>
        <v>0</v>
      </c>
      <c r="AA11" s="544">
        <f>+Y11*E11</f>
        <v>0</v>
      </c>
      <c r="AB11" s="774" t="s">
        <v>43</v>
      </c>
      <c r="AC11" s="746" t="s">
        <v>44</v>
      </c>
      <c r="AD11" s="726" t="s">
        <v>38</v>
      </c>
      <c r="AE11" s="892" t="s">
        <v>57</v>
      </c>
      <c r="AF11" s="494"/>
      <c r="AG11" s="187"/>
      <c r="AH11" s="187"/>
      <c r="AI11" s="187"/>
    </row>
    <row r="12" spans="1:35" ht="144" customHeight="1" thickBot="1" x14ac:dyDescent="0.35">
      <c r="A12" s="331"/>
      <c r="B12" s="1284" t="s">
        <v>58</v>
      </c>
      <c r="C12" s="1285"/>
      <c r="D12" s="495"/>
      <c r="E12" s="526">
        <v>0.15</v>
      </c>
      <c r="F12" s="527"/>
      <c r="G12" s="527"/>
      <c r="H12" s="527"/>
      <c r="I12" s="524">
        <v>0.66600000000000004</v>
      </c>
      <c r="J12" s="524">
        <f>+AVERAGE(J13:J15)</f>
        <v>1</v>
      </c>
      <c r="K12" s="524">
        <f>+K13+K14+K15</f>
        <v>0.35</v>
      </c>
      <c r="L12" s="524">
        <f>+L13+L14+L15</f>
        <v>0.35</v>
      </c>
      <c r="M12" s="527"/>
      <c r="N12" s="527"/>
      <c r="O12" s="527"/>
      <c r="P12" s="527"/>
      <c r="Q12" s="527"/>
      <c r="R12" s="527"/>
      <c r="S12" s="527"/>
      <c r="T12" s="579">
        <f>+AVERAGE(T13:T15)</f>
        <v>1</v>
      </c>
      <c r="U12" s="579">
        <f>+AVERAGE(U13:U15)</f>
        <v>0</v>
      </c>
      <c r="V12" s="579">
        <f>+(V13+V14+V15)*E12</f>
        <v>5.2499999999999998E-2</v>
      </c>
      <c r="W12" s="579">
        <f>+(W13+W14+W15)*E12</f>
        <v>0</v>
      </c>
      <c r="X12" s="603">
        <v>0.66600000000000004</v>
      </c>
      <c r="Y12" s="604">
        <f>+AVERAGE(Y13:Y15)</f>
        <v>0.66666666666666663</v>
      </c>
      <c r="Z12" s="539">
        <f>+(Z13+Z14+Z15)*E12</f>
        <v>9.7499999999999989E-2</v>
      </c>
      <c r="AA12" s="599">
        <f>+(AA13+AA14+AA15)</f>
        <v>0.64999999999999991</v>
      </c>
      <c r="AB12" s="770"/>
      <c r="AC12" s="888" t="s">
        <v>59</v>
      </c>
      <c r="AD12" s="494"/>
      <c r="AE12" s="494"/>
      <c r="AF12" s="494"/>
      <c r="AG12" s="187"/>
      <c r="AH12" s="187"/>
      <c r="AI12" s="187"/>
    </row>
    <row r="13" spans="1:35" ht="118.15" customHeight="1" thickBot="1" x14ac:dyDescent="0.35">
      <c r="A13" s="331"/>
      <c r="B13" s="1070" t="s">
        <v>60</v>
      </c>
      <c r="C13" s="1070" t="s">
        <v>61</v>
      </c>
      <c r="D13" s="495" t="s">
        <v>47</v>
      </c>
      <c r="E13" s="1259">
        <v>0.35</v>
      </c>
      <c r="F13" s="568">
        <v>1</v>
      </c>
      <c r="G13" s="525">
        <v>0</v>
      </c>
      <c r="H13" s="525">
        <v>0</v>
      </c>
      <c r="I13" s="528"/>
      <c r="J13" s="528"/>
      <c r="K13" s="528"/>
      <c r="L13" s="528"/>
      <c r="M13" s="525"/>
      <c r="N13" s="576"/>
      <c r="O13" s="576">
        <v>0</v>
      </c>
      <c r="P13" s="525"/>
      <c r="Q13" s="525"/>
      <c r="R13" s="525">
        <f>+N13+O13+P13+Q13</f>
        <v>0</v>
      </c>
      <c r="S13" s="525">
        <f t="shared" ref="S13" si="9">+R13+M13</f>
        <v>0</v>
      </c>
      <c r="T13" s="528"/>
      <c r="U13" s="528"/>
      <c r="V13" s="528"/>
      <c r="W13" s="528"/>
      <c r="X13" s="543">
        <v>0</v>
      </c>
      <c r="Y13" s="544">
        <v>0</v>
      </c>
      <c r="Z13" s="543">
        <f>+X13*E13</f>
        <v>0</v>
      </c>
      <c r="AA13" s="544">
        <f>+Y13*E13</f>
        <v>0</v>
      </c>
      <c r="AB13" s="774" t="s">
        <v>43</v>
      </c>
      <c r="AC13" s="892" t="s">
        <v>44</v>
      </c>
      <c r="AD13" s="726" t="s">
        <v>38</v>
      </c>
      <c r="AE13" s="892" t="s">
        <v>39</v>
      </c>
      <c r="AF13" s="494"/>
      <c r="AG13" s="187"/>
      <c r="AH13" s="187"/>
      <c r="AI13" s="187"/>
    </row>
    <row r="14" spans="1:35" ht="91.9" customHeight="1" thickBot="1" x14ac:dyDescent="0.35">
      <c r="A14" s="331"/>
      <c r="B14" s="1070" t="s">
        <v>62</v>
      </c>
      <c r="C14" s="1070" t="s">
        <v>63</v>
      </c>
      <c r="D14" s="495" t="s">
        <v>47</v>
      </c>
      <c r="E14" s="1259">
        <v>0.35</v>
      </c>
      <c r="F14" s="568">
        <v>1</v>
      </c>
      <c r="G14" s="525">
        <v>1</v>
      </c>
      <c r="H14" s="525">
        <v>1</v>
      </c>
      <c r="I14" s="528">
        <f>+G14/F14</f>
        <v>1</v>
      </c>
      <c r="J14" s="528">
        <f>+H14/F14</f>
        <v>1</v>
      </c>
      <c r="K14" s="528">
        <f>+(G14/F14)*E14</f>
        <v>0.35</v>
      </c>
      <c r="L14" s="528">
        <f t="shared" ref="L14" si="10">+(H14/F14)*E14</f>
        <v>0.35</v>
      </c>
      <c r="M14" s="525">
        <v>1</v>
      </c>
      <c r="N14" s="576">
        <v>0</v>
      </c>
      <c r="O14" s="576">
        <v>0</v>
      </c>
      <c r="P14" s="525"/>
      <c r="Q14" s="525"/>
      <c r="R14" s="525">
        <f t="shared" ref="R14" si="11">+N14+O14+P14+Q14</f>
        <v>0</v>
      </c>
      <c r="S14" s="525">
        <f t="shared" ref="S14" si="12">+R14+M14</f>
        <v>1</v>
      </c>
      <c r="T14" s="528">
        <f>+(M14/G14)</f>
        <v>1</v>
      </c>
      <c r="U14" s="528">
        <f t="shared" ref="U14:U22" si="13">+R14/H14</f>
        <v>0</v>
      </c>
      <c r="V14" s="528">
        <f>+T14*E14</f>
        <v>0.35</v>
      </c>
      <c r="W14" s="528">
        <f t="shared" ref="W14:W21" si="14">+U14*E14</f>
        <v>0</v>
      </c>
      <c r="X14" s="543">
        <f>+M14/F14</f>
        <v>1</v>
      </c>
      <c r="Y14" s="544">
        <f t="shared" si="4"/>
        <v>1</v>
      </c>
      <c r="Z14" s="543">
        <f>+X14*E14</f>
        <v>0.35</v>
      </c>
      <c r="AA14" s="544">
        <f>+Y14*E14</f>
        <v>0.35</v>
      </c>
      <c r="AB14" s="774" t="s">
        <v>43</v>
      </c>
      <c r="AC14" s="892" t="s">
        <v>36</v>
      </c>
      <c r="AD14" s="726" t="s">
        <v>38</v>
      </c>
      <c r="AE14" s="892" t="s">
        <v>39</v>
      </c>
      <c r="AF14" s="494"/>
      <c r="AG14" s="187"/>
      <c r="AH14" s="187"/>
      <c r="AI14" s="187"/>
    </row>
    <row r="15" spans="1:35" ht="74.45" customHeight="1" thickBot="1" x14ac:dyDescent="0.35">
      <c r="A15" s="331"/>
      <c r="B15" s="1071" t="s">
        <v>64</v>
      </c>
      <c r="C15" s="1071" t="s">
        <v>65</v>
      </c>
      <c r="D15" s="495" t="s">
        <v>47</v>
      </c>
      <c r="E15" s="1259">
        <v>0.3</v>
      </c>
      <c r="F15" s="568">
        <v>2</v>
      </c>
      <c r="G15" s="525">
        <v>2</v>
      </c>
      <c r="H15" s="525">
        <v>2</v>
      </c>
      <c r="I15" s="528">
        <f>+G15/F15</f>
        <v>1</v>
      </c>
      <c r="J15" s="528"/>
      <c r="K15" s="528"/>
      <c r="L15" s="528"/>
      <c r="M15" s="525">
        <v>2</v>
      </c>
      <c r="N15" s="576">
        <v>0</v>
      </c>
      <c r="O15" s="576">
        <v>0</v>
      </c>
      <c r="P15" s="525"/>
      <c r="Q15" s="525"/>
      <c r="R15" s="525">
        <f>+N15+O15+P15+Q15</f>
        <v>0</v>
      </c>
      <c r="S15" s="525">
        <f>+R15+M15</f>
        <v>2</v>
      </c>
      <c r="T15" s="528">
        <f>+(M15/G15)</f>
        <v>1</v>
      </c>
      <c r="U15" s="528"/>
      <c r="V15" s="528"/>
      <c r="W15" s="528"/>
      <c r="X15" s="543">
        <f>+M15/F15</f>
        <v>1</v>
      </c>
      <c r="Y15" s="544">
        <f t="shared" si="4"/>
        <v>1</v>
      </c>
      <c r="Z15" s="543">
        <f>+X15*E15</f>
        <v>0.3</v>
      </c>
      <c r="AA15" s="544">
        <f>+Y15*E15</f>
        <v>0.3</v>
      </c>
      <c r="AB15" s="774" t="s">
        <v>36</v>
      </c>
      <c r="AC15" s="892" t="s">
        <v>36</v>
      </c>
      <c r="AD15" s="726" t="s">
        <v>38</v>
      </c>
      <c r="AE15" s="892" t="s">
        <v>39</v>
      </c>
      <c r="AF15" s="494"/>
      <c r="AG15" s="187"/>
      <c r="AH15" s="187"/>
      <c r="AI15" s="187"/>
    </row>
    <row r="16" spans="1:35" ht="103.9" customHeight="1" thickBot="1" x14ac:dyDescent="0.35">
      <c r="A16" s="331"/>
      <c r="B16" s="1284" t="s">
        <v>66</v>
      </c>
      <c r="C16" s="1285"/>
      <c r="D16" s="495"/>
      <c r="E16" s="522">
        <v>0.3</v>
      </c>
      <c r="F16" s="527"/>
      <c r="G16" s="527"/>
      <c r="H16" s="527"/>
      <c r="I16" s="524">
        <f>+AVERAGE(I17:I22)</f>
        <v>0.21866537089073543</v>
      </c>
      <c r="J16" s="524">
        <f>+AVERAGE(J17:J22)</f>
        <v>0.35374932497711953</v>
      </c>
      <c r="K16" s="524">
        <f>+K17+K18+K19+K20+K21+K22</f>
        <v>0.23116977612690295</v>
      </c>
      <c r="L16" s="524">
        <f>+L17+L18+L19+L20+L21+L22</f>
        <v>0.36424606141736721</v>
      </c>
      <c r="M16" s="527"/>
      <c r="N16" s="527"/>
      <c r="O16" s="527"/>
      <c r="P16" s="527"/>
      <c r="Q16" s="527"/>
      <c r="R16" s="527"/>
      <c r="S16" s="527"/>
      <c r="T16" s="575">
        <f>+AVERAGE(T17:T22)</f>
        <v>0.51965408805031454</v>
      </c>
      <c r="U16" s="575">
        <f>+AVERAGE(U17:U22)</f>
        <v>0.27413683462387312</v>
      </c>
      <c r="V16" s="575">
        <f>+(V17+V18+V19+V20+V21+V22)*E16</f>
        <v>0.1270754716981132</v>
      </c>
      <c r="W16" s="575">
        <f>+(W17+W18+W19+W20+W21+W22)*E16</f>
        <v>6.152508136011671E-2</v>
      </c>
      <c r="X16" s="539">
        <f>+AVERAGE(X17:X22)</f>
        <v>0.18898231334553608</v>
      </c>
      <c r="Y16" s="599">
        <f>+AVERAGE(Y17:Y22)</f>
        <v>0.33748477704780006</v>
      </c>
      <c r="Z16" s="539">
        <f>+(Z17+Z18+Z19+Z20+Z21+Z22)*E16</f>
        <v>3.7150208628344908E-2</v>
      </c>
      <c r="AA16" s="599">
        <f>+(AA17+AA18+AA19+AA20+AA21+AA22)</f>
        <v>0.23201677906731377</v>
      </c>
      <c r="AB16" s="215"/>
      <c r="AC16" s="891"/>
      <c r="AD16" s="494"/>
      <c r="AE16" s="494"/>
      <c r="AF16" s="494"/>
      <c r="AG16" s="187"/>
      <c r="AH16" s="187"/>
      <c r="AI16" s="187"/>
    </row>
    <row r="17" spans="1:35" ht="96" customHeight="1" thickBot="1" x14ac:dyDescent="0.35">
      <c r="A17" s="496"/>
      <c r="B17" s="1071" t="s">
        <v>67</v>
      </c>
      <c r="C17" s="1071" t="s">
        <v>68</v>
      </c>
      <c r="D17" s="499" t="s">
        <v>69</v>
      </c>
      <c r="E17" s="1259">
        <v>0.1</v>
      </c>
      <c r="F17" s="568">
        <f>879*4</f>
        <v>3516</v>
      </c>
      <c r="G17" s="525">
        <v>219</v>
      </c>
      <c r="H17" s="577">
        <v>200</v>
      </c>
      <c r="I17" s="528">
        <f t="shared" ref="I17:I22" si="15">+G17/F17</f>
        <v>6.2286689419795219E-2</v>
      </c>
      <c r="J17" s="528">
        <f>+H17/879</f>
        <v>0.22753128555176336</v>
      </c>
      <c r="K17" s="528">
        <f>+(G17/F17)*E17</f>
        <v>6.2286689419795219E-3</v>
      </c>
      <c r="L17" s="528">
        <f>+(H17/879)*E17</f>
        <v>2.2753128555176336E-2</v>
      </c>
      <c r="M17" s="525">
        <v>484</v>
      </c>
      <c r="N17" s="576">
        <v>0</v>
      </c>
      <c r="O17" s="576">
        <v>200</v>
      </c>
      <c r="P17" s="525"/>
      <c r="Q17" s="525"/>
      <c r="R17" s="525">
        <f t="shared" ref="R17:R22" si="16">+N17+O17+P17+Q17</f>
        <v>200</v>
      </c>
      <c r="S17" s="525">
        <f t="shared" ref="S17:S22" si="17">+R17+M17</f>
        <v>684</v>
      </c>
      <c r="T17" s="528">
        <v>1</v>
      </c>
      <c r="U17" s="528">
        <f>+R17/H17</f>
        <v>1</v>
      </c>
      <c r="V17" s="528">
        <f>+T17*E17</f>
        <v>0.1</v>
      </c>
      <c r="W17" s="528">
        <f>+U17*E17</f>
        <v>0.1</v>
      </c>
      <c r="X17" s="543">
        <f>+M17/F17</f>
        <v>0.13765642775881684</v>
      </c>
      <c r="Y17" s="544">
        <f>+S17/879</f>
        <v>0.77815699658703075</v>
      </c>
      <c r="Z17" s="543">
        <f>+X17*E17</f>
        <v>1.3765642775881685E-2</v>
      </c>
      <c r="AA17" s="544">
        <f>+Y17*E17</f>
        <v>7.781569965870308E-2</v>
      </c>
      <c r="AB17" s="774" t="s">
        <v>43</v>
      </c>
      <c r="AC17" s="893" t="s">
        <v>70</v>
      </c>
      <c r="AD17" s="886" t="s">
        <v>71</v>
      </c>
      <c r="AE17" s="892" t="s">
        <v>39</v>
      </c>
      <c r="AF17" s="494"/>
      <c r="AG17" s="187"/>
      <c r="AH17" s="187"/>
      <c r="AI17" s="187"/>
    </row>
    <row r="18" spans="1:35" ht="81" customHeight="1" thickBot="1" x14ac:dyDescent="0.35">
      <c r="A18" s="331"/>
      <c r="B18" s="1071" t="s">
        <v>72</v>
      </c>
      <c r="C18" s="1071" t="s">
        <v>73</v>
      </c>
      <c r="D18" s="495" t="s">
        <v>69</v>
      </c>
      <c r="E18" s="1259">
        <v>0.2</v>
      </c>
      <c r="F18" s="568">
        <v>849</v>
      </c>
      <c r="G18" s="525">
        <v>212</v>
      </c>
      <c r="H18" s="577">
        <v>399</v>
      </c>
      <c r="I18" s="528">
        <f t="shared" si="15"/>
        <v>0.24970553592461719</v>
      </c>
      <c r="J18" s="528">
        <f t="shared" ref="J18:J30" si="18">+H18/F18</f>
        <v>0.46996466431095407</v>
      </c>
      <c r="K18" s="528">
        <f t="shared" ref="K18:K22" si="19">+(G18/F18)*E18</f>
        <v>4.9941107184923443E-2</v>
      </c>
      <c r="L18" s="528">
        <f t="shared" ref="L18:L20" si="20">+(H18/F18)*E18</f>
        <v>9.399293286219082E-2</v>
      </c>
      <c r="M18" s="525">
        <v>25</v>
      </c>
      <c r="N18" s="576">
        <v>0</v>
      </c>
      <c r="O18" s="576">
        <v>162</v>
      </c>
      <c r="P18" s="525"/>
      <c r="Q18" s="525"/>
      <c r="R18" s="525">
        <f t="shared" si="16"/>
        <v>162</v>
      </c>
      <c r="S18" s="525">
        <f t="shared" si="17"/>
        <v>187</v>
      </c>
      <c r="T18" s="528">
        <f>+(M18/G18)</f>
        <v>0.11792452830188679</v>
      </c>
      <c r="U18" s="528">
        <f t="shared" si="13"/>
        <v>0.40601503759398494</v>
      </c>
      <c r="V18" s="528">
        <f t="shared" ref="V18:V22" si="21">+T18*E18</f>
        <v>2.358490566037736E-2</v>
      </c>
      <c r="W18" s="528">
        <f t="shared" si="14"/>
        <v>8.1203007518796999E-2</v>
      </c>
      <c r="X18" s="543">
        <f>+M18/F18</f>
        <v>2.9446407538280331E-2</v>
      </c>
      <c r="Y18" s="544">
        <f t="shared" si="4"/>
        <v>0.22025912838633688</v>
      </c>
      <c r="Z18" s="543">
        <f t="shared" ref="Z18:Z22" si="22">+X18*E18</f>
        <v>5.8892815076560662E-3</v>
      </c>
      <c r="AA18" s="544">
        <f t="shared" ref="AA18:AA22" si="23">+Y18*E18</f>
        <v>4.4051825677267377E-2</v>
      </c>
      <c r="AB18" s="774" t="s">
        <v>43</v>
      </c>
      <c r="AC18" s="892" t="s">
        <v>44</v>
      </c>
      <c r="AD18" s="886" t="s">
        <v>71</v>
      </c>
      <c r="AE18" s="892" t="s">
        <v>39</v>
      </c>
      <c r="AF18" s="494"/>
      <c r="AG18" s="187"/>
      <c r="AH18" s="187"/>
      <c r="AI18" s="187"/>
    </row>
    <row r="19" spans="1:35" ht="93" customHeight="1" thickBot="1" x14ac:dyDescent="0.35">
      <c r="A19" s="331"/>
      <c r="B19" s="1071" t="s">
        <v>74</v>
      </c>
      <c r="C19" s="1071" t="s">
        <v>75</v>
      </c>
      <c r="D19" s="495" t="s">
        <v>69</v>
      </c>
      <c r="E19" s="1259">
        <v>0.2</v>
      </c>
      <c r="F19" s="568">
        <v>440</v>
      </c>
      <c r="G19" s="525">
        <v>110</v>
      </c>
      <c r="H19" s="577">
        <v>187</v>
      </c>
      <c r="I19" s="528">
        <f t="shared" si="15"/>
        <v>0.25</v>
      </c>
      <c r="J19" s="528">
        <f t="shared" si="18"/>
        <v>0.42499999999999999</v>
      </c>
      <c r="K19" s="528">
        <f t="shared" si="19"/>
        <v>0.05</v>
      </c>
      <c r="L19" s="528">
        <f t="shared" si="20"/>
        <v>8.5000000000000006E-2</v>
      </c>
      <c r="M19" s="525">
        <v>33</v>
      </c>
      <c r="N19" s="576">
        <v>0</v>
      </c>
      <c r="O19" s="576">
        <v>0</v>
      </c>
      <c r="P19" s="525"/>
      <c r="Q19" s="525"/>
      <c r="R19" s="525">
        <f t="shared" si="16"/>
        <v>0</v>
      </c>
      <c r="S19" s="525">
        <f t="shared" si="17"/>
        <v>33</v>
      </c>
      <c r="T19" s="528">
        <v>1</v>
      </c>
      <c r="U19" s="528">
        <f t="shared" si="13"/>
        <v>0</v>
      </c>
      <c r="V19" s="528">
        <f t="shared" si="21"/>
        <v>0.2</v>
      </c>
      <c r="W19" s="528">
        <f t="shared" si="14"/>
        <v>0</v>
      </c>
      <c r="X19" s="543">
        <f t="shared" ref="X19:X22" si="24">+M19/F19</f>
        <v>7.4999999999999997E-2</v>
      </c>
      <c r="Y19" s="544">
        <f t="shared" si="4"/>
        <v>7.4999999999999997E-2</v>
      </c>
      <c r="Z19" s="543">
        <f t="shared" si="22"/>
        <v>1.4999999999999999E-2</v>
      </c>
      <c r="AA19" s="544">
        <f t="shared" si="23"/>
        <v>1.4999999999999999E-2</v>
      </c>
      <c r="AB19" s="774" t="s">
        <v>43</v>
      </c>
      <c r="AC19" s="892" t="s">
        <v>44</v>
      </c>
      <c r="AD19" s="886" t="s">
        <v>71</v>
      </c>
      <c r="AE19" s="892" t="s">
        <v>39</v>
      </c>
      <c r="AF19" s="494"/>
      <c r="AG19" s="187"/>
      <c r="AH19" s="187"/>
      <c r="AI19" s="187"/>
    </row>
    <row r="20" spans="1:35" ht="117" customHeight="1" thickBot="1" x14ac:dyDescent="0.35">
      <c r="A20" s="331"/>
      <c r="B20" s="1071" t="s">
        <v>76</v>
      </c>
      <c r="C20" s="1071" t="s">
        <v>77</v>
      </c>
      <c r="D20" s="495" t="s">
        <v>69</v>
      </c>
      <c r="E20" s="1259">
        <v>0.15</v>
      </c>
      <c r="F20" s="568">
        <v>120</v>
      </c>
      <c r="G20" s="525">
        <v>30</v>
      </c>
      <c r="H20" s="577">
        <v>60</v>
      </c>
      <c r="I20" s="528">
        <f t="shared" si="15"/>
        <v>0.25</v>
      </c>
      <c r="J20" s="528">
        <f t="shared" si="18"/>
        <v>0.5</v>
      </c>
      <c r="K20" s="528">
        <f t="shared" si="19"/>
        <v>3.7499999999999999E-2</v>
      </c>
      <c r="L20" s="528">
        <f t="shared" si="20"/>
        <v>7.4999999999999997E-2</v>
      </c>
      <c r="M20" s="525">
        <v>0</v>
      </c>
      <c r="N20" s="576">
        <v>0</v>
      </c>
      <c r="O20" s="576">
        <v>0</v>
      </c>
      <c r="P20" s="525"/>
      <c r="Q20" s="525"/>
      <c r="R20" s="525">
        <f t="shared" si="16"/>
        <v>0</v>
      </c>
      <c r="S20" s="525">
        <f t="shared" si="17"/>
        <v>0</v>
      </c>
      <c r="T20" s="528">
        <f>+(M20/G20)</f>
        <v>0</v>
      </c>
      <c r="U20" s="528">
        <f t="shared" si="13"/>
        <v>0</v>
      </c>
      <c r="V20" s="528">
        <f t="shared" si="21"/>
        <v>0</v>
      </c>
      <c r="W20" s="528">
        <f t="shared" si="14"/>
        <v>0</v>
      </c>
      <c r="X20" s="543">
        <f t="shared" si="24"/>
        <v>0</v>
      </c>
      <c r="Y20" s="544">
        <f t="shared" si="4"/>
        <v>0</v>
      </c>
      <c r="Z20" s="543">
        <f t="shared" si="22"/>
        <v>0</v>
      </c>
      <c r="AA20" s="544">
        <f t="shared" si="23"/>
        <v>0</v>
      </c>
      <c r="AB20" s="221" t="s">
        <v>43</v>
      </c>
      <c r="AC20" s="890" t="s">
        <v>44</v>
      </c>
      <c r="AD20" s="886" t="s">
        <v>71</v>
      </c>
      <c r="AE20" s="892" t="s">
        <v>39</v>
      </c>
      <c r="AF20" s="494"/>
      <c r="AG20" s="187"/>
      <c r="AH20" s="187"/>
      <c r="AI20" s="187"/>
    </row>
    <row r="21" spans="1:35" ht="117" customHeight="1" thickBot="1" x14ac:dyDescent="0.35">
      <c r="A21" s="496"/>
      <c r="B21" s="1071" t="s">
        <v>78</v>
      </c>
      <c r="C21" s="1071" t="s">
        <v>79</v>
      </c>
      <c r="D21" s="495" t="s">
        <v>69</v>
      </c>
      <c r="E21" s="1259">
        <v>0.25</v>
      </c>
      <c r="F21" s="568">
        <v>4</v>
      </c>
      <c r="G21" s="525">
        <v>1</v>
      </c>
      <c r="H21" s="577">
        <v>1</v>
      </c>
      <c r="I21" s="528">
        <f t="shared" si="15"/>
        <v>0.25</v>
      </c>
      <c r="J21" s="528">
        <f t="shared" si="18"/>
        <v>0.25</v>
      </c>
      <c r="K21" s="528">
        <f t="shared" si="19"/>
        <v>6.25E-2</v>
      </c>
      <c r="L21" s="528">
        <f>+(H21/F21)*E21</f>
        <v>6.25E-2</v>
      </c>
      <c r="M21" s="525">
        <v>0</v>
      </c>
      <c r="N21" s="576">
        <v>0</v>
      </c>
      <c r="O21" s="576">
        <v>0</v>
      </c>
      <c r="P21" s="525"/>
      <c r="Q21" s="525"/>
      <c r="R21" s="525">
        <f t="shared" si="16"/>
        <v>0</v>
      </c>
      <c r="S21" s="525">
        <f t="shared" si="17"/>
        <v>0</v>
      </c>
      <c r="T21" s="528">
        <f>+(M21/G21)</f>
        <v>0</v>
      </c>
      <c r="U21" s="528">
        <f t="shared" si="13"/>
        <v>0</v>
      </c>
      <c r="V21" s="528">
        <f t="shared" si="21"/>
        <v>0</v>
      </c>
      <c r="W21" s="528">
        <f t="shared" si="14"/>
        <v>0</v>
      </c>
      <c r="X21" s="543">
        <f t="shared" si="24"/>
        <v>0</v>
      </c>
      <c r="Y21" s="544">
        <f t="shared" si="4"/>
        <v>0</v>
      </c>
      <c r="Z21" s="543">
        <f t="shared" si="22"/>
        <v>0</v>
      </c>
      <c r="AA21" s="544">
        <f t="shared" si="23"/>
        <v>0</v>
      </c>
      <c r="AB21" s="221" t="s">
        <v>43</v>
      </c>
      <c r="AC21" s="724" t="s">
        <v>44</v>
      </c>
      <c r="AD21" s="886" t="s">
        <v>71</v>
      </c>
      <c r="AE21" s="892" t="s">
        <v>39</v>
      </c>
      <c r="AF21" s="494"/>
      <c r="AG21" s="187"/>
      <c r="AH21" s="187"/>
      <c r="AI21" s="187"/>
    </row>
    <row r="22" spans="1:35" ht="117" customHeight="1" thickBot="1" x14ac:dyDescent="0.35">
      <c r="A22" s="331"/>
      <c r="B22" s="1071" t="s">
        <v>80</v>
      </c>
      <c r="C22" s="1071" t="s">
        <v>81</v>
      </c>
      <c r="D22" s="499" t="s">
        <v>69</v>
      </c>
      <c r="E22" s="1259">
        <v>0.1</v>
      </c>
      <c r="F22" s="568">
        <v>268</v>
      </c>
      <c r="G22" s="525">
        <v>67</v>
      </c>
      <c r="H22" s="577">
        <v>67</v>
      </c>
      <c r="I22" s="528">
        <f t="shared" si="15"/>
        <v>0.25</v>
      </c>
      <c r="J22" s="528">
        <f t="shared" si="18"/>
        <v>0.25</v>
      </c>
      <c r="K22" s="528">
        <f t="shared" si="19"/>
        <v>2.5000000000000001E-2</v>
      </c>
      <c r="L22" s="528">
        <f>+(H22/F22)*E22</f>
        <v>2.5000000000000001E-2</v>
      </c>
      <c r="M22" s="525">
        <v>239</v>
      </c>
      <c r="N22" s="576">
        <v>0</v>
      </c>
      <c r="O22" s="576">
        <v>16</v>
      </c>
      <c r="P22" s="525"/>
      <c r="Q22" s="525"/>
      <c r="R22" s="525">
        <f t="shared" si="16"/>
        <v>16</v>
      </c>
      <c r="S22" s="525">
        <f t="shared" si="17"/>
        <v>255</v>
      </c>
      <c r="T22" s="528">
        <v>1</v>
      </c>
      <c r="U22" s="528">
        <f t="shared" si="13"/>
        <v>0.23880597014925373</v>
      </c>
      <c r="V22" s="528">
        <f t="shared" si="21"/>
        <v>0.1</v>
      </c>
      <c r="W22" s="528">
        <f>+U22*E22</f>
        <v>2.3880597014925373E-2</v>
      </c>
      <c r="X22" s="543">
        <f t="shared" si="24"/>
        <v>0.89179104477611937</v>
      </c>
      <c r="Y22" s="544">
        <f t="shared" si="4"/>
        <v>0.95149253731343286</v>
      </c>
      <c r="Z22" s="543">
        <f t="shared" si="22"/>
        <v>8.9179104477611945E-2</v>
      </c>
      <c r="AA22" s="544">
        <f t="shared" si="23"/>
        <v>9.5149253731343295E-2</v>
      </c>
      <c r="AB22" s="221" t="s">
        <v>43</v>
      </c>
      <c r="AC22" s="724" t="s">
        <v>44</v>
      </c>
      <c r="AD22" s="724" t="s">
        <v>38</v>
      </c>
      <c r="AE22" s="892" t="s">
        <v>39</v>
      </c>
      <c r="AF22" s="494"/>
      <c r="AG22" s="187"/>
      <c r="AH22" s="187"/>
      <c r="AI22" s="187"/>
    </row>
    <row r="23" spans="1:35" ht="62.25" customHeight="1" thickBot="1" x14ac:dyDescent="0.35">
      <c r="A23" s="331"/>
      <c r="B23" s="1284" t="s">
        <v>82</v>
      </c>
      <c r="C23" s="1285"/>
      <c r="D23" s="495"/>
      <c r="E23" s="522">
        <v>0.1</v>
      </c>
      <c r="F23" s="527"/>
      <c r="G23" s="525"/>
      <c r="H23" s="525"/>
      <c r="I23" s="524">
        <f>+AVERAGE(I24:I25)</f>
        <v>0.625</v>
      </c>
      <c r="J23" s="524">
        <f>+AVERAGE(J24:J25)</f>
        <v>0.25</v>
      </c>
      <c r="K23" s="524">
        <f>+K24+K25</f>
        <v>0.77499999999999991</v>
      </c>
      <c r="L23" s="524">
        <f>+L24+L25</f>
        <v>7.4999999999999997E-2</v>
      </c>
      <c r="M23" s="527"/>
      <c r="N23" s="527"/>
      <c r="O23" s="527"/>
      <c r="P23" s="527"/>
      <c r="Q23" s="527"/>
      <c r="R23" s="527"/>
      <c r="S23" s="527"/>
      <c r="T23" s="579">
        <f>+AVERAGE(T24:T25)</f>
        <v>1</v>
      </c>
      <c r="U23" s="579">
        <f>+AVERAGE(U24:U25)</f>
        <v>0</v>
      </c>
      <c r="V23" s="579">
        <f>+(V24+V25)*E23</f>
        <v>0.1</v>
      </c>
      <c r="W23" s="579">
        <f>+(W24+W25)*E23</f>
        <v>0</v>
      </c>
      <c r="X23" s="539">
        <f>+AVERAGE(X24:X25)</f>
        <v>0.625</v>
      </c>
      <c r="Y23" s="599">
        <f>+AVERAGE(Y24:Y25)</f>
        <v>0.625</v>
      </c>
      <c r="Z23" s="539">
        <f>+(Z24+Z25)*E23</f>
        <v>7.7499999999999999E-2</v>
      </c>
      <c r="AA23" s="599">
        <f>+(AA24+AA25)</f>
        <v>0.77499999999999991</v>
      </c>
      <c r="AB23" s="215"/>
      <c r="AC23" s="494"/>
      <c r="AD23" s="494"/>
      <c r="AE23" s="494"/>
      <c r="AF23" s="494"/>
      <c r="AG23" s="187"/>
      <c r="AH23" s="187"/>
      <c r="AI23" s="187"/>
    </row>
    <row r="24" spans="1:35" ht="94.9" customHeight="1" thickBot="1" x14ac:dyDescent="0.35">
      <c r="A24" s="331"/>
      <c r="B24" s="1070" t="s">
        <v>83</v>
      </c>
      <c r="C24" s="1070" t="s">
        <v>84</v>
      </c>
      <c r="D24" s="495" t="s">
        <v>85</v>
      </c>
      <c r="E24" s="1259">
        <v>0.3</v>
      </c>
      <c r="F24" s="568">
        <v>4</v>
      </c>
      <c r="G24" s="525">
        <v>1</v>
      </c>
      <c r="H24" s="525">
        <v>1</v>
      </c>
      <c r="I24" s="528">
        <f>+G24/F24</f>
        <v>0.25</v>
      </c>
      <c r="J24" s="528">
        <f t="shared" si="18"/>
        <v>0.25</v>
      </c>
      <c r="K24" s="528">
        <f>+(G24/F24)*E24</f>
        <v>7.4999999999999997E-2</v>
      </c>
      <c r="L24" s="528">
        <f>+(H24/F24)*E24</f>
        <v>7.4999999999999997E-2</v>
      </c>
      <c r="M24" s="525">
        <v>1</v>
      </c>
      <c r="N24" s="576">
        <v>0</v>
      </c>
      <c r="O24" s="576">
        <v>0</v>
      </c>
      <c r="P24" s="525"/>
      <c r="Q24" s="525"/>
      <c r="R24" s="525">
        <f t="shared" ref="R24:R25" si="25">+N24+O24+P24+Q24</f>
        <v>0</v>
      </c>
      <c r="S24" s="525">
        <f t="shared" ref="S24:S25" si="26">+R24+M24</f>
        <v>1</v>
      </c>
      <c r="T24" s="528">
        <f>+(M24/G24)</f>
        <v>1</v>
      </c>
      <c r="U24" s="556">
        <f>+R24/H24</f>
        <v>0</v>
      </c>
      <c r="V24" s="556">
        <f>+T24*E24</f>
        <v>0.3</v>
      </c>
      <c r="W24" s="556">
        <f>+U24*E24</f>
        <v>0</v>
      </c>
      <c r="X24" s="606">
        <f>+M24/F24</f>
        <v>0.25</v>
      </c>
      <c r="Y24" s="607">
        <f t="shared" si="4"/>
        <v>0.25</v>
      </c>
      <c r="Z24" s="543">
        <f>+X24*E24</f>
        <v>7.4999999999999997E-2</v>
      </c>
      <c r="AA24" s="544">
        <f>+Y24*E24</f>
        <v>7.4999999999999997E-2</v>
      </c>
      <c r="AB24" s="221" t="s">
        <v>43</v>
      </c>
      <c r="AC24" s="724" t="s">
        <v>44</v>
      </c>
      <c r="AD24" s="724" t="s">
        <v>38</v>
      </c>
      <c r="AE24" s="892" t="s">
        <v>39</v>
      </c>
      <c r="AF24" s="494"/>
      <c r="AG24" s="187"/>
      <c r="AH24" s="187"/>
      <c r="AI24" s="187"/>
    </row>
    <row r="25" spans="1:35" ht="94.9" customHeight="1" thickBot="1" x14ac:dyDescent="0.35">
      <c r="A25" s="331"/>
      <c r="B25" s="1071" t="s">
        <v>86</v>
      </c>
      <c r="C25" s="1071" t="s">
        <v>87</v>
      </c>
      <c r="D25" s="495" t="s">
        <v>85</v>
      </c>
      <c r="E25" s="1259">
        <v>0.7</v>
      </c>
      <c r="F25" s="568">
        <v>20</v>
      </c>
      <c r="G25" s="525">
        <v>20</v>
      </c>
      <c r="H25" s="525"/>
      <c r="I25" s="528">
        <f>+G25/F25</f>
        <v>1</v>
      </c>
      <c r="J25" s="528"/>
      <c r="K25" s="528">
        <f>+(G25/F25)*E25</f>
        <v>0.7</v>
      </c>
      <c r="L25" s="528"/>
      <c r="M25" s="525">
        <v>23</v>
      </c>
      <c r="N25" s="576"/>
      <c r="O25" s="525"/>
      <c r="P25" s="525"/>
      <c r="Q25" s="525"/>
      <c r="R25" s="525">
        <f t="shared" si="25"/>
        <v>0</v>
      </c>
      <c r="S25" s="525">
        <f t="shared" si="26"/>
        <v>23</v>
      </c>
      <c r="T25" s="528">
        <v>1</v>
      </c>
      <c r="U25" s="556"/>
      <c r="V25" s="556">
        <f>+T25*E25</f>
        <v>0.7</v>
      </c>
      <c r="W25" s="556"/>
      <c r="X25" s="606">
        <v>1</v>
      </c>
      <c r="Y25" s="607">
        <v>1</v>
      </c>
      <c r="Z25" s="543">
        <f>+X25*E25</f>
        <v>0.7</v>
      </c>
      <c r="AA25" s="544">
        <f>+Y25*E25</f>
        <v>0.7</v>
      </c>
      <c r="AB25" s="221" t="s">
        <v>36</v>
      </c>
      <c r="AC25" s="886" t="s">
        <v>88</v>
      </c>
      <c r="AD25" s="724" t="s">
        <v>38</v>
      </c>
      <c r="AE25" s="892" t="s">
        <v>39</v>
      </c>
      <c r="AF25" s="494"/>
      <c r="AG25" s="187"/>
      <c r="AH25" s="187"/>
      <c r="AI25" s="187"/>
    </row>
    <row r="26" spans="1:35" ht="94.9" customHeight="1" thickBot="1" x14ac:dyDescent="0.35">
      <c r="A26" s="331"/>
      <c r="B26" s="1284" t="s">
        <v>89</v>
      </c>
      <c r="C26" s="1285"/>
      <c r="D26" s="495"/>
      <c r="E26" s="522">
        <v>0.1</v>
      </c>
      <c r="F26" s="527"/>
      <c r="G26" s="525"/>
      <c r="H26" s="525"/>
      <c r="I26" s="524">
        <f>+AVERAGE(I27:I30)</f>
        <v>0.15590277777777778</v>
      </c>
      <c r="J26" s="524">
        <f>+AVERAGE(J27:J30)</f>
        <v>0.26105944444444446</v>
      </c>
      <c r="K26" s="524">
        <f>+K27+K28+K29+K30</f>
        <v>0.15590277777777778</v>
      </c>
      <c r="L26" s="524">
        <f>+L27+L28+L29+L30</f>
        <v>0.26105944444444446</v>
      </c>
      <c r="M26" s="527"/>
      <c r="N26" s="527"/>
      <c r="O26" s="527"/>
      <c r="P26" s="527"/>
      <c r="Q26" s="527"/>
      <c r="R26" s="527"/>
      <c r="S26" s="527"/>
      <c r="T26" s="579">
        <f>+AVERAGE(T27:T30)</f>
        <v>1</v>
      </c>
      <c r="U26" s="579">
        <f>+AVERAGE(U27:U30)</f>
        <v>0.74375000000000002</v>
      </c>
      <c r="V26" s="579">
        <f>+(V27+V28+V29+V30)*E26</f>
        <v>0.1</v>
      </c>
      <c r="W26" s="579">
        <f>+(W27+W28+W29+W30)*E26</f>
        <v>7.4375000000000011E-2</v>
      </c>
      <c r="X26" s="539">
        <f>+AVERAGE(X27:X30)</f>
        <v>0.22168277777777778</v>
      </c>
      <c r="Y26" s="599">
        <f>+AVERAGE(Y27:Y30)</f>
        <v>0.47391249999999996</v>
      </c>
      <c r="Z26" s="539">
        <f>+(Z27+Z28+Z29+Z30)*E26</f>
        <v>2.216827777777778E-2</v>
      </c>
      <c r="AA26" s="599">
        <f>+(AA27+AA28+AA29+AA30)</f>
        <v>0.47391249999999996</v>
      </c>
      <c r="AB26" s="215"/>
      <c r="AC26" s="494"/>
      <c r="AD26" s="494"/>
      <c r="AE26" s="494"/>
      <c r="AF26" s="494"/>
      <c r="AG26" s="187"/>
      <c r="AH26" s="187"/>
      <c r="AI26" s="187"/>
    </row>
    <row r="27" spans="1:35" ht="94.9" customHeight="1" thickBot="1" x14ac:dyDescent="0.35">
      <c r="A27" s="331"/>
      <c r="B27" s="1070" t="s">
        <v>90</v>
      </c>
      <c r="C27" s="1070" t="s">
        <v>91</v>
      </c>
      <c r="D27" s="495" t="s">
        <v>92</v>
      </c>
      <c r="E27" s="1259">
        <v>0.25</v>
      </c>
      <c r="F27" s="1260">
        <v>100000</v>
      </c>
      <c r="G27" s="525">
        <v>20000</v>
      </c>
      <c r="H27" s="525">
        <v>21646</v>
      </c>
      <c r="I27" s="528">
        <f>+G27/F27</f>
        <v>0.2</v>
      </c>
      <c r="J27" s="528">
        <f t="shared" si="18"/>
        <v>0.21646000000000001</v>
      </c>
      <c r="K27" s="528">
        <f>+(G27/F27)*E27</f>
        <v>0.05</v>
      </c>
      <c r="L27" s="528">
        <f>+(H27/F27)*E27</f>
        <v>5.4115000000000003E-2</v>
      </c>
      <c r="M27" s="525">
        <v>45062</v>
      </c>
      <c r="N27" s="576">
        <v>5568</v>
      </c>
      <c r="O27" s="576">
        <v>20185</v>
      </c>
      <c r="P27" s="525"/>
      <c r="Q27" s="525"/>
      <c r="R27" s="525">
        <f>+N27+O27+P27+Q27</f>
        <v>25753</v>
      </c>
      <c r="S27" s="525">
        <f>+R27+M27</f>
        <v>70815</v>
      </c>
      <c r="T27" s="528">
        <v>1</v>
      </c>
      <c r="U27" s="556">
        <v>1</v>
      </c>
      <c r="V27" s="556">
        <f>+T27*E27</f>
        <v>0.25</v>
      </c>
      <c r="W27" s="556">
        <f>+U27*E27</f>
        <v>0.25</v>
      </c>
      <c r="X27" s="606">
        <f>+M27/F27</f>
        <v>0.45062000000000002</v>
      </c>
      <c r="Y27" s="607">
        <f>+S27/F27</f>
        <v>0.70814999999999995</v>
      </c>
      <c r="Z27" s="606">
        <f>+X27*E27</f>
        <v>0.11265500000000001</v>
      </c>
      <c r="AA27" s="607">
        <f>+Y27*E27</f>
        <v>0.17703749999999999</v>
      </c>
      <c r="AB27" s="221" t="s">
        <v>43</v>
      </c>
      <c r="AC27" s="724" t="s">
        <v>44</v>
      </c>
      <c r="AD27" s="892" t="s">
        <v>38</v>
      </c>
      <c r="AE27" s="892" t="s">
        <v>39</v>
      </c>
      <c r="AF27" s="494"/>
      <c r="AG27" s="187"/>
      <c r="AH27" s="187"/>
      <c r="AI27" s="187"/>
    </row>
    <row r="28" spans="1:35" ht="94.9" customHeight="1" thickBot="1" x14ac:dyDescent="0.35">
      <c r="A28" s="331"/>
      <c r="B28" s="1070" t="s">
        <v>93</v>
      </c>
      <c r="C28" s="1070" t="s">
        <v>94</v>
      </c>
      <c r="D28" s="495" t="s">
        <v>92</v>
      </c>
      <c r="E28" s="1259">
        <v>0.25</v>
      </c>
      <c r="F28" s="568">
        <v>400</v>
      </c>
      <c r="G28" s="525">
        <v>25</v>
      </c>
      <c r="H28" s="525">
        <v>120</v>
      </c>
      <c r="I28" s="528">
        <f>+G28/F28</f>
        <v>6.25E-2</v>
      </c>
      <c r="J28" s="528">
        <f t="shared" si="18"/>
        <v>0.3</v>
      </c>
      <c r="K28" s="528">
        <f>+(G28/F28)*E28</f>
        <v>1.5625E-2</v>
      </c>
      <c r="L28" s="528">
        <f t="shared" ref="L28:L29" si="27">+(H28/F28)*E28</f>
        <v>7.4999999999999997E-2</v>
      </c>
      <c r="M28" s="525">
        <v>30</v>
      </c>
      <c r="N28" s="576">
        <v>0</v>
      </c>
      <c r="O28" s="576">
        <v>45</v>
      </c>
      <c r="P28" s="525"/>
      <c r="Q28" s="525"/>
      <c r="R28" s="525">
        <f t="shared" ref="R28:R30" si="28">+N28+O28+P28+Q28</f>
        <v>45</v>
      </c>
      <c r="S28" s="525">
        <f t="shared" ref="S28:S30" si="29">+R28+M28</f>
        <v>75</v>
      </c>
      <c r="T28" s="528">
        <v>1</v>
      </c>
      <c r="U28" s="556">
        <f>+R28/H28</f>
        <v>0.375</v>
      </c>
      <c r="V28" s="556">
        <f>+T28*E28</f>
        <v>0.25</v>
      </c>
      <c r="W28" s="556">
        <f>+U28*E28</f>
        <v>9.375E-2</v>
      </c>
      <c r="X28" s="606">
        <f>+M28/F28</f>
        <v>7.4999999999999997E-2</v>
      </c>
      <c r="Y28" s="607">
        <f t="shared" si="4"/>
        <v>0.1875</v>
      </c>
      <c r="Z28" s="606">
        <f>+X28*E28</f>
        <v>1.8749999999999999E-2</v>
      </c>
      <c r="AA28" s="607">
        <f>+Y28*E28</f>
        <v>4.6875E-2</v>
      </c>
      <c r="AB28" s="221" t="s">
        <v>43</v>
      </c>
      <c r="AC28" s="724" t="s">
        <v>44</v>
      </c>
      <c r="AD28" s="892" t="s">
        <v>38</v>
      </c>
      <c r="AE28" s="892" t="s">
        <v>39</v>
      </c>
      <c r="AF28" s="494"/>
      <c r="AG28" s="187"/>
      <c r="AH28" s="187"/>
      <c r="AI28" s="187"/>
    </row>
    <row r="29" spans="1:35" ht="94.9" customHeight="1" thickBot="1" x14ac:dyDescent="0.35">
      <c r="A29" s="331"/>
      <c r="B29" s="1070" t="s">
        <v>95</v>
      </c>
      <c r="C29" s="1070" t="s">
        <v>96</v>
      </c>
      <c r="D29" s="495" t="s">
        <v>92</v>
      </c>
      <c r="E29" s="1259">
        <v>0.25</v>
      </c>
      <c r="F29" s="568">
        <v>1</v>
      </c>
      <c r="G29" s="525">
        <v>0.25</v>
      </c>
      <c r="H29" s="525">
        <v>0.25</v>
      </c>
      <c r="I29" s="528">
        <f>+G29/F29</f>
        <v>0.25</v>
      </c>
      <c r="J29" s="528">
        <f t="shared" si="18"/>
        <v>0.25</v>
      </c>
      <c r="K29" s="528">
        <f>+(G29/F29)*E29</f>
        <v>6.25E-2</v>
      </c>
      <c r="L29" s="528">
        <f t="shared" si="27"/>
        <v>6.25E-2</v>
      </c>
      <c r="M29" s="525">
        <v>0.25</v>
      </c>
      <c r="N29" s="576">
        <v>0.05</v>
      </c>
      <c r="O29" s="576">
        <v>0.1</v>
      </c>
      <c r="P29" s="525"/>
      <c r="Q29" s="525"/>
      <c r="R29" s="525">
        <f t="shared" si="28"/>
        <v>0.15000000000000002</v>
      </c>
      <c r="S29" s="525">
        <f t="shared" si="29"/>
        <v>0.4</v>
      </c>
      <c r="T29" s="528">
        <f>+(M29/G29)</f>
        <v>1</v>
      </c>
      <c r="U29" s="556">
        <f t="shared" ref="U29" si="30">+R29/H29</f>
        <v>0.60000000000000009</v>
      </c>
      <c r="V29" s="556">
        <f>+T29*E29</f>
        <v>0.25</v>
      </c>
      <c r="W29" s="556">
        <f t="shared" ref="W29" si="31">+U29*E29</f>
        <v>0.15000000000000002</v>
      </c>
      <c r="X29" s="606">
        <f>+M29/F29</f>
        <v>0.25</v>
      </c>
      <c r="Y29" s="607">
        <f t="shared" si="4"/>
        <v>0.4</v>
      </c>
      <c r="Z29" s="606">
        <f>+X29*E29</f>
        <v>6.25E-2</v>
      </c>
      <c r="AA29" s="607">
        <f>+Y29*E29</f>
        <v>0.1</v>
      </c>
      <c r="AB29" s="221" t="s">
        <v>43</v>
      </c>
      <c r="AC29" s="724" t="s">
        <v>44</v>
      </c>
      <c r="AD29" s="892" t="s">
        <v>38</v>
      </c>
      <c r="AE29" s="892" t="s">
        <v>39</v>
      </c>
      <c r="AF29" s="494"/>
      <c r="AG29" s="187"/>
      <c r="AH29" s="187"/>
      <c r="AI29" s="187"/>
    </row>
    <row r="30" spans="1:35" ht="94.9" customHeight="1" thickBot="1" x14ac:dyDescent="0.35">
      <c r="A30" s="331"/>
      <c r="B30" s="1070" t="s">
        <v>97</v>
      </c>
      <c r="C30" s="1070" t="s">
        <v>98</v>
      </c>
      <c r="D30" s="495" t="s">
        <v>92</v>
      </c>
      <c r="E30" s="1259">
        <v>0.25</v>
      </c>
      <c r="F30" s="568">
        <v>180</v>
      </c>
      <c r="G30" s="525">
        <v>20</v>
      </c>
      <c r="H30" s="525">
        <v>50</v>
      </c>
      <c r="I30" s="528">
        <f>+G30/F30</f>
        <v>0.1111111111111111</v>
      </c>
      <c r="J30" s="528">
        <f t="shared" si="18"/>
        <v>0.27777777777777779</v>
      </c>
      <c r="K30" s="528">
        <f>+(G30/F30)*E30</f>
        <v>2.7777777777777776E-2</v>
      </c>
      <c r="L30" s="528">
        <f>+(H30/F30)*E30</f>
        <v>6.9444444444444448E-2</v>
      </c>
      <c r="M30" s="525">
        <v>20</v>
      </c>
      <c r="N30" s="576">
        <v>8</v>
      </c>
      <c r="O30" s="576">
        <v>80</v>
      </c>
      <c r="P30" s="525"/>
      <c r="Q30" s="525"/>
      <c r="R30" s="525">
        <f t="shared" si="28"/>
        <v>88</v>
      </c>
      <c r="S30" s="525">
        <f t="shared" si="29"/>
        <v>108</v>
      </c>
      <c r="T30" s="528">
        <f>+(M30/G30)</f>
        <v>1</v>
      </c>
      <c r="U30" s="556">
        <v>1</v>
      </c>
      <c r="V30" s="556">
        <f>+T30*E30</f>
        <v>0.25</v>
      </c>
      <c r="W30" s="556">
        <f>+U30*E30</f>
        <v>0.25</v>
      </c>
      <c r="X30" s="606">
        <f>+M30/F30</f>
        <v>0.1111111111111111</v>
      </c>
      <c r="Y30" s="607">
        <f t="shared" si="4"/>
        <v>0.6</v>
      </c>
      <c r="Z30" s="606">
        <f>+X30*E30</f>
        <v>2.7777777777777776E-2</v>
      </c>
      <c r="AA30" s="607">
        <f>+Y30*E30</f>
        <v>0.15</v>
      </c>
      <c r="AB30" s="221" t="s">
        <v>43</v>
      </c>
      <c r="AC30" s="724" t="s">
        <v>44</v>
      </c>
      <c r="AD30" s="892" t="s">
        <v>38</v>
      </c>
      <c r="AE30" s="892" t="s">
        <v>39</v>
      </c>
      <c r="AF30" s="494"/>
      <c r="AG30" s="187"/>
      <c r="AH30" s="187"/>
      <c r="AI30" s="187"/>
    </row>
    <row r="31" spans="1:35" ht="94.9" customHeight="1" thickBot="1" x14ac:dyDescent="0.35">
      <c r="A31" s="331"/>
      <c r="B31" s="1286" t="s">
        <v>99</v>
      </c>
      <c r="C31" s="1285"/>
      <c r="D31" s="494"/>
      <c r="E31" s="529">
        <v>0.1</v>
      </c>
      <c r="F31" s="529">
        <f>+E31*V31</f>
        <v>6.4343375000000022E-2</v>
      </c>
      <c r="G31" s="527"/>
      <c r="H31" s="529">
        <f>E31*W31</f>
        <v>3.7769832740114181E-2</v>
      </c>
      <c r="I31" s="519">
        <f>+(I32+I36+I39+I44+I52+I57+I77+I87)/8</f>
        <v>0.23923611111111112</v>
      </c>
      <c r="J31" s="519">
        <f>+(J32+J36+J39+J44+J52+J57+J77+J87)/8</f>
        <v>0.32471065083979328</v>
      </c>
      <c r="K31" s="520">
        <f>+(K32+K36+K39+K44+K52+K57+K77+K87)/8</f>
        <v>0.16062499999999999</v>
      </c>
      <c r="L31" s="520"/>
      <c r="M31" s="527"/>
      <c r="N31" s="527"/>
      <c r="O31" s="527"/>
      <c r="P31" s="527"/>
      <c r="Q31" s="527"/>
      <c r="R31" s="527"/>
      <c r="S31" s="527"/>
      <c r="T31" s="519">
        <f>+(T32+T36+T39+T44+T52+T57+T77+T87)/8</f>
        <v>0.90306155303030311</v>
      </c>
      <c r="U31" s="519">
        <f>+(U32+U36+U39+U44+U52+U57+U77+U87)/8</f>
        <v>0.40853792240693437</v>
      </c>
      <c r="V31" s="520">
        <f>+V32+V36+V39+V44+V52+V57+V77+V87</f>
        <v>0.64343375000000014</v>
      </c>
      <c r="W31" s="520">
        <f>+W32+W36+W39+W44+W52+W57+W77+W87</f>
        <v>0.37769832740114179</v>
      </c>
      <c r="X31" s="605">
        <f>+(X32+X36+X39+X44+X52+X57+X77+X87)/8</f>
        <v>0.25041408617424243</v>
      </c>
      <c r="Y31" s="598">
        <f>+(Y32+Y36+Y39+Y44+Y52+Y57+Y77+Y87)/8</f>
        <v>0.34966418650793651</v>
      </c>
      <c r="Z31" s="597">
        <f>+Z32+Z36+Z39+Z44+Z52+Z57+Z77+Z87</f>
        <v>0.19896443750000001</v>
      </c>
      <c r="AA31" s="776">
        <f>+(AA32*E32)+(AA36*E36)+(AA39*E39)+(AA44*E44)+(AA52*E52)+(AA57*E57)+(AA77*E77)+(AA87*E87)</f>
        <v>0.31228099999999998</v>
      </c>
      <c r="AB31" s="207"/>
      <c r="AC31" s="494"/>
      <c r="AD31" s="494"/>
      <c r="AE31" s="494"/>
      <c r="AF31" s="494"/>
      <c r="AG31" s="187"/>
      <c r="AH31" s="187"/>
      <c r="AI31" s="187"/>
    </row>
    <row r="32" spans="1:35" ht="94.9" customHeight="1" thickBot="1" x14ac:dyDescent="0.35">
      <c r="A32" s="331"/>
      <c r="B32" s="1284" t="s">
        <v>100</v>
      </c>
      <c r="C32" s="1285"/>
      <c r="D32" s="1258"/>
      <c r="E32" s="522">
        <v>0.15</v>
      </c>
      <c r="F32" s="527"/>
      <c r="G32" s="525"/>
      <c r="H32" s="525"/>
      <c r="I32" s="524">
        <f>+AVERAGE(I33:I35)</f>
        <v>0.17500000000000002</v>
      </c>
      <c r="J32" s="524">
        <f>+AVERAGE(J33:J35)</f>
        <v>0.25</v>
      </c>
      <c r="K32" s="524">
        <f>+K33+K34+K35</f>
        <v>0.1525</v>
      </c>
      <c r="L32" s="524">
        <f>+L33+L34+L35</f>
        <v>0.245</v>
      </c>
      <c r="M32" s="525"/>
      <c r="N32" s="525"/>
      <c r="O32" s="525"/>
      <c r="P32" s="525"/>
      <c r="Q32" s="525"/>
      <c r="R32" s="525"/>
      <c r="S32" s="525"/>
      <c r="T32" s="579">
        <f>+AVERAGE(T33:T35)</f>
        <v>1</v>
      </c>
      <c r="U32" s="579">
        <f>+AVERAGE(U33:U35)</f>
        <v>0.6246666666666667</v>
      </c>
      <c r="V32" s="579">
        <f>+(V33+V34+V35)*E32</f>
        <v>0.15</v>
      </c>
      <c r="W32" s="579">
        <f>+(W33+W34+W35)*E32</f>
        <v>0.12744</v>
      </c>
      <c r="X32" s="539">
        <f>+AVERAGE(X33:X35)</f>
        <v>0.36919999999999997</v>
      </c>
      <c r="Y32" s="599">
        <f>+AVERAGE(Y33:Y35)</f>
        <v>0.55993333333333328</v>
      </c>
      <c r="Z32" s="539">
        <f>+(Z33+Z34+Z35)*E32</f>
        <v>6.1731000000000001E-2</v>
      </c>
      <c r="AA32" s="599">
        <f>+(AA33+AA34+AA35)</f>
        <v>0.67142000000000002</v>
      </c>
      <c r="AB32" s="215"/>
      <c r="AC32" s="494"/>
      <c r="AD32" s="494"/>
      <c r="AE32" s="494"/>
      <c r="AF32" s="494"/>
      <c r="AG32" s="187"/>
      <c r="AH32" s="187"/>
      <c r="AI32" s="187"/>
    </row>
    <row r="33" spans="1:35" ht="94.9" customHeight="1" thickBot="1" x14ac:dyDescent="0.35">
      <c r="A33" s="331"/>
      <c r="B33" s="1070" t="s">
        <v>101</v>
      </c>
      <c r="C33" s="1070" t="s">
        <v>102</v>
      </c>
      <c r="D33" s="495" t="s">
        <v>103</v>
      </c>
      <c r="E33" s="1261">
        <v>0.4</v>
      </c>
      <c r="F33" s="568">
        <v>5000</v>
      </c>
      <c r="G33" s="525">
        <v>500</v>
      </c>
      <c r="H33" s="525">
        <v>1500</v>
      </c>
      <c r="I33" s="528">
        <f>+G33/F33</f>
        <v>0.1</v>
      </c>
      <c r="J33" s="528">
        <f t="shared" ref="J33:J43" si="32">+H33/F33</f>
        <v>0.3</v>
      </c>
      <c r="K33" s="528">
        <f>+(G33/F33)*E33</f>
        <v>4.0000000000000008E-2</v>
      </c>
      <c r="L33" s="528">
        <f>+(H33/F33)*E33</f>
        <v>0.12</v>
      </c>
      <c r="M33" s="525">
        <v>2113</v>
      </c>
      <c r="N33" s="576">
        <v>950</v>
      </c>
      <c r="O33" s="576">
        <v>361</v>
      </c>
      <c r="P33" s="525"/>
      <c r="Q33" s="525"/>
      <c r="R33" s="525">
        <f t="shared" ref="R33" si="33">+N33+O33+P33+Q33</f>
        <v>1311</v>
      </c>
      <c r="S33" s="525">
        <f t="shared" ref="S33" si="34">+R33+M33</f>
        <v>3424</v>
      </c>
      <c r="T33" s="528">
        <v>1</v>
      </c>
      <c r="U33" s="556">
        <f>+R33/H33</f>
        <v>0.874</v>
      </c>
      <c r="V33" s="556">
        <f>+T33*E33</f>
        <v>0.4</v>
      </c>
      <c r="W33" s="556">
        <f>+U33*E33</f>
        <v>0.34960000000000002</v>
      </c>
      <c r="X33" s="606">
        <f>+M33/F33</f>
        <v>0.42259999999999998</v>
      </c>
      <c r="Y33" s="607">
        <f t="shared" ref="Y33:Y35" si="35">+S33/F33</f>
        <v>0.68479999999999996</v>
      </c>
      <c r="Z33" s="543">
        <f>+X33*E33</f>
        <v>0.16904</v>
      </c>
      <c r="AA33" s="544">
        <f>+Y33*E33</f>
        <v>0.27392</v>
      </c>
      <c r="AB33" s="221" t="s">
        <v>43</v>
      </c>
      <c r="AC33" s="724" t="s">
        <v>44</v>
      </c>
      <c r="AD33" s="892" t="s">
        <v>38</v>
      </c>
      <c r="AE33" s="892" t="s">
        <v>39</v>
      </c>
      <c r="AF33" s="494"/>
      <c r="AG33" s="187"/>
      <c r="AH33" s="187"/>
      <c r="AI33" s="187"/>
    </row>
    <row r="34" spans="1:35" ht="94.9" customHeight="1" thickBot="1" x14ac:dyDescent="0.35">
      <c r="A34" s="331"/>
      <c r="B34" s="1070" t="s">
        <v>104</v>
      </c>
      <c r="C34" s="1070" t="s">
        <v>105</v>
      </c>
      <c r="D34" s="495" t="s">
        <v>103</v>
      </c>
      <c r="E34" s="1261">
        <v>0.5</v>
      </c>
      <c r="F34" s="568">
        <v>200</v>
      </c>
      <c r="G34" s="525">
        <v>35</v>
      </c>
      <c r="H34" s="525">
        <v>40</v>
      </c>
      <c r="I34" s="528">
        <f>+G34/F34</f>
        <v>0.17499999999999999</v>
      </c>
      <c r="J34" s="528">
        <f t="shared" si="32"/>
        <v>0.2</v>
      </c>
      <c r="K34" s="528">
        <f>+(G34/F34)*E34</f>
        <v>8.7499999999999994E-2</v>
      </c>
      <c r="L34" s="528">
        <f t="shared" ref="L34:L90" si="36">+(H34/F34)*E34</f>
        <v>0.1</v>
      </c>
      <c r="M34" s="525">
        <v>87</v>
      </c>
      <c r="N34" s="576">
        <v>27</v>
      </c>
      <c r="O34" s="576">
        <v>35</v>
      </c>
      <c r="P34" s="525"/>
      <c r="Q34" s="525"/>
      <c r="R34" s="525">
        <f t="shared" ref="R34:R35" si="37">+N34+O34+P34+Q34</f>
        <v>62</v>
      </c>
      <c r="S34" s="525">
        <f t="shared" ref="S34:S35" si="38">+R34+M34</f>
        <v>149</v>
      </c>
      <c r="T34" s="528">
        <v>1</v>
      </c>
      <c r="U34" s="556">
        <v>1</v>
      </c>
      <c r="V34" s="556">
        <f>+T34*E34</f>
        <v>0.5</v>
      </c>
      <c r="W34" s="556">
        <f t="shared" ref="W34:W35" si="39">+U34*E34</f>
        <v>0.5</v>
      </c>
      <c r="X34" s="606">
        <f>+M34/F34</f>
        <v>0.435</v>
      </c>
      <c r="Y34" s="607">
        <f t="shared" si="35"/>
        <v>0.745</v>
      </c>
      <c r="Z34" s="543">
        <f>+X34*E34</f>
        <v>0.2175</v>
      </c>
      <c r="AA34" s="544">
        <f>+Y34*E34</f>
        <v>0.3725</v>
      </c>
      <c r="AB34" s="221" t="s">
        <v>43</v>
      </c>
      <c r="AC34" s="724" t="s">
        <v>44</v>
      </c>
      <c r="AD34" s="892" t="s">
        <v>38</v>
      </c>
      <c r="AE34" s="892" t="s">
        <v>39</v>
      </c>
      <c r="AF34" s="494"/>
      <c r="AG34" s="187"/>
      <c r="AH34" s="187"/>
      <c r="AI34" s="187"/>
    </row>
    <row r="35" spans="1:35" ht="108.6" customHeight="1" thickBot="1" x14ac:dyDescent="0.35">
      <c r="A35" s="331"/>
      <c r="B35" s="1070" t="s">
        <v>106</v>
      </c>
      <c r="C35" s="1070" t="s">
        <v>107</v>
      </c>
      <c r="D35" s="495" t="s">
        <v>103</v>
      </c>
      <c r="E35" s="1261">
        <v>0.1</v>
      </c>
      <c r="F35" s="568">
        <v>4</v>
      </c>
      <c r="G35" s="525">
        <v>1</v>
      </c>
      <c r="H35" s="525">
        <v>1</v>
      </c>
      <c r="I35" s="528">
        <f>+G35/F35</f>
        <v>0.25</v>
      </c>
      <c r="J35" s="528">
        <f t="shared" si="32"/>
        <v>0.25</v>
      </c>
      <c r="K35" s="528">
        <f>+(G35/F35)*E35</f>
        <v>2.5000000000000001E-2</v>
      </c>
      <c r="L35" s="528">
        <f t="shared" si="36"/>
        <v>2.5000000000000001E-2</v>
      </c>
      <c r="M35" s="525">
        <v>1</v>
      </c>
      <c r="N35" s="576">
        <v>0</v>
      </c>
      <c r="O35" s="576">
        <v>0</v>
      </c>
      <c r="P35" s="525"/>
      <c r="Q35" s="525"/>
      <c r="R35" s="525">
        <f t="shared" si="37"/>
        <v>0</v>
      </c>
      <c r="S35" s="525">
        <f t="shared" si="38"/>
        <v>1</v>
      </c>
      <c r="T35" s="528">
        <f>+(M35/G35)</f>
        <v>1</v>
      </c>
      <c r="U35" s="556">
        <f>+R35/H35</f>
        <v>0</v>
      </c>
      <c r="V35" s="556">
        <f>+T35*E35</f>
        <v>0.1</v>
      </c>
      <c r="W35" s="556">
        <f t="shared" si="39"/>
        <v>0</v>
      </c>
      <c r="X35" s="606">
        <f>+M35/F35</f>
        <v>0.25</v>
      </c>
      <c r="Y35" s="607">
        <f t="shared" si="35"/>
        <v>0.25</v>
      </c>
      <c r="Z35" s="543">
        <f>+X35*E35</f>
        <v>2.5000000000000001E-2</v>
      </c>
      <c r="AA35" s="544">
        <f>+Y35*E35</f>
        <v>2.5000000000000001E-2</v>
      </c>
      <c r="AB35" s="221" t="s">
        <v>43</v>
      </c>
      <c r="AC35" s="724" t="s">
        <v>44</v>
      </c>
      <c r="AD35" s="892" t="s">
        <v>38</v>
      </c>
      <c r="AE35" s="892" t="s">
        <v>39</v>
      </c>
      <c r="AF35" s="494"/>
      <c r="AG35" s="187"/>
      <c r="AH35" s="187"/>
      <c r="AI35" s="187"/>
    </row>
    <row r="36" spans="1:35" ht="62.25" customHeight="1" thickBot="1" x14ac:dyDescent="0.35">
      <c r="A36" s="331"/>
      <c r="B36" s="1284" t="s">
        <v>108</v>
      </c>
      <c r="C36" s="1285"/>
      <c r="D36" s="495"/>
      <c r="E36" s="522">
        <v>0.1</v>
      </c>
      <c r="F36" s="527"/>
      <c r="G36" s="527"/>
      <c r="H36" s="527"/>
      <c r="I36" s="524">
        <f>+AVERAGE(I37:I38)</f>
        <v>0.25</v>
      </c>
      <c r="J36" s="524">
        <f>+AVERAGE(J37:J38)</f>
        <v>0.21249999999999999</v>
      </c>
      <c r="K36" s="524">
        <f>+K37+K38</f>
        <v>0.25</v>
      </c>
      <c r="L36" s="524">
        <f>+L37+L38</f>
        <v>0.19</v>
      </c>
      <c r="M36" s="527"/>
      <c r="N36" s="527"/>
      <c r="O36" s="527"/>
      <c r="P36" s="527"/>
      <c r="Q36" s="527"/>
      <c r="R36" s="527"/>
      <c r="S36" s="527"/>
      <c r="T36" s="579">
        <f>+AVERAGE(T37:T38)</f>
        <v>1</v>
      </c>
      <c r="U36" s="579">
        <f>+AVERAGE(U37:U38)</f>
        <v>0</v>
      </c>
      <c r="V36" s="579">
        <f>+(V37+V38)*E36</f>
        <v>0.1</v>
      </c>
      <c r="W36" s="579">
        <f>+(W37+W38)*E36</f>
        <v>0</v>
      </c>
      <c r="X36" s="539">
        <f>+AVERAGE(X37:X38)</f>
        <v>0.33499999999999996</v>
      </c>
      <c r="Y36" s="599">
        <f>+AVERAGE(Y37:Y38)</f>
        <v>0.33499999999999996</v>
      </c>
      <c r="Z36" s="539">
        <f>+(Z37+Z38)*E36</f>
        <v>3.8600000000000002E-2</v>
      </c>
      <c r="AA36" s="599">
        <f>+(AA37+AA38)</f>
        <v>0.38600000000000001</v>
      </c>
      <c r="AB36" s="215"/>
      <c r="AC36" s="494"/>
      <c r="AD36" s="494"/>
      <c r="AE36" s="494"/>
      <c r="AF36" s="494"/>
      <c r="AG36" s="187"/>
      <c r="AH36" s="187"/>
      <c r="AI36" s="187"/>
    </row>
    <row r="37" spans="1:35" ht="103.15" customHeight="1" thickBot="1" x14ac:dyDescent="0.35">
      <c r="A37" s="331"/>
      <c r="B37" s="1070" t="s">
        <v>109</v>
      </c>
      <c r="C37" s="1070" t="s">
        <v>110</v>
      </c>
      <c r="D37" s="495" t="s">
        <v>103</v>
      </c>
      <c r="E37" s="1259">
        <v>0.8</v>
      </c>
      <c r="F37" s="568">
        <v>200</v>
      </c>
      <c r="G37" s="525">
        <v>50</v>
      </c>
      <c r="H37" s="525">
        <v>35</v>
      </c>
      <c r="I37" s="528">
        <f>+G37/F37</f>
        <v>0.25</v>
      </c>
      <c r="J37" s="528">
        <f t="shared" si="32"/>
        <v>0.17499999999999999</v>
      </c>
      <c r="K37" s="528">
        <f>+(G37/F37)*E37</f>
        <v>0.2</v>
      </c>
      <c r="L37" s="528">
        <f t="shared" si="36"/>
        <v>0.13999999999999999</v>
      </c>
      <c r="M37" s="525">
        <v>84</v>
      </c>
      <c r="N37" s="576">
        <v>0</v>
      </c>
      <c r="O37" s="576">
        <v>0</v>
      </c>
      <c r="P37" s="525"/>
      <c r="Q37" s="525"/>
      <c r="R37" s="525">
        <f t="shared" ref="R37" si="40">+N37+O37+P37+Q37</f>
        <v>0</v>
      </c>
      <c r="S37" s="525">
        <f t="shared" ref="S37" si="41">+R37+M37</f>
        <v>84</v>
      </c>
      <c r="T37" s="528">
        <v>1</v>
      </c>
      <c r="U37" s="528">
        <f>+R37/H37</f>
        <v>0</v>
      </c>
      <c r="V37" s="528">
        <f>+T37*E37</f>
        <v>0.8</v>
      </c>
      <c r="W37" s="528">
        <f>+U37*E37</f>
        <v>0</v>
      </c>
      <c r="X37" s="606">
        <f>+M37/F37</f>
        <v>0.42</v>
      </c>
      <c r="Y37" s="607">
        <f>+S37/F37</f>
        <v>0.42</v>
      </c>
      <c r="Z37" s="543">
        <f>+X37*E37</f>
        <v>0.33600000000000002</v>
      </c>
      <c r="AA37" s="544">
        <f>+Y37*E37</f>
        <v>0.33600000000000002</v>
      </c>
      <c r="AB37" s="221" t="s">
        <v>43</v>
      </c>
      <c r="AC37" s="724" t="s">
        <v>44</v>
      </c>
      <c r="AD37" s="892" t="s">
        <v>38</v>
      </c>
      <c r="AE37" s="892" t="s">
        <v>39</v>
      </c>
      <c r="AF37" s="494"/>
      <c r="AG37" s="187"/>
      <c r="AH37" s="187"/>
      <c r="AI37" s="187"/>
    </row>
    <row r="38" spans="1:35" ht="84.6" customHeight="1" thickBot="1" x14ac:dyDescent="0.35">
      <c r="A38" s="331"/>
      <c r="B38" s="1070" t="s">
        <v>111</v>
      </c>
      <c r="C38" s="1070" t="s">
        <v>112</v>
      </c>
      <c r="D38" s="495" t="s">
        <v>103</v>
      </c>
      <c r="E38" s="1259">
        <v>0.2</v>
      </c>
      <c r="F38" s="568">
        <v>4</v>
      </c>
      <c r="G38" s="525">
        <v>1</v>
      </c>
      <c r="H38" s="525">
        <v>1</v>
      </c>
      <c r="I38" s="528">
        <f>+G38/F38</f>
        <v>0.25</v>
      </c>
      <c r="J38" s="528">
        <f t="shared" si="32"/>
        <v>0.25</v>
      </c>
      <c r="K38" s="528">
        <f>+(G38/F38)*E38</f>
        <v>0.05</v>
      </c>
      <c r="L38" s="528">
        <f t="shared" si="36"/>
        <v>0.05</v>
      </c>
      <c r="M38" s="525">
        <v>1</v>
      </c>
      <c r="N38" s="576">
        <v>0</v>
      </c>
      <c r="O38" s="576">
        <v>0</v>
      </c>
      <c r="P38" s="525"/>
      <c r="Q38" s="525"/>
      <c r="R38" s="525">
        <f t="shared" ref="R38" si="42">+N38+O38+P38+Q38</f>
        <v>0</v>
      </c>
      <c r="S38" s="525">
        <f t="shared" ref="S38" si="43">+R38+M38</f>
        <v>1</v>
      </c>
      <c r="T38" s="528">
        <f>+(M38/G38)</f>
        <v>1</v>
      </c>
      <c r="U38" s="528">
        <f>+R38/H38</f>
        <v>0</v>
      </c>
      <c r="V38" s="528">
        <f>+T38*E38</f>
        <v>0.2</v>
      </c>
      <c r="W38" s="528">
        <f>+U38*E38</f>
        <v>0</v>
      </c>
      <c r="X38" s="606">
        <f>+M38/F38</f>
        <v>0.25</v>
      </c>
      <c r="Y38" s="607">
        <f>+S38/F38</f>
        <v>0.25</v>
      </c>
      <c r="Z38" s="543">
        <f>+X38*E38</f>
        <v>0.05</v>
      </c>
      <c r="AA38" s="544">
        <f>+Y38*E38</f>
        <v>0.05</v>
      </c>
      <c r="AB38" s="221" t="s">
        <v>43</v>
      </c>
      <c r="AC38" s="724" t="s">
        <v>44</v>
      </c>
      <c r="AD38" s="892" t="s">
        <v>38</v>
      </c>
      <c r="AE38" s="892" t="s">
        <v>39</v>
      </c>
      <c r="AF38" s="494"/>
      <c r="AG38" s="187"/>
      <c r="AH38" s="187"/>
      <c r="AI38" s="187"/>
    </row>
    <row r="39" spans="1:35" ht="46.5" customHeight="1" thickBot="1" x14ac:dyDescent="0.35">
      <c r="A39" s="331"/>
      <c r="B39" s="1284" t="s">
        <v>113</v>
      </c>
      <c r="C39" s="1285"/>
      <c r="D39" s="495"/>
      <c r="E39" s="522">
        <v>0.15</v>
      </c>
      <c r="F39" s="527"/>
      <c r="G39" s="525"/>
      <c r="H39" s="525"/>
      <c r="I39" s="524">
        <f>+AVERAGE(I40:I43)</f>
        <v>0.18333333333333335</v>
      </c>
      <c r="J39" s="524">
        <f>+AVERAGE(J40:J43)</f>
        <v>0.2583333333333333</v>
      </c>
      <c r="K39" s="524">
        <f>+K40+K41+K42+K43</f>
        <v>0.18333333333333335</v>
      </c>
      <c r="L39" s="524">
        <f>+L40+L41+L42+L43</f>
        <v>0.2583333333333333</v>
      </c>
      <c r="M39" s="527"/>
      <c r="N39" s="527"/>
      <c r="O39" s="527"/>
      <c r="P39" s="527"/>
      <c r="Q39" s="527"/>
      <c r="R39" s="527"/>
      <c r="S39" s="527"/>
      <c r="T39" s="579">
        <f>+AVERAGE(T40:T43)</f>
        <v>1</v>
      </c>
      <c r="U39" s="579">
        <f>+AVERAGE(U40:U43)</f>
        <v>0.625</v>
      </c>
      <c r="V39" s="579">
        <f>+(V40+V41+V42+V43)*E39</f>
        <v>0.15</v>
      </c>
      <c r="W39" s="579">
        <f>+(W40+W41+W42+W43)*E39</f>
        <v>9.375E-2</v>
      </c>
      <c r="X39" s="539">
        <f>+AVERAGE(X40:X43)</f>
        <v>0.27083333333333337</v>
      </c>
      <c r="Y39" s="599">
        <f>+AVERAGE(Y40:Y43)</f>
        <v>0.4375</v>
      </c>
      <c r="Z39" s="539">
        <f>+(Z40+Z41+Z42+Z43)*E39</f>
        <v>3.6874999999999998E-2</v>
      </c>
      <c r="AA39" s="599">
        <f>+(AA40+AA41+AA42+AA43)</f>
        <v>0.41249999999999998</v>
      </c>
      <c r="AB39" s="215"/>
      <c r="AC39" s="494"/>
      <c r="AD39" s="494"/>
      <c r="AE39" s="494"/>
      <c r="AF39" s="494"/>
      <c r="AG39" s="187"/>
      <c r="AH39" s="187"/>
      <c r="AI39" s="187"/>
    </row>
    <row r="40" spans="1:35" ht="89.45" customHeight="1" thickBot="1" x14ac:dyDescent="0.35">
      <c r="A40" s="331"/>
      <c r="B40" s="1196" t="s">
        <v>114</v>
      </c>
      <c r="C40" s="1196" t="s">
        <v>115</v>
      </c>
      <c r="D40" s="495" t="s">
        <v>47</v>
      </c>
      <c r="E40" s="1259">
        <v>0.35</v>
      </c>
      <c r="F40" s="568">
        <v>4</v>
      </c>
      <c r="G40" s="525">
        <v>1</v>
      </c>
      <c r="H40" s="525">
        <v>1</v>
      </c>
      <c r="I40" s="528">
        <f>+G40/F40</f>
        <v>0.25</v>
      </c>
      <c r="J40" s="528">
        <f t="shared" si="32"/>
        <v>0.25</v>
      </c>
      <c r="K40" s="528">
        <f>+(G40/F40)*E40</f>
        <v>8.7499999999999994E-2</v>
      </c>
      <c r="L40" s="528">
        <f t="shared" si="36"/>
        <v>8.7499999999999994E-2</v>
      </c>
      <c r="M40" s="525">
        <v>1</v>
      </c>
      <c r="N40" s="576">
        <v>0</v>
      </c>
      <c r="O40" s="576">
        <v>1</v>
      </c>
      <c r="P40" s="525"/>
      <c r="Q40" s="525"/>
      <c r="R40" s="525">
        <f t="shared" ref="R40" si="44">+N40+O40+P40+Q40</f>
        <v>1</v>
      </c>
      <c r="S40" s="525">
        <f t="shared" ref="S40" si="45">+R40+M40</f>
        <v>2</v>
      </c>
      <c r="T40" s="528">
        <f>+(M40/G40)</f>
        <v>1</v>
      </c>
      <c r="U40" s="528">
        <f>+R40/H40</f>
        <v>1</v>
      </c>
      <c r="V40" s="528">
        <f>+T40*E40</f>
        <v>0.35</v>
      </c>
      <c r="W40" s="528">
        <f>+U40*E40</f>
        <v>0.35</v>
      </c>
      <c r="X40" s="606">
        <f>+M40/F40</f>
        <v>0.25</v>
      </c>
      <c r="Y40" s="607">
        <f>+S40/F40</f>
        <v>0.5</v>
      </c>
      <c r="Z40" s="543">
        <f>+X40*E40</f>
        <v>8.7499999999999994E-2</v>
      </c>
      <c r="AA40" s="544">
        <f>+Y40*E40</f>
        <v>0.17499999999999999</v>
      </c>
      <c r="AB40" s="221" t="s">
        <v>43</v>
      </c>
      <c r="AC40" s="724" t="s">
        <v>44</v>
      </c>
      <c r="AD40" s="892" t="s">
        <v>38</v>
      </c>
      <c r="AE40" s="892" t="s">
        <v>39</v>
      </c>
      <c r="AF40" s="494"/>
      <c r="AG40" s="187"/>
      <c r="AH40" s="187"/>
      <c r="AI40" s="187"/>
    </row>
    <row r="41" spans="1:35" ht="64.150000000000006" customHeight="1" thickBot="1" x14ac:dyDescent="0.35">
      <c r="A41" s="331"/>
      <c r="B41" s="1070" t="s">
        <v>116</v>
      </c>
      <c r="C41" s="1070" t="s">
        <v>117</v>
      </c>
      <c r="D41" s="495" t="s">
        <v>47</v>
      </c>
      <c r="E41" s="1259">
        <v>0.25</v>
      </c>
      <c r="F41" s="568">
        <v>20</v>
      </c>
      <c r="G41" s="525">
        <v>3</v>
      </c>
      <c r="H41" s="525">
        <v>4</v>
      </c>
      <c r="I41" s="530">
        <f>+G41/F41</f>
        <v>0.15</v>
      </c>
      <c r="J41" s="528">
        <f t="shared" si="32"/>
        <v>0.2</v>
      </c>
      <c r="K41" s="530">
        <f>+(G41/F41)*E41</f>
        <v>3.7499999999999999E-2</v>
      </c>
      <c r="L41" s="528">
        <f t="shared" si="36"/>
        <v>0.05</v>
      </c>
      <c r="M41" s="531">
        <v>5</v>
      </c>
      <c r="N41" s="576">
        <v>0</v>
      </c>
      <c r="O41" s="580">
        <v>0</v>
      </c>
      <c r="P41" s="531"/>
      <c r="Q41" s="531"/>
      <c r="R41" s="525">
        <f t="shared" ref="R41:R43" si="46">+N41+O41+P41+Q41</f>
        <v>0</v>
      </c>
      <c r="S41" s="525">
        <f t="shared" ref="S41:S43" si="47">+R41+M41</f>
        <v>5</v>
      </c>
      <c r="T41" s="528">
        <v>1</v>
      </c>
      <c r="U41" s="528">
        <f t="shared" ref="U41:U70" si="48">+R41/H41</f>
        <v>0</v>
      </c>
      <c r="V41" s="528">
        <f>+T41*E41</f>
        <v>0.25</v>
      </c>
      <c r="W41" s="528">
        <f t="shared" ref="W41:W89" si="49">+U41*E41</f>
        <v>0</v>
      </c>
      <c r="X41" s="606">
        <f>+M41/F41</f>
        <v>0.25</v>
      </c>
      <c r="Y41" s="607">
        <f t="shared" ref="Y41:Y73" si="50">+S41/F41</f>
        <v>0.25</v>
      </c>
      <c r="Z41" s="543">
        <f>+X41*E41</f>
        <v>6.25E-2</v>
      </c>
      <c r="AA41" s="544">
        <f>+Y41*E41</f>
        <v>6.25E-2</v>
      </c>
      <c r="AB41" s="221" t="s">
        <v>43</v>
      </c>
      <c r="AC41" s="724" t="s">
        <v>44</v>
      </c>
      <c r="AD41" s="892" t="s">
        <v>38</v>
      </c>
      <c r="AE41" s="892" t="s">
        <v>39</v>
      </c>
      <c r="AF41" s="494"/>
      <c r="AG41" s="187"/>
      <c r="AH41" s="187"/>
      <c r="AI41" s="187"/>
    </row>
    <row r="42" spans="1:35" ht="74.45" customHeight="1" thickBot="1" x14ac:dyDescent="0.35">
      <c r="A42" s="331"/>
      <c r="B42" s="1070" t="s">
        <v>118</v>
      </c>
      <c r="C42" s="1070" t="s">
        <v>119</v>
      </c>
      <c r="D42" s="495" t="s">
        <v>47</v>
      </c>
      <c r="E42" s="1259">
        <v>0.25</v>
      </c>
      <c r="F42" s="568">
        <v>12</v>
      </c>
      <c r="G42" s="525">
        <v>1</v>
      </c>
      <c r="H42" s="532">
        <v>4</v>
      </c>
      <c r="I42" s="533">
        <f>+G42/F42</f>
        <v>8.3333333333333329E-2</v>
      </c>
      <c r="J42" s="528">
        <f t="shared" si="32"/>
        <v>0.33333333333333331</v>
      </c>
      <c r="K42" s="534">
        <f>+(G42/F42)*E42</f>
        <v>2.0833333333333332E-2</v>
      </c>
      <c r="L42" s="528">
        <f t="shared" si="36"/>
        <v>8.3333333333333329E-2</v>
      </c>
      <c r="M42" s="535">
        <v>1</v>
      </c>
      <c r="N42" s="580">
        <v>0</v>
      </c>
      <c r="O42" s="1207">
        <v>2</v>
      </c>
      <c r="P42" s="581"/>
      <c r="Q42" s="535"/>
      <c r="R42" s="531">
        <f t="shared" si="46"/>
        <v>2</v>
      </c>
      <c r="S42" s="525">
        <f t="shared" si="47"/>
        <v>3</v>
      </c>
      <c r="T42" s="528">
        <f>+(M42/G42)</f>
        <v>1</v>
      </c>
      <c r="U42" s="528">
        <f t="shared" si="48"/>
        <v>0.5</v>
      </c>
      <c r="V42" s="528">
        <f>+T42*E42</f>
        <v>0.25</v>
      </c>
      <c r="W42" s="528">
        <f t="shared" si="49"/>
        <v>0.125</v>
      </c>
      <c r="X42" s="606">
        <f>+M42/F42</f>
        <v>8.3333333333333329E-2</v>
      </c>
      <c r="Y42" s="607">
        <f t="shared" si="50"/>
        <v>0.25</v>
      </c>
      <c r="Z42" s="543">
        <f>+X42*E42</f>
        <v>2.0833333333333332E-2</v>
      </c>
      <c r="AA42" s="544">
        <f>+Y42*E42</f>
        <v>6.25E-2</v>
      </c>
      <c r="AB42" s="221" t="s">
        <v>43</v>
      </c>
      <c r="AC42" s="724" t="s">
        <v>44</v>
      </c>
      <c r="AD42" s="892" t="s">
        <v>38</v>
      </c>
      <c r="AE42" s="892" t="s">
        <v>39</v>
      </c>
      <c r="AF42" s="494"/>
      <c r="AG42" s="187"/>
      <c r="AH42" s="187"/>
      <c r="AI42" s="187"/>
    </row>
    <row r="43" spans="1:35" ht="90" customHeight="1" thickBot="1" x14ac:dyDescent="0.35">
      <c r="A43" s="331"/>
      <c r="B43" s="1070" t="s">
        <v>120</v>
      </c>
      <c r="C43" s="1070" t="s">
        <v>121</v>
      </c>
      <c r="D43" s="495" t="s">
        <v>69</v>
      </c>
      <c r="E43" s="1259">
        <v>0.15</v>
      </c>
      <c r="F43" s="568">
        <v>8</v>
      </c>
      <c r="G43" s="525">
        <v>2</v>
      </c>
      <c r="H43" s="532">
        <v>2</v>
      </c>
      <c r="I43" s="536">
        <f>+G43/F43</f>
        <v>0.25</v>
      </c>
      <c r="J43" s="528">
        <f t="shared" si="32"/>
        <v>0.25</v>
      </c>
      <c r="K43" s="530">
        <f>+(G43/F43)*E43</f>
        <v>3.7499999999999999E-2</v>
      </c>
      <c r="L43" s="528">
        <f t="shared" si="36"/>
        <v>3.7499999999999999E-2</v>
      </c>
      <c r="M43" s="537">
        <v>4</v>
      </c>
      <c r="N43" s="582">
        <v>0</v>
      </c>
      <c r="O43" s="582">
        <v>2</v>
      </c>
      <c r="P43" s="583"/>
      <c r="Q43" s="537"/>
      <c r="R43" s="583">
        <f t="shared" si="46"/>
        <v>2</v>
      </c>
      <c r="S43" s="525">
        <f t="shared" si="47"/>
        <v>6</v>
      </c>
      <c r="T43" s="528">
        <v>1</v>
      </c>
      <c r="U43" s="528">
        <f t="shared" si="48"/>
        <v>1</v>
      </c>
      <c r="V43" s="528">
        <f>+T43*E43</f>
        <v>0.15</v>
      </c>
      <c r="W43" s="528">
        <f t="shared" si="49"/>
        <v>0.15</v>
      </c>
      <c r="X43" s="606">
        <f>+M43/F43</f>
        <v>0.5</v>
      </c>
      <c r="Y43" s="609">
        <f t="shared" si="50"/>
        <v>0.75</v>
      </c>
      <c r="Z43" s="543">
        <f>+X43*E43</f>
        <v>7.4999999999999997E-2</v>
      </c>
      <c r="AA43" s="544">
        <f>+Y43*E43</f>
        <v>0.11249999999999999</v>
      </c>
      <c r="AB43" s="221" t="s">
        <v>43</v>
      </c>
      <c r="AC43" s="724" t="s">
        <v>44</v>
      </c>
      <c r="AD43" s="892" t="s">
        <v>38</v>
      </c>
      <c r="AE43" s="892" t="s">
        <v>39</v>
      </c>
      <c r="AF43" s="494"/>
      <c r="AG43" s="187"/>
      <c r="AH43" s="187"/>
      <c r="AI43" s="187"/>
    </row>
    <row r="44" spans="1:35" ht="100.5" customHeight="1" thickBot="1" x14ac:dyDescent="0.35">
      <c r="A44" s="331"/>
      <c r="B44" s="1284" t="s">
        <v>122</v>
      </c>
      <c r="C44" s="1285"/>
      <c r="D44" s="495"/>
      <c r="E44" s="522">
        <v>0.15</v>
      </c>
      <c r="F44" s="527"/>
      <c r="G44" s="525"/>
      <c r="H44" s="532"/>
      <c r="I44" s="538">
        <f>+AVERAGE(I45:I51)</f>
        <v>0.30555555555555552</v>
      </c>
      <c r="J44" s="539">
        <f>+AVERAGE(J45:J51)</f>
        <v>0.6347222222222223</v>
      </c>
      <c r="K44" s="540">
        <f>+K45+K46+K47+K48+K49+K50+K51</f>
        <v>0.16666666666666666</v>
      </c>
      <c r="L44" s="541">
        <f>+L45+L46+L47+L48+L49+L50+L51</f>
        <v>0.53083333333333338</v>
      </c>
      <c r="M44" s="542"/>
      <c r="N44" s="584"/>
      <c r="O44" s="584"/>
      <c r="P44" s="585"/>
      <c r="Q44" s="584"/>
      <c r="R44" s="585"/>
      <c r="S44" s="584"/>
      <c r="T44" s="579">
        <f>+AVERAGE(T45:T51)</f>
        <v>0.33333333333333331</v>
      </c>
      <c r="U44" s="579">
        <f>+AVERAGE(U45:U51)</f>
        <v>0.14212121212121212</v>
      </c>
      <c r="V44" s="579">
        <f>+(V45+V46+V47+V48+V49+V50+V51)*E44</f>
        <v>1.4999999999999999E-2</v>
      </c>
      <c r="W44" s="579">
        <f>+(W45+W46+W47+W48+W49+W50+W51)*E44</f>
        <v>1.2790909090909091E-2</v>
      </c>
      <c r="X44" s="539">
        <f>+AVERAGE(X45:X51)</f>
        <v>8.3333333333333329E-2</v>
      </c>
      <c r="Y44" s="611">
        <f>+X44+((Y45/7)+(Y46/7)+(Y47/7)+(Y48/7)+(Y49/7)+(Y50/7)+((Y51-X51)/7))</f>
        <v>0.12428571428571428</v>
      </c>
      <c r="Z44" s="539">
        <f>+(Z45+Z46+Z47+Z48+Z49+Z50+Z51)*E44</f>
        <v>3.7499999999999999E-3</v>
      </c>
      <c r="AA44" s="599">
        <f>+(AA45+AA46+AA47+AA48+AA49+AA50+AA51)</f>
        <v>5.3666666666666668E-2</v>
      </c>
      <c r="AB44" s="215"/>
      <c r="AC44" s="494"/>
      <c r="AD44" s="494"/>
      <c r="AE44" s="494"/>
      <c r="AF44" s="494"/>
      <c r="AG44" s="187"/>
      <c r="AH44" s="187"/>
      <c r="AI44" s="187"/>
    </row>
    <row r="45" spans="1:35" ht="138" customHeight="1" thickBot="1" x14ac:dyDescent="0.35">
      <c r="A45" s="331"/>
      <c r="B45" s="1070" t="s">
        <v>123</v>
      </c>
      <c r="C45" s="1070" t="s">
        <v>124</v>
      </c>
      <c r="D45" s="495" t="s">
        <v>47</v>
      </c>
      <c r="E45" s="1259">
        <v>0.25</v>
      </c>
      <c r="F45" s="568">
        <v>2</v>
      </c>
      <c r="G45" s="525">
        <v>1</v>
      </c>
      <c r="H45" s="1209">
        <v>2</v>
      </c>
      <c r="I45" s="536">
        <f t="shared" ref="I45:I51" si="51">+G45/F45</f>
        <v>0.5</v>
      </c>
      <c r="J45" s="543">
        <f>+H45/F45</f>
        <v>1</v>
      </c>
      <c r="K45" s="544">
        <f t="shared" ref="K45:K51" si="52">+(G45/F45)*E45</f>
        <v>0.125</v>
      </c>
      <c r="L45" s="545">
        <f>+(H45/F45)*E45</f>
        <v>0.25</v>
      </c>
      <c r="M45" s="546">
        <v>0</v>
      </c>
      <c r="N45" s="582">
        <v>0</v>
      </c>
      <c r="O45" s="1208">
        <v>0</v>
      </c>
      <c r="P45" s="547"/>
      <c r="Q45" s="586"/>
      <c r="R45" s="547">
        <f t="shared" ref="R45" si="53">+N45+O45+P45+Q45</f>
        <v>0</v>
      </c>
      <c r="S45" s="587">
        <f>+R45+M45</f>
        <v>0</v>
      </c>
      <c r="T45" s="528">
        <f t="shared" ref="T45:T51" si="54">+(M45/G45)</f>
        <v>0</v>
      </c>
      <c r="U45" s="528">
        <f t="shared" si="48"/>
        <v>0</v>
      </c>
      <c r="V45" s="528">
        <f>+T45*E45</f>
        <v>0</v>
      </c>
      <c r="W45" s="528">
        <f t="shared" si="49"/>
        <v>0</v>
      </c>
      <c r="X45" s="606">
        <f t="shared" ref="X45:X51" si="55">+M45/F45</f>
        <v>0</v>
      </c>
      <c r="Y45" s="615">
        <f t="shared" si="50"/>
        <v>0</v>
      </c>
      <c r="Z45" s="543">
        <f>+X45*E45</f>
        <v>0</v>
      </c>
      <c r="AA45" s="544">
        <f>+Y45*E45</f>
        <v>0</v>
      </c>
      <c r="AB45" s="221" t="s">
        <v>43</v>
      </c>
      <c r="AC45" s="724" t="s">
        <v>44</v>
      </c>
      <c r="AD45" s="892" t="s">
        <v>38</v>
      </c>
      <c r="AE45" s="892" t="s">
        <v>39</v>
      </c>
      <c r="AF45" s="494"/>
      <c r="AG45" s="187"/>
      <c r="AH45" s="187"/>
      <c r="AI45" s="187"/>
    </row>
    <row r="46" spans="1:35" ht="138" customHeight="1" thickBot="1" x14ac:dyDescent="0.35">
      <c r="A46" s="331"/>
      <c r="B46" s="1070" t="s">
        <v>125</v>
      </c>
      <c r="C46" s="1070" t="s">
        <v>126</v>
      </c>
      <c r="D46" s="495" t="s">
        <v>47</v>
      </c>
      <c r="E46" s="1259">
        <v>0.1</v>
      </c>
      <c r="F46" s="568">
        <v>1</v>
      </c>
      <c r="G46" s="525">
        <v>0</v>
      </c>
      <c r="H46" s="532">
        <v>1</v>
      </c>
      <c r="I46" s="536"/>
      <c r="J46" s="543">
        <f t="shared" ref="J46:J50" si="56">+H46/F46</f>
        <v>1</v>
      </c>
      <c r="K46" s="544"/>
      <c r="L46" s="545">
        <f>+(H46/F46)*E46</f>
        <v>0.1</v>
      </c>
      <c r="M46" s="547"/>
      <c r="N46" s="582">
        <v>0</v>
      </c>
      <c r="O46" s="1210">
        <v>0</v>
      </c>
      <c r="P46" s="589"/>
      <c r="Q46" s="588"/>
      <c r="R46" s="547">
        <f t="shared" ref="R46:R48" si="57">+N46+O46+P46+Q46</f>
        <v>0</v>
      </c>
      <c r="S46" s="587">
        <f t="shared" ref="S46:S48" si="58">+R46+M46</f>
        <v>0</v>
      </c>
      <c r="T46" s="528"/>
      <c r="U46" s="528">
        <f>+R46/H46</f>
        <v>0</v>
      </c>
      <c r="V46" s="528"/>
      <c r="W46" s="528">
        <f t="shared" si="49"/>
        <v>0</v>
      </c>
      <c r="X46" s="606"/>
      <c r="Y46" s="615">
        <f t="shared" si="50"/>
        <v>0</v>
      </c>
      <c r="Z46" s="543">
        <v>0</v>
      </c>
      <c r="AA46" s="544">
        <f t="shared" ref="AA46:AA51" si="59">+Y46*E46</f>
        <v>0</v>
      </c>
      <c r="AB46" s="221" t="s">
        <v>43</v>
      </c>
      <c r="AC46" s="752" t="s">
        <v>127</v>
      </c>
      <c r="AD46" s="892" t="s">
        <v>38</v>
      </c>
      <c r="AE46" s="892" t="s">
        <v>39</v>
      </c>
      <c r="AF46" s="494"/>
      <c r="AG46" s="187"/>
      <c r="AH46" s="187"/>
      <c r="AI46" s="187"/>
    </row>
    <row r="47" spans="1:35" ht="138" customHeight="1" thickBot="1" x14ac:dyDescent="0.35">
      <c r="A47" s="331"/>
      <c r="B47" s="1070" t="s">
        <v>128</v>
      </c>
      <c r="C47" s="1070" t="s">
        <v>129</v>
      </c>
      <c r="D47" s="495" t="s">
        <v>47</v>
      </c>
      <c r="E47" s="1259">
        <v>0.1</v>
      </c>
      <c r="F47" s="568">
        <v>1200</v>
      </c>
      <c r="G47" s="525">
        <v>200</v>
      </c>
      <c r="H47" s="532">
        <v>550</v>
      </c>
      <c r="I47" s="536">
        <f t="shared" si="51"/>
        <v>0.16666666666666666</v>
      </c>
      <c r="J47" s="543">
        <f t="shared" si="56"/>
        <v>0.45833333333333331</v>
      </c>
      <c r="K47" s="544">
        <f t="shared" si="52"/>
        <v>1.6666666666666666E-2</v>
      </c>
      <c r="L47" s="545">
        <f>+(H47/F47)*E47</f>
        <v>4.5833333333333337E-2</v>
      </c>
      <c r="M47" s="547">
        <v>0</v>
      </c>
      <c r="N47" s="582">
        <v>194</v>
      </c>
      <c r="O47" s="1211">
        <v>0</v>
      </c>
      <c r="P47" s="547"/>
      <c r="Q47" s="590"/>
      <c r="R47" s="547">
        <f t="shared" si="57"/>
        <v>194</v>
      </c>
      <c r="S47" s="587">
        <f t="shared" si="58"/>
        <v>194</v>
      </c>
      <c r="T47" s="528">
        <f t="shared" si="54"/>
        <v>0</v>
      </c>
      <c r="U47" s="528">
        <f t="shared" si="48"/>
        <v>0.35272727272727272</v>
      </c>
      <c r="V47" s="528">
        <f>+T47*E47</f>
        <v>0</v>
      </c>
      <c r="W47" s="528">
        <f t="shared" si="49"/>
        <v>3.5272727272727275E-2</v>
      </c>
      <c r="X47" s="606">
        <f t="shared" si="55"/>
        <v>0</v>
      </c>
      <c r="Y47" s="607">
        <f t="shared" si="50"/>
        <v>0.16166666666666665</v>
      </c>
      <c r="Z47" s="543">
        <f>+X47*E47</f>
        <v>0</v>
      </c>
      <c r="AA47" s="544">
        <f t="shared" si="59"/>
        <v>1.6166666666666666E-2</v>
      </c>
      <c r="AB47" s="221" t="s">
        <v>43</v>
      </c>
      <c r="AC47" s="724" t="s">
        <v>44</v>
      </c>
      <c r="AD47" s="892" t="s">
        <v>38</v>
      </c>
      <c r="AE47" s="892" t="s">
        <v>130</v>
      </c>
      <c r="AF47" s="494"/>
      <c r="AG47" s="187"/>
      <c r="AH47" s="187"/>
      <c r="AI47" s="187"/>
    </row>
    <row r="48" spans="1:35" ht="138" customHeight="1" thickBot="1" x14ac:dyDescent="0.35">
      <c r="A48" s="331"/>
      <c r="B48" s="1070" t="s">
        <v>131</v>
      </c>
      <c r="C48" s="1070" t="s">
        <v>132</v>
      </c>
      <c r="D48" s="495" t="s">
        <v>47</v>
      </c>
      <c r="E48" s="1259">
        <v>0.1</v>
      </c>
      <c r="F48" s="568">
        <v>1</v>
      </c>
      <c r="G48" s="525">
        <v>0</v>
      </c>
      <c r="H48" s="1209">
        <v>0.5</v>
      </c>
      <c r="I48" s="536"/>
      <c r="J48" s="543">
        <f t="shared" si="56"/>
        <v>0.5</v>
      </c>
      <c r="K48" s="544"/>
      <c r="L48" s="545">
        <f t="shared" si="36"/>
        <v>0.05</v>
      </c>
      <c r="M48" s="548"/>
      <c r="N48" s="582">
        <v>0</v>
      </c>
      <c r="O48" s="590"/>
      <c r="P48" s="547"/>
      <c r="Q48" s="590"/>
      <c r="R48" s="547">
        <f t="shared" si="57"/>
        <v>0</v>
      </c>
      <c r="S48" s="587">
        <f t="shared" si="58"/>
        <v>0</v>
      </c>
      <c r="T48" s="528"/>
      <c r="U48" s="528">
        <f t="shared" si="48"/>
        <v>0</v>
      </c>
      <c r="V48" s="528"/>
      <c r="W48" s="528">
        <f t="shared" si="49"/>
        <v>0</v>
      </c>
      <c r="X48" s="606"/>
      <c r="Y48" s="607">
        <f t="shared" si="50"/>
        <v>0</v>
      </c>
      <c r="Z48" s="543">
        <v>0</v>
      </c>
      <c r="AA48" s="544">
        <f t="shared" si="59"/>
        <v>0</v>
      </c>
      <c r="AB48" s="221" t="s">
        <v>43</v>
      </c>
      <c r="AC48" s="739" t="s">
        <v>133</v>
      </c>
      <c r="AD48" s="739" t="s">
        <v>134</v>
      </c>
      <c r="AE48" s="892" t="s">
        <v>130</v>
      </c>
      <c r="AF48" s="494"/>
      <c r="AG48" s="187"/>
      <c r="AH48" s="187"/>
      <c r="AI48" s="187"/>
    </row>
    <row r="49" spans="1:35" ht="138" customHeight="1" thickBot="1" x14ac:dyDescent="0.35">
      <c r="A49" s="331"/>
      <c r="B49" s="1070" t="s">
        <v>135</v>
      </c>
      <c r="C49" s="1070" t="s">
        <v>136</v>
      </c>
      <c r="D49" s="495" t="s">
        <v>47</v>
      </c>
      <c r="E49" s="1259">
        <v>0.25</v>
      </c>
      <c r="F49" s="568">
        <v>5</v>
      </c>
      <c r="G49" s="525">
        <v>0</v>
      </c>
      <c r="H49" s="532">
        <v>0</v>
      </c>
      <c r="I49" s="536"/>
      <c r="J49" s="543"/>
      <c r="K49" s="544"/>
      <c r="L49" s="545">
        <f t="shared" si="36"/>
        <v>0</v>
      </c>
      <c r="M49" s="547"/>
      <c r="N49" s="582"/>
      <c r="O49" s="1210"/>
      <c r="P49" s="591"/>
      <c r="Q49" s="588"/>
      <c r="R49" s="547"/>
      <c r="S49" s="587">
        <f t="shared" ref="S49:S51" si="60">+R49+M49</f>
        <v>0</v>
      </c>
      <c r="T49" s="528"/>
      <c r="U49" s="528"/>
      <c r="V49" s="528"/>
      <c r="W49" s="528">
        <f t="shared" si="49"/>
        <v>0</v>
      </c>
      <c r="X49" s="606"/>
      <c r="Y49" s="607"/>
      <c r="Z49" s="543">
        <v>0</v>
      </c>
      <c r="AA49" s="544">
        <f t="shared" si="59"/>
        <v>0</v>
      </c>
      <c r="AB49" s="221" t="s">
        <v>43</v>
      </c>
      <c r="AC49" s="724" t="s">
        <v>44</v>
      </c>
      <c r="AD49" s="892" t="s">
        <v>38</v>
      </c>
      <c r="AE49" s="892" t="s">
        <v>39</v>
      </c>
      <c r="AF49" s="494"/>
      <c r="AG49" s="187"/>
      <c r="AH49" s="187"/>
      <c r="AI49" s="187"/>
    </row>
    <row r="50" spans="1:35" ht="138" customHeight="1" thickBot="1" x14ac:dyDescent="0.35">
      <c r="A50" s="331"/>
      <c r="B50" s="1070" t="s">
        <v>137</v>
      </c>
      <c r="C50" s="1070" t="s">
        <v>138</v>
      </c>
      <c r="D50" s="495" t="s">
        <v>47</v>
      </c>
      <c r="E50" s="1259">
        <v>0.1</v>
      </c>
      <c r="F50" s="568">
        <v>5</v>
      </c>
      <c r="G50" s="525">
        <v>0</v>
      </c>
      <c r="H50" s="532">
        <v>3</v>
      </c>
      <c r="I50" s="536"/>
      <c r="J50" s="543">
        <f t="shared" si="56"/>
        <v>0.6</v>
      </c>
      <c r="K50" s="549"/>
      <c r="L50" s="545">
        <f t="shared" si="36"/>
        <v>0.06</v>
      </c>
      <c r="M50" s="583"/>
      <c r="N50" s="582">
        <v>0</v>
      </c>
      <c r="O50" s="576">
        <v>0</v>
      </c>
      <c r="P50" s="561"/>
      <c r="Q50" s="525"/>
      <c r="R50" s="547">
        <f t="shared" ref="R50:R51" si="61">+N50+O50+P50+Q50</f>
        <v>0</v>
      </c>
      <c r="S50" s="587">
        <f t="shared" si="60"/>
        <v>0</v>
      </c>
      <c r="T50" s="528"/>
      <c r="U50" s="528">
        <f t="shared" si="48"/>
        <v>0</v>
      </c>
      <c r="V50" s="528"/>
      <c r="W50" s="528">
        <f t="shared" si="49"/>
        <v>0</v>
      </c>
      <c r="X50" s="606"/>
      <c r="Y50" s="609">
        <f t="shared" si="50"/>
        <v>0</v>
      </c>
      <c r="Z50" s="543">
        <v>0</v>
      </c>
      <c r="AA50" s="544">
        <f t="shared" si="59"/>
        <v>0</v>
      </c>
      <c r="AB50" s="221" t="s">
        <v>43</v>
      </c>
      <c r="AC50" s="752" t="s">
        <v>127</v>
      </c>
      <c r="AD50" s="892" t="s">
        <v>38</v>
      </c>
      <c r="AE50" s="892" t="s">
        <v>39</v>
      </c>
      <c r="AF50" s="494"/>
      <c r="AG50" s="187"/>
      <c r="AH50" s="187"/>
      <c r="AI50" s="187"/>
    </row>
    <row r="51" spans="1:35" ht="138" customHeight="1" thickBot="1" x14ac:dyDescent="0.35">
      <c r="A51" s="331"/>
      <c r="B51" s="1070" t="s">
        <v>139</v>
      </c>
      <c r="C51" s="1070" t="s">
        <v>140</v>
      </c>
      <c r="D51" s="495" t="s">
        <v>47</v>
      </c>
      <c r="E51" s="1259">
        <v>0.1</v>
      </c>
      <c r="F51" s="568">
        <f>33*4</f>
        <v>132</v>
      </c>
      <c r="G51" s="525">
        <v>33</v>
      </c>
      <c r="H51" s="532">
        <v>33</v>
      </c>
      <c r="I51" s="536">
        <f t="shared" si="51"/>
        <v>0.25</v>
      </c>
      <c r="J51" s="543">
        <f>+H51/F51</f>
        <v>0.25</v>
      </c>
      <c r="K51" s="545">
        <f t="shared" si="52"/>
        <v>2.5000000000000001E-2</v>
      </c>
      <c r="L51" s="545">
        <f t="shared" si="36"/>
        <v>2.5000000000000001E-2</v>
      </c>
      <c r="M51" s="583">
        <v>33</v>
      </c>
      <c r="N51" s="582">
        <v>33</v>
      </c>
      <c r="O51" s="525">
        <v>0</v>
      </c>
      <c r="P51" s="525"/>
      <c r="Q51" s="525"/>
      <c r="R51" s="547">
        <f t="shared" si="61"/>
        <v>33</v>
      </c>
      <c r="S51" s="587">
        <f t="shared" si="60"/>
        <v>66</v>
      </c>
      <c r="T51" s="528">
        <f t="shared" si="54"/>
        <v>1</v>
      </c>
      <c r="U51" s="528">
        <v>0.5</v>
      </c>
      <c r="V51" s="528">
        <f>+T51*E51</f>
        <v>0.1</v>
      </c>
      <c r="W51" s="528">
        <f t="shared" si="49"/>
        <v>0.05</v>
      </c>
      <c r="X51" s="606">
        <f t="shared" si="55"/>
        <v>0.25</v>
      </c>
      <c r="Y51" s="609">
        <f>+X51+6.25%+6.25%</f>
        <v>0.375</v>
      </c>
      <c r="Z51" s="543">
        <f>+X51*E51</f>
        <v>2.5000000000000001E-2</v>
      </c>
      <c r="AA51" s="544">
        <f t="shared" si="59"/>
        <v>3.7500000000000006E-2</v>
      </c>
      <c r="AB51" s="221" t="s">
        <v>43</v>
      </c>
      <c r="AC51" s="724" t="s">
        <v>44</v>
      </c>
      <c r="AD51" s="892" t="s">
        <v>38</v>
      </c>
      <c r="AE51" s="892" t="s">
        <v>39</v>
      </c>
      <c r="AF51" s="494"/>
      <c r="AG51" s="187"/>
      <c r="AH51" s="187"/>
      <c r="AI51" s="187"/>
    </row>
    <row r="52" spans="1:35" ht="138" customHeight="1" thickBot="1" x14ac:dyDescent="0.35">
      <c r="A52" s="331"/>
      <c r="B52" s="1284" t="s">
        <v>141</v>
      </c>
      <c r="C52" s="1285"/>
      <c r="D52" s="495"/>
      <c r="E52" s="522">
        <v>0.15</v>
      </c>
      <c r="F52" s="527"/>
      <c r="G52" s="527"/>
      <c r="H52" s="550"/>
      <c r="I52" s="538">
        <f>+AVERAGE(I53:I56)</f>
        <v>0.25</v>
      </c>
      <c r="J52" s="524">
        <f>+AVERAGE(J53:J56)</f>
        <v>0.32750000000000001</v>
      </c>
      <c r="K52" s="551">
        <f>+K53+K54+K55+K56</f>
        <v>0.125</v>
      </c>
      <c r="L52" s="524">
        <f>+L53+L54+L55+L56</f>
        <v>0.32750000000000001</v>
      </c>
      <c r="M52" s="523"/>
      <c r="N52" s="527"/>
      <c r="O52" s="527"/>
      <c r="P52" s="527"/>
      <c r="Q52" s="527"/>
      <c r="R52" s="527"/>
      <c r="S52" s="386"/>
      <c r="T52" s="579">
        <f>+AVERAGE(T53:T56)</f>
        <v>1</v>
      </c>
      <c r="U52" s="579">
        <f>+AVERAGE(U53:U56)</f>
        <v>0.3413173652694611</v>
      </c>
      <c r="V52" s="579">
        <f>+(V53+V54+V55+V56)*E52</f>
        <v>7.4999999999999997E-2</v>
      </c>
      <c r="W52" s="579">
        <f>+(W53+W54+W55+W56)*E52</f>
        <v>5.1197604790419161E-2</v>
      </c>
      <c r="X52" s="539">
        <f>+AVERAGE(X53:X56)</f>
        <v>0.26200000000000001</v>
      </c>
      <c r="Y52" s="611">
        <f>+X52+((Y55-X55)/4)+ ((Y56-X56)/4)+((Y53-X53)/4)+((Y54-X54)/4)</f>
        <v>0.3669</v>
      </c>
      <c r="Z52" s="539">
        <f>+(Z53+Z54+Z55+Z56)*E52</f>
        <v>1.9650000000000001E-2</v>
      </c>
      <c r="AA52" s="599">
        <f>+(AA53+AA54+AA55+AA56)</f>
        <v>0.2359</v>
      </c>
      <c r="AB52" s="215"/>
      <c r="AC52" s="494"/>
      <c r="AD52" s="494"/>
      <c r="AE52" s="494"/>
      <c r="AF52" s="494"/>
      <c r="AG52" s="187"/>
      <c r="AH52" s="187"/>
      <c r="AI52" s="187"/>
    </row>
    <row r="53" spans="1:35" ht="138" customHeight="1" thickBot="1" x14ac:dyDescent="0.35">
      <c r="A53" s="331"/>
      <c r="B53" s="1070" t="s">
        <v>142</v>
      </c>
      <c r="C53" s="1070" t="s">
        <v>143</v>
      </c>
      <c r="D53" s="495" t="s">
        <v>47</v>
      </c>
      <c r="E53" s="1259">
        <v>0.25</v>
      </c>
      <c r="F53" s="568">
        <v>2500</v>
      </c>
      <c r="G53" s="525">
        <v>0</v>
      </c>
      <c r="H53" s="532">
        <v>835</v>
      </c>
      <c r="I53" s="536"/>
      <c r="J53" s="528">
        <f>+H53/F53</f>
        <v>0.33400000000000002</v>
      </c>
      <c r="K53" s="528"/>
      <c r="L53" s="528">
        <f>+(H53/F53)*E53</f>
        <v>8.3500000000000005E-2</v>
      </c>
      <c r="M53" s="525"/>
      <c r="N53" s="582">
        <v>0</v>
      </c>
      <c r="O53" s="525">
        <v>305</v>
      </c>
      <c r="P53" s="525"/>
      <c r="Q53" s="525"/>
      <c r="R53" s="525">
        <f t="shared" ref="R53" si="62">+N53+O53+P53+Q53</f>
        <v>305</v>
      </c>
      <c r="S53" s="592">
        <f t="shared" ref="S53" si="63">+R53+M53</f>
        <v>305</v>
      </c>
      <c r="T53" s="528"/>
      <c r="U53" s="528">
        <f t="shared" si="48"/>
        <v>0.3652694610778443</v>
      </c>
      <c r="V53" s="528"/>
      <c r="W53" s="528">
        <f t="shared" si="49"/>
        <v>9.1317365269461076E-2</v>
      </c>
      <c r="X53" s="606"/>
      <c r="Y53" s="615">
        <f t="shared" si="50"/>
        <v>0.122</v>
      </c>
      <c r="Z53" s="543">
        <v>0</v>
      </c>
      <c r="AA53" s="544">
        <f t="shared" ref="AA53:AA54" si="64">+Y53*E53</f>
        <v>3.0499999999999999E-2</v>
      </c>
      <c r="AB53" s="221" t="s">
        <v>43</v>
      </c>
      <c r="AC53" s="752" t="s">
        <v>127</v>
      </c>
      <c r="AD53" s="892" t="s">
        <v>38</v>
      </c>
      <c r="AE53" s="892" t="s">
        <v>39</v>
      </c>
      <c r="AF53" s="494"/>
      <c r="AG53" s="187"/>
      <c r="AH53" s="187"/>
      <c r="AI53" s="187"/>
    </row>
    <row r="54" spans="1:35" ht="138" customHeight="1" thickBot="1" x14ac:dyDescent="0.35">
      <c r="A54" s="331"/>
      <c r="B54" s="1070" t="s">
        <v>144</v>
      </c>
      <c r="C54" s="1070" t="s">
        <v>145</v>
      </c>
      <c r="D54" s="495" t="s">
        <v>47</v>
      </c>
      <c r="E54" s="1259">
        <v>0.25</v>
      </c>
      <c r="F54" s="568">
        <v>4</v>
      </c>
      <c r="G54" s="525">
        <v>0</v>
      </c>
      <c r="H54" s="532">
        <v>2</v>
      </c>
      <c r="I54" s="536"/>
      <c r="J54" s="528">
        <f t="shared" ref="J54:J90" si="65">+H54/F54</f>
        <v>0.5</v>
      </c>
      <c r="K54" s="528"/>
      <c r="L54" s="528">
        <f t="shared" si="36"/>
        <v>0.125</v>
      </c>
      <c r="M54" s="525"/>
      <c r="N54" s="582">
        <v>0</v>
      </c>
      <c r="O54" s="525">
        <v>0</v>
      </c>
      <c r="P54" s="525"/>
      <c r="Q54" s="525"/>
      <c r="R54" s="525">
        <f t="shared" ref="R54:R56" si="66">+N54+O54+P54+Q54</f>
        <v>0</v>
      </c>
      <c r="S54" s="592">
        <f t="shared" ref="S54:S56" si="67">+R54+M54</f>
        <v>0</v>
      </c>
      <c r="T54" s="528"/>
      <c r="U54" s="528">
        <f t="shared" si="48"/>
        <v>0</v>
      </c>
      <c r="V54" s="528"/>
      <c r="W54" s="528">
        <f t="shared" si="49"/>
        <v>0</v>
      </c>
      <c r="X54" s="606"/>
      <c r="Y54" s="607">
        <f t="shared" si="50"/>
        <v>0</v>
      </c>
      <c r="Z54" s="543">
        <v>0</v>
      </c>
      <c r="AA54" s="544">
        <f t="shared" si="64"/>
        <v>0</v>
      </c>
      <c r="AB54" s="221" t="s">
        <v>43</v>
      </c>
      <c r="AC54" s="752" t="s">
        <v>127</v>
      </c>
      <c r="AD54" s="892" t="s">
        <v>38</v>
      </c>
      <c r="AE54" s="892" t="s">
        <v>39</v>
      </c>
      <c r="AF54" s="494"/>
      <c r="AG54" s="187"/>
      <c r="AH54" s="187"/>
      <c r="AI54" s="187"/>
    </row>
    <row r="55" spans="1:35" ht="138" customHeight="1" thickBot="1" x14ac:dyDescent="0.35">
      <c r="A55" s="331"/>
      <c r="B55" s="1070" t="s">
        <v>146</v>
      </c>
      <c r="C55" s="1070" t="s">
        <v>147</v>
      </c>
      <c r="D55" s="495" t="s">
        <v>47</v>
      </c>
      <c r="E55" s="1259">
        <v>0.25</v>
      </c>
      <c r="F55" s="568">
        <v>2500</v>
      </c>
      <c r="G55" s="525">
        <v>625</v>
      </c>
      <c r="H55" s="532">
        <v>565</v>
      </c>
      <c r="I55" s="536">
        <f>+G55/F55</f>
        <v>0.25</v>
      </c>
      <c r="J55" s="528">
        <f t="shared" si="65"/>
        <v>0.22600000000000001</v>
      </c>
      <c r="K55" s="528">
        <f>+(G55/F55)*E55</f>
        <v>6.25E-2</v>
      </c>
      <c r="L55" s="528">
        <f t="shared" si="36"/>
        <v>5.6500000000000002E-2</v>
      </c>
      <c r="M55" s="525">
        <v>685</v>
      </c>
      <c r="N55" s="582">
        <v>200</v>
      </c>
      <c r="O55" s="525">
        <v>544</v>
      </c>
      <c r="P55" s="525"/>
      <c r="Q55" s="525"/>
      <c r="R55" s="525">
        <f t="shared" si="66"/>
        <v>744</v>
      </c>
      <c r="S55" s="592">
        <f t="shared" si="67"/>
        <v>1429</v>
      </c>
      <c r="T55" s="528">
        <v>1</v>
      </c>
      <c r="U55" s="528">
        <v>1</v>
      </c>
      <c r="V55" s="528">
        <f>+T55*E55</f>
        <v>0.25</v>
      </c>
      <c r="W55" s="528">
        <f t="shared" si="49"/>
        <v>0.25</v>
      </c>
      <c r="X55" s="606">
        <f>+M55/F55</f>
        <v>0.27400000000000002</v>
      </c>
      <c r="Y55" s="607">
        <f t="shared" si="50"/>
        <v>0.5716</v>
      </c>
      <c r="Z55" s="543">
        <f>+X55*E55</f>
        <v>6.8500000000000005E-2</v>
      </c>
      <c r="AA55" s="544">
        <f>+Y55*E55</f>
        <v>0.1429</v>
      </c>
      <c r="AB55" s="221" t="s">
        <v>43</v>
      </c>
      <c r="AC55" s="724" t="s">
        <v>44</v>
      </c>
      <c r="AD55" s="892" t="s">
        <v>38</v>
      </c>
      <c r="AE55" s="892" t="s">
        <v>39</v>
      </c>
      <c r="AF55" s="494"/>
      <c r="AG55" s="187"/>
      <c r="AH55" s="187"/>
      <c r="AI55" s="187"/>
    </row>
    <row r="56" spans="1:35" ht="138" customHeight="1" thickBot="1" x14ac:dyDescent="0.35">
      <c r="A56" s="331"/>
      <c r="B56" s="1070" t="s">
        <v>148</v>
      </c>
      <c r="C56" s="1070" t="s">
        <v>149</v>
      </c>
      <c r="D56" s="495" t="s">
        <v>47</v>
      </c>
      <c r="E56" s="1259">
        <v>0.25</v>
      </c>
      <c r="F56" s="568">
        <v>4</v>
      </c>
      <c r="G56" s="525">
        <v>1</v>
      </c>
      <c r="H56" s="532">
        <v>1</v>
      </c>
      <c r="I56" s="536">
        <f>+G56/F56</f>
        <v>0.25</v>
      </c>
      <c r="J56" s="528">
        <f t="shared" si="65"/>
        <v>0.25</v>
      </c>
      <c r="K56" s="528">
        <f>+(G56/F56)*E56</f>
        <v>6.25E-2</v>
      </c>
      <c r="L56" s="528">
        <f t="shared" si="36"/>
        <v>6.25E-2</v>
      </c>
      <c r="M56" s="525">
        <v>1</v>
      </c>
      <c r="N56" s="582">
        <v>0</v>
      </c>
      <c r="O56" s="525">
        <v>0</v>
      </c>
      <c r="P56" s="525"/>
      <c r="Q56" s="525"/>
      <c r="R56" s="525">
        <f t="shared" si="66"/>
        <v>0</v>
      </c>
      <c r="S56" s="592">
        <f t="shared" si="67"/>
        <v>1</v>
      </c>
      <c r="T56" s="528">
        <f>+(M56/G56)</f>
        <v>1</v>
      </c>
      <c r="U56" s="528">
        <f t="shared" si="48"/>
        <v>0</v>
      </c>
      <c r="V56" s="528">
        <f>+T56*E56</f>
        <v>0.25</v>
      </c>
      <c r="W56" s="528">
        <f t="shared" si="49"/>
        <v>0</v>
      </c>
      <c r="X56" s="606">
        <f>+M56/F56</f>
        <v>0.25</v>
      </c>
      <c r="Y56" s="609">
        <f t="shared" si="50"/>
        <v>0.25</v>
      </c>
      <c r="Z56" s="543">
        <f>+X56*E56</f>
        <v>6.25E-2</v>
      </c>
      <c r="AA56" s="544">
        <f>+Y56*E56</f>
        <v>6.25E-2</v>
      </c>
      <c r="AB56" s="221" t="s">
        <v>43</v>
      </c>
      <c r="AC56" s="724" t="s">
        <v>44</v>
      </c>
      <c r="AD56" s="892" t="s">
        <v>38</v>
      </c>
      <c r="AE56" s="892" t="s">
        <v>39</v>
      </c>
      <c r="AF56" s="494"/>
      <c r="AG56" s="187"/>
      <c r="AH56" s="187"/>
      <c r="AI56" s="187"/>
    </row>
    <row r="57" spans="1:35" ht="72" customHeight="1" thickBot="1" x14ac:dyDescent="0.35">
      <c r="A57" s="331"/>
      <c r="B57" s="1284" t="s">
        <v>150</v>
      </c>
      <c r="C57" s="1285"/>
      <c r="D57" s="495"/>
      <c r="E57" s="522">
        <v>0.1</v>
      </c>
      <c r="F57" s="527"/>
      <c r="G57" s="1262"/>
      <c r="H57" s="552"/>
      <c r="I57" s="538">
        <f>+AVERAGE(I58:I76)</f>
        <v>0.25</v>
      </c>
      <c r="J57" s="524">
        <f>+AVERAGE(J58:J76)</f>
        <v>0.29290000000000005</v>
      </c>
      <c r="K57" s="553">
        <f>+K58+K59+K60+K61+K62+K63+K64+K65+K66+K67+K68+K69+K70+K71+K72+K73+K74+K75+K76</f>
        <v>0.14500000000000005</v>
      </c>
      <c r="L57" s="553">
        <f>+L58+L59+L60+L61+L62+L63+L64+L65+L66+L67+L68+L69+L70+L71+L72+L73+L74+L75+L76</f>
        <v>0.14290000000000003</v>
      </c>
      <c r="M57" s="527"/>
      <c r="N57" s="527"/>
      <c r="O57" s="527"/>
      <c r="P57" s="527"/>
      <c r="Q57" s="527"/>
      <c r="R57" s="527"/>
      <c r="S57" s="386"/>
      <c r="T57" s="579">
        <f>+AVERAGE(T58:T76)</f>
        <v>0.9349090909090908</v>
      </c>
      <c r="U57" s="579">
        <f>+AVERAGE(U58:U76)</f>
        <v>0.53519813519813519</v>
      </c>
      <c r="V57" s="579">
        <f>+(V58+V59+V60+V61+V62+V63+V64+V65+V66+V67+V68+V69+V70+V71+V72+V73+V74+V75+V76)*E57</f>
        <v>5.0840000000000024E-2</v>
      </c>
      <c r="W57" s="579">
        <f>+(W58+W59+W60+W61+W62+W63+W64+W65+W66+W67+W68+W69+W70+W71+W72+W73+W74+W76)*E57</f>
        <v>2.3519813519813526E-2</v>
      </c>
      <c r="X57" s="539">
        <f>+AVERAGE(X58:X76)</f>
        <v>0.2337272727272727</v>
      </c>
      <c r="Y57" s="611">
        <f>+AVERAGE(Y58:Y76)</f>
        <v>0.36224999999999996</v>
      </c>
      <c r="Z57" s="539">
        <f>+(Z58+Z59+Z60+Z61+Z62+Z63+Z64+Z65+Z66+Z67+Z68+Z69+Z70+Z71+Z72+Z73+Z74+Z75+Z76)*E57</f>
        <v>1.2710000000000006E-2</v>
      </c>
      <c r="AA57" s="599">
        <f>+(AA58+AA59+AA60+AA61+AA62+AA63+AA64+AA65+AA66+AA67+AA68+AA69+AA70+AA71+AA72+AA73+AA74+AA75+AA76)</f>
        <v>0.21375000000000002</v>
      </c>
      <c r="AB57" s="215"/>
      <c r="AC57" s="494"/>
      <c r="AD57" s="494"/>
      <c r="AE57" s="494"/>
      <c r="AF57" s="494"/>
      <c r="AG57" s="187"/>
      <c r="AH57" s="187"/>
      <c r="AI57" s="187"/>
    </row>
    <row r="58" spans="1:35" ht="132.6" customHeight="1" thickBot="1" x14ac:dyDescent="0.35">
      <c r="A58" s="331"/>
      <c r="B58" s="1070" t="s">
        <v>151</v>
      </c>
      <c r="C58" s="1070" t="s">
        <v>152</v>
      </c>
      <c r="D58" s="495" t="s">
        <v>47</v>
      </c>
      <c r="E58" s="1263">
        <v>0.1</v>
      </c>
      <c r="F58" s="568">
        <v>1000</v>
      </c>
      <c r="G58" s="525">
        <v>0</v>
      </c>
      <c r="H58" s="532">
        <v>0</v>
      </c>
      <c r="I58" s="536"/>
      <c r="J58" s="528"/>
      <c r="K58" s="528"/>
      <c r="L58" s="528"/>
      <c r="M58" s="525"/>
      <c r="N58" s="582"/>
      <c r="O58" s="576"/>
      <c r="P58" s="525"/>
      <c r="Q58" s="525"/>
      <c r="R58" s="525"/>
      <c r="S58" s="592"/>
      <c r="T58" s="528"/>
      <c r="U58" s="556"/>
      <c r="V58" s="556"/>
      <c r="W58" s="556">
        <f t="shared" si="49"/>
        <v>0</v>
      </c>
      <c r="X58" s="606"/>
      <c r="Y58" s="615"/>
      <c r="Z58" s="543">
        <v>0</v>
      </c>
      <c r="AA58" s="544">
        <v>0</v>
      </c>
      <c r="AB58" s="221" t="s">
        <v>43</v>
      </c>
      <c r="AC58" s="724" t="s">
        <v>44</v>
      </c>
      <c r="AD58" s="892" t="s">
        <v>38</v>
      </c>
      <c r="AE58" s="892" t="s">
        <v>39</v>
      </c>
      <c r="AF58" s="494"/>
      <c r="AG58" s="187"/>
      <c r="AH58" s="187"/>
      <c r="AI58" s="187"/>
    </row>
    <row r="59" spans="1:35" ht="132.6" customHeight="1" thickBot="1" x14ac:dyDescent="0.35">
      <c r="A59" s="331"/>
      <c r="B59" s="1070" t="s">
        <v>153</v>
      </c>
      <c r="C59" s="1070" t="s">
        <v>154</v>
      </c>
      <c r="D59" s="495" t="s">
        <v>47</v>
      </c>
      <c r="E59" s="1263">
        <v>0.1</v>
      </c>
      <c r="F59" s="568">
        <v>1000</v>
      </c>
      <c r="G59" s="525">
        <v>250</v>
      </c>
      <c r="H59" s="532">
        <v>429</v>
      </c>
      <c r="I59" s="536">
        <f t="shared" ref="I59:I73" si="68">+G59/F59</f>
        <v>0.25</v>
      </c>
      <c r="J59" s="528">
        <f t="shared" si="65"/>
        <v>0.42899999999999999</v>
      </c>
      <c r="K59" s="528">
        <f t="shared" ref="K59:K73" si="69">+(G59/F59)*E59</f>
        <v>2.5000000000000001E-2</v>
      </c>
      <c r="L59" s="528">
        <f t="shared" si="36"/>
        <v>4.2900000000000001E-2</v>
      </c>
      <c r="M59" s="525">
        <v>71</v>
      </c>
      <c r="N59" s="582">
        <v>50</v>
      </c>
      <c r="O59" s="576">
        <v>101</v>
      </c>
      <c r="P59" s="525"/>
      <c r="Q59" s="525"/>
      <c r="R59" s="525">
        <f t="shared" ref="R59:R65" si="70">+N59+O59+P59+Q59</f>
        <v>151</v>
      </c>
      <c r="S59" s="592">
        <f t="shared" ref="S59:S65" si="71">+R59+M59</f>
        <v>222</v>
      </c>
      <c r="T59" s="528">
        <f t="shared" ref="T59:T73" si="72">+(M59/G59)</f>
        <v>0.28399999999999997</v>
      </c>
      <c r="U59" s="556">
        <f t="shared" si="48"/>
        <v>0.351981351981352</v>
      </c>
      <c r="V59" s="556">
        <f>+T59*E59</f>
        <v>2.8399999999999998E-2</v>
      </c>
      <c r="W59" s="556">
        <f t="shared" si="49"/>
        <v>3.5198135198135201E-2</v>
      </c>
      <c r="X59" s="606">
        <f t="shared" ref="X59:X73" si="73">+M59/F59</f>
        <v>7.0999999999999994E-2</v>
      </c>
      <c r="Y59" s="607">
        <f t="shared" si="50"/>
        <v>0.222</v>
      </c>
      <c r="Z59" s="543">
        <f>+X59*E59</f>
        <v>7.0999999999999995E-3</v>
      </c>
      <c r="AA59" s="544"/>
      <c r="AB59" s="221" t="s">
        <v>43</v>
      </c>
      <c r="AC59" s="724" t="s">
        <v>44</v>
      </c>
      <c r="AD59" s="892" t="s">
        <v>38</v>
      </c>
      <c r="AE59" s="892" t="s">
        <v>39</v>
      </c>
      <c r="AF59" s="494"/>
      <c r="AG59" s="187"/>
      <c r="AH59" s="187"/>
      <c r="AI59" s="187"/>
    </row>
    <row r="60" spans="1:35" s="744" customFormat="1" ht="132.6" customHeight="1" thickBot="1" x14ac:dyDescent="0.35">
      <c r="A60" s="741"/>
      <c r="B60" s="1071" t="s">
        <v>155</v>
      </c>
      <c r="C60" s="1071" t="s">
        <v>156</v>
      </c>
      <c r="D60" s="495" t="s">
        <v>47</v>
      </c>
      <c r="E60" s="1263">
        <v>0.1</v>
      </c>
      <c r="F60" s="1264">
        <v>1</v>
      </c>
      <c r="G60" s="1265">
        <f>0.0625*4</f>
        <v>0.25</v>
      </c>
      <c r="H60" s="554">
        <v>0.25</v>
      </c>
      <c r="I60" s="536">
        <f t="shared" si="68"/>
        <v>0.25</v>
      </c>
      <c r="J60" s="528">
        <f t="shared" si="65"/>
        <v>0.25</v>
      </c>
      <c r="K60" s="528">
        <f t="shared" si="69"/>
        <v>2.5000000000000001E-2</v>
      </c>
      <c r="L60" s="528">
        <f t="shared" si="36"/>
        <v>2.5000000000000001E-2</v>
      </c>
      <c r="M60" s="555">
        <v>0.25</v>
      </c>
      <c r="N60" s="582">
        <v>6.25E-2</v>
      </c>
      <c r="O60" s="582">
        <v>6.25E-2</v>
      </c>
      <c r="P60" s="555"/>
      <c r="Q60" s="555"/>
      <c r="R60" s="525">
        <f t="shared" si="70"/>
        <v>0.125</v>
      </c>
      <c r="S60" s="592">
        <f t="shared" si="71"/>
        <v>0.375</v>
      </c>
      <c r="T60" s="528">
        <f t="shared" si="72"/>
        <v>1</v>
      </c>
      <c r="U60" s="556">
        <f t="shared" si="48"/>
        <v>0.5</v>
      </c>
      <c r="V60" s="556">
        <f>+T60*E60</f>
        <v>0.1</v>
      </c>
      <c r="W60" s="556">
        <f t="shared" si="49"/>
        <v>0.05</v>
      </c>
      <c r="X60" s="606">
        <f t="shared" si="73"/>
        <v>0.25</v>
      </c>
      <c r="Y60" s="607">
        <f t="shared" si="50"/>
        <v>0.375</v>
      </c>
      <c r="Z60" s="606">
        <f>+X60*E60</f>
        <v>2.5000000000000001E-2</v>
      </c>
      <c r="AA60" s="607">
        <f>+Y60*E60</f>
        <v>3.7500000000000006E-2</v>
      </c>
      <c r="AB60" s="771" t="s">
        <v>43</v>
      </c>
      <c r="AC60" s="724" t="s">
        <v>44</v>
      </c>
      <c r="AD60" s="892" t="s">
        <v>38</v>
      </c>
      <c r="AE60" s="892" t="s">
        <v>39</v>
      </c>
      <c r="AF60" s="742"/>
      <c r="AG60" s="743"/>
      <c r="AH60" s="743"/>
      <c r="AI60" s="743"/>
    </row>
    <row r="61" spans="1:35" ht="132.6" customHeight="1" thickBot="1" x14ac:dyDescent="0.35">
      <c r="A61" s="331"/>
      <c r="B61" s="1071" t="s">
        <v>157</v>
      </c>
      <c r="C61" s="1071" t="s">
        <v>158</v>
      </c>
      <c r="D61" s="495" t="s">
        <v>47</v>
      </c>
      <c r="E61" s="1263">
        <v>0.1</v>
      </c>
      <c r="F61" s="1264">
        <v>1</v>
      </c>
      <c r="G61" s="1265">
        <f>0.0625*4</f>
        <v>0.25</v>
      </c>
      <c r="H61" s="554">
        <v>0.25</v>
      </c>
      <c r="I61" s="536">
        <f t="shared" si="68"/>
        <v>0.25</v>
      </c>
      <c r="J61" s="528">
        <f t="shared" si="65"/>
        <v>0.25</v>
      </c>
      <c r="K61" s="528">
        <f t="shared" si="69"/>
        <v>2.5000000000000001E-2</v>
      </c>
      <c r="L61" s="528">
        <f t="shared" si="36"/>
        <v>2.5000000000000001E-2</v>
      </c>
      <c r="M61" s="555">
        <v>0.25</v>
      </c>
      <c r="N61" s="582">
        <v>0</v>
      </c>
      <c r="O61" s="1212">
        <f>0.0625*2</f>
        <v>0.125</v>
      </c>
      <c r="P61" s="555"/>
      <c r="Q61" s="555"/>
      <c r="R61" s="525">
        <f t="shared" si="70"/>
        <v>0.125</v>
      </c>
      <c r="S61" s="592">
        <f t="shared" si="71"/>
        <v>0.375</v>
      </c>
      <c r="T61" s="528">
        <f t="shared" si="72"/>
        <v>1</v>
      </c>
      <c r="U61" s="556">
        <f t="shared" si="48"/>
        <v>0.5</v>
      </c>
      <c r="V61" s="556">
        <f>+T61*E61</f>
        <v>0.1</v>
      </c>
      <c r="W61" s="556">
        <f t="shared" si="49"/>
        <v>0.05</v>
      </c>
      <c r="X61" s="606">
        <f t="shared" si="73"/>
        <v>0.25</v>
      </c>
      <c r="Y61" s="607">
        <f t="shared" si="50"/>
        <v>0.375</v>
      </c>
      <c r="Z61" s="606">
        <f>+X61*E61</f>
        <v>2.5000000000000001E-2</v>
      </c>
      <c r="AA61" s="607">
        <f>+Y61*E61</f>
        <v>3.7500000000000006E-2</v>
      </c>
      <c r="AB61" s="221" t="s">
        <v>43</v>
      </c>
      <c r="AC61" s="724" t="s">
        <v>44</v>
      </c>
      <c r="AD61" s="892" t="s">
        <v>38</v>
      </c>
      <c r="AE61" s="892" t="s">
        <v>39</v>
      </c>
      <c r="AF61" s="494"/>
      <c r="AG61" s="187"/>
      <c r="AH61" s="187"/>
      <c r="AI61" s="187"/>
    </row>
    <row r="62" spans="1:35" ht="132.6" customHeight="1" thickBot="1" x14ac:dyDescent="0.35">
      <c r="A62" s="331"/>
      <c r="B62" s="1071" t="s">
        <v>159</v>
      </c>
      <c r="C62" s="1071" t="s">
        <v>160</v>
      </c>
      <c r="D62" s="495" t="s">
        <v>47</v>
      </c>
      <c r="E62" s="1263">
        <v>0.05</v>
      </c>
      <c r="F62" s="568">
        <f>22*4</f>
        <v>88</v>
      </c>
      <c r="G62" s="525">
        <v>22</v>
      </c>
      <c r="H62" s="532">
        <v>22</v>
      </c>
      <c r="I62" s="536">
        <f t="shared" si="68"/>
        <v>0.25</v>
      </c>
      <c r="J62" s="528">
        <f t="shared" si="65"/>
        <v>0.25</v>
      </c>
      <c r="K62" s="556">
        <f>+(G62/F62)*E62</f>
        <v>1.2500000000000001E-2</v>
      </c>
      <c r="L62" s="528">
        <f t="shared" si="36"/>
        <v>1.2500000000000001E-2</v>
      </c>
      <c r="M62" s="525">
        <v>22</v>
      </c>
      <c r="N62" s="582">
        <v>0</v>
      </c>
      <c r="O62" s="576">
        <v>0</v>
      </c>
      <c r="P62" s="525"/>
      <c r="Q62" s="525"/>
      <c r="R62" s="525">
        <f t="shared" si="70"/>
        <v>0</v>
      </c>
      <c r="S62" s="592">
        <f t="shared" si="71"/>
        <v>22</v>
      </c>
      <c r="T62" s="528">
        <f t="shared" si="72"/>
        <v>1</v>
      </c>
      <c r="U62" s="556">
        <f t="shared" si="48"/>
        <v>0</v>
      </c>
      <c r="V62" s="556">
        <f>+T62*E62</f>
        <v>0.05</v>
      </c>
      <c r="W62" s="556">
        <f t="shared" si="49"/>
        <v>0</v>
      </c>
      <c r="X62" s="606">
        <f t="shared" si="73"/>
        <v>0.25</v>
      </c>
      <c r="Y62" s="607">
        <f t="shared" si="50"/>
        <v>0.25</v>
      </c>
      <c r="Z62" s="543">
        <f>+X62*E62</f>
        <v>1.2500000000000001E-2</v>
      </c>
      <c r="AA62" s="544">
        <f>+Y62*E62</f>
        <v>1.2500000000000001E-2</v>
      </c>
      <c r="AB62" s="221" t="s">
        <v>43</v>
      </c>
      <c r="AC62" s="724" t="s">
        <v>44</v>
      </c>
      <c r="AD62" s="892" t="s">
        <v>38</v>
      </c>
      <c r="AE62" s="892" t="s">
        <v>39</v>
      </c>
      <c r="AF62" s="494"/>
      <c r="AG62" s="187"/>
      <c r="AH62" s="187"/>
      <c r="AI62" s="187"/>
    </row>
    <row r="63" spans="1:35" ht="132.6" customHeight="1" thickBot="1" x14ac:dyDescent="0.35">
      <c r="A63" s="331"/>
      <c r="B63" s="1070" t="s">
        <v>161</v>
      </c>
      <c r="C63" s="1070" t="s">
        <v>162</v>
      </c>
      <c r="D63" s="495" t="s">
        <v>47</v>
      </c>
      <c r="E63" s="1263">
        <v>0.02</v>
      </c>
      <c r="F63" s="568">
        <v>1</v>
      </c>
      <c r="G63" s="525">
        <v>0</v>
      </c>
      <c r="H63" s="532">
        <v>0</v>
      </c>
      <c r="I63" s="536"/>
      <c r="J63" s="528"/>
      <c r="K63" s="528"/>
      <c r="L63" s="528"/>
      <c r="M63" s="525"/>
      <c r="N63" s="582"/>
      <c r="O63" s="576"/>
      <c r="P63" s="525"/>
      <c r="Q63" s="525"/>
      <c r="R63" s="525">
        <f t="shared" si="70"/>
        <v>0</v>
      </c>
      <c r="S63" s="592">
        <f t="shared" si="71"/>
        <v>0</v>
      </c>
      <c r="T63" s="528"/>
      <c r="U63" s="556"/>
      <c r="V63" s="556"/>
      <c r="W63" s="556"/>
      <c r="X63" s="606"/>
      <c r="Y63" s="607"/>
      <c r="Z63" s="543">
        <v>0</v>
      </c>
      <c r="AA63" s="544">
        <f>+Y63*E63</f>
        <v>0</v>
      </c>
      <c r="AB63" s="221" t="s">
        <v>43</v>
      </c>
      <c r="AC63" s="724" t="s">
        <v>44</v>
      </c>
      <c r="AD63" s="892" t="s">
        <v>38</v>
      </c>
      <c r="AE63" s="892" t="s">
        <v>39</v>
      </c>
      <c r="AF63" s="494"/>
      <c r="AG63" s="187"/>
      <c r="AH63" s="187"/>
      <c r="AI63" s="187"/>
    </row>
    <row r="64" spans="1:35" ht="132.6" customHeight="1" thickBot="1" x14ac:dyDescent="0.35">
      <c r="A64" s="331"/>
      <c r="B64" s="1070" t="s">
        <v>163</v>
      </c>
      <c r="C64" s="1070" t="s">
        <v>164</v>
      </c>
      <c r="D64" s="495" t="s">
        <v>47</v>
      </c>
      <c r="E64" s="1263">
        <v>0.02</v>
      </c>
      <c r="F64" s="568">
        <v>1</v>
      </c>
      <c r="G64" s="525">
        <v>0</v>
      </c>
      <c r="H64" s="532">
        <v>0</v>
      </c>
      <c r="I64" s="536"/>
      <c r="J64" s="528"/>
      <c r="K64" s="528"/>
      <c r="L64" s="528"/>
      <c r="M64" s="525"/>
      <c r="N64" s="582"/>
      <c r="O64" s="576"/>
      <c r="P64" s="525"/>
      <c r="Q64" s="525"/>
      <c r="R64" s="525">
        <f t="shared" si="70"/>
        <v>0</v>
      </c>
      <c r="S64" s="592">
        <f t="shared" si="71"/>
        <v>0</v>
      </c>
      <c r="T64" s="528"/>
      <c r="U64" s="528"/>
      <c r="V64" s="528"/>
      <c r="W64" s="528"/>
      <c r="X64" s="543"/>
      <c r="Y64" s="544"/>
      <c r="Z64" s="543">
        <v>0</v>
      </c>
      <c r="AA64" s="544">
        <f t="shared" ref="AA64:AA66" si="74">+Y64*E64</f>
        <v>0</v>
      </c>
      <c r="AB64" s="221" t="s">
        <v>43</v>
      </c>
      <c r="AC64" s="724" t="s">
        <v>44</v>
      </c>
      <c r="AD64" s="892" t="s">
        <v>38</v>
      </c>
      <c r="AE64" s="892" t="s">
        <v>39</v>
      </c>
      <c r="AF64" s="494"/>
      <c r="AG64" s="187"/>
      <c r="AH64" s="187"/>
      <c r="AI64" s="187"/>
    </row>
    <row r="65" spans="1:35" ht="132.6" customHeight="1" thickBot="1" x14ac:dyDescent="0.35">
      <c r="A65" s="331"/>
      <c r="B65" s="1070" t="s">
        <v>165</v>
      </c>
      <c r="C65" s="1070" t="s">
        <v>166</v>
      </c>
      <c r="D65" s="495" t="s">
        <v>47</v>
      </c>
      <c r="E65" s="1263">
        <v>0.05</v>
      </c>
      <c r="F65" s="568">
        <v>1</v>
      </c>
      <c r="G65" s="525">
        <v>0</v>
      </c>
      <c r="H65" s="532">
        <v>0</v>
      </c>
      <c r="I65" s="557"/>
      <c r="J65" s="528"/>
      <c r="K65" s="558"/>
      <c r="L65" s="528"/>
      <c r="M65" s="559"/>
      <c r="N65" s="582"/>
      <c r="O65" s="1213"/>
      <c r="P65" s="559"/>
      <c r="Q65" s="559"/>
      <c r="R65" s="525">
        <f t="shared" si="70"/>
        <v>0</v>
      </c>
      <c r="S65" s="592">
        <f t="shared" si="71"/>
        <v>0</v>
      </c>
      <c r="T65" s="528"/>
      <c r="U65" s="528"/>
      <c r="V65" s="528"/>
      <c r="W65" s="528"/>
      <c r="X65" s="543"/>
      <c r="Y65" s="544"/>
      <c r="Z65" s="543">
        <v>0</v>
      </c>
      <c r="AA65" s="544">
        <f t="shared" si="74"/>
        <v>0</v>
      </c>
      <c r="AB65" s="221" t="s">
        <v>43</v>
      </c>
      <c r="AC65" s="724" t="s">
        <v>44</v>
      </c>
      <c r="AD65" s="892" t="s">
        <v>38</v>
      </c>
      <c r="AE65" s="892" t="s">
        <v>39</v>
      </c>
      <c r="AF65" s="494"/>
      <c r="AG65" s="187"/>
      <c r="AH65" s="187"/>
      <c r="AI65" s="187"/>
    </row>
    <row r="66" spans="1:35" ht="132.6" customHeight="1" thickBot="1" x14ac:dyDescent="0.35">
      <c r="A66" s="331"/>
      <c r="B66" s="1070" t="s">
        <v>167</v>
      </c>
      <c r="C66" s="1070" t="s">
        <v>168</v>
      </c>
      <c r="D66" s="495" t="s">
        <v>47</v>
      </c>
      <c r="E66" s="1263">
        <v>0.02</v>
      </c>
      <c r="F66" s="568">
        <v>4</v>
      </c>
      <c r="G66" s="525">
        <v>1</v>
      </c>
      <c r="H66" s="525">
        <v>1</v>
      </c>
      <c r="I66" s="560">
        <f t="shared" si="68"/>
        <v>0.25</v>
      </c>
      <c r="J66" s="528">
        <v>0.25</v>
      </c>
      <c r="K66" s="560">
        <f t="shared" si="69"/>
        <v>5.0000000000000001E-3</v>
      </c>
      <c r="L66" s="528"/>
      <c r="M66" s="561">
        <v>1</v>
      </c>
      <c r="N66" s="582">
        <v>0</v>
      </c>
      <c r="O66" s="1213">
        <v>0.5</v>
      </c>
      <c r="P66" s="561"/>
      <c r="Q66" s="561"/>
      <c r="R66" s="525">
        <f t="shared" ref="R66:R76" si="75">+N66+O66+P66+Q66</f>
        <v>0.5</v>
      </c>
      <c r="S66" s="592">
        <f t="shared" ref="S66:S76" si="76">+R66+M66</f>
        <v>1.5</v>
      </c>
      <c r="T66" s="528">
        <f>+(M66/G66)</f>
        <v>1</v>
      </c>
      <c r="U66" s="528">
        <f t="shared" si="48"/>
        <v>0.5</v>
      </c>
      <c r="V66" s="528">
        <f t="shared" ref="V66:V71" si="77">+T66*E66</f>
        <v>0.02</v>
      </c>
      <c r="W66" s="528"/>
      <c r="X66" s="606">
        <f>+M66/F66</f>
        <v>0.25</v>
      </c>
      <c r="Y66" s="607">
        <f t="shared" si="50"/>
        <v>0.375</v>
      </c>
      <c r="Z66" s="543">
        <f t="shared" ref="Z66:Z71" si="78">+X66*E66</f>
        <v>5.0000000000000001E-3</v>
      </c>
      <c r="AA66" s="544">
        <f t="shared" si="74"/>
        <v>7.4999999999999997E-3</v>
      </c>
      <c r="AB66" s="221" t="s">
        <v>43</v>
      </c>
      <c r="AC66" s="724" t="s">
        <v>44</v>
      </c>
      <c r="AD66" s="892" t="s">
        <v>38</v>
      </c>
      <c r="AE66" s="892" t="s">
        <v>39</v>
      </c>
      <c r="AF66" s="494"/>
      <c r="AG66" s="187"/>
      <c r="AH66" s="187"/>
      <c r="AI66" s="187"/>
    </row>
    <row r="67" spans="1:35" ht="132.6" customHeight="1" thickBot="1" x14ac:dyDescent="0.35">
      <c r="A67" s="331"/>
      <c r="B67" s="1070" t="s">
        <v>169</v>
      </c>
      <c r="C67" s="1070" t="s">
        <v>170</v>
      </c>
      <c r="D67" s="495" t="s">
        <v>47</v>
      </c>
      <c r="E67" s="1263">
        <v>0.02</v>
      </c>
      <c r="F67" s="568">
        <v>4</v>
      </c>
      <c r="G67" s="525">
        <v>1</v>
      </c>
      <c r="H67" s="525">
        <v>1</v>
      </c>
      <c r="I67" s="528">
        <f t="shared" si="68"/>
        <v>0.25</v>
      </c>
      <c r="J67" s="528">
        <f t="shared" si="65"/>
        <v>0.25</v>
      </c>
      <c r="K67" s="528">
        <f t="shared" si="69"/>
        <v>5.0000000000000001E-3</v>
      </c>
      <c r="L67" s="528">
        <f t="shared" si="36"/>
        <v>5.0000000000000001E-3</v>
      </c>
      <c r="M67" s="525">
        <v>1</v>
      </c>
      <c r="N67" s="582">
        <v>0.25</v>
      </c>
      <c r="O67" s="1213">
        <v>0.25</v>
      </c>
      <c r="P67" s="525"/>
      <c r="Q67" s="525"/>
      <c r="R67" s="525">
        <f t="shared" si="75"/>
        <v>0.5</v>
      </c>
      <c r="S67" s="592">
        <f t="shared" si="76"/>
        <v>1.5</v>
      </c>
      <c r="T67" s="528">
        <f>+(M67/G67)</f>
        <v>1</v>
      </c>
      <c r="U67" s="528">
        <f t="shared" si="48"/>
        <v>0.5</v>
      </c>
      <c r="V67" s="528">
        <f t="shared" si="77"/>
        <v>0.02</v>
      </c>
      <c r="W67" s="528">
        <f t="shared" si="49"/>
        <v>0.01</v>
      </c>
      <c r="X67" s="606">
        <f>+M67/F67</f>
        <v>0.25</v>
      </c>
      <c r="Y67" s="607">
        <f t="shared" si="50"/>
        <v>0.375</v>
      </c>
      <c r="Z67" s="543">
        <f t="shared" si="78"/>
        <v>5.0000000000000001E-3</v>
      </c>
      <c r="AA67" s="544">
        <f t="shared" ref="AA67:AA71" si="79">+Y67*E67</f>
        <v>7.4999999999999997E-3</v>
      </c>
      <c r="AB67" s="221" t="s">
        <v>43</v>
      </c>
      <c r="AC67" s="724" t="s">
        <v>44</v>
      </c>
      <c r="AD67" s="892" t="s">
        <v>38</v>
      </c>
      <c r="AE67" s="892" t="s">
        <v>39</v>
      </c>
      <c r="AF67" s="494"/>
      <c r="AG67" s="187"/>
      <c r="AH67" s="187"/>
      <c r="AI67" s="187"/>
    </row>
    <row r="68" spans="1:35" ht="132.6" customHeight="1" thickBot="1" x14ac:dyDescent="0.35">
      <c r="A68" s="331"/>
      <c r="B68" s="1070" t="s">
        <v>171</v>
      </c>
      <c r="C68" s="1070" t="s">
        <v>172</v>
      </c>
      <c r="D68" s="495" t="s">
        <v>47</v>
      </c>
      <c r="E68" s="1263">
        <v>0.02</v>
      </c>
      <c r="F68" s="568">
        <v>4</v>
      </c>
      <c r="G68" s="525">
        <v>1</v>
      </c>
      <c r="H68" s="525">
        <v>1</v>
      </c>
      <c r="I68" s="528">
        <f t="shared" si="68"/>
        <v>0.25</v>
      </c>
      <c r="J68" s="528">
        <f t="shared" si="65"/>
        <v>0.25</v>
      </c>
      <c r="K68" s="528">
        <f t="shared" si="69"/>
        <v>5.0000000000000001E-3</v>
      </c>
      <c r="L68" s="528">
        <f t="shared" si="36"/>
        <v>5.0000000000000001E-3</v>
      </c>
      <c r="M68" s="525">
        <v>1</v>
      </c>
      <c r="N68" s="582">
        <v>0.25</v>
      </c>
      <c r="O68" s="1213">
        <v>0.25</v>
      </c>
      <c r="P68" s="525"/>
      <c r="Q68" s="525"/>
      <c r="R68" s="525">
        <f t="shared" si="75"/>
        <v>0.5</v>
      </c>
      <c r="S68" s="592">
        <f t="shared" si="76"/>
        <v>1.5</v>
      </c>
      <c r="T68" s="528">
        <f>+(M68/G68)</f>
        <v>1</v>
      </c>
      <c r="U68" s="528">
        <f t="shared" si="48"/>
        <v>0.5</v>
      </c>
      <c r="V68" s="528">
        <f t="shared" si="77"/>
        <v>0.02</v>
      </c>
      <c r="W68" s="528">
        <f t="shared" si="49"/>
        <v>0.01</v>
      </c>
      <c r="X68" s="606">
        <f>+M68/F68</f>
        <v>0.25</v>
      </c>
      <c r="Y68" s="607">
        <f>+S68/F68</f>
        <v>0.375</v>
      </c>
      <c r="Z68" s="543">
        <f t="shared" si="78"/>
        <v>5.0000000000000001E-3</v>
      </c>
      <c r="AA68" s="544">
        <f t="shared" si="79"/>
        <v>7.4999999999999997E-3</v>
      </c>
      <c r="AB68" s="221" t="s">
        <v>43</v>
      </c>
      <c r="AC68" s="724" t="s">
        <v>44</v>
      </c>
      <c r="AD68" s="892" t="s">
        <v>38</v>
      </c>
      <c r="AE68" s="892" t="s">
        <v>39</v>
      </c>
      <c r="AF68" s="494"/>
      <c r="AG68" s="187"/>
      <c r="AH68" s="187"/>
      <c r="AI68" s="187"/>
    </row>
    <row r="69" spans="1:35" ht="132.6" customHeight="1" thickBot="1" x14ac:dyDescent="0.35">
      <c r="A69" s="331"/>
      <c r="B69" s="1070" t="s">
        <v>173</v>
      </c>
      <c r="C69" s="1070" t="s">
        <v>174</v>
      </c>
      <c r="D69" s="495" t="s">
        <v>47</v>
      </c>
      <c r="E69" s="1263">
        <v>0.02</v>
      </c>
      <c r="F69" s="568">
        <v>4</v>
      </c>
      <c r="G69" s="525">
        <v>1</v>
      </c>
      <c r="H69" s="525">
        <v>0</v>
      </c>
      <c r="I69" s="528">
        <f t="shared" si="68"/>
        <v>0.25</v>
      </c>
      <c r="J69" s="528"/>
      <c r="K69" s="528">
        <f t="shared" si="69"/>
        <v>5.0000000000000001E-3</v>
      </c>
      <c r="L69" s="528"/>
      <c r="M69" s="525">
        <v>1</v>
      </c>
      <c r="N69" s="582"/>
      <c r="O69" s="576"/>
      <c r="P69" s="525"/>
      <c r="Q69" s="525"/>
      <c r="R69" s="525">
        <f t="shared" si="75"/>
        <v>0</v>
      </c>
      <c r="S69" s="592">
        <f t="shared" si="76"/>
        <v>1</v>
      </c>
      <c r="T69" s="528">
        <f t="shared" si="72"/>
        <v>1</v>
      </c>
      <c r="U69" s="528"/>
      <c r="V69" s="528">
        <f t="shared" si="77"/>
        <v>0.02</v>
      </c>
      <c r="W69" s="528"/>
      <c r="X69" s="606">
        <f t="shared" si="73"/>
        <v>0.25</v>
      </c>
      <c r="Y69" s="607">
        <f>+S69/F69</f>
        <v>0.25</v>
      </c>
      <c r="Z69" s="543">
        <f t="shared" si="78"/>
        <v>5.0000000000000001E-3</v>
      </c>
      <c r="AA69" s="544">
        <f t="shared" si="79"/>
        <v>5.0000000000000001E-3</v>
      </c>
      <c r="AB69" s="221" t="s">
        <v>43</v>
      </c>
      <c r="AC69" s="724" t="s">
        <v>44</v>
      </c>
      <c r="AD69" s="892" t="s">
        <v>38</v>
      </c>
      <c r="AE69" s="892" t="s">
        <v>39</v>
      </c>
      <c r="AF69" s="494"/>
      <c r="AG69" s="187"/>
      <c r="AH69" s="187"/>
      <c r="AI69" s="187"/>
    </row>
    <row r="70" spans="1:35" ht="132.6" customHeight="1" thickBot="1" x14ac:dyDescent="0.35">
      <c r="A70" s="331"/>
      <c r="B70" s="1070" t="s">
        <v>175</v>
      </c>
      <c r="C70" s="1070" t="s">
        <v>176</v>
      </c>
      <c r="D70" s="495" t="s">
        <v>47</v>
      </c>
      <c r="E70" s="1263">
        <v>0.02</v>
      </c>
      <c r="F70" s="568">
        <v>4</v>
      </c>
      <c r="G70" s="525">
        <v>1</v>
      </c>
      <c r="H70" s="525">
        <v>1</v>
      </c>
      <c r="I70" s="528">
        <f t="shared" si="68"/>
        <v>0.25</v>
      </c>
      <c r="J70" s="528">
        <f t="shared" si="65"/>
        <v>0.25</v>
      </c>
      <c r="K70" s="528">
        <f t="shared" si="69"/>
        <v>5.0000000000000001E-3</v>
      </c>
      <c r="L70" s="528">
        <f t="shared" si="36"/>
        <v>5.0000000000000001E-3</v>
      </c>
      <c r="M70" s="525">
        <v>1</v>
      </c>
      <c r="N70" s="582">
        <v>0.25</v>
      </c>
      <c r="O70" s="576">
        <v>0.25</v>
      </c>
      <c r="P70" s="525"/>
      <c r="Q70" s="525"/>
      <c r="R70" s="525">
        <f t="shared" si="75"/>
        <v>0.5</v>
      </c>
      <c r="S70" s="592">
        <f t="shared" si="76"/>
        <v>1.5</v>
      </c>
      <c r="T70" s="528">
        <f t="shared" si="72"/>
        <v>1</v>
      </c>
      <c r="U70" s="528">
        <f t="shared" si="48"/>
        <v>0.5</v>
      </c>
      <c r="V70" s="528">
        <f t="shared" si="77"/>
        <v>0.02</v>
      </c>
      <c r="W70" s="528">
        <f t="shared" si="49"/>
        <v>0.01</v>
      </c>
      <c r="X70" s="606">
        <f t="shared" si="73"/>
        <v>0.25</v>
      </c>
      <c r="Y70" s="607">
        <f t="shared" si="50"/>
        <v>0.375</v>
      </c>
      <c r="Z70" s="543">
        <f t="shared" si="78"/>
        <v>5.0000000000000001E-3</v>
      </c>
      <c r="AA70" s="544">
        <f t="shared" si="79"/>
        <v>7.4999999999999997E-3</v>
      </c>
      <c r="AB70" s="221" t="s">
        <v>43</v>
      </c>
      <c r="AC70" s="724" t="s">
        <v>44</v>
      </c>
      <c r="AD70" s="892" t="s">
        <v>38</v>
      </c>
      <c r="AE70" s="892" t="s">
        <v>39</v>
      </c>
      <c r="AF70" s="494"/>
      <c r="AG70" s="187"/>
      <c r="AH70" s="187"/>
      <c r="AI70" s="187"/>
    </row>
    <row r="71" spans="1:35" ht="132.6" customHeight="1" thickBot="1" x14ac:dyDescent="0.35">
      <c r="A71" s="331"/>
      <c r="B71" s="1070" t="s">
        <v>177</v>
      </c>
      <c r="C71" s="1070" t="s">
        <v>178</v>
      </c>
      <c r="D71" s="495" t="s">
        <v>47</v>
      </c>
      <c r="E71" s="1263">
        <v>0.08</v>
      </c>
      <c r="F71" s="568">
        <v>8</v>
      </c>
      <c r="G71" s="525">
        <v>2</v>
      </c>
      <c r="H71" s="525">
        <v>0</v>
      </c>
      <c r="I71" s="528">
        <f t="shared" si="68"/>
        <v>0.25</v>
      </c>
      <c r="J71" s="528"/>
      <c r="K71" s="528">
        <f t="shared" si="69"/>
        <v>0.02</v>
      </c>
      <c r="L71" s="528"/>
      <c r="M71" s="525">
        <v>2</v>
      </c>
      <c r="N71" s="582"/>
      <c r="O71" s="576"/>
      <c r="P71" s="525"/>
      <c r="Q71" s="525"/>
      <c r="R71" s="525">
        <f t="shared" si="75"/>
        <v>0</v>
      </c>
      <c r="S71" s="592">
        <f t="shared" si="76"/>
        <v>2</v>
      </c>
      <c r="T71" s="528">
        <f t="shared" si="72"/>
        <v>1</v>
      </c>
      <c r="U71" s="528"/>
      <c r="V71" s="528">
        <f t="shared" si="77"/>
        <v>0.08</v>
      </c>
      <c r="W71" s="528"/>
      <c r="X71" s="606">
        <f t="shared" si="73"/>
        <v>0.25</v>
      </c>
      <c r="Y71" s="607">
        <f t="shared" si="50"/>
        <v>0.25</v>
      </c>
      <c r="Z71" s="543">
        <f t="shared" si="78"/>
        <v>0.02</v>
      </c>
      <c r="AA71" s="544">
        <f t="shared" si="79"/>
        <v>0.02</v>
      </c>
      <c r="AB71" s="221" t="s">
        <v>43</v>
      </c>
      <c r="AC71" s="724" t="s">
        <v>44</v>
      </c>
      <c r="AD71" s="892" t="s">
        <v>38</v>
      </c>
      <c r="AE71" s="892" t="s">
        <v>39</v>
      </c>
      <c r="AF71" s="494"/>
      <c r="AG71" s="187"/>
      <c r="AH71" s="187"/>
      <c r="AI71" s="187"/>
    </row>
    <row r="72" spans="1:35" ht="132.6" customHeight="1" thickBot="1" x14ac:dyDescent="0.35">
      <c r="A72" s="331"/>
      <c r="B72" s="1070" t="s">
        <v>179</v>
      </c>
      <c r="C72" s="1070" t="s">
        <v>180</v>
      </c>
      <c r="D72" s="495" t="s">
        <v>47</v>
      </c>
      <c r="E72" s="1263">
        <v>0.05</v>
      </c>
      <c r="F72" s="568">
        <v>4</v>
      </c>
      <c r="G72" s="525">
        <v>0</v>
      </c>
      <c r="H72" s="525">
        <v>0</v>
      </c>
      <c r="I72" s="528"/>
      <c r="J72" s="528"/>
      <c r="K72" s="528"/>
      <c r="L72" s="528">
        <f t="shared" si="36"/>
        <v>0</v>
      </c>
      <c r="M72" s="525"/>
      <c r="N72" s="582"/>
      <c r="O72" s="576"/>
      <c r="P72" s="525"/>
      <c r="Q72" s="525"/>
      <c r="R72" s="525">
        <f t="shared" si="75"/>
        <v>0</v>
      </c>
      <c r="S72" s="592">
        <f t="shared" si="76"/>
        <v>0</v>
      </c>
      <c r="T72" s="528"/>
      <c r="U72" s="528"/>
      <c r="V72" s="528"/>
      <c r="W72" s="528"/>
      <c r="X72" s="606"/>
      <c r="Y72" s="607"/>
      <c r="Z72" s="543">
        <v>0</v>
      </c>
      <c r="AA72" s="544">
        <v>0</v>
      </c>
      <c r="AB72" s="221" t="s">
        <v>43</v>
      </c>
      <c r="AC72" s="724" t="s">
        <v>44</v>
      </c>
      <c r="AD72" s="892" t="s">
        <v>38</v>
      </c>
      <c r="AE72" s="892" t="s">
        <v>39</v>
      </c>
      <c r="AF72" s="494"/>
      <c r="AG72" s="187"/>
      <c r="AH72" s="187"/>
      <c r="AI72" s="187"/>
    </row>
    <row r="73" spans="1:35" ht="132.6" customHeight="1" thickBot="1" x14ac:dyDescent="0.35">
      <c r="A73" s="331"/>
      <c r="B73" s="1070" t="s">
        <v>181</v>
      </c>
      <c r="C73" s="1070" t="s">
        <v>182</v>
      </c>
      <c r="D73" s="495" t="s">
        <v>47</v>
      </c>
      <c r="E73" s="1263">
        <v>0.05</v>
      </c>
      <c r="F73" s="568">
        <v>8</v>
      </c>
      <c r="G73" s="525">
        <v>2</v>
      </c>
      <c r="H73" s="525">
        <v>2</v>
      </c>
      <c r="I73" s="528">
        <f t="shared" si="68"/>
        <v>0.25</v>
      </c>
      <c r="J73" s="528">
        <f t="shared" si="65"/>
        <v>0.25</v>
      </c>
      <c r="K73" s="528">
        <f t="shared" si="69"/>
        <v>1.2500000000000001E-2</v>
      </c>
      <c r="L73" s="528">
        <f t="shared" si="36"/>
        <v>1.2500000000000001E-2</v>
      </c>
      <c r="M73" s="525">
        <v>2</v>
      </c>
      <c r="N73" s="582">
        <v>0</v>
      </c>
      <c r="O73" s="576">
        <v>3</v>
      </c>
      <c r="P73" s="525"/>
      <c r="Q73" s="525"/>
      <c r="R73" s="525">
        <f t="shared" si="75"/>
        <v>3</v>
      </c>
      <c r="S73" s="592">
        <f t="shared" si="76"/>
        <v>5</v>
      </c>
      <c r="T73" s="528">
        <f t="shared" si="72"/>
        <v>1</v>
      </c>
      <c r="U73" s="528">
        <v>1</v>
      </c>
      <c r="V73" s="528">
        <f>+T73*E73</f>
        <v>0.05</v>
      </c>
      <c r="W73" s="528">
        <f>+U73*E73</f>
        <v>0.05</v>
      </c>
      <c r="X73" s="606">
        <f t="shared" si="73"/>
        <v>0.25</v>
      </c>
      <c r="Y73" s="607">
        <f t="shared" si="50"/>
        <v>0.625</v>
      </c>
      <c r="Z73" s="543">
        <f>+X73*E73</f>
        <v>1.2500000000000001E-2</v>
      </c>
      <c r="AA73" s="544">
        <f>+Y73*E73</f>
        <v>3.125E-2</v>
      </c>
      <c r="AB73" s="221" t="s">
        <v>43</v>
      </c>
      <c r="AC73" s="724" t="s">
        <v>44</v>
      </c>
      <c r="AD73" s="892" t="s">
        <v>38</v>
      </c>
      <c r="AE73" s="892" t="s">
        <v>39</v>
      </c>
      <c r="AF73" s="494"/>
      <c r="AG73" s="187"/>
      <c r="AH73" s="187"/>
      <c r="AI73" s="187"/>
    </row>
    <row r="74" spans="1:35" ht="132.6" customHeight="1" thickBot="1" x14ac:dyDescent="0.35">
      <c r="A74" s="331"/>
      <c r="B74" s="1070" t="s">
        <v>183</v>
      </c>
      <c r="C74" s="1070" t="s">
        <v>184</v>
      </c>
      <c r="D74" s="495" t="s">
        <v>47</v>
      </c>
      <c r="E74" s="1263">
        <v>0.02</v>
      </c>
      <c r="F74" s="568">
        <v>2</v>
      </c>
      <c r="G74" s="525">
        <v>0</v>
      </c>
      <c r="H74" s="525">
        <v>1</v>
      </c>
      <c r="I74" s="528"/>
      <c r="J74" s="528">
        <f t="shared" si="65"/>
        <v>0.5</v>
      </c>
      <c r="K74" s="528"/>
      <c r="L74" s="528">
        <f t="shared" si="36"/>
        <v>0.01</v>
      </c>
      <c r="M74" s="525"/>
      <c r="N74" s="582">
        <v>0</v>
      </c>
      <c r="O74" s="576">
        <v>1</v>
      </c>
      <c r="P74" s="525"/>
      <c r="Q74" s="525"/>
      <c r="R74" s="525">
        <f>+N74+O74+P74+Q74</f>
        <v>1</v>
      </c>
      <c r="S74" s="592">
        <f t="shared" si="76"/>
        <v>1</v>
      </c>
      <c r="T74" s="528"/>
      <c r="U74" s="528">
        <f>+R74/H74</f>
        <v>1</v>
      </c>
      <c r="V74" s="528"/>
      <c r="W74" s="530">
        <f>+U74*E74</f>
        <v>0.02</v>
      </c>
      <c r="X74" s="543"/>
      <c r="Y74" s="614">
        <f t="shared" ref="Y74" si="80">+S74/F74</f>
        <v>0.5</v>
      </c>
      <c r="Z74" s="543">
        <v>0</v>
      </c>
      <c r="AA74" s="544">
        <v>0</v>
      </c>
      <c r="AB74" s="221" t="s">
        <v>43</v>
      </c>
      <c r="AC74" s="724" t="s">
        <v>44</v>
      </c>
      <c r="AD74" s="892" t="s">
        <v>38</v>
      </c>
      <c r="AE74" s="892" t="s">
        <v>39</v>
      </c>
      <c r="AF74" s="494"/>
      <c r="AG74" s="187"/>
      <c r="AH74" s="187"/>
      <c r="AI74" s="187"/>
    </row>
    <row r="75" spans="1:35" ht="132.6" customHeight="1" thickBot="1" x14ac:dyDescent="0.35">
      <c r="A75" s="331"/>
      <c r="B75" s="1070" t="s">
        <v>185</v>
      </c>
      <c r="C75" s="1070" t="s">
        <v>186</v>
      </c>
      <c r="D75" s="495" t="s">
        <v>47</v>
      </c>
      <c r="E75" s="1263">
        <v>0.08</v>
      </c>
      <c r="F75" s="568">
        <v>1</v>
      </c>
      <c r="G75" s="525">
        <v>0</v>
      </c>
      <c r="H75" s="525">
        <v>0</v>
      </c>
      <c r="I75" s="528"/>
      <c r="J75" s="528"/>
      <c r="K75" s="528"/>
      <c r="L75" s="528"/>
      <c r="M75" s="525"/>
      <c r="N75" s="582"/>
      <c r="O75" s="576"/>
      <c r="P75" s="525"/>
      <c r="Q75" s="525"/>
      <c r="R75" s="525">
        <f t="shared" si="75"/>
        <v>0</v>
      </c>
      <c r="S75" s="592">
        <f t="shared" si="76"/>
        <v>0</v>
      </c>
      <c r="T75" s="528"/>
      <c r="U75" s="528"/>
      <c r="V75" s="543"/>
      <c r="W75" s="745"/>
      <c r="Y75" s="745"/>
      <c r="Z75" s="543">
        <f>+X74*E75</f>
        <v>0</v>
      </c>
      <c r="AA75" s="544">
        <f>+Y74*E75</f>
        <v>0.04</v>
      </c>
      <c r="AB75" s="221" t="s">
        <v>43</v>
      </c>
      <c r="AC75" s="724" t="s">
        <v>44</v>
      </c>
      <c r="AD75" s="892" t="s">
        <v>38</v>
      </c>
      <c r="AE75" s="892" t="s">
        <v>39</v>
      </c>
      <c r="AF75" s="494"/>
      <c r="AG75" s="187"/>
      <c r="AH75" s="187"/>
      <c r="AI75" s="187"/>
    </row>
    <row r="76" spans="1:35" ht="132.6" customHeight="1" thickBot="1" x14ac:dyDescent="0.35">
      <c r="A76" s="331"/>
      <c r="B76" s="1070" t="s">
        <v>187</v>
      </c>
      <c r="C76" s="1070" t="s">
        <v>188</v>
      </c>
      <c r="D76" s="495" t="s">
        <v>47</v>
      </c>
      <c r="E76" s="1263">
        <v>0.08</v>
      </c>
      <c r="F76" s="568">
        <v>1</v>
      </c>
      <c r="G76" s="525">
        <v>0</v>
      </c>
      <c r="H76" s="525">
        <v>0</v>
      </c>
      <c r="I76" s="528"/>
      <c r="J76" s="528"/>
      <c r="K76" s="528"/>
      <c r="L76" s="528"/>
      <c r="M76" s="525"/>
      <c r="N76" s="582"/>
      <c r="O76" s="576"/>
      <c r="P76" s="525"/>
      <c r="Q76" s="525"/>
      <c r="R76" s="525">
        <f t="shared" si="75"/>
        <v>0</v>
      </c>
      <c r="S76" s="592">
        <f t="shared" si="76"/>
        <v>0</v>
      </c>
      <c r="T76" s="528"/>
      <c r="U76" s="528"/>
      <c r="V76" s="528"/>
      <c r="W76" s="560"/>
      <c r="X76" s="543"/>
      <c r="Y76" s="620"/>
      <c r="Z76" s="543">
        <v>0</v>
      </c>
      <c r="AA76" s="544">
        <v>0</v>
      </c>
      <c r="AB76" s="221" t="s">
        <v>43</v>
      </c>
      <c r="AC76" s="724" t="s">
        <v>44</v>
      </c>
      <c r="AD76" s="892" t="s">
        <v>38</v>
      </c>
      <c r="AE76" s="892" t="s">
        <v>39</v>
      </c>
      <c r="AF76" s="494"/>
      <c r="AG76" s="187"/>
      <c r="AH76" s="187"/>
      <c r="AI76" s="187"/>
    </row>
    <row r="77" spans="1:35" ht="42.75" customHeight="1" thickBot="1" x14ac:dyDescent="0.35">
      <c r="A77" s="331"/>
      <c r="B77" s="1284" t="s">
        <v>189</v>
      </c>
      <c r="C77" s="1285"/>
      <c r="D77" s="495"/>
      <c r="E77" s="522">
        <v>0.1</v>
      </c>
      <c r="F77" s="527"/>
      <c r="G77" s="527"/>
      <c r="H77" s="527"/>
      <c r="I77" s="524">
        <f>+AVERAGE(I78:I86)</f>
        <v>0.25</v>
      </c>
      <c r="J77" s="524">
        <f>+AVERAGE(J78:J86)</f>
        <v>0.37172965116279072</v>
      </c>
      <c r="K77" s="524">
        <f>+K78+K79+K80+K81+K82+K83+K84+K85+K86</f>
        <v>0.13750000000000001</v>
      </c>
      <c r="L77" s="524">
        <f>+L78+L79+L80+L81+L82+L83+L84+L85+L86</f>
        <v>0.33712209302325585</v>
      </c>
      <c r="M77" s="527"/>
      <c r="N77" s="527"/>
      <c r="O77" s="527"/>
      <c r="P77" s="527"/>
      <c r="Q77" s="527"/>
      <c r="R77" s="527"/>
      <c r="S77" s="527"/>
      <c r="T77" s="579">
        <f>+AVERAGE(T78:T86)</f>
        <v>0.95625000000000004</v>
      </c>
      <c r="U77" s="579">
        <f>+AVERAGE(U78:U86)</f>
        <v>0.5</v>
      </c>
      <c r="V77" s="579">
        <f>+(V78+V79+V80+V81+V82+V83+V84+V85+V86)*E77</f>
        <v>5.2593749999999995E-2</v>
      </c>
      <c r="W77" s="579">
        <f>+(W78+W79+W80+W81+W82+W83+W84+W85+W86)*E77</f>
        <v>4.4000000000000004E-2</v>
      </c>
      <c r="X77" s="539">
        <f>+AVERAGE(X78:X86)</f>
        <v>0.19921875</v>
      </c>
      <c r="Y77" s="611">
        <f>+AVERAGE(Y78:Y86)</f>
        <v>0.27811111111111114</v>
      </c>
      <c r="Z77" s="539">
        <f>+(Z78+Z79+Z80+Z81+Z82+Z83+Z84+Z85+Z86)*E77</f>
        <v>1.3148437499999999E-2</v>
      </c>
      <c r="AA77" s="599">
        <f>+(AA78+AA79+AA80+AA81+AA82+AA83+AA84+AA85+AA86)</f>
        <v>0.27533000000000002</v>
      </c>
      <c r="AB77" s="215"/>
      <c r="AC77" s="494"/>
      <c r="AD77" s="494"/>
      <c r="AE77" s="494"/>
      <c r="AF77" s="494"/>
      <c r="AG77" s="187"/>
      <c r="AH77" s="187"/>
      <c r="AI77" s="187"/>
    </row>
    <row r="78" spans="1:35" ht="79.900000000000006" customHeight="1" thickBot="1" x14ac:dyDescent="0.35">
      <c r="A78" s="331"/>
      <c r="B78" s="1070" t="s">
        <v>190</v>
      </c>
      <c r="C78" s="1070" t="s">
        <v>191</v>
      </c>
      <c r="D78" s="495" t="s">
        <v>47</v>
      </c>
      <c r="E78" s="1259">
        <v>0.11</v>
      </c>
      <c r="F78" s="568">
        <v>8</v>
      </c>
      <c r="G78" s="525">
        <v>0</v>
      </c>
      <c r="H78" s="525">
        <v>3</v>
      </c>
      <c r="I78" s="528"/>
      <c r="J78" s="528">
        <f t="shared" si="65"/>
        <v>0.375</v>
      </c>
      <c r="K78" s="528"/>
      <c r="L78" s="528">
        <f>+(H78/F78)*E78</f>
        <v>4.1250000000000002E-2</v>
      </c>
      <c r="M78" s="525"/>
      <c r="N78" s="582">
        <v>0</v>
      </c>
      <c r="O78" s="576">
        <v>4</v>
      </c>
      <c r="P78" s="525"/>
      <c r="Q78" s="525"/>
      <c r="R78" s="525">
        <f>+N78+O78+P78+Q78</f>
        <v>4</v>
      </c>
      <c r="S78" s="525">
        <f>+R78+M78</f>
        <v>4</v>
      </c>
      <c r="T78" s="528"/>
      <c r="U78" s="556">
        <v>1</v>
      </c>
      <c r="V78" s="556"/>
      <c r="W78" s="556">
        <f t="shared" si="49"/>
        <v>0.11</v>
      </c>
      <c r="X78" s="606"/>
      <c r="Y78" s="615">
        <f t="shared" ref="Y78:Y90" si="81">+S78/F78</f>
        <v>0.5</v>
      </c>
      <c r="Z78" s="543">
        <v>0</v>
      </c>
      <c r="AA78" s="544">
        <f>+Y78*E78</f>
        <v>5.5E-2</v>
      </c>
      <c r="AB78" s="221" t="s">
        <v>43</v>
      </c>
      <c r="AC78" s="752" t="s">
        <v>127</v>
      </c>
      <c r="AD78" s="892" t="s">
        <v>38</v>
      </c>
      <c r="AE78" s="892" t="s">
        <v>39</v>
      </c>
      <c r="AF78" s="494"/>
      <c r="AG78" s="187"/>
      <c r="AH78" s="187"/>
      <c r="AI78" s="187"/>
    </row>
    <row r="79" spans="1:35" ht="86.45" customHeight="1" thickBot="1" x14ac:dyDescent="0.35">
      <c r="A79" s="331"/>
      <c r="B79" s="1070" t="s">
        <v>192</v>
      </c>
      <c r="C79" s="1070" t="s">
        <v>193</v>
      </c>
      <c r="D79" s="495" t="s">
        <v>47</v>
      </c>
      <c r="E79" s="1259">
        <v>0.11</v>
      </c>
      <c r="F79" s="568">
        <f>64*4</f>
        <v>256</v>
      </c>
      <c r="G79" s="525">
        <v>64</v>
      </c>
      <c r="H79" s="525">
        <v>64</v>
      </c>
      <c r="I79" s="528">
        <f t="shared" ref="I79:I86" si="82">+G79/F79</f>
        <v>0.25</v>
      </c>
      <c r="J79" s="528">
        <f t="shared" si="65"/>
        <v>0.25</v>
      </c>
      <c r="K79" s="528">
        <f t="shared" ref="K79:K86" si="83">+(G79/F79)*E79</f>
        <v>2.75E-2</v>
      </c>
      <c r="L79" s="528">
        <f t="shared" si="36"/>
        <v>2.75E-2</v>
      </c>
      <c r="M79" s="525">
        <v>50</v>
      </c>
      <c r="N79" s="582">
        <v>23</v>
      </c>
      <c r="O79" s="576">
        <v>9</v>
      </c>
      <c r="P79" s="525"/>
      <c r="Q79" s="525"/>
      <c r="R79" s="525">
        <f t="shared" ref="R79:R86" si="84">+N79+O79+P79+Q79</f>
        <v>32</v>
      </c>
      <c r="S79" s="525">
        <f t="shared" ref="S79:S86" si="85">+R79+M79</f>
        <v>82</v>
      </c>
      <c r="T79" s="528">
        <f>+(M79/G79)</f>
        <v>0.78125</v>
      </c>
      <c r="U79" s="556">
        <f t="shared" ref="U79:U90" si="86">+R79/H79</f>
        <v>0.5</v>
      </c>
      <c r="V79" s="556">
        <f>+T79*E79</f>
        <v>8.59375E-2</v>
      </c>
      <c r="W79" s="556">
        <f t="shared" si="49"/>
        <v>5.5E-2</v>
      </c>
      <c r="X79" s="606">
        <f>+M79/F79</f>
        <v>0.1953125</v>
      </c>
      <c r="Y79" s="607">
        <v>0.378</v>
      </c>
      <c r="Z79" s="543">
        <f>+X79*E79</f>
        <v>2.1484375E-2</v>
      </c>
      <c r="AA79" s="544">
        <f>+Y79*E79</f>
        <v>4.1579999999999999E-2</v>
      </c>
      <c r="AB79" s="221" t="s">
        <v>43</v>
      </c>
      <c r="AC79" s="724" t="s">
        <v>44</v>
      </c>
      <c r="AD79" s="892" t="s">
        <v>38</v>
      </c>
      <c r="AE79" s="892" t="s">
        <v>39</v>
      </c>
      <c r="AF79" s="494"/>
      <c r="AG79" s="187"/>
      <c r="AH79" s="187"/>
      <c r="AI79" s="187"/>
    </row>
    <row r="80" spans="1:35" ht="80.45" customHeight="1" thickBot="1" x14ac:dyDescent="0.35">
      <c r="A80" s="331"/>
      <c r="B80" s="1070" t="s">
        <v>194</v>
      </c>
      <c r="C80" s="1070" t="s">
        <v>195</v>
      </c>
      <c r="D80" s="495" t="s">
        <v>47</v>
      </c>
      <c r="E80" s="1259">
        <v>0.11</v>
      </c>
      <c r="F80" s="568">
        <v>9</v>
      </c>
      <c r="G80" s="525">
        <v>0</v>
      </c>
      <c r="H80" s="525">
        <v>0</v>
      </c>
      <c r="I80" s="528"/>
      <c r="J80" s="528"/>
      <c r="K80" s="528"/>
      <c r="L80" s="528"/>
      <c r="M80" s="525"/>
      <c r="N80" s="582"/>
      <c r="O80" s="576"/>
      <c r="P80" s="525"/>
      <c r="Q80" s="525"/>
      <c r="R80" s="525">
        <f t="shared" si="84"/>
        <v>0</v>
      </c>
      <c r="S80" s="525">
        <f t="shared" si="85"/>
        <v>0</v>
      </c>
      <c r="T80" s="528"/>
      <c r="U80" s="556"/>
      <c r="V80" s="556"/>
      <c r="W80" s="556"/>
      <c r="X80" s="606">
        <v>0</v>
      </c>
      <c r="Y80" s="607">
        <v>0</v>
      </c>
      <c r="Z80" s="543">
        <v>0</v>
      </c>
      <c r="AA80" s="544">
        <f t="shared" ref="AA80:AA81" si="87">+Y80*E80</f>
        <v>0</v>
      </c>
      <c r="AB80" s="221" t="s">
        <v>43</v>
      </c>
      <c r="AC80" s="724" t="s">
        <v>44</v>
      </c>
      <c r="AD80" s="892" t="s">
        <v>38</v>
      </c>
      <c r="AE80" s="892" t="s">
        <v>39</v>
      </c>
      <c r="AF80" s="494"/>
      <c r="AG80" s="187"/>
      <c r="AH80" s="187"/>
      <c r="AI80" s="187"/>
    </row>
    <row r="81" spans="1:35" ht="113.45" customHeight="1" thickBot="1" x14ac:dyDescent="0.35">
      <c r="A81" s="331"/>
      <c r="B81" s="1070" t="s">
        <v>196</v>
      </c>
      <c r="C81" s="1070" t="s">
        <v>197</v>
      </c>
      <c r="D81" s="495" t="s">
        <v>47</v>
      </c>
      <c r="E81" s="1259">
        <v>0.12</v>
      </c>
      <c r="F81" s="568">
        <v>1</v>
      </c>
      <c r="G81" s="525">
        <v>0</v>
      </c>
      <c r="H81" s="525">
        <v>1</v>
      </c>
      <c r="I81" s="528"/>
      <c r="J81" s="528">
        <f t="shared" si="65"/>
        <v>1</v>
      </c>
      <c r="K81" s="528"/>
      <c r="L81" s="528">
        <f t="shared" si="36"/>
        <v>0.12</v>
      </c>
      <c r="M81" s="525"/>
      <c r="N81" s="582">
        <v>0</v>
      </c>
      <c r="O81" s="576"/>
      <c r="P81" s="525"/>
      <c r="Q81" s="525"/>
      <c r="R81" s="525">
        <f t="shared" si="84"/>
        <v>0</v>
      </c>
      <c r="S81" s="525">
        <f t="shared" si="85"/>
        <v>0</v>
      </c>
      <c r="T81" s="528"/>
      <c r="U81" s="556">
        <f t="shared" si="86"/>
        <v>0</v>
      </c>
      <c r="V81" s="556"/>
      <c r="W81" s="556">
        <f t="shared" si="49"/>
        <v>0</v>
      </c>
      <c r="X81" s="606"/>
      <c r="Y81" s="607">
        <v>0</v>
      </c>
      <c r="Z81" s="543">
        <v>0</v>
      </c>
      <c r="AA81" s="544">
        <f t="shared" si="87"/>
        <v>0</v>
      </c>
      <c r="AB81" s="221" t="s">
        <v>43</v>
      </c>
      <c r="AC81" s="752" t="s">
        <v>127</v>
      </c>
      <c r="AD81" s="892" t="s">
        <v>38</v>
      </c>
      <c r="AE81" s="892" t="s">
        <v>39</v>
      </c>
      <c r="AF81" s="494"/>
      <c r="AG81" s="187"/>
      <c r="AH81" s="187"/>
      <c r="AI81" s="187"/>
    </row>
    <row r="82" spans="1:35" ht="105" customHeight="1" thickBot="1" x14ac:dyDescent="0.35">
      <c r="A82" s="331"/>
      <c r="B82" s="1070" t="s">
        <v>198</v>
      </c>
      <c r="C82" s="1070" t="s">
        <v>199</v>
      </c>
      <c r="D82" s="495" t="s">
        <v>47</v>
      </c>
      <c r="E82" s="1259">
        <v>0.11</v>
      </c>
      <c r="F82" s="568">
        <v>4</v>
      </c>
      <c r="G82" s="525">
        <v>1</v>
      </c>
      <c r="H82" s="525">
        <v>1</v>
      </c>
      <c r="I82" s="528">
        <f t="shared" si="82"/>
        <v>0.25</v>
      </c>
      <c r="J82" s="528">
        <f t="shared" si="65"/>
        <v>0.25</v>
      </c>
      <c r="K82" s="528">
        <f t="shared" si="83"/>
        <v>2.75E-2</v>
      </c>
      <c r="L82" s="528">
        <f t="shared" si="36"/>
        <v>2.75E-2</v>
      </c>
      <c r="M82" s="525">
        <v>1</v>
      </c>
      <c r="N82" s="582">
        <v>0</v>
      </c>
      <c r="O82" s="576">
        <v>1</v>
      </c>
      <c r="P82" s="525"/>
      <c r="Q82" s="525"/>
      <c r="R82" s="525">
        <f t="shared" si="84"/>
        <v>1</v>
      </c>
      <c r="S82" s="525">
        <f t="shared" si="85"/>
        <v>2</v>
      </c>
      <c r="T82" s="528">
        <f>+(M82/G82)</f>
        <v>1</v>
      </c>
      <c r="U82" s="556">
        <f t="shared" si="86"/>
        <v>1</v>
      </c>
      <c r="V82" s="556">
        <f>+T82*E82</f>
        <v>0.11</v>
      </c>
      <c r="W82" s="556">
        <f t="shared" si="49"/>
        <v>0.11</v>
      </c>
      <c r="X82" s="606">
        <f>+M82/F82</f>
        <v>0.25</v>
      </c>
      <c r="Y82" s="607">
        <f t="shared" si="81"/>
        <v>0.5</v>
      </c>
      <c r="Z82" s="543">
        <f>+X82*E82</f>
        <v>2.75E-2</v>
      </c>
      <c r="AA82" s="544">
        <f>+Y82*E82</f>
        <v>5.5E-2</v>
      </c>
      <c r="AB82" s="221" t="s">
        <v>43</v>
      </c>
      <c r="AC82" s="724" t="s">
        <v>44</v>
      </c>
      <c r="AD82" s="892" t="s">
        <v>38</v>
      </c>
      <c r="AE82" s="892" t="s">
        <v>39</v>
      </c>
      <c r="AF82" s="494"/>
      <c r="AG82" s="187"/>
      <c r="AH82" s="187"/>
      <c r="AI82" s="187"/>
    </row>
    <row r="83" spans="1:35" ht="73.150000000000006" customHeight="1" thickBot="1" x14ac:dyDescent="0.35">
      <c r="A83" s="331"/>
      <c r="B83" s="1070" t="s">
        <v>200</v>
      </c>
      <c r="C83" s="1070" t="s">
        <v>201</v>
      </c>
      <c r="D83" s="495" t="s">
        <v>47</v>
      </c>
      <c r="E83" s="1259">
        <v>0.11</v>
      </c>
      <c r="F83" s="568">
        <v>4</v>
      </c>
      <c r="G83" s="525">
        <v>1</v>
      </c>
      <c r="H83" s="525">
        <v>1</v>
      </c>
      <c r="I83" s="528">
        <f t="shared" si="82"/>
        <v>0.25</v>
      </c>
      <c r="J83" s="528">
        <f t="shared" si="65"/>
        <v>0.25</v>
      </c>
      <c r="K83" s="528">
        <f t="shared" si="83"/>
        <v>2.75E-2</v>
      </c>
      <c r="L83" s="528">
        <f t="shared" si="36"/>
        <v>2.75E-2</v>
      </c>
      <c r="M83" s="525">
        <v>1</v>
      </c>
      <c r="N83" s="582">
        <v>0</v>
      </c>
      <c r="O83" s="576">
        <v>0.5</v>
      </c>
      <c r="P83" s="525"/>
      <c r="Q83" s="525"/>
      <c r="R83" s="525">
        <f t="shared" si="84"/>
        <v>0.5</v>
      </c>
      <c r="S83" s="525">
        <f t="shared" si="85"/>
        <v>1.5</v>
      </c>
      <c r="T83" s="528">
        <f>+(M83/G83)</f>
        <v>1</v>
      </c>
      <c r="U83" s="556">
        <f t="shared" si="86"/>
        <v>0.5</v>
      </c>
      <c r="V83" s="556">
        <f>+T83*E83</f>
        <v>0.11</v>
      </c>
      <c r="W83" s="556">
        <f t="shared" si="49"/>
        <v>5.5E-2</v>
      </c>
      <c r="X83" s="606">
        <f>+M83/F83</f>
        <v>0.25</v>
      </c>
      <c r="Y83" s="607">
        <f t="shared" si="81"/>
        <v>0.375</v>
      </c>
      <c r="Z83" s="543">
        <f>+X83*E83</f>
        <v>2.75E-2</v>
      </c>
      <c r="AA83" s="544">
        <f>+Y83*E83</f>
        <v>4.1250000000000002E-2</v>
      </c>
      <c r="AB83" s="221" t="s">
        <v>43</v>
      </c>
      <c r="AC83" s="724" t="s">
        <v>44</v>
      </c>
      <c r="AD83" s="892" t="s">
        <v>38</v>
      </c>
      <c r="AE83" s="892" t="s">
        <v>39</v>
      </c>
      <c r="AF83" s="494"/>
      <c r="AG83" s="187"/>
      <c r="AH83" s="187"/>
      <c r="AI83" s="187"/>
    </row>
    <row r="84" spans="1:35" ht="94.9" customHeight="1" thickBot="1" x14ac:dyDescent="0.35">
      <c r="A84" s="331"/>
      <c r="B84" s="1070" t="s">
        <v>202</v>
      </c>
      <c r="C84" s="1070" t="s">
        <v>203</v>
      </c>
      <c r="D84" s="495" t="s">
        <v>47</v>
      </c>
      <c r="E84" s="1259">
        <v>0.11</v>
      </c>
      <c r="F84" s="568">
        <v>1</v>
      </c>
      <c r="G84" s="525">
        <v>0.25</v>
      </c>
      <c r="H84" s="525">
        <v>0.25</v>
      </c>
      <c r="I84" s="528">
        <f t="shared" si="82"/>
        <v>0.25</v>
      </c>
      <c r="J84" s="528">
        <f t="shared" si="65"/>
        <v>0.25</v>
      </c>
      <c r="K84" s="528">
        <f t="shared" si="83"/>
        <v>2.75E-2</v>
      </c>
      <c r="L84" s="528">
        <f t="shared" si="36"/>
        <v>2.75E-2</v>
      </c>
      <c r="M84" s="555">
        <v>0.25</v>
      </c>
      <c r="N84" s="582">
        <v>6.25E-2</v>
      </c>
      <c r="O84" s="1212">
        <v>6.25E-2</v>
      </c>
      <c r="P84" s="555"/>
      <c r="Q84" s="555"/>
      <c r="R84" s="525">
        <f t="shared" si="84"/>
        <v>0.125</v>
      </c>
      <c r="S84" s="525">
        <f t="shared" si="85"/>
        <v>0.375</v>
      </c>
      <c r="T84" s="528">
        <f>+(M84/G84)</f>
        <v>1</v>
      </c>
      <c r="U84" s="556">
        <f t="shared" si="86"/>
        <v>0.5</v>
      </c>
      <c r="V84" s="556">
        <f>+T84*E84</f>
        <v>0.11</v>
      </c>
      <c r="W84" s="556">
        <f t="shared" si="49"/>
        <v>5.5E-2</v>
      </c>
      <c r="X84" s="606">
        <f>+M84/F84</f>
        <v>0.25</v>
      </c>
      <c r="Y84" s="607">
        <f t="shared" si="81"/>
        <v>0.375</v>
      </c>
      <c r="Z84" s="543">
        <f>+X84*E84</f>
        <v>2.75E-2</v>
      </c>
      <c r="AA84" s="544">
        <f>+Y84*E84</f>
        <v>4.1250000000000002E-2</v>
      </c>
      <c r="AB84" s="221" t="s">
        <v>43</v>
      </c>
      <c r="AC84" s="724" t="s">
        <v>44</v>
      </c>
      <c r="AD84" s="892" t="s">
        <v>38</v>
      </c>
      <c r="AE84" s="892" t="s">
        <v>39</v>
      </c>
      <c r="AF84" s="494"/>
      <c r="AG84" s="187"/>
      <c r="AH84" s="187"/>
      <c r="AI84" s="187"/>
    </row>
    <row r="85" spans="1:35" ht="95.45" customHeight="1" thickBot="1" x14ac:dyDescent="0.35">
      <c r="A85" s="331"/>
      <c r="B85" s="1070" t="s">
        <v>204</v>
      </c>
      <c r="C85" s="1070" t="s">
        <v>205</v>
      </c>
      <c r="D85" s="495" t="s">
        <v>47</v>
      </c>
      <c r="E85" s="1259">
        <v>0.11</v>
      </c>
      <c r="F85" s="568">
        <v>86</v>
      </c>
      <c r="G85" s="525">
        <v>0</v>
      </c>
      <c r="H85" s="525">
        <v>30</v>
      </c>
      <c r="I85" s="528"/>
      <c r="J85" s="528">
        <f t="shared" si="65"/>
        <v>0.34883720930232559</v>
      </c>
      <c r="K85" s="528"/>
      <c r="L85" s="528">
        <f t="shared" si="36"/>
        <v>3.8372093023255817E-2</v>
      </c>
      <c r="M85" s="525"/>
      <c r="N85" s="582">
        <v>0</v>
      </c>
      <c r="O85" s="576">
        <v>0</v>
      </c>
      <c r="P85" s="525"/>
      <c r="Q85" s="525"/>
      <c r="R85" s="525">
        <f t="shared" si="84"/>
        <v>0</v>
      </c>
      <c r="S85" s="525">
        <f t="shared" si="85"/>
        <v>0</v>
      </c>
      <c r="T85" s="528"/>
      <c r="U85" s="556">
        <f t="shared" si="86"/>
        <v>0</v>
      </c>
      <c r="V85" s="556"/>
      <c r="W85" s="556">
        <f t="shared" si="49"/>
        <v>0</v>
      </c>
      <c r="X85" s="606"/>
      <c r="Y85" s="607">
        <v>0</v>
      </c>
      <c r="Z85" s="543">
        <v>0</v>
      </c>
      <c r="AA85" s="544">
        <f>+Y85*E85</f>
        <v>0</v>
      </c>
      <c r="AB85" s="221" t="s">
        <v>43</v>
      </c>
      <c r="AC85" s="752" t="s">
        <v>127</v>
      </c>
      <c r="AD85" s="892" t="s">
        <v>38</v>
      </c>
      <c r="AE85" s="892" t="s">
        <v>39</v>
      </c>
      <c r="AF85" s="494"/>
      <c r="AG85" s="187"/>
      <c r="AH85" s="187"/>
      <c r="AI85" s="187"/>
    </row>
    <row r="86" spans="1:35" ht="89.45" customHeight="1" thickBot="1" x14ac:dyDescent="0.35">
      <c r="A86" s="331"/>
      <c r="B86" s="1070" t="s">
        <v>206</v>
      </c>
      <c r="C86" s="1070" t="s">
        <v>207</v>
      </c>
      <c r="D86" s="495" t="s">
        <v>47</v>
      </c>
      <c r="E86" s="1259">
        <v>0.11</v>
      </c>
      <c r="F86" s="568">
        <v>4</v>
      </c>
      <c r="G86" s="525">
        <v>1</v>
      </c>
      <c r="H86" s="525">
        <v>1</v>
      </c>
      <c r="I86" s="528">
        <f t="shared" si="82"/>
        <v>0.25</v>
      </c>
      <c r="J86" s="528">
        <f t="shared" si="65"/>
        <v>0.25</v>
      </c>
      <c r="K86" s="528">
        <f t="shared" si="83"/>
        <v>2.75E-2</v>
      </c>
      <c r="L86" s="528">
        <f t="shared" si="36"/>
        <v>2.75E-2</v>
      </c>
      <c r="M86" s="525">
        <v>1</v>
      </c>
      <c r="N86" s="582">
        <v>0.25</v>
      </c>
      <c r="O86" s="576">
        <v>0.25</v>
      </c>
      <c r="P86" s="525"/>
      <c r="Q86" s="525"/>
      <c r="R86" s="525">
        <f t="shared" si="84"/>
        <v>0.5</v>
      </c>
      <c r="S86" s="525">
        <f t="shared" si="85"/>
        <v>1.5</v>
      </c>
      <c r="T86" s="528">
        <f>+(M86/G86)</f>
        <v>1</v>
      </c>
      <c r="U86" s="556">
        <f t="shared" si="86"/>
        <v>0.5</v>
      </c>
      <c r="V86" s="556">
        <f>+T86*E86</f>
        <v>0.11</v>
      </c>
      <c r="W86" s="556">
        <f t="shared" si="49"/>
        <v>5.5E-2</v>
      </c>
      <c r="X86" s="606">
        <f>+M86/F86</f>
        <v>0.25</v>
      </c>
      <c r="Y86" s="609">
        <f t="shared" si="81"/>
        <v>0.375</v>
      </c>
      <c r="Z86" s="543">
        <f>+X86*E86</f>
        <v>2.75E-2</v>
      </c>
      <c r="AA86" s="544">
        <f>+Y86*E86</f>
        <v>4.1250000000000002E-2</v>
      </c>
      <c r="AB86" s="221" t="s">
        <v>43</v>
      </c>
      <c r="AC86" s="724" t="s">
        <v>44</v>
      </c>
      <c r="AD86" s="892" t="s">
        <v>38</v>
      </c>
      <c r="AE86" s="892" t="s">
        <v>39</v>
      </c>
      <c r="AF86" s="494"/>
      <c r="AG86" s="187"/>
      <c r="AH86" s="187"/>
      <c r="AI86" s="187"/>
    </row>
    <row r="87" spans="1:35" ht="72" customHeight="1" thickBot="1" x14ac:dyDescent="0.35">
      <c r="A87" s="331"/>
      <c r="B87" s="1284" t="s">
        <v>208</v>
      </c>
      <c r="C87" s="1285"/>
      <c r="D87" s="495"/>
      <c r="E87" s="522">
        <v>0.1</v>
      </c>
      <c r="F87" s="527"/>
      <c r="G87" s="527"/>
      <c r="H87" s="527"/>
      <c r="I87" s="524">
        <f>+AVERAGE(I88:I90)</f>
        <v>0.25</v>
      </c>
      <c r="J87" s="524">
        <f>+AVERAGE(J88:J90)</f>
        <v>0.25</v>
      </c>
      <c r="K87" s="524">
        <f>+K88+K89+K90</f>
        <v>0.125</v>
      </c>
      <c r="L87" s="524">
        <f>+L88+L89+L90</f>
        <v>0.125</v>
      </c>
      <c r="M87" s="527"/>
      <c r="N87" s="527"/>
      <c r="O87" s="527"/>
      <c r="P87" s="527"/>
      <c r="Q87" s="527"/>
      <c r="R87" s="527"/>
      <c r="S87" s="527"/>
      <c r="T87" s="579">
        <f>+AVERAGE(T88:T90)</f>
        <v>1</v>
      </c>
      <c r="U87" s="579">
        <f>+AVERAGE(U88:U90)</f>
        <v>0.5</v>
      </c>
      <c r="V87" s="579">
        <f>+(V88+V89+V90)*E87</f>
        <v>0.05</v>
      </c>
      <c r="W87" s="579">
        <f>+(W88+W89+W90)*E87</f>
        <v>2.5000000000000001E-2</v>
      </c>
      <c r="X87" s="539">
        <f>+AVERAGE(X88:X90)</f>
        <v>0.25</v>
      </c>
      <c r="Y87" s="611">
        <f>+X87+((Y89-X89)/3)+((Y90-X90)/3)</f>
        <v>0.33333333333333331</v>
      </c>
      <c r="Z87" s="539">
        <f>+(Z88+Z89+Z90)*E87</f>
        <v>1.2500000000000001E-2</v>
      </c>
      <c r="AA87" s="599">
        <f>+(AA88+AA89+AA90)</f>
        <v>0.1875</v>
      </c>
      <c r="AB87" s="215"/>
      <c r="AC87" s="494"/>
      <c r="AD87" s="494"/>
      <c r="AE87" s="494"/>
      <c r="AF87" s="494"/>
      <c r="AG87" s="187"/>
      <c r="AH87" s="187"/>
      <c r="AI87" s="187"/>
    </row>
    <row r="88" spans="1:35" ht="126" customHeight="1" thickBot="1" x14ac:dyDescent="0.35">
      <c r="A88" s="331"/>
      <c r="B88" s="1070" t="s">
        <v>209</v>
      </c>
      <c r="C88" s="1070" t="s">
        <v>210</v>
      </c>
      <c r="D88" s="495" t="s">
        <v>47</v>
      </c>
      <c r="E88" s="1259">
        <v>0.5</v>
      </c>
      <c r="F88" s="568">
        <v>1</v>
      </c>
      <c r="G88" s="525">
        <v>0</v>
      </c>
      <c r="H88" s="525">
        <v>0</v>
      </c>
      <c r="I88" s="528"/>
      <c r="J88" s="528"/>
      <c r="K88" s="528"/>
      <c r="L88" s="528"/>
      <c r="M88" s="525"/>
      <c r="N88" s="582"/>
      <c r="O88" s="576"/>
      <c r="P88" s="525"/>
      <c r="Q88" s="525"/>
      <c r="R88" s="525">
        <f t="shared" ref="R88" si="88">+N88+O88+P88+Q88</f>
        <v>0</v>
      </c>
      <c r="S88" s="525">
        <f t="shared" ref="S88" si="89">+R88+M88</f>
        <v>0</v>
      </c>
      <c r="T88" s="528"/>
      <c r="U88" s="528"/>
      <c r="V88" s="528"/>
      <c r="W88" s="528"/>
      <c r="X88" s="543"/>
      <c r="Y88" s="613"/>
      <c r="Z88" s="543">
        <v>0</v>
      </c>
      <c r="AA88" s="544">
        <v>0</v>
      </c>
      <c r="AB88" s="221" t="s">
        <v>43</v>
      </c>
      <c r="AC88" s="724" t="s">
        <v>44</v>
      </c>
      <c r="AD88" s="892" t="s">
        <v>38</v>
      </c>
      <c r="AE88" s="892" t="s">
        <v>39</v>
      </c>
      <c r="AF88" s="494"/>
      <c r="AG88" s="187"/>
      <c r="AH88" s="187"/>
      <c r="AI88" s="187"/>
    </row>
    <row r="89" spans="1:35" ht="71.45" customHeight="1" thickBot="1" x14ac:dyDescent="0.35">
      <c r="A89" s="331"/>
      <c r="B89" s="1070" t="s">
        <v>211</v>
      </c>
      <c r="C89" s="1070" t="s">
        <v>212</v>
      </c>
      <c r="D89" s="495" t="s">
        <v>47</v>
      </c>
      <c r="E89" s="1259">
        <v>0.25</v>
      </c>
      <c r="F89" s="568">
        <v>600</v>
      </c>
      <c r="G89" s="525">
        <v>150</v>
      </c>
      <c r="H89" s="525">
        <v>150</v>
      </c>
      <c r="I89" s="528">
        <f>+G89/F89</f>
        <v>0.25</v>
      </c>
      <c r="J89" s="528">
        <f t="shared" si="65"/>
        <v>0.25</v>
      </c>
      <c r="K89" s="528">
        <f>+(G89/F89)*E89</f>
        <v>6.25E-2</v>
      </c>
      <c r="L89" s="528">
        <f t="shared" si="36"/>
        <v>6.25E-2</v>
      </c>
      <c r="M89" s="525">
        <v>150</v>
      </c>
      <c r="N89" s="582">
        <v>150</v>
      </c>
      <c r="O89" s="576"/>
      <c r="P89" s="525"/>
      <c r="Q89" s="525"/>
      <c r="R89" s="525">
        <f t="shared" ref="R89:R90" si="90">+N89+O89+P89+Q89</f>
        <v>150</v>
      </c>
      <c r="S89" s="525">
        <f t="shared" ref="S89:S90" si="91">+R89+M89</f>
        <v>300</v>
      </c>
      <c r="T89" s="528">
        <f>+(M89/G89)</f>
        <v>1</v>
      </c>
      <c r="U89" s="528">
        <f t="shared" si="86"/>
        <v>1</v>
      </c>
      <c r="V89" s="528">
        <f>+T89*E89</f>
        <v>0.25</v>
      </c>
      <c r="W89" s="528">
        <f t="shared" si="49"/>
        <v>0.25</v>
      </c>
      <c r="X89" s="543">
        <f>+M89/F89</f>
        <v>0.25</v>
      </c>
      <c r="Y89" s="544">
        <f t="shared" si="81"/>
        <v>0.5</v>
      </c>
      <c r="Z89" s="543">
        <f>+X89*E89</f>
        <v>6.25E-2</v>
      </c>
      <c r="AA89" s="544">
        <f>+Y89*E89</f>
        <v>0.125</v>
      </c>
      <c r="AB89" s="221" t="s">
        <v>43</v>
      </c>
      <c r="AC89" s="724" t="s">
        <v>44</v>
      </c>
      <c r="AD89" s="892" t="s">
        <v>38</v>
      </c>
      <c r="AE89" s="892" t="s">
        <v>39</v>
      </c>
      <c r="AF89" s="494"/>
      <c r="AG89" s="187"/>
      <c r="AH89" s="187"/>
      <c r="AI89" s="187"/>
    </row>
    <row r="90" spans="1:35" ht="96.6" customHeight="1" thickBot="1" x14ac:dyDescent="0.35">
      <c r="A90" s="331"/>
      <c r="B90" s="1071" t="s">
        <v>213</v>
      </c>
      <c r="C90" s="1071" t="s">
        <v>214</v>
      </c>
      <c r="D90" s="495" t="s">
        <v>47</v>
      </c>
      <c r="E90" s="1259">
        <v>0.25</v>
      </c>
      <c r="F90" s="568">
        <v>4</v>
      </c>
      <c r="G90" s="525">
        <v>1</v>
      </c>
      <c r="H90" s="525">
        <v>1</v>
      </c>
      <c r="I90" s="528">
        <f>+G90/F90</f>
        <v>0.25</v>
      </c>
      <c r="J90" s="528">
        <f t="shared" si="65"/>
        <v>0.25</v>
      </c>
      <c r="K90" s="528">
        <f>+(G90/F90)*E90</f>
        <v>6.25E-2</v>
      </c>
      <c r="L90" s="528">
        <f t="shared" si="36"/>
        <v>6.25E-2</v>
      </c>
      <c r="M90" s="525">
        <v>1</v>
      </c>
      <c r="N90" s="582">
        <v>0</v>
      </c>
      <c r="O90" s="576">
        <v>0</v>
      </c>
      <c r="P90" s="525"/>
      <c r="Q90" s="525"/>
      <c r="R90" s="525">
        <f t="shared" si="90"/>
        <v>0</v>
      </c>
      <c r="S90" s="525">
        <f t="shared" si="91"/>
        <v>1</v>
      </c>
      <c r="T90" s="528">
        <f>+(M90/G90)</f>
        <v>1</v>
      </c>
      <c r="U90" s="528">
        <f t="shared" si="86"/>
        <v>0</v>
      </c>
      <c r="V90" s="528">
        <f>+T90*E90</f>
        <v>0.25</v>
      </c>
      <c r="W90" s="528">
        <f>+U90*E90</f>
        <v>0</v>
      </c>
      <c r="X90" s="543">
        <f>+M90/F90</f>
        <v>0.25</v>
      </c>
      <c r="Y90" s="544">
        <f t="shared" si="81"/>
        <v>0.25</v>
      </c>
      <c r="Z90" s="543">
        <f>+X90*E90</f>
        <v>6.25E-2</v>
      </c>
      <c r="AA90" s="544">
        <f>+Y90*E90</f>
        <v>6.25E-2</v>
      </c>
      <c r="AB90" s="221" t="s">
        <v>43</v>
      </c>
      <c r="AC90" s="724" t="s">
        <v>44</v>
      </c>
      <c r="AD90" s="892" t="s">
        <v>38</v>
      </c>
      <c r="AE90" s="892" t="s">
        <v>39</v>
      </c>
      <c r="AF90" s="494"/>
      <c r="AG90" s="187"/>
      <c r="AH90" s="187"/>
      <c r="AI90" s="187"/>
    </row>
    <row r="91" spans="1:35" ht="93" customHeight="1" thickBot="1" x14ac:dyDescent="0.35">
      <c r="A91" s="331"/>
      <c r="B91" s="1286" t="s">
        <v>215</v>
      </c>
      <c r="C91" s="1285"/>
      <c r="D91" s="494"/>
      <c r="E91" s="529">
        <v>0.3</v>
      </c>
      <c r="F91" s="529">
        <f>+E91*V91</f>
        <v>0.22781794835632452</v>
      </c>
      <c r="G91" s="527"/>
      <c r="H91" s="529">
        <f>E91*W91</f>
        <v>9.7509630730930261E-2</v>
      </c>
      <c r="I91" s="519">
        <f>+(I92+I99+I102+I105+I125)/5</f>
        <v>0.23229102167182664</v>
      </c>
      <c r="J91" s="519">
        <f>+(J92+J99+J102+J105+J125)/5</f>
        <v>0.33879772961816307</v>
      </c>
      <c r="K91" s="520">
        <f>+(K92+K99+K102+K105+K125)/5</f>
        <v>0.15700735294117646</v>
      </c>
      <c r="L91" s="520">
        <f>+(L92+L99+L102+L105+L125)/5</f>
        <v>0.37183088235294115</v>
      </c>
      <c r="M91" s="527"/>
      <c r="N91" s="527"/>
      <c r="O91" s="527"/>
      <c r="P91" s="527"/>
      <c r="Q91" s="527"/>
      <c r="R91" s="527"/>
      <c r="S91" s="527"/>
      <c r="T91" s="519">
        <f>+(T92+T99+T102+T105+T125)/5</f>
        <v>0.97477263894508703</v>
      </c>
      <c r="U91" s="519">
        <f>+(U92+U99+U102+U105+U125)/5</f>
        <v>0.39703208372568849</v>
      </c>
      <c r="V91" s="520">
        <f>+V92+V99+V102+V105+V125</f>
        <v>0.75939316118774847</v>
      </c>
      <c r="W91" s="520">
        <f>+W92+W99+W102+W105+W125</f>
        <v>0.32503210243643421</v>
      </c>
      <c r="X91" s="605">
        <f>+(X92+X99+X102+X105+X125)/5</f>
        <v>0.20515575037857808</v>
      </c>
      <c r="Y91" s="598">
        <f>+(Y92+Y99+Y102+Y105+Y125)/5</f>
        <v>0.28721175892609924</v>
      </c>
      <c r="Z91" s="597">
        <f>+Z92+Z99+Z102+Z105+Z125</f>
        <v>0.19010083782604881</v>
      </c>
      <c r="AA91" s="776">
        <f>+(AA92*E92)+(AA99*E99)+(AA102*E102)+(AA105*E105)+(AA125*E125)</f>
        <v>0.28043974578809849</v>
      </c>
      <c r="AB91" s="207"/>
      <c r="AC91" s="494"/>
      <c r="AD91" s="494"/>
      <c r="AE91" s="494"/>
      <c r="AF91" s="494"/>
      <c r="AG91" s="187"/>
      <c r="AH91" s="187"/>
      <c r="AI91" s="187"/>
    </row>
    <row r="92" spans="1:35" ht="57" customHeight="1" thickBot="1" x14ac:dyDescent="0.35">
      <c r="A92" s="331"/>
      <c r="B92" s="1284" t="s">
        <v>216</v>
      </c>
      <c r="C92" s="1285"/>
      <c r="D92" s="1258"/>
      <c r="E92" s="522">
        <v>0.35</v>
      </c>
      <c r="F92" s="527"/>
      <c r="G92" s="527"/>
      <c r="H92" s="527"/>
      <c r="I92" s="524">
        <f>+AVERAGE(I93:I98)</f>
        <v>0.25</v>
      </c>
      <c r="J92" s="524">
        <f>+AVERAGE(J93:J98)</f>
        <v>0.29166666666666669</v>
      </c>
      <c r="K92" s="524">
        <f>+K93+K94+K95+K96+K97+K98</f>
        <v>0.16250000000000003</v>
      </c>
      <c r="L92" s="524">
        <f>+L93+L94+L95+L96+L97+L98</f>
        <v>0.33750000000000002</v>
      </c>
      <c r="M92" s="527"/>
      <c r="N92" s="527"/>
      <c r="O92" s="527"/>
      <c r="P92" s="527"/>
      <c r="Q92" s="527"/>
      <c r="R92" s="527"/>
      <c r="S92" s="527"/>
      <c r="T92" s="579">
        <f>+AVERAGE(T93:T98)</f>
        <v>0.96129032258064517</v>
      </c>
      <c r="U92" s="579">
        <f>+AVERAGE(U93:U98)</f>
        <v>0.45893512544802872</v>
      </c>
      <c r="V92" s="579">
        <f>+(V93+V94+V95+V96+V97)*E92</f>
        <v>0.22411290322580646</v>
      </c>
      <c r="W92" s="579">
        <f>+(W93+W94+W95+W96+W97)*E92</f>
        <v>0.11837368817204301</v>
      </c>
      <c r="X92" s="539">
        <f>+AVERAGE(X93:X98)</f>
        <v>0.21293498207199635</v>
      </c>
      <c r="Y92" s="599">
        <f>+AVERAGE(Y93:Y98)</f>
        <v>0.32766876343400347</v>
      </c>
      <c r="Z92" s="539">
        <f>+(Z93+Z94+Z95+Z96+Z97+Z98)*E92</f>
        <v>5.944380429531565E-2</v>
      </c>
      <c r="AA92" s="599">
        <f>+(AA93+AA94+AA95+AA96+AA97+AA98)</f>
        <v>0.25439207525236118</v>
      </c>
      <c r="AB92" s="772"/>
      <c r="AC92" s="494"/>
      <c r="AD92" s="494"/>
      <c r="AE92" s="494"/>
      <c r="AF92" s="494"/>
      <c r="AG92" s="187"/>
      <c r="AH92" s="187"/>
      <c r="AI92" s="187"/>
    </row>
    <row r="93" spans="1:35" ht="151.9" customHeight="1" thickBot="1" x14ac:dyDescent="0.35">
      <c r="A93" s="331"/>
      <c r="B93" s="1070" t="s">
        <v>217</v>
      </c>
      <c r="C93" s="1070" t="s">
        <v>218</v>
      </c>
      <c r="D93" s="495" t="s">
        <v>219</v>
      </c>
      <c r="E93" s="1259">
        <v>0.4</v>
      </c>
      <c r="F93" s="568">
        <v>2718220</v>
      </c>
      <c r="G93" s="525">
        <v>679555</v>
      </c>
      <c r="H93" s="525">
        <v>679555</v>
      </c>
      <c r="I93" s="528">
        <f>+G93/F93</f>
        <v>0.25</v>
      </c>
      <c r="J93" s="528">
        <f t="shared" ref="J93:J101" si="92">+H93/F93</f>
        <v>0.25</v>
      </c>
      <c r="K93" s="528">
        <f>+(G93/F93)*E93</f>
        <v>0.1</v>
      </c>
      <c r="L93" s="528">
        <f t="shared" ref="L93:L124" si="93">+(H93/F93)*E93</f>
        <v>0.1</v>
      </c>
      <c r="M93" s="525">
        <v>699118</v>
      </c>
      <c r="N93" s="576"/>
      <c r="O93" s="1135">
        <v>702671</v>
      </c>
      <c r="P93" s="525"/>
      <c r="Q93" s="525"/>
      <c r="R93" s="525">
        <f>+N93+O93+P93+Q93</f>
        <v>702671</v>
      </c>
      <c r="S93" s="525">
        <f>+R93+M93</f>
        <v>1401789</v>
      </c>
      <c r="T93" s="528">
        <v>1</v>
      </c>
      <c r="U93" s="894">
        <v>0.5</v>
      </c>
      <c r="V93" s="528">
        <f>+T93*E93</f>
        <v>0.4</v>
      </c>
      <c r="W93" s="528">
        <f>+U93*E93</f>
        <v>0.2</v>
      </c>
      <c r="X93" s="606">
        <f>+M93/F93</f>
        <v>0.25719698920617168</v>
      </c>
      <c r="Y93" s="607">
        <f>+X93+6.25%+6.25%</f>
        <v>0.38219698920617168</v>
      </c>
      <c r="Z93" s="543">
        <f>+X93*E93</f>
        <v>0.10287879568246867</v>
      </c>
      <c r="AA93" s="544">
        <f>+Y93*E93</f>
        <v>0.15287879568246868</v>
      </c>
      <c r="AB93" s="773" t="s">
        <v>43</v>
      </c>
      <c r="AC93" s="724" t="s">
        <v>220</v>
      </c>
      <c r="AD93" s="892" t="s">
        <v>38</v>
      </c>
      <c r="AE93" s="892" t="s">
        <v>39</v>
      </c>
      <c r="AF93" s="494"/>
      <c r="AG93" s="187"/>
      <c r="AH93" s="187"/>
      <c r="AI93" s="187"/>
    </row>
    <row r="94" spans="1:35" ht="93" customHeight="1" thickBot="1" x14ac:dyDescent="0.35">
      <c r="A94" s="331"/>
      <c r="B94" s="1070" t="s">
        <v>221</v>
      </c>
      <c r="C94" s="1070" t="s">
        <v>222</v>
      </c>
      <c r="D94" s="495" t="s">
        <v>219</v>
      </c>
      <c r="E94" s="1259">
        <v>0.1</v>
      </c>
      <c r="F94" s="568">
        <v>20000</v>
      </c>
      <c r="G94" s="525">
        <v>5000</v>
      </c>
      <c r="H94" s="525">
        <v>5000</v>
      </c>
      <c r="I94" s="528">
        <f>+G94/F94</f>
        <v>0.25</v>
      </c>
      <c r="J94" s="528">
        <f t="shared" si="92"/>
        <v>0.25</v>
      </c>
      <c r="K94" s="528">
        <f>+(G94/F94)*E94</f>
        <v>2.5000000000000001E-2</v>
      </c>
      <c r="L94" s="528">
        <f t="shared" si="93"/>
        <v>2.5000000000000001E-2</v>
      </c>
      <c r="M94" s="525">
        <v>6376</v>
      </c>
      <c r="N94" s="576">
        <v>1509</v>
      </c>
      <c r="O94" s="576">
        <v>1044</v>
      </c>
      <c r="P94" s="525"/>
      <c r="Q94" s="525"/>
      <c r="R94" s="525">
        <f t="shared" ref="R94:R98" si="94">+N94+O94+P94+Q94</f>
        <v>2553</v>
      </c>
      <c r="S94" s="525">
        <f>+R94+M94</f>
        <v>8929</v>
      </c>
      <c r="T94" s="528">
        <v>1</v>
      </c>
      <c r="U94" s="1136">
        <f>+R94/H94</f>
        <v>0.51060000000000005</v>
      </c>
      <c r="V94" s="528">
        <f>+T94*E94</f>
        <v>0.1</v>
      </c>
      <c r="W94" s="528">
        <f t="shared" ref="W94:W97" si="95">+U94*E94</f>
        <v>5.1060000000000008E-2</v>
      </c>
      <c r="X94" s="606">
        <f>+M94/F94</f>
        <v>0.31879999999999997</v>
      </c>
      <c r="Y94" s="607">
        <f t="shared" ref="Y94:Y98" si="96">+S94/F94</f>
        <v>0.44645000000000001</v>
      </c>
      <c r="Z94" s="543">
        <f>+X94*E94</f>
        <v>3.1879999999999999E-2</v>
      </c>
      <c r="AA94" s="544">
        <f>+Y94*E94</f>
        <v>4.4645000000000004E-2</v>
      </c>
      <c r="AB94" s="773" t="s">
        <v>43</v>
      </c>
      <c r="AC94" s="724" t="s">
        <v>220</v>
      </c>
      <c r="AD94" s="892" t="s">
        <v>38</v>
      </c>
      <c r="AE94" s="892" t="s">
        <v>39</v>
      </c>
      <c r="AF94" s="494"/>
      <c r="AG94" s="187"/>
      <c r="AH94" s="187"/>
      <c r="AI94" s="187"/>
    </row>
    <row r="95" spans="1:35" ht="73.150000000000006" customHeight="1" thickBot="1" x14ac:dyDescent="0.35">
      <c r="A95" s="331"/>
      <c r="B95" s="1071" t="s">
        <v>223</v>
      </c>
      <c r="C95" s="1071" t="s">
        <v>224</v>
      </c>
      <c r="D95" s="495" t="s">
        <v>219</v>
      </c>
      <c r="E95" s="1259">
        <v>0.05</v>
      </c>
      <c r="F95" s="568">
        <v>568</v>
      </c>
      <c r="G95" s="525">
        <v>142</v>
      </c>
      <c r="H95" s="525">
        <v>142</v>
      </c>
      <c r="I95" s="528">
        <f>+G95/F95</f>
        <v>0.25</v>
      </c>
      <c r="J95" s="528">
        <f t="shared" si="92"/>
        <v>0.25</v>
      </c>
      <c r="K95" s="528">
        <f>+(G95/F95)*E95</f>
        <v>1.2500000000000001E-2</v>
      </c>
      <c r="L95" s="528">
        <f t="shared" si="93"/>
        <v>1.2500000000000001E-2</v>
      </c>
      <c r="M95" s="525">
        <v>142</v>
      </c>
      <c r="N95" s="576"/>
      <c r="O95" s="1135">
        <v>142</v>
      </c>
      <c r="P95" s="525"/>
      <c r="Q95" s="525"/>
      <c r="R95" s="525">
        <f t="shared" si="94"/>
        <v>142</v>
      </c>
      <c r="S95" s="525">
        <f t="shared" ref="S95:S98" si="97">+R95+M95</f>
        <v>284</v>
      </c>
      <c r="T95" s="528">
        <f>+(M95/G95)</f>
        <v>1</v>
      </c>
      <c r="U95" s="894">
        <v>0.5</v>
      </c>
      <c r="V95" s="528">
        <f>+T95*E95</f>
        <v>0.05</v>
      </c>
      <c r="W95" s="528">
        <f t="shared" si="95"/>
        <v>2.5000000000000001E-2</v>
      </c>
      <c r="X95" s="606">
        <f>+M95/F95</f>
        <v>0.25</v>
      </c>
      <c r="Y95" s="607">
        <f>+X95+6.25%+6.25%</f>
        <v>0.375</v>
      </c>
      <c r="Z95" s="543">
        <f>+X95*E95</f>
        <v>1.2500000000000001E-2</v>
      </c>
      <c r="AA95" s="544">
        <f>+Y95*E95</f>
        <v>1.8750000000000003E-2</v>
      </c>
      <c r="AB95" s="773" t="s">
        <v>43</v>
      </c>
      <c r="AC95" s="724" t="s">
        <v>220</v>
      </c>
      <c r="AD95" s="892" t="s">
        <v>38</v>
      </c>
      <c r="AE95" s="892" t="s">
        <v>39</v>
      </c>
      <c r="AF95" s="494"/>
      <c r="AG95" s="187"/>
      <c r="AH95" s="187"/>
      <c r="AI95" s="187"/>
    </row>
    <row r="96" spans="1:35" ht="70.150000000000006" customHeight="1" thickBot="1" x14ac:dyDescent="0.35">
      <c r="A96" s="331"/>
      <c r="B96" s="1070" t="s">
        <v>225</v>
      </c>
      <c r="C96" s="1070" t="s">
        <v>226</v>
      </c>
      <c r="D96" s="495" t="s">
        <v>219</v>
      </c>
      <c r="E96" s="1259">
        <v>0.05</v>
      </c>
      <c r="F96" s="568">
        <v>248</v>
      </c>
      <c r="G96" s="525">
        <v>62</v>
      </c>
      <c r="H96" s="525">
        <v>62</v>
      </c>
      <c r="I96" s="528">
        <f>+G96/F96</f>
        <v>0.25</v>
      </c>
      <c r="J96" s="528">
        <f t="shared" si="92"/>
        <v>0.25</v>
      </c>
      <c r="K96" s="528">
        <f>+(G96/F96)*E96</f>
        <v>1.2500000000000001E-2</v>
      </c>
      <c r="L96" s="528">
        <f t="shared" si="93"/>
        <v>1.2500000000000001E-2</v>
      </c>
      <c r="M96" s="525">
        <v>50</v>
      </c>
      <c r="N96" s="576">
        <v>31</v>
      </c>
      <c r="O96" s="576">
        <v>13</v>
      </c>
      <c r="P96" s="525"/>
      <c r="Q96" s="525"/>
      <c r="R96" s="525">
        <f t="shared" si="94"/>
        <v>44</v>
      </c>
      <c r="S96" s="525">
        <f t="shared" si="97"/>
        <v>94</v>
      </c>
      <c r="T96" s="528">
        <f>+(M96/G96)</f>
        <v>0.80645161290322576</v>
      </c>
      <c r="U96" s="528">
        <f t="shared" ref="U96:U98" si="98">+R96/H96</f>
        <v>0.70967741935483875</v>
      </c>
      <c r="V96" s="528">
        <f>+T96*E96</f>
        <v>4.0322580645161289E-2</v>
      </c>
      <c r="W96" s="528">
        <f t="shared" si="95"/>
        <v>3.5483870967741936E-2</v>
      </c>
      <c r="X96" s="606">
        <f>+M96/F96</f>
        <v>0.20161290322580644</v>
      </c>
      <c r="Y96" s="607">
        <f t="shared" si="96"/>
        <v>0.37903225806451613</v>
      </c>
      <c r="Z96" s="543">
        <f>+X96*E96</f>
        <v>1.0080645161290322E-2</v>
      </c>
      <c r="AA96" s="544">
        <f>+Y96*E96</f>
        <v>1.8951612903225806E-2</v>
      </c>
      <c r="AB96" s="773" t="s">
        <v>43</v>
      </c>
      <c r="AC96" s="889" t="s">
        <v>227</v>
      </c>
      <c r="AD96" s="892" t="s">
        <v>38</v>
      </c>
      <c r="AE96" s="892" t="s">
        <v>39</v>
      </c>
      <c r="AF96" s="494"/>
      <c r="AG96" s="187"/>
      <c r="AH96" s="187"/>
      <c r="AI96" s="187"/>
    </row>
    <row r="97" spans="1:35" ht="177" customHeight="1" thickBot="1" x14ac:dyDescent="0.35">
      <c r="A97" s="331"/>
      <c r="B97" s="1070" t="s">
        <v>228</v>
      </c>
      <c r="C97" s="1070" t="s">
        <v>229</v>
      </c>
      <c r="D97" s="495" t="s">
        <v>219</v>
      </c>
      <c r="E97" s="1259">
        <v>0.05</v>
      </c>
      <c r="F97" s="568">
        <v>60</v>
      </c>
      <c r="G97" s="525">
        <v>15</v>
      </c>
      <c r="H97" s="525">
        <v>15</v>
      </c>
      <c r="I97" s="528">
        <f>+G97/F97</f>
        <v>0.25</v>
      </c>
      <c r="J97" s="528">
        <f t="shared" si="92"/>
        <v>0.25</v>
      </c>
      <c r="K97" s="528">
        <f>+(G97/F97)*E97</f>
        <v>1.2500000000000001E-2</v>
      </c>
      <c r="L97" s="528">
        <f t="shared" si="93"/>
        <v>1.2500000000000001E-2</v>
      </c>
      <c r="M97" s="525">
        <v>15</v>
      </c>
      <c r="N97" s="576">
        <v>0</v>
      </c>
      <c r="O97" s="576">
        <v>8</v>
      </c>
      <c r="P97" s="525"/>
      <c r="Q97" s="525"/>
      <c r="R97" s="525">
        <f t="shared" si="94"/>
        <v>8</v>
      </c>
      <c r="S97" s="525">
        <f t="shared" si="97"/>
        <v>23</v>
      </c>
      <c r="T97" s="528">
        <f>+(M97/G97)</f>
        <v>1</v>
      </c>
      <c r="U97" s="528">
        <f t="shared" si="98"/>
        <v>0.53333333333333333</v>
      </c>
      <c r="V97" s="528">
        <f>+T97*E97</f>
        <v>0.05</v>
      </c>
      <c r="W97" s="528">
        <f t="shared" si="95"/>
        <v>2.6666666666666668E-2</v>
      </c>
      <c r="X97" s="606">
        <f>+M97/F97</f>
        <v>0.25</v>
      </c>
      <c r="Y97" s="607">
        <f t="shared" si="96"/>
        <v>0.38333333333333336</v>
      </c>
      <c r="Z97" s="543">
        <f>+X97*E97</f>
        <v>1.2500000000000001E-2</v>
      </c>
      <c r="AA97" s="544">
        <f>+Y97*E97</f>
        <v>1.9166666666666669E-2</v>
      </c>
      <c r="AB97" s="773" t="s">
        <v>43</v>
      </c>
      <c r="AC97" s="892" t="s">
        <v>227</v>
      </c>
      <c r="AD97" s="892" t="s">
        <v>38</v>
      </c>
      <c r="AE97" s="892" t="s">
        <v>39</v>
      </c>
      <c r="AF97" s="494"/>
      <c r="AG97" s="187"/>
      <c r="AH97" s="187"/>
      <c r="AI97" s="187"/>
    </row>
    <row r="98" spans="1:35" ht="90.6" customHeight="1" thickBot="1" x14ac:dyDescent="0.35">
      <c r="A98" s="331"/>
      <c r="B98" s="1070" t="s">
        <v>230</v>
      </c>
      <c r="C98" s="1070" t="s">
        <v>231</v>
      </c>
      <c r="D98" s="495" t="s">
        <v>232</v>
      </c>
      <c r="E98" s="1259">
        <v>0.35</v>
      </c>
      <c r="F98" s="568">
        <v>2</v>
      </c>
      <c r="G98" s="525">
        <v>0</v>
      </c>
      <c r="H98" s="525">
        <v>1</v>
      </c>
      <c r="I98" s="528"/>
      <c r="J98" s="528">
        <f t="shared" si="92"/>
        <v>0.5</v>
      </c>
      <c r="K98" s="528"/>
      <c r="L98" s="528">
        <f t="shared" si="93"/>
        <v>0.17499999999999999</v>
      </c>
      <c r="M98" s="525"/>
      <c r="N98" s="576">
        <v>0</v>
      </c>
      <c r="O98" s="576"/>
      <c r="P98" s="525"/>
      <c r="Q98" s="525"/>
      <c r="R98" s="525">
        <f t="shared" si="94"/>
        <v>0</v>
      </c>
      <c r="S98" s="525">
        <f t="shared" si="97"/>
        <v>0</v>
      </c>
      <c r="T98" s="528"/>
      <c r="U98" s="528">
        <f t="shared" si="98"/>
        <v>0</v>
      </c>
      <c r="V98" s="528"/>
      <c r="W98" s="528">
        <f>+U98*E98</f>
        <v>0</v>
      </c>
      <c r="X98" s="608">
        <v>0</v>
      </c>
      <c r="Y98" s="609">
        <f t="shared" si="96"/>
        <v>0</v>
      </c>
      <c r="Z98" s="543">
        <v>0</v>
      </c>
      <c r="AA98" s="544">
        <v>0</v>
      </c>
      <c r="AB98" s="773" t="s">
        <v>43</v>
      </c>
      <c r="AC98" s="890" t="s">
        <v>227</v>
      </c>
      <c r="AD98" s="892" t="s">
        <v>38</v>
      </c>
      <c r="AE98" s="892" t="s">
        <v>39</v>
      </c>
      <c r="AF98" s="494"/>
      <c r="AG98" s="187"/>
      <c r="AH98" s="187"/>
      <c r="AI98" s="187"/>
    </row>
    <row r="99" spans="1:35" ht="42.75" customHeight="1" thickBot="1" x14ac:dyDescent="0.35">
      <c r="A99" s="331"/>
      <c r="B99" s="1284" t="s">
        <v>233</v>
      </c>
      <c r="C99" s="1285"/>
      <c r="D99" s="1258"/>
      <c r="E99" s="522">
        <v>0.1</v>
      </c>
      <c r="F99" s="527"/>
      <c r="G99" s="562"/>
      <c r="H99" s="562"/>
      <c r="I99" s="524">
        <f>+AVERAGE(I100:I101)</f>
        <v>0.17499999999999999</v>
      </c>
      <c r="J99" s="524">
        <f>+AVERAGE(J100:J101)</f>
        <v>0.27500000000000002</v>
      </c>
      <c r="K99" s="524">
        <f>+K100+K101</f>
        <v>0.19</v>
      </c>
      <c r="L99" s="524">
        <f>+L100+L101</f>
        <v>0.27</v>
      </c>
      <c r="M99" s="527"/>
      <c r="N99" s="527"/>
      <c r="O99" s="527"/>
      <c r="P99" s="527"/>
      <c r="Q99" s="527"/>
      <c r="R99" s="527"/>
      <c r="S99" s="527"/>
      <c r="T99" s="579">
        <f>+AVERAGE(T100:T101)</f>
        <v>1</v>
      </c>
      <c r="U99" s="579">
        <f>+AVERAGE(U100:U101)</f>
        <v>0.11713333333333334</v>
      </c>
      <c r="V99" s="579">
        <f>+(V100+V101)*E99</f>
        <v>0.1</v>
      </c>
      <c r="W99" s="610">
        <f>+(W100+W101)*E99</f>
        <v>1.4055999999999999E-2</v>
      </c>
      <c r="X99" s="611">
        <f>+AVERAGE(X100:X101)</f>
        <v>0.19831666666666667</v>
      </c>
      <c r="Y99" s="611">
        <f>+AVERAGE(Y100:Y101)</f>
        <v>0.2276</v>
      </c>
      <c r="Z99" s="539">
        <f>+(Z100+Z101)*E99</f>
        <v>2.1048000000000001E-2</v>
      </c>
      <c r="AA99" s="599">
        <f>+(AA100+AA101)</f>
        <v>0.24562</v>
      </c>
      <c r="AB99" s="215"/>
      <c r="AC99" s="494"/>
      <c r="AD99" s="1106"/>
      <c r="AE99" s="494"/>
      <c r="AF99" s="494"/>
      <c r="AG99" s="187"/>
      <c r="AH99" s="187"/>
      <c r="AI99" s="187"/>
    </row>
    <row r="100" spans="1:35" ht="123" customHeight="1" thickBot="1" x14ac:dyDescent="0.35">
      <c r="A100" s="331"/>
      <c r="B100" s="1070" t="s">
        <v>234</v>
      </c>
      <c r="C100" s="1070" t="s">
        <v>235</v>
      </c>
      <c r="D100" s="495" t="s">
        <v>219</v>
      </c>
      <c r="E100" s="1259">
        <v>0.4</v>
      </c>
      <c r="F100" s="712">
        <v>10000</v>
      </c>
      <c r="G100" s="563">
        <v>1000</v>
      </c>
      <c r="H100" s="714">
        <v>3000</v>
      </c>
      <c r="I100" s="528">
        <f>+G100/F100</f>
        <v>0.1</v>
      </c>
      <c r="J100" s="528">
        <f t="shared" si="92"/>
        <v>0.3</v>
      </c>
      <c r="K100" s="528">
        <f>+(G100/F100)*E100</f>
        <v>4.0000000000000008E-2</v>
      </c>
      <c r="L100" s="528">
        <f t="shared" si="93"/>
        <v>0.12</v>
      </c>
      <c r="M100" s="525">
        <v>1375</v>
      </c>
      <c r="N100" s="576">
        <v>0</v>
      </c>
      <c r="O100" s="576">
        <v>0</v>
      </c>
      <c r="P100" s="525"/>
      <c r="Q100" s="525"/>
      <c r="R100" s="525">
        <f t="shared" ref="R100:R101" si="99">+N100+O100+P100+Q100</f>
        <v>0</v>
      </c>
      <c r="S100" s="525">
        <f t="shared" ref="S100:S101" si="100">+R100+M100</f>
        <v>1375</v>
      </c>
      <c r="T100" s="528">
        <v>1</v>
      </c>
      <c r="U100" s="528">
        <f>+R100/H100</f>
        <v>0</v>
      </c>
      <c r="V100" s="528">
        <f>+T100*E100</f>
        <v>0.4</v>
      </c>
      <c r="W100" s="528">
        <f>+U100*E100</f>
        <v>0</v>
      </c>
      <c r="X100" s="612">
        <f>+M100/F100</f>
        <v>0.13750000000000001</v>
      </c>
      <c r="Y100" s="613">
        <f>+S100/F100</f>
        <v>0.13750000000000001</v>
      </c>
      <c r="Z100" s="543">
        <f>+X100*E100</f>
        <v>5.5000000000000007E-2</v>
      </c>
      <c r="AA100" s="544">
        <f>+Y100*E100</f>
        <v>5.5000000000000007E-2</v>
      </c>
      <c r="AB100" s="221" t="s">
        <v>43</v>
      </c>
      <c r="AC100" s="746" t="s">
        <v>227</v>
      </c>
      <c r="AD100" s="892" t="s">
        <v>38</v>
      </c>
      <c r="AE100" s="892" t="s">
        <v>39</v>
      </c>
      <c r="AF100" s="494"/>
      <c r="AG100" s="187"/>
      <c r="AH100" s="187"/>
      <c r="AI100" s="187"/>
    </row>
    <row r="101" spans="1:35" ht="178.15" customHeight="1" thickBot="1" x14ac:dyDescent="0.35">
      <c r="A101" s="331"/>
      <c r="B101" s="1070" t="s">
        <v>236</v>
      </c>
      <c r="C101" s="1070" t="s">
        <v>237</v>
      </c>
      <c r="D101" s="495" t="s">
        <v>219</v>
      </c>
      <c r="E101" s="1259">
        <v>0.6</v>
      </c>
      <c r="F101" s="568">
        <v>30000</v>
      </c>
      <c r="G101" s="713">
        <v>7500</v>
      </c>
      <c r="H101" s="715">
        <v>7500</v>
      </c>
      <c r="I101" s="528">
        <f>+G101/F101</f>
        <v>0.25</v>
      </c>
      <c r="J101" s="528">
        <f t="shared" si="92"/>
        <v>0.25</v>
      </c>
      <c r="K101" s="528">
        <f>+(G101/F101)*E101</f>
        <v>0.15</v>
      </c>
      <c r="L101" s="528">
        <f t="shared" si="93"/>
        <v>0.15</v>
      </c>
      <c r="M101" s="525">
        <v>7774</v>
      </c>
      <c r="N101" s="576">
        <v>934</v>
      </c>
      <c r="O101" s="576">
        <v>823</v>
      </c>
      <c r="P101" s="525"/>
      <c r="Q101" s="525"/>
      <c r="R101" s="525">
        <f t="shared" si="99"/>
        <v>1757</v>
      </c>
      <c r="S101" s="525">
        <f t="shared" si="100"/>
        <v>9531</v>
      </c>
      <c r="T101" s="528">
        <v>1</v>
      </c>
      <c r="U101" s="528">
        <f>+R101/H101</f>
        <v>0.23426666666666668</v>
      </c>
      <c r="V101" s="528">
        <f>+T101*E101</f>
        <v>0.6</v>
      </c>
      <c r="W101" s="556">
        <f>+U101*E101</f>
        <v>0.14055999999999999</v>
      </c>
      <c r="X101" s="543">
        <f>+M101/F101</f>
        <v>0.25913333333333333</v>
      </c>
      <c r="Y101" s="614">
        <f>+S101/F101</f>
        <v>0.31769999999999998</v>
      </c>
      <c r="Z101" s="543">
        <f>+X101*E101</f>
        <v>0.15547999999999998</v>
      </c>
      <c r="AA101" s="544">
        <f>+Y101*E101</f>
        <v>0.19061999999999998</v>
      </c>
      <c r="AB101" s="221" t="s">
        <v>43</v>
      </c>
      <c r="AC101" s="746" t="s">
        <v>227</v>
      </c>
      <c r="AD101" s="892" t="s">
        <v>38</v>
      </c>
      <c r="AE101" s="892" t="s">
        <v>39</v>
      </c>
      <c r="AF101" s="494"/>
      <c r="AG101" s="187"/>
      <c r="AH101" s="187"/>
      <c r="AI101" s="187"/>
    </row>
    <row r="102" spans="1:35" ht="110.45" customHeight="1" thickBot="1" x14ac:dyDescent="0.35">
      <c r="A102" s="331"/>
      <c r="B102" s="1284" t="s">
        <v>238</v>
      </c>
      <c r="C102" s="1285"/>
      <c r="D102" s="495"/>
      <c r="E102" s="522">
        <v>0.1</v>
      </c>
      <c r="F102" s="527"/>
      <c r="G102" s="527"/>
      <c r="H102" s="561"/>
      <c r="I102" s="524">
        <f>+AVERAGE(I103:I104)</f>
        <v>0.25</v>
      </c>
      <c r="J102" s="524">
        <f>+AVERAGE(J103:J104)</f>
        <v>0.625</v>
      </c>
      <c r="K102" s="524">
        <f>+K103+K104</f>
        <v>0.05</v>
      </c>
      <c r="L102" s="524">
        <f>+L103+L104</f>
        <v>0.85000000000000009</v>
      </c>
      <c r="M102" s="527"/>
      <c r="N102" s="527"/>
      <c r="O102" s="527"/>
      <c r="P102" s="527"/>
      <c r="Q102" s="527"/>
      <c r="R102" s="527"/>
      <c r="S102" s="527"/>
      <c r="T102" s="579">
        <f>+AVERAGE(T103:T104)</f>
        <v>0.93103448275862066</v>
      </c>
      <c r="U102" s="579">
        <f>+AVERAGE(U103:U104)</f>
        <v>0.46551724137931033</v>
      </c>
      <c r="V102" s="579">
        <f>+(V103+V104)*E102</f>
        <v>1.8620689655172416E-2</v>
      </c>
      <c r="W102" s="579">
        <f>+(W103+W104)*E102</f>
        <v>1.8620689655172416E-2</v>
      </c>
      <c r="X102" s="539">
        <f>+AVERAGE(X103:X104)</f>
        <v>0.11637931034482758</v>
      </c>
      <c r="Y102" s="611">
        <f>+AVERAGE(Y103:Y104)</f>
        <v>0.23275862068965517</v>
      </c>
      <c r="Z102" s="539">
        <f>+(Z103+Z104)*E102</f>
        <v>4.6551724137931039E-3</v>
      </c>
      <c r="AA102" s="599">
        <f>+(AA103+AA104)</f>
        <v>9.3103448275862075E-2</v>
      </c>
      <c r="AB102" s="215"/>
      <c r="AC102" s="494"/>
      <c r="AD102" s="493"/>
      <c r="AE102" s="494"/>
      <c r="AF102" s="494"/>
      <c r="AG102" s="187"/>
      <c r="AH102" s="187"/>
      <c r="AI102" s="187"/>
    </row>
    <row r="103" spans="1:35" ht="167.45" customHeight="1" thickBot="1" x14ac:dyDescent="0.35">
      <c r="A103" s="331"/>
      <c r="B103" s="1070" t="s">
        <v>239</v>
      </c>
      <c r="C103" s="1070" t="s">
        <v>240</v>
      </c>
      <c r="D103" s="495" t="s">
        <v>219</v>
      </c>
      <c r="E103" s="1259">
        <v>0.2</v>
      </c>
      <c r="F103" s="568">
        <v>116</v>
      </c>
      <c r="G103" s="525">
        <v>29</v>
      </c>
      <c r="H103" s="525">
        <v>29</v>
      </c>
      <c r="I103" s="528">
        <f>+G103/F103</f>
        <v>0.25</v>
      </c>
      <c r="J103" s="528">
        <f>+H103/F103</f>
        <v>0.25</v>
      </c>
      <c r="K103" s="564">
        <f>+(G103/F103)*E103</f>
        <v>0.05</v>
      </c>
      <c r="L103" s="564">
        <f>+(H103/F103)*E103</f>
        <v>0.05</v>
      </c>
      <c r="M103" s="525">
        <v>27</v>
      </c>
      <c r="N103" s="582">
        <v>10</v>
      </c>
      <c r="O103" s="576">
        <v>17</v>
      </c>
      <c r="P103" s="525"/>
      <c r="Q103" s="525"/>
      <c r="R103" s="525">
        <f t="shared" ref="R103" si="101">+N103+O103+P103+Q103</f>
        <v>27</v>
      </c>
      <c r="S103" s="525">
        <f t="shared" ref="S103" si="102">+R103+M103</f>
        <v>54</v>
      </c>
      <c r="T103" s="564">
        <f>+(M103/G103)</f>
        <v>0.93103448275862066</v>
      </c>
      <c r="U103" s="564">
        <f>+R103/H103</f>
        <v>0.93103448275862066</v>
      </c>
      <c r="V103" s="564">
        <f>+T103*E103</f>
        <v>0.18620689655172415</v>
      </c>
      <c r="W103" s="564">
        <f t="shared" ref="W103" si="103">+U103*E103</f>
        <v>0.18620689655172415</v>
      </c>
      <c r="X103" s="543">
        <f>+M103/F103</f>
        <v>0.23275862068965517</v>
      </c>
      <c r="Y103" s="613">
        <f>+S103/F103</f>
        <v>0.46551724137931033</v>
      </c>
      <c r="Z103" s="606">
        <f>+X103*E103</f>
        <v>4.6551724137931037E-2</v>
      </c>
      <c r="AA103" s="607">
        <f>+Y103*E103</f>
        <v>9.3103448275862075E-2</v>
      </c>
      <c r="AB103" s="221" t="s">
        <v>43</v>
      </c>
      <c r="AC103" s="892" t="s">
        <v>227</v>
      </c>
      <c r="AD103" s="892" t="s">
        <v>38</v>
      </c>
      <c r="AE103" s="892" t="s">
        <v>39</v>
      </c>
      <c r="AF103" s="494"/>
      <c r="AG103" s="187"/>
      <c r="AH103" s="187"/>
      <c r="AI103" s="187"/>
    </row>
    <row r="104" spans="1:35" ht="72" customHeight="1" thickBot="1" x14ac:dyDescent="0.35">
      <c r="A104" s="331"/>
      <c r="B104" s="1070" t="s">
        <v>241</v>
      </c>
      <c r="C104" s="1070" t="s">
        <v>242</v>
      </c>
      <c r="D104" s="495" t="s">
        <v>219</v>
      </c>
      <c r="E104" s="1259">
        <v>0.8</v>
      </c>
      <c r="F104" s="568">
        <v>1</v>
      </c>
      <c r="G104" s="525">
        <v>0</v>
      </c>
      <c r="H104" s="525">
        <v>1</v>
      </c>
      <c r="I104" s="528"/>
      <c r="J104" s="528">
        <f>+H104/F104</f>
        <v>1</v>
      </c>
      <c r="K104" s="564"/>
      <c r="L104" s="564">
        <f t="shared" si="93"/>
        <v>0.8</v>
      </c>
      <c r="M104" s="525"/>
      <c r="N104" s="582">
        <v>0</v>
      </c>
      <c r="O104" s="576">
        <v>0</v>
      </c>
      <c r="P104" s="525"/>
      <c r="Q104" s="525"/>
      <c r="R104" s="525">
        <f>+N104+O104+P104+Q104</f>
        <v>0</v>
      </c>
      <c r="S104" s="525">
        <f>+R104+M104</f>
        <v>0</v>
      </c>
      <c r="T104" s="564"/>
      <c r="U104" s="564">
        <f>+R104/H104</f>
        <v>0</v>
      </c>
      <c r="V104" s="564"/>
      <c r="W104" s="564">
        <f>+U104*E104</f>
        <v>0</v>
      </c>
      <c r="X104" s="543">
        <v>0</v>
      </c>
      <c r="Y104" s="614">
        <f t="shared" ref="Y104:Y124" si="104">+S104/F104</f>
        <v>0</v>
      </c>
      <c r="Z104" s="606">
        <v>0</v>
      </c>
      <c r="AA104" s="607">
        <v>0</v>
      </c>
      <c r="AB104" s="221" t="s">
        <v>43</v>
      </c>
      <c r="AC104" s="892" t="s">
        <v>227</v>
      </c>
      <c r="AD104" s="892" t="s">
        <v>38</v>
      </c>
      <c r="AE104" s="892" t="s">
        <v>39</v>
      </c>
      <c r="AF104" s="494"/>
      <c r="AG104" s="187"/>
      <c r="AH104" s="187"/>
      <c r="AI104" s="187"/>
    </row>
    <row r="105" spans="1:35" ht="56.25" customHeight="1" thickBot="1" x14ac:dyDescent="0.35">
      <c r="A105" s="331"/>
      <c r="B105" s="1284" t="s">
        <v>243</v>
      </c>
      <c r="C105" s="1285"/>
      <c r="D105" s="495"/>
      <c r="E105" s="522">
        <v>0.4</v>
      </c>
      <c r="F105" s="527"/>
      <c r="G105" s="525"/>
      <c r="H105" s="525"/>
      <c r="I105" s="524">
        <f>+AVERAGE(I106:I124)</f>
        <v>0.23645510835913311</v>
      </c>
      <c r="J105" s="524">
        <f>+AVERAGE(J106:J124)</f>
        <v>0.25232198142414858</v>
      </c>
      <c r="K105" s="524">
        <f>+K106+K107+K108+K109+K110+K111+K112+K113+K114+K115+K116+K117+K118+K119+K120+K121+K122+K123+K124</f>
        <v>0.2325367647058823</v>
      </c>
      <c r="L105" s="524">
        <f>+L106+L107+L108+L109+L110+L111+L112+L113+L114+L115+L116+L117+L118+L119+L120+L121+L122+L123+L124</f>
        <v>0.25165441176470582</v>
      </c>
      <c r="M105" s="527"/>
      <c r="N105" s="527"/>
      <c r="O105" s="527"/>
      <c r="P105" s="527"/>
      <c r="Q105" s="527"/>
      <c r="R105" s="527"/>
      <c r="S105" s="527"/>
      <c r="T105" s="579">
        <f>+AVERAGE(T106:T124)</f>
        <v>0.98153838938616911</v>
      </c>
      <c r="U105" s="579">
        <f>+AVERAGE(U106:U124)</f>
        <v>0.44357471846777008</v>
      </c>
      <c r="V105" s="579">
        <f>+(V106+V107+V108+V109+V110+V111+V112+V113+V114+V115+V116+V117+V118+V119+V120+V121+V122+V123+V124)*E105</f>
        <v>0.38665956830676951</v>
      </c>
      <c r="W105" s="579">
        <f>+(W106+W107+W108+W109+W110+W111+W112+W113+W114+W115+W116+W117+W118+W119+W120+W121+W122+W123+W124)*E105</f>
        <v>0.17398172460921879</v>
      </c>
      <c r="X105" s="539">
        <f>+AVERAGE(X106:X124)</f>
        <v>0.24814779280939966</v>
      </c>
      <c r="Y105" s="611">
        <f>+AVERAGE(Y106:Y124)</f>
        <v>0.36678141050683744</v>
      </c>
      <c r="Z105" s="539">
        <f>+(Z106+Z107+Z108+Z109+Z110+Z111+Z112+Z113+Z114+Z115+Z116+Z117+Z118+Z119+Z120+Z121+Z122+Z123+Z124)*E105</f>
        <v>9.7453861116940044E-2</v>
      </c>
      <c r="AA105" s="599">
        <f>+(AA106+AA107+AA108+AA109+AA110+AA111+AA112+AA113+AA114+AA115+AA116+AA117+AA118+AA119+AA120+AA121+AA122+AA123+AA124)</f>
        <v>0.36570043655546475</v>
      </c>
      <c r="AB105" s="215"/>
      <c r="AC105" s="895"/>
      <c r="AD105" s="494"/>
      <c r="AE105" s="494"/>
      <c r="AF105" s="494"/>
      <c r="AG105" s="187"/>
      <c r="AH105" s="187"/>
      <c r="AI105" s="187"/>
    </row>
    <row r="106" spans="1:35" ht="137.44999999999999" customHeight="1" thickBot="1" x14ac:dyDescent="0.35">
      <c r="A106" s="331"/>
      <c r="B106" s="1070" t="s">
        <v>244</v>
      </c>
      <c r="C106" s="1070" t="s">
        <v>245</v>
      </c>
      <c r="D106" s="495" t="s">
        <v>219</v>
      </c>
      <c r="E106" s="1266">
        <v>3.7499999999999999E-2</v>
      </c>
      <c r="F106" s="568">
        <v>4</v>
      </c>
      <c r="G106" s="525">
        <v>1</v>
      </c>
      <c r="H106" s="525">
        <v>1</v>
      </c>
      <c r="I106" s="528">
        <f t="shared" ref="I106:I124" si="105">+G106/F106</f>
        <v>0.25</v>
      </c>
      <c r="J106" s="528">
        <f>+H106/F106</f>
        <v>0.25</v>
      </c>
      <c r="K106" s="564">
        <f t="shared" ref="K106:K124" si="106">+(G106/F106)*E106</f>
        <v>9.3749999999999997E-3</v>
      </c>
      <c r="L106" s="564">
        <f t="shared" si="93"/>
        <v>9.3749999999999997E-3</v>
      </c>
      <c r="M106" s="525">
        <v>1</v>
      </c>
      <c r="N106" s="582">
        <v>0</v>
      </c>
      <c r="O106" s="576">
        <v>0.15</v>
      </c>
      <c r="P106" s="525"/>
      <c r="Q106" s="525"/>
      <c r="R106" s="525">
        <f t="shared" ref="R106:R124" si="107">+N106+O106+P106+Q106</f>
        <v>0.15</v>
      </c>
      <c r="S106" s="525">
        <f t="shared" ref="S106:S124" si="108">+R106+M106</f>
        <v>1.1499999999999999</v>
      </c>
      <c r="T106" s="564">
        <f t="shared" ref="T106:T123" si="109">+(M106/G106)</f>
        <v>1</v>
      </c>
      <c r="U106" s="564">
        <f t="shared" ref="U106:U123" si="110">+R106/H106</f>
        <v>0.15</v>
      </c>
      <c r="V106" s="564">
        <f t="shared" ref="V106:V123" si="111">+T106*E106</f>
        <v>3.7499999999999999E-2</v>
      </c>
      <c r="W106" s="564">
        <f t="shared" ref="W106:W127" si="112">+U106*E106</f>
        <v>5.6249999999999998E-3</v>
      </c>
      <c r="X106" s="606">
        <f t="shared" ref="X106:X124" si="113">+M106/F106</f>
        <v>0.25</v>
      </c>
      <c r="Y106" s="615">
        <f t="shared" si="104"/>
        <v>0.28749999999999998</v>
      </c>
      <c r="Z106" s="606">
        <f t="shared" ref="Z106:Z123" si="114">+X106*E106</f>
        <v>9.3749999999999997E-3</v>
      </c>
      <c r="AA106" s="607">
        <f t="shared" ref="AA106:AA124" si="115">+Y106*E106</f>
        <v>1.0781249999999999E-2</v>
      </c>
      <c r="AB106" s="221" t="s">
        <v>43</v>
      </c>
      <c r="AC106" s="892" t="s">
        <v>227</v>
      </c>
      <c r="AD106" s="892" t="s">
        <v>38</v>
      </c>
      <c r="AE106" s="892" t="s">
        <v>39</v>
      </c>
      <c r="AF106" s="494"/>
      <c r="AG106" s="187"/>
      <c r="AH106" s="187"/>
      <c r="AI106" s="187"/>
    </row>
    <row r="107" spans="1:35" ht="79.150000000000006" customHeight="1" thickBot="1" x14ac:dyDescent="0.35">
      <c r="A107" s="331"/>
      <c r="B107" s="1070" t="s">
        <v>246</v>
      </c>
      <c r="C107" s="1070" t="s">
        <v>247</v>
      </c>
      <c r="D107" s="495" t="s">
        <v>219</v>
      </c>
      <c r="E107" s="1266">
        <v>3.7499999999999999E-2</v>
      </c>
      <c r="F107" s="568">
        <f>700*4</f>
        <v>2800</v>
      </c>
      <c r="G107" s="525">
        <v>700</v>
      </c>
      <c r="H107" s="525">
        <v>700</v>
      </c>
      <c r="I107" s="528">
        <f t="shared" si="105"/>
        <v>0.25</v>
      </c>
      <c r="J107" s="528">
        <f t="shared" ref="J107:J124" si="116">+H107/F107</f>
        <v>0.25</v>
      </c>
      <c r="K107" s="564">
        <f t="shared" si="106"/>
        <v>9.3749999999999997E-3</v>
      </c>
      <c r="L107" s="564">
        <f t="shared" si="93"/>
        <v>9.3749999999999997E-3</v>
      </c>
      <c r="M107" s="525">
        <v>700</v>
      </c>
      <c r="N107" s="582">
        <v>20</v>
      </c>
      <c r="O107" s="576">
        <v>166</v>
      </c>
      <c r="P107" s="525"/>
      <c r="Q107" s="525"/>
      <c r="R107" s="525">
        <f t="shared" si="107"/>
        <v>186</v>
      </c>
      <c r="S107" s="525">
        <f t="shared" si="108"/>
        <v>886</v>
      </c>
      <c r="T107" s="564">
        <f t="shared" si="109"/>
        <v>1</v>
      </c>
      <c r="U107" s="564">
        <f t="shared" si="110"/>
        <v>0.26571428571428574</v>
      </c>
      <c r="V107" s="564">
        <f t="shared" si="111"/>
        <v>3.7499999999999999E-2</v>
      </c>
      <c r="W107" s="564">
        <f t="shared" si="112"/>
        <v>9.9642857142857155E-3</v>
      </c>
      <c r="X107" s="616">
        <f t="shared" si="113"/>
        <v>0.25</v>
      </c>
      <c r="Y107" s="617">
        <f t="shared" si="104"/>
        <v>0.31642857142857145</v>
      </c>
      <c r="Z107" s="606">
        <f t="shared" si="114"/>
        <v>9.3749999999999997E-3</v>
      </c>
      <c r="AA107" s="607">
        <f t="shared" si="115"/>
        <v>1.1866071428571429E-2</v>
      </c>
      <c r="AB107" s="221" t="s">
        <v>43</v>
      </c>
      <c r="AC107" s="892" t="s">
        <v>227</v>
      </c>
      <c r="AD107" s="892" t="s">
        <v>38</v>
      </c>
      <c r="AE107" s="892" t="s">
        <v>39</v>
      </c>
      <c r="AF107" s="494"/>
      <c r="AG107" s="187"/>
      <c r="AH107" s="187"/>
      <c r="AI107" s="187"/>
    </row>
    <row r="108" spans="1:35" ht="103.15" customHeight="1" thickBot="1" x14ac:dyDescent="0.35">
      <c r="A108" s="331"/>
      <c r="B108" s="1070" t="s">
        <v>248</v>
      </c>
      <c r="C108" s="1070" t="s">
        <v>249</v>
      </c>
      <c r="D108" s="495" t="s">
        <v>219</v>
      </c>
      <c r="E108" s="1266">
        <v>3.7499999999999999E-2</v>
      </c>
      <c r="F108" s="568">
        <f>2100*4</f>
        <v>8400</v>
      </c>
      <c r="G108" s="525">
        <v>2100</v>
      </c>
      <c r="H108" s="525">
        <v>2100</v>
      </c>
      <c r="I108" s="528">
        <f t="shared" si="105"/>
        <v>0.25</v>
      </c>
      <c r="J108" s="528">
        <f t="shared" si="116"/>
        <v>0.25</v>
      </c>
      <c r="K108" s="564">
        <f t="shared" si="106"/>
        <v>9.3749999999999997E-3</v>
      </c>
      <c r="L108" s="564">
        <f t="shared" si="93"/>
        <v>9.3749999999999997E-3</v>
      </c>
      <c r="M108" s="525">
        <v>1955</v>
      </c>
      <c r="N108" s="582">
        <v>7</v>
      </c>
      <c r="O108" s="576">
        <v>797</v>
      </c>
      <c r="P108" s="525"/>
      <c r="Q108" s="525"/>
      <c r="R108" s="525">
        <f t="shared" si="107"/>
        <v>804</v>
      </c>
      <c r="S108" s="525">
        <f t="shared" si="108"/>
        <v>2759</v>
      </c>
      <c r="T108" s="564">
        <f t="shared" si="109"/>
        <v>0.93095238095238098</v>
      </c>
      <c r="U108" s="564">
        <f t="shared" si="110"/>
        <v>0.38285714285714284</v>
      </c>
      <c r="V108" s="564">
        <f t="shared" si="111"/>
        <v>3.4910714285714288E-2</v>
      </c>
      <c r="W108" s="564">
        <f t="shared" si="112"/>
        <v>1.4357142857142857E-2</v>
      </c>
      <c r="X108" s="616">
        <f t="shared" si="113"/>
        <v>0.23273809523809524</v>
      </c>
      <c r="Y108" s="617">
        <f t="shared" si="104"/>
        <v>0.32845238095238094</v>
      </c>
      <c r="Z108" s="606">
        <f t="shared" si="114"/>
        <v>8.727678571428572E-3</v>
      </c>
      <c r="AA108" s="607">
        <f t="shared" si="115"/>
        <v>1.2316964285714285E-2</v>
      </c>
      <c r="AB108" s="221" t="s">
        <v>43</v>
      </c>
      <c r="AC108" s="892" t="s">
        <v>227</v>
      </c>
      <c r="AD108" s="892" t="s">
        <v>38</v>
      </c>
      <c r="AE108" s="892" t="s">
        <v>39</v>
      </c>
      <c r="AF108" s="494"/>
      <c r="AG108" s="187"/>
      <c r="AH108" s="187"/>
      <c r="AI108" s="187"/>
    </row>
    <row r="109" spans="1:35" ht="113.45" customHeight="1" thickBot="1" x14ac:dyDescent="0.35">
      <c r="A109" s="331"/>
      <c r="B109" s="1070" t="s">
        <v>250</v>
      </c>
      <c r="C109" s="1070" t="s">
        <v>251</v>
      </c>
      <c r="D109" s="495" t="s">
        <v>219</v>
      </c>
      <c r="E109" s="1266">
        <v>3.7499999999999999E-2</v>
      </c>
      <c r="F109" s="568">
        <f>7600*4</f>
        <v>30400</v>
      </c>
      <c r="G109" s="525">
        <v>7600</v>
      </c>
      <c r="H109" s="525">
        <v>7600</v>
      </c>
      <c r="I109" s="528">
        <f t="shared" si="105"/>
        <v>0.25</v>
      </c>
      <c r="J109" s="528">
        <f t="shared" si="116"/>
        <v>0.25</v>
      </c>
      <c r="K109" s="564">
        <f t="shared" si="106"/>
        <v>9.3749999999999997E-3</v>
      </c>
      <c r="L109" s="564">
        <f t="shared" si="93"/>
        <v>9.3749999999999997E-3</v>
      </c>
      <c r="M109" s="525">
        <v>11360</v>
      </c>
      <c r="N109" s="582">
        <v>2784</v>
      </c>
      <c r="O109" s="525">
        <v>2278</v>
      </c>
      <c r="P109" s="525"/>
      <c r="Q109" s="525"/>
      <c r="R109" s="525">
        <f t="shared" si="107"/>
        <v>5062</v>
      </c>
      <c r="S109" s="525">
        <f t="shared" si="108"/>
        <v>16422</v>
      </c>
      <c r="T109" s="564">
        <v>1</v>
      </c>
      <c r="U109" s="564">
        <f t="shared" si="110"/>
        <v>0.66605263157894734</v>
      </c>
      <c r="V109" s="564">
        <f t="shared" si="111"/>
        <v>3.7499999999999999E-2</v>
      </c>
      <c r="W109" s="564">
        <f t="shared" si="112"/>
        <v>2.4976973684210525E-2</v>
      </c>
      <c r="X109" s="606">
        <f>+M109/F109</f>
        <v>0.37368421052631579</v>
      </c>
      <c r="Y109" s="607">
        <f t="shared" si="104"/>
        <v>0.54019736842105259</v>
      </c>
      <c r="Z109" s="543">
        <f t="shared" si="114"/>
        <v>1.4013157894736842E-2</v>
      </c>
      <c r="AA109" s="544">
        <f t="shared" si="115"/>
        <v>2.0257401315789472E-2</v>
      </c>
      <c r="AB109" s="221" t="s">
        <v>43</v>
      </c>
      <c r="AC109" s="892" t="s">
        <v>227</v>
      </c>
      <c r="AD109" s="892" t="s">
        <v>38</v>
      </c>
      <c r="AE109" s="892" t="s">
        <v>39</v>
      </c>
      <c r="AF109" s="494"/>
      <c r="AG109" s="187"/>
      <c r="AH109" s="187"/>
      <c r="AI109" s="187"/>
    </row>
    <row r="110" spans="1:35" ht="113.45" customHeight="1" thickBot="1" x14ac:dyDescent="0.35">
      <c r="A110" s="331"/>
      <c r="B110" s="1070" t="s">
        <v>252</v>
      </c>
      <c r="C110" s="1070" t="s">
        <v>253</v>
      </c>
      <c r="D110" s="498" t="s">
        <v>219</v>
      </c>
      <c r="E110" s="1266">
        <v>0.1</v>
      </c>
      <c r="F110" s="568">
        <f>90000*4</f>
        <v>360000</v>
      </c>
      <c r="G110" s="525">
        <v>90000</v>
      </c>
      <c r="H110" s="525">
        <v>90000</v>
      </c>
      <c r="I110" s="528">
        <f t="shared" si="105"/>
        <v>0.25</v>
      </c>
      <c r="J110" s="528">
        <f t="shared" si="116"/>
        <v>0.25</v>
      </c>
      <c r="K110" s="564">
        <f t="shared" si="106"/>
        <v>2.5000000000000001E-2</v>
      </c>
      <c r="L110" s="564">
        <f t="shared" si="93"/>
        <v>2.5000000000000001E-2</v>
      </c>
      <c r="M110" s="525">
        <v>90021</v>
      </c>
      <c r="N110" s="582">
        <v>391</v>
      </c>
      <c r="O110" s="525">
        <v>3310</v>
      </c>
      <c r="P110" s="525"/>
      <c r="Q110" s="525"/>
      <c r="R110" s="525">
        <f t="shared" si="107"/>
        <v>3701</v>
      </c>
      <c r="S110" s="525">
        <f t="shared" si="108"/>
        <v>93722</v>
      </c>
      <c r="T110" s="564">
        <v>1</v>
      </c>
      <c r="U110" s="564">
        <f>+R110/H110</f>
        <v>4.112222222222222E-2</v>
      </c>
      <c r="V110" s="564">
        <f t="shared" si="111"/>
        <v>0.1</v>
      </c>
      <c r="W110" s="564">
        <f t="shared" si="112"/>
        <v>4.112222222222222E-3</v>
      </c>
      <c r="X110" s="606">
        <f t="shared" si="113"/>
        <v>0.25005833333333333</v>
      </c>
      <c r="Y110" s="607">
        <f t="shared" si="104"/>
        <v>0.2603388888888889</v>
      </c>
      <c r="Z110" s="616">
        <f t="shared" si="114"/>
        <v>2.5005833333333335E-2</v>
      </c>
      <c r="AA110" s="617">
        <f t="shared" si="115"/>
        <v>2.6033888888888891E-2</v>
      </c>
      <c r="AB110" s="221" t="s">
        <v>43</v>
      </c>
      <c r="AC110" s="892" t="s">
        <v>227</v>
      </c>
      <c r="AD110" s="892" t="s">
        <v>38</v>
      </c>
      <c r="AE110" s="892" t="s">
        <v>39</v>
      </c>
      <c r="AF110" s="494"/>
      <c r="AG110" s="187"/>
      <c r="AH110" s="187"/>
      <c r="AI110" s="187"/>
    </row>
    <row r="111" spans="1:35" ht="115.9" customHeight="1" thickBot="1" x14ac:dyDescent="0.35">
      <c r="A111" s="331"/>
      <c r="B111" s="1070" t="s">
        <v>254</v>
      </c>
      <c r="C111" s="1070" t="s">
        <v>255</v>
      </c>
      <c r="D111" s="495" t="s">
        <v>219</v>
      </c>
      <c r="E111" s="1266">
        <v>3.7499999999999999E-2</v>
      </c>
      <c r="F111" s="568">
        <f>17*4</f>
        <v>68</v>
      </c>
      <c r="G111" s="525">
        <v>17</v>
      </c>
      <c r="H111" s="525">
        <v>17</v>
      </c>
      <c r="I111" s="528">
        <f t="shared" si="105"/>
        <v>0.25</v>
      </c>
      <c r="J111" s="528">
        <f t="shared" si="116"/>
        <v>0.25</v>
      </c>
      <c r="K111" s="564">
        <f t="shared" si="106"/>
        <v>9.3749999999999997E-3</v>
      </c>
      <c r="L111" s="564">
        <f t="shared" si="93"/>
        <v>9.3749999999999997E-3</v>
      </c>
      <c r="M111" s="593">
        <v>15</v>
      </c>
      <c r="N111" s="582">
        <v>3.75</v>
      </c>
      <c r="O111" s="593">
        <v>11</v>
      </c>
      <c r="P111" s="593"/>
      <c r="Q111" s="593"/>
      <c r="R111" s="718">
        <f t="shared" si="107"/>
        <v>14.75</v>
      </c>
      <c r="S111" s="593">
        <f t="shared" si="108"/>
        <v>29.75</v>
      </c>
      <c r="T111" s="564">
        <f t="shared" ref="T111" si="117">+(M111/G111)</f>
        <v>0.88235294117647056</v>
      </c>
      <c r="U111" s="564">
        <f>+R111/H111</f>
        <v>0.86764705882352944</v>
      </c>
      <c r="V111" s="564">
        <f t="shared" ref="V111" si="118">+T111*E111</f>
        <v>3.3088235294117647E-2</v>
      </c>
      <c r="W111" s="564">
        <f t="shared" si="112"/>
        <v>3.2536764705882355E-2</v>
      </c>
      <c r="X111" s="543">
        <f t="shared" ref="X111" si="119">+M111/F111</f>
        <v>0.22058823529411764</v>
      </c>
      <c r="Y111" s="544">
        <f t="shared" si="104"/>
        <v>0.4375</v>
      </c>
      <c r="Z111" s="606">
        <f t="shared" ref="Z111" si="120">+X111*E111</f>
        <v>8.2720588235294119E-3</v>
      </c>
      <c r="AA111" s="607">
        <f t="shared" si="115"/>
        <v>1.6406250000000001E-2</v>
      </c>
      <c r="AB111" s="221" t="s">
        <v>43</v>
      </c>
      <c r="AC111" s="892" t="s">
        <v>227</v>
      </c>
      <c r="AD111" s="892" t="s">
        <v>38</v>
      </c>
      <c r="AE111" s="892" t="s">
        <v>39</v>
      </c>
      <c r="AF111" s="494"/>
      <c r="AG111" s="187"/>
      <c r="AH111" s="187"/>
      <c r="AI111" s="187"/>
    </row>
    <row r="112" spans="1:35" ht="152.44999999999999" customHeight="1" thickBot="1" x14ac:dyDescent="0.35">
      <c r="A112" s="331"/>
      <c r="B112" s="1070" t="s">
        <v>256</v>
      </c>
      <c r="C112" s="1070" t="s">
        <v>257</v>
      </c>
      <c r="D112" s="495" t="s">
        <v>219</v>
      </c>
      <c r="E112" s="1266">
        <v>3.7499999999999999E-2</v>
      </c>
      <c r="F112" s="568">
        <f>250*4</f>
        <v>1000</v>
      </c>
      <c r="G112" s="525">
        <v>250</v>
      </c>
      <c r="H112" s="525">
        <v>250</v>
      </c>
      <c r="I112" s="528">
        <f t="shared" si="105"/>
        <v>0.25</v>
      </c>
      <c r="J112" s="528">
        <f t="shared" si="116"/>
        <v>0.25</v>
      </c>
      <c r="K112" s="564">
        <f>+(G112/F112)*E112</f>
        <v>9.3749999999999997E-3</v>
      </c>
      <c r="L112" s="564">
        <f t="shared" si="93"/>
        <v>9.3749999999999997E-3</v>
      </c>
      <c r="M112" s="525">
        <v>250</v>
      </c>
      <c r="N112" s="582">
        <v>0</v>
      </c>
      <c r="O112" s="525">
        <v>68</v>
      </c>
      <c r="P112" s="525"/>
      <c r="Q112" s="525"/>
      <c r="R112" s="525">
        <f t="shared" si="107"/>
        <v>68</v>
      </c>
      <c r="S112" s="525">
        <f t="shared" si="108"/>
        <v>318</v>
      </c>
      <c r="T112" s="564">
        <f t="shared" si="109"/>
        <v>1</v>
      </c>
      <c r="U112" s="564">
        <f t="shared" si="110"/>
        <v>0.27200000000000002</v>
      </c>
      <c r="V112" s="564">
        <f t="shared" si="111"/>
        <v>3.7499999999999999E-2</v>
      </c>
      <c r="W112" s="564">
        <f t="shared" si="112"/>
        <v>1.0200000000000001E-2</v>
      </c>
      <c r="X112" s="543">
        <f t="shared" si="113"/>
        <v>0.25</v>
      </c>
      <c r="Y112" s="544">
        <f t="shared" si="104"/>
        <v>0.318</v>
      </c>
      <c r="Z112" s="606">
        <f t="shared" si="114"/>
        <v>9.3749999999999997E-3</v>
      </c>
      <c r="AA112" s="607">
        <f t="shared" si="115"/>
        <v>1.1925E-2</v>
      </c>
      <c r="AB112" s="221" t="s">
        <v>43</v>
      </c>
      <c r="AC112" s="892" t="s">
        <v>227</v>
      </c>
      <c r="AD112" s="892" t="s">
        <v>38</v>
      </c>
      <c r="AE112" s="892" t="s">
        <v>39</v>
      </c>
      <c r="AF112" s="494"/>
      <c r="AG112" s="187"/>
      <c r="AH112" s="187"/>
      <c r="AI112" s="187"/>
    </row>
    <row r="113" spans="1:35" ht="150" customHeight="1" thickBot="1" x14ac:dyDescent="0.35">
      <c r="A113" s="331"/>
      <c r="B113" s="1070" t="s">
        <v>258</v>
      </c>
      <c r="C113" s="1070" t="s">
        <v>259</v>
      </c>
      <c r="D113" s="495" t="s">
        <v>219</v>
      </c>
      <c r="E113" s="1266">
        <v>3.7499999999999999E-2</v>
      </c>
      <c r="F113" s="568">
        <v>17</v>
      </c>
      <c r="G113" s="525">
        <v>2</v>
      </c>
      <c r="H113" s="525">
        <v>5</v>
      </c>
      <c r="I113" s="528">
        <f t="shared" si="105"/>
        <v>0.11764705882352941</v>
      </c>
      <c r="J113" s="528">
        <f t="shared" si="116"/>
        <v>0.29411764705882354</v>
      </c>
      <c r="K113" s="564">
        <f t="shared" si="106"/>
        <v>4.4117647058823529E-3</v>
      </c>
      <c r="L113" s="564">
        <f t="shared" si="93"/>
        <v>1.1029411764705883E-2</v>
      </c>
      <c r="M113" s="525">
        <v>2</v>
      </c>
      <c r="N113" s="582">
        <v>0</v>
      </c>
      <c r="O113" s="525">
        <v>2.5</v>
      </c>
      <c r="P113" s="525"/>
      <c r="Q113" s="525"/>
      <c r="R113" s="525">
        <f t="shared" si="107"/>
        <v>2.5</v>
      </c>
      <c r="S113" s="525">
        <f t="shared" si="108"/>
        <v>4.5</v>
      </c>
      <c r="T113" s="564">
        <f t="shared" si="109"/>
        <v>1</v>
      </c>
      <c r="U113" s="564">
        <f t="shared" si="110"/>
        <v>0.5</v>
      </c>
      <c r="V113" s="564">
        <f t="shared" si="111"/>
        <v>3.7499999999999999E-2</v>
      </c>
      <c r="W113" s="564">
        <f t="shared" si="112"/>
        <v>1.8749999999999999E-2</v>
      </c>
      <c r="X113" s="543">
        <f t="shared" si="113"/>
        <v>0.11764705882352941</v>
      </c>
      <c r="Y113" s="544">
        <f t="shared" si="104"/>
        <v>0.26470588235294118</v>
      </c>
      <c r="Z113" s="606">
        <f t="shared" si="114"/>
        <v>4.4117647058823529E-3</v>
      </c>
      <c r="AA113" s="607">
        <f t="shared" si="115"/>
        <v>9.9264705882352935E-3</v>
      </c>
      <c r="AB113" s="221" t="s">
        <v>43</v>
      </c>
      <c r="AC113" s="892" t="s">
        <v>227</v>
      </c>
      <c r="AD113" s="892" t="s">
        <v>38</v>
      </c>
      <c r="AE113" s="892" t="s">
        <v>39</v>
      </c>
      <c r="AF113" s="494"/>
      <c r="AG113" s="187"/>
      <c r="AH113" s="187"/>
      <c r="AI113" s="187"/>
    </row>
    <row r="114" spans="1:35" ht="164.45" customHeight="1" thickBot="1" x14ac:dyDescent="0.35">
      <c r="A114" s="331"/>
      <c r="B114" s="1070" t="s">
        <v>260</v>
      </c>
      <c r="C114" s="1070" t="s">
        <v>261</v>
      </c>
      <c r="D114" s="495" t="s">
        <v>219</v>
      </c>
      <c r="E114" s="1266">
        <v>3.7499999999999999E-2</v>
      </c>
      <c r="F114" s="568">
        <v>160</v>
      </c>
      <c r="G114" s="525">
        <v>40</v>
      </c>
      <c r="H114" s="525">
        <v>40</v>
      </c>
      <c r="I114" s="528">
        <f t="shared" si="105"/>
        <v>0.25</v>
      </c>
      <c r="J114" s="528">
        <f t="shared" si="116"/>
        <v>0.25</v>
      </c>
      <c r="K114" s="564">
        <f t="shared" si="106"/>
        <v>9.3749999999999997E-3</v>
      </c>
      <c r="L114" s="564">
        <f t="shared" si="93"/>
        <v>9.3749999999999997E-3</v>
      </c>
      <c r="M114" s="525">
        <v>40</v>
      </c>
      <c r="N114" s="582">
        <v>0</v>
      </c>
      <c r="O114" s="525">
        <v>33</v>
      </c>
      <c r="P114" s="525"/>
      <c r="Q114" s="525"/>
      <c r="R114" s="525">
        <f t="shared" si="107"/>
        <v>33</v>
      </c>
      <c r="S114" s="525">
        <f t="shared" si="108"/>
        <v>73</v>
      </c>
      <c r="T114" s="564">
        <v>1</v>
      </c>
      <c r="U114" s="564">
        <f t="shared" si="110"/>
        <v>0.82499999999999996</v>
      </c>
      <c r="V114" s="564">
        <f t="shared" si="111"/>
        <v>3.7499999999999999E-2</v>
      </c>
      <c r="W114" s="564">
        <f t="shared" si="112"/>
        <v>3.0937499999999996E-2</v>
      </c>
      <c r="X114" s="543">
        <f t="shared" si="113"/>
        <v>0.25</v>
      </c>
      <c r="Y114" s="544">
        <f t="shared" si="104"/>
        <v>0.45624999999999999</v>
      </c>
      <c r="Z114" s="606">
        <f t="shared" si="114"/>
        <v>9.3749999999999997E-3</v>
      </c>
      <c r="AA114" s="607">
        <f t="shared" si="115"/>
        <v>1.7109375E-2</v>
      </c>
      <c r="AB114" s="221" t="s">
        <v>43</v>
      </c>
      <c r="AC114" s="892" t="s">
        <v>227</v>
      </c>
      <c r="AD114" s="892" t="s">
        <v>38</v>
      </c>
      <c r="AE114" s="892" t="s">
        <v>39</v>
      </c>
      <c r="AF114" s="494"/>
      <c r="AG114" s="187"/>
      <c r="AH114" s="187"/>
      <c r="AI114" s="187"/>
    </row>
    <row r="115" spans="1:35" ht="80.45" customHeight="1" thickBot="1" x14ac:dyDescent="0.35">
      <c r="A115" s="331"/>
      <c r="B115" s="1070" t="s">
        <v>262</v>
      </c>
      <c r="C115" s="1070" t="s">
        <v>263</v>
      </c>
      <c r="D115" s="495" t="s">
        <v>219</v>
      </c>
      <c r="E115" s="1266">
        <v>3.7499999999999999E-2</v>
      </c>
      <c r="F115" s="568">
        <v>14000</v>
      </c>
      <c r="G115" s="525">
        <v>3500</v>
      </c>
      <c r="H115" s="525">
        <v>3500</v>
      </c>
      <c r="I115" s="528">
        <f t="shared" si="105"/>
        <v>0.25</v>
      </c>
      <c r="J115" s="528">
        <f t="shared" si="116"/>
        <v>0.25</v>
      </c>
      <c r="K115" s="564">
        <f t="shared" si="106"/>
        <v>9.3749999999999997E-3</v>
      </c>
      <c r="L115" s="564">
        <f t="shared" si="93"/>
        <v>9.3749999999999997E-3</v>
      </c>
      <c r="M115" s="525">
        <v>3500</v>
      </c>
      <c r="N115" s="582">
        <v>650</v>
      </c>
      <c r="O115" s="525">
        <v>1058</v>
      </c>
      <c r="P115" s="525"/>
      <c r="Q115" s="525"/>
      <c r="R115" s="525">
        <f t="shared" si="107"/>
        <v>1708</v>
      </c>
      <c r="S115" s="525">
        <f t="shared" si="108"/>
        <v>5208</v>
      </c>
      <c r="T115" s="564">
        <f t="shared" si="109"/>
        <v>1</v>
      </c>
      <c r="U115" s="564">
        <f t="shared" si="110"/>
        <v>0.48799999999999999</v>
      </c>
      <c r="V115" s="564">
        <f t="shared" si="111"/>
        <v>3.7499999999999999E-2</v>
      </c>
      <c r="W115" s="564">
        <f t="shared" si="112"/>
        <v>1.83E-2</v>
      </c>
      <c r="X115" s="543">
        <f t="shared" si="113"/>
        <v>0.25</v>
      </c>
      <c r="Y115" s="544">
        <f t="shared" si="104"/>
        <v>0.372</v>
      </c>
      <c r="Z115" s="606">
        <f t="shared" si="114"/>
        <v>9.3749999999999997E-3</v>
      </c>
      <c r="AA115" s="607">
        <f t="shared" si="115"/>
        <v>1.3949999999999999E-2</v>
      </c>
      <c r="AB115" s="221" t="s">
        <v>43</v>
      </c>
      <c r="AC115" s="892" t="s">
        <v>227</v>
      </c>
      <c r="AD115" s="892" t="s">
        <v>38</v>
      </c>
      <c r="AE115" s="892" t="s">
        <v>39</v>
      </c>
      <c r="AF115" s="494"/>
      <c r="AG115" s="187"/>
      <c r="AH115" s="187"/>
      <c r="AI115" s="187"/>
    </row>
    <row r="116" spans="1:35" ht="91.9" customHeight="1" thickBot="1" x14ac:dyDescent="0.35">
      <c r="A116" s="331"/>
      <c r="B116" s="1070" t="s">
        <v>264</v>
      </c>
      <c r="C116" s="1070" t="s">
        <v>265</v>
      </c>
      <c r="D116" s="495" t="s">
        <v>219</v>
      </c>
      <c r="E116" s="1266">
        <v>3.7499999999999999E-2</v>
      </c>
      <c r="F116" s="568">
        <v>380</v>
      </c>
      <c r="G116" s="525">
        <v>95</v>
      </c>
      <c r="H116" s="525">
        <v>95</v>
      </c>
      <c r="I116" s="528">
        <f t="shared" si="105"/>
        <v>0.25</v>
      </c>
      <c r="J116" s="528">
        <f t="shared" si="116"/>
        <v>0.25</v>
      </c>
      <c r="K116" s="564">
        <f t="shared" si="106"/>
        <v>9.3749999999999997E-3</v>
      </c>
      <c r="L116" s="564">
        <f t="shared" si="93"/>
        <v>9.3749999999999997E-3</v>
      </c>
      <c r="M116" s="525">
        <v>94</v>
      </c>
      <c r="N116" s="582">
        <v>0</v>
      </c>
      <c r="O116" s="525">
        <v>31</v>
      </c>
      <c r="P116" s="525"/>
      <c r="Q116" s="525"/>
      <c r="R116" s="525">
        <f t="shared" si="107"/>
        <v>31</v>
      </c>
      <c r="S116" s="525">
        <f t="shared" si="108"/>
        <v>125</v>
      </c>
      <c r="T116" s="564">
        <f t="shared" si="109"/>
        <v>0.98947368421052628</v>
      </c>
      <c r="U116" s="564">
        <f t="shared" si="110"/>
        <v>0.32631578947368423</v>
      </c>
      <c r="V116" s="564">
        <f t="shared" si="111"/>
        <v>3.7105263157894731E-2</v>
      </c>
      <c r="W116" s="564">
        <f t="shared" si="112"/>
        <v>1.2236842105263159E-2</v>
      </c>
      <c r="X116" s="543">
        <f t="shared" si="113"/>
        <v>0.24736842105263157</v>
      </c>
      <c r="Y116" s="544">
        <f t="shared" si="104"/>
        <v>0.32894736842105265</v>
      </c>
      <c r="Z116" s="606">
        <f t="shared" si="114"/>
        <v>9.2763157894736829E-3</v>
      </c>
      <c r="AA116" s="607">
        <f t="shared" si="115"/>
        <v>1.2335526315789474E-2</v>
      </c>
      <c r="AB116" s="221" t="s">
        <v>43</v>
      </c>
      <c r="AC116" s="892" t="s">
        <v>227</v>
      </c>
      <c r="AD116" s="892" t="s">
        <v>38</v>
      </c>
      <c r="AE116" s="892" t="s">
        <v>39</v>
      </c>
      <c r="AF116" s="494"/>
      <c r="AG116" s="187"/>
      <c r="AH116" s="187"/>
      <c r="AI116" s="187"/>
    </row>
    <row r="117" spans="1:35" ht="163.15" customHeight="1" thickBot="1" x14ac:dyDescent="0.35">
      <c r="A117" s="331"/>
      <c r="B117" s="1070" t="s">
        <v>266</v>
      </c>
      <c r="C117" s="1070" t="s">
        <v>267</v>
      </c>
      <c r="D117" s="495" t="s">
        <v>219</v>
      </c>
      <c r="E117" s="1266">
        <v>3.7499999999999999E-2</v>
      </c>
      <c r="F117" s="568">
        <v>2700</v>
      </c>
      <c r="G117" s="525">
        <v>675</v>
      </c>
      <c r="H117" s="525">
        <v>675</v>
      </c>
      <c r="I117" s="528">
        <f t="shared" si="105"/>
        <v>0.25</v>
      </c>
      <c r="J117" s="528">
        <f t="shared" si="116"/>
        <v>0.25</v>
      </c>
      <c r="K117" s="564">
        <f t="shared" si="106"/>
        <v>9.3749999999999997E-3</v>
      </c>
      <c r="L117" s="564">
        <f t="shared" si="93"/>
        <v>9.3749999999999997E-3</v>
      </c>
      <c r="M117" s="525">
        <v>674</v>
      </c>
      <c r="N117" s="582">
        <v>7</v>
      </c>
      <c r="O117" s="525">
        <v>212</v>
      </c>
      <c r="P117" s="525"/>
      <c r="Q117" s="525"/>
      <c r="R117" s="525">
        <f t="shared" si="107"/>
        <v>219</v>
      </c>
      <c r="S117" s="525">
        <f t="shared" si="108"/>
        <v>893</v>
      </c>
      <c r="T117" s="564">
        <f t="shared" si="109"/>
        <v>0.99851851851851847</v>
      </c>
      <c r="U117" s="564">
        <f t="shared" si="110"/>
        <v>0.32444444444444442</v>
      </c>
      <c r="V117" s="564">
        <f t="shared" si="111"/>
        <v>3.744444444444444E-2</v>
      </c>
      <c r="W117" s="564">
        <f t="shared" si="112"/>
        <v>1.2166666666666666E-2</v>
      </c>
      <c r="X117" s="543">
        <f t="shared" si="113"/>
        <v>0.24962962962962962</v>
      </c>
      <c r="Y117" s="544">
        <f t="shared" si="104"/>
        <v>0.33074074074074072</v>
      </c>
      <c r="Z117" s="606">
        <f t="shared" si="114"/>
        <v>9.36111111111111E-3</v>
      </c>
      <c r="AA117" s="607">
        <f t="shared" si="115"/>
        <v>1.2402777777777776E-2</v>
      </c>
      <c r="AB117" s="221" t="s">
        <v>43</v>
      </c>
      <c r="AC117" s="892" t="s">
        <v>227</v>
      </c>
      <c r="AD117" s="892" t="s">
        <v>38</v>
      </c>
      <c r="AE117" s="892" t="s">
        <v>39</v>
      </c>
      <c r="AF117" s="494"/>
      <c r="AG117" s="187"/>
      <c r="AH117" s="187"/>
      <c r="AI117" s="187"/>
    </row>
    <row r="118" spans="1:35" ht="100.15" customHeight="1" thickBot="1" x14ac:dyDescent="0.35">
      <c r="A118" s="331"/>
      <c r="B118" s="1070" t="s">
        <v>268</v>
      </c>
      <c r="C118" s="1070" t="s">
        <v>269</v>
      </c>
      <c r="D118" s="495" t="s">
        <v>219</v>
      </c>
      <c r="E118" s="1266">
        <v>0.2</v>
      </c>
      <c r="F118" s="568">
        <v>59184</v>
      </c>
      <c r="G118" s="525">
        <v>14796</v>
      </c>
      <c r="H118" s="525">
        <v>14796</v>
      </c>
      <c r="I118" s="528">
        <f t="shared" si="105"/>
        <v>0.25</v>
      </c>
      <c r="J118" s="528">
        <f t="shared" si="116"/>
        <v>0.25</v>
      </c>
      <c r="K118" s="564">
        <f t="shared" si="106"/>
        <v>0.05</v>
      </c>
      <c r="L118" s="564">
        <f t="shared" si="93"/>
        <v>0.05</v>
      </c>
      <c r="M118" s="525">
        <v>12957</v>
      </c>
      <c r="N118" s="582">
        <v>1876</v>
      </c>
      <c r="O118" s="582">
        <v>3026</v>
      </c>
      <c r="P118" s="525"/>
      <c r="Q118" s="525"/>
      <c r="R118" s="525">
        <f t="shared" si="107"/>
        <v>4902</v>
      </c>
      <c r="S118" s="525">
        <f t="shared" si="108"/>
        <v>17859</v>
      </c>
      <c r="T118" s="564">
        <f t="shared" si="109"/>
        <v>0.87570965125709654</v>
      </c>
      <c r="U118" s="564">
        <f t="shared" si="110"/>
        <v>0.33130575831305759</v>
      </c>
      <c r="V118" s="564">
        <f t="shared" si="111"/>
        <v>0.17514193025141933</v>
      </c>
      <c r="W118" s="564">
        <f t="shared" si="112"/>
        <v>6.6261151662611525E-2</v>
      </c>
      <c r="X118" s="543">
        <f t="shared" si="113"/>
        <v>0.21892741281427414</v>
      </c>
      <c r="Y118" s="544">
        <f t="shared" si="104"/>
        <v>0.30175385239253855</v>
      </c>
      <c r="Z118" s="543">
        <f t="shared" si="114"/>
        <v>4.3785482562854833E-2</v>
      </c>
      <c r="AA118" s="544">
        <f t="shared" si="115"/>
        <v>6.0350770478507711E-2</v>
      </c>
      <c r="AB118" s="221" t="s">
        <v>43</v>
      </c>
      <c r="AC118" s="892" t="s">
        <v>227</v>
      </c>
      <c r="AD118" s="892" t="s">
        <v>38</v>
      </c>
      <c r="AE118" s="892" t="s">
        <v>39</v>
      </c>
      <c r="AF118" s="494"/>
      <c r="AG118" s="187"/>
      <c r="AH118" s="187"/>
      <c r="AI118" s="187"/>
    </row>
    <row r="119" spans="1:35" ht="94.9" customHeight="1" thickBot="1" x14ac:dyDescent="0.35">
      <c r="A119" s="331"/>
      <c r="B119" s="1070" t="s">
        <v>270</v>
      </c>
      <c r="C119" s="1070" t="s">
        <v>271</v>
      </c>
      <c r="D119" s="495" t="s">
        <v>219</v>
      </c>
      <c r="E119" s="1266">
        <v>3.7499999999999999E-2</v>
      </c>
      <c r="F119" s="568">
        <v>28</v>
      </c>
      <c r="G119" s="525">
        <v>7</v>
      </c>
      <c r="H119" s="525">
        <v>7</v>
      </c>
      <c r="I119" s="528">
        <f t="shared" si="105"/>
        <v>0.25</v>
      </c>
      <c r="J119" s="528">
        <f t="shared" si="116"/>
        <v>0.25</v>
      </c>
      <c r="K119" s="564">
        <f t="shared" si="106"/>
        <v>9.3749999999999997E-3</v>
      </c>
      <c r="L119" s="564">
        <f t="shared" si="93"/>
        <v>9.3749999999999997E-3</v>
      </c>
      <c r="M119" s="525">
        <v>7</v>
      </c>
      <c r="N119" s="582">
        <v>0</v>
      </c>
      <c r="O119" s="525">
        <v>3.7</v>
      </c>
      <c r="P119" s="525"/>
      <c r="Q119" s="525"/>
      <c r="R119" s="525">
        <f t="shared" si="107"/>
        <v>3.7</v>
      </c>
      <c r="S119" s="525">
        <f t="shared" si="108"/>
        <v>10.7</v>
      </c>
      <c r="T119" s="564">
        <f t="shared" si="109"/>
        <v>1</v>
      </c>
      <c r="U119" s="528">
        <f t="shared" si="110"/>
        <v>0.52857142857142858</v>
      </c>
      <c r="V119" s="564">
        <f t="shared" si="111"/>
        <v>3.7499999999999999E-2</v>
      </c>
      <c r="W119" s="564">
        <f t="shared" si="112"/>
        <v>1.982142857142857E-2</v>
      </c>
      <c r="X119" s="543">
        <f t="shared" si="113"/>
        <v>0.25</v>
      </c>
      <c r="Y119" s="544">
        <f t="shared" si="104"/>
        <v>0.38214285714285712</v>
      </c>
      <c r="Z119" s="543">
        <f t="shared" si="114"/>
        <v>9.3749999999999997E-3</v>
      </c>
      <c r="AA119" s="544">
        <f t="shared" si="115"/>
        <v>1.4330357142857141E-2</v>
      </c>
      <c r="AB119" s="221" t="s">
        <v>43</v>
      </c>
      <c r="AC119" s="892" t="s">
        <v>227</v>
      </c>
      <c r="AD119" s="892" t="s">
        <v>38</v>
      </c>
      <c r="AE119" s="892" t="s">
        <v>39</v>
      </c>
      <c r="AF119" s="494"/>
      <c r="AG119" s="187"/>
      <c r="AH119" s="187"/>
      <c r="AI119" s="187"/>
    </row>
    <row r="120" spans="1:35" ht="153.6" customHeight="1" thickBot="1" x14ac:dyDescent="0.35">
      <c r="A120" s="331"/>
      <c r="B120" s="1070" t="s">
        <v>272</v>
      </c>
      <c r="C120" s="1070" t="s">
        <v>273</v>
      </c>
      <c r="D120" s="495" t="s">
        <v>219</v>
      </c>
      <c r="E120" s="1266">
        <v>0.1</v>
      </c>
      <c r="F120" s="568">
        <v>32</v>
      </c>
      <c r="G120" s="525">
        <v>4</v>
      </c>
      <c r="H120" s="525">
        <v>8</v>
      </c>
      <c r="I120" s="528">
        <f t="shared" si="105"/>
        <v>0.125</v>
      </c>
      <c r="J120" s="528">
        <f t="shared" si="116"/>
        <v>0.25</v>
      </c>
      <c r="K120" s="564">
        <f t="shared" si="106"/>
        <v>1.2500000000000001E-2</v>
      </c>
      <c r="L120" s="564">
        <f>+(H120/F120)*E120</f>
        <v>2.5000000000000001E-2</v>
      </c>
      <c r="M120" s="525">
        <v>8</v>
      </c>
      <c r="N120" s="582">
        <v>0</v>
      </c>
      <c r="O120" s="525">
        <v>12</v>
      </c>
      <c r="P120" s="525"/>
      <c r="Q120" s="525"/>
      <c r="R120" s="525">
        <f t="shared" si="107"/>
        <v>12</v>
      </c>
      <c r="S120" s="525">
        <f t="shared" si="108"/>
        <v>20</v>
      </c>
      <c r="T120" s="564">
        <v>1</v>
      </c>
      <c r="U120" s="564">
        <v>1</v>
      </c>
      <c r="V120" s="564">
        <f t="shared" si="111"/>
        <v>0.1</v>
      </c>
      <c r="W120" s="564">
        <f t="shared" si="112"/>
        <v>0.1</v>
      </c>
      <c r="X120" s="543">
        <f>+M120/F120</f>
        <v>0.25</v>
      </c>
      <c r="Y120" s="544">
        <f t="shared" si="104"/>
        <v>0.625</v>
      </c>
      <c r="Z120" s="543">
        <f t="shared" si="114"/>
        <v>2.5000000000000001E-2</v>
      </c>
      <c r="AA120" s="544">
        <f t="shared" si="115"/>
        <v>6.25E-2</v>
      </c>
      <c r="AB120" s="774" t="s">
        <v>274</v>
      </c>
      <c r="AC120" s="892" t="s">
        <v>227</v>
      </c>
      <c r="AD120" s="892" t="s">
        <v>38</v>
      </c>
      <c r="AE120" s="892" t="s">
        <v>39</v>
      </c>
      <c r="AF120" s="494"/>
      <c r="AG120" s="187"/>
      <c r="AH120" s="187"/>
      <c r="AI120" s="187"/>
    </row>
    <row r="121" spans="1:35" ht="176.45" customHeight="1" thickBot="1" x14ac:dyDescent="0.35">
      <c r="A121" s="331"/>
      <c r="B121" s="1070" t="s">
        <v>275</v>
      </c>
      <c r="C121" s="1070" t="s">
        <v>276</v>
      </c>
      <c r="D121" s="495" t="s">
        <v>219</v>
      </c>
      <c r="E121" s="1266">
        <v>3.7499999999999999E-2</v>
      </c>
      <c r="F121" s="568">
        <f>72*4</f>
        <v>288</v>
      </c>
      <c r="G121" s="525">
        <v>72</v>
      </c>
      <c r="H121" s="525">
        <v>72</v>
      </c>
      <c r="I121" s="528">
        <f t="shared" si="105"/>
        <v>0.25</v>
      </c>
      <c r="J121" s="528">
        <f t="shared" si="116"/>
        <v>0.25</v>
      </c>
      <c r="K121" s="564">
        <f t="shared" si="106"/>
        <v>9.3749999999999997E-3</v>
      </c>
      <c r="L121" s="564">
        <f t="shared" si="93"/>
        <v>9.3749999999999997E-3</v>
      </c>
      <c r="M121" s="525">
        <v>70</v>
      </c>
      <c r="N121" s="582">
        <v>0</v>
      </c>
      <c r="O121" s="525">
        <v>36</v>
      </c>
      <c r="P121" s="525"/>
      <c r="Q121" s="525"/>
      <c r="R121" s="525">
        <f t="shared" si="107"/>
        <v>36</v>
      </c>
      <c r="S121" s="525">
        <f t="shared" si="108"/>
        <v>106</v>
      </c>
      <c r="T121" s="564">
        <f t="shared" si="109"/>
        <v>0.97222222222222221</v>
      </c>
      <c r="U121" s="564">
        <f t="shared" si="110"/>
        <v>0.5</v>
      </c>
      <c r="V121" s="564">
        <f t="shared" si="111"/>
        <v>3.6458333333333329E-2</v>
      </c>
      <c r="W121" s="564">
        <f t="shared" si="112"/>
        <v>1.8749999999999999E-2</v>
      </c>
      <c r="X121" s="543">
        <f t="shared" si="113"/>
        <v>0.24305555555555555</v>
      </c>
      <c r="Y121" s="544">
        <f t="shared" si="104"/>
        <v>0.36805555555555558</v>
      </c>
      <c r="Z121" s="543">
        <f t="shared" si="114"/>
        <v>9.1145833333333322E-3</v>
      </c>
      <c r="AA121" s="544">
        <f t="shared" si="115"/>
        <v>1.3802083333333335E-2</v>
      </c>
      <c r="AB121" s="774" t="s">
        <v>43</v>
      </c>
      <c r="AC121" s="892" t="s">
        <v>227</v>
      </c>
      <c r="AD121" s="892" t="s">
        <v>38</v>
      </c>
      <c r="AE121" s="892" t="s">
        <v>39</v>
      </c>
      <c r="AF121" s="494"/>
      <c r="AG121" s="187"/>
      <c r="AH121" s="187"/>
      <c r="AI121" s="187"/>
    </row>
    <row r="122" spans="1:35" ht="114.6" customHeight="1" thickBot="1" x14ac:dyDescent="0.35">
      <c r="A122" s="331"/>
      <c r="B122" s="1070" t="s">
        <v>277</v>
      </c>
      <c r="C122" s="1070" t="s">
        <v>278</v>
      </c>
      <c r="D122" s="495" t="s">
        <v>219</v>
      </c>
      <c r="E122" s="1266">
        <v>3.7499999999999999E-2</v>
      </c>
      <c r="F122" s="568">
        <v>300</v>
      </c>
      <c r="G122" s="525">
        <v>75</v>
      </c>
      <c r="H122" s="525">
        <v>75</v>
      </c>
      <c r="I122" s="528">
        <f t="shared" si="105"/>
        <v>0.25</v>
      </c>
      <c r="J122" s="528">
        <f t="shared" si="116"/>
        <v>0.25</v>
      </c>
      <c r="K122" s="564">
        <f t="shared" si="106"/>
        <v>9.3749999999999997E-3</v>
      </c>
      <c r="L122" s="564">
        <f t="shared" si="93"/>
        <v>9.3749999999999997E-3</v>
      </c>
      <c r="M122" s="525">
        <v>75</v>
      </c>
      <c r="N122" s="582">
        <v>0</v>
      </c>
      <c r="O122" s="525">
        <v>20</v>
      </c>
      <c r="P122" s="525"/>
      <c r="Q122" s="525"/>
      <c r="R122" s="525">
        <f t="shared" si="107"/>
        <v>20</v>
      </c>
      <c r="S122" s="525">
        <f t="shared" si="108"/>
        <v>95</v>
      </c>
      <c r="T122" s="564">
        <f t="shared" si="109"/>
        <v>1</v>
      </c>
      <c r="U122" s="564">
        <f t="shared" si="110"/>
        <v>0.26666666666666666</v>
      </c>
      <c r="V122" s="564">
        <f t="shared" si="111"/>
        <v>3.7499999999999999E-2</v>
      </c>
      <c r="W122" s="564">
        <f>+U122*E122</f>
        <v>0.01</v>
      </c>
      <c r="X122" s="543">
        <f t="shared" si="113"/>
        <v>0.25</v>
      </c>
      <c r="Y122" s="544">
        <f t="shared" si="104"/>
        <v>0.31666666666666665</v>
      </c>
      <c r="Z122" s="543">
        <f t="shared" si="114"/>
        <v>9.3749999999999997E-3</v>
      </c>
      <c r="AA122" s="544">
        <f t="shared" si="115"/>
        <v>1.1874999999999998E-2</v>
      </c>
      <c r="AB122" s="774" t="s">
        <v>43</v>
      </c>
      <c r="AC122" s="892" t="s">
        <v>227</v>
      </c>
      <c r="AD122" s="892" t="s">
        <v>38</v>
      </c>
      <c r="AE122" s="892" t="s">
        <v>39</v>
      </c>
      <c r="AF122" s="494"/>
      <c r="AG122" s="187"/>
      <c r="AH122" s="187"/>
      <c r="AI122" s="187"/>
    </row>
    <row r="123" spans="1:35" ht="105.6" customHeight="1" thickBot="1" x14ac:dyDescent="0.35">
      <c r="A123" s="331"/>
      <c r="B123" s="1070" t="s">
        <v>279</v>
      </c>
      <c r="C123" s="1070" t="s">
        <v>280</v>
      </c>
      <c r="D123" s="495" t="s">
        <v>219</v>
      </c>
      <c r="E123" s="1266">
        <v>3.7499999999999999E-2</v>
      </c>
      <c r="F123" s="568">
        <v>300</v>
      </c>
      <c r="G123" s="525">
        <v>75</v>
      </c>
      <c r="H123" s="525">
        <v>75</v>
      </c>
      <c r="I123" s="528">
        <f t="shared" si="105"/>
        <v>0.25</v>
      </c>
      <c r="J123" s="528">
        <f t="shared" si="116"/>
        <v>0.25</v>
      </c>
      <c r="K123" s="564">
        <f t="shared" si="106"/>
        <v>9.3749999999999997E-3</v>
      </c>
      <c r="L123" s="564">
        <f t="shared" si="93"/>
        <v>9.3749999999999997E-3</v>
      </c>
      <c r="M123" s="525">
        <v>75</v>
      </c>
      <c r="N123" s="582">
        <v>0</v>
      </c>
      <c r="O123" s="525">
        <v>19</v>
      </c>
      <c r="P123" s="525"/>
      <c r="Q123" s="525"/>
      <c r="R123" s="525">
        <f t="shared" si="107"/>
        <v>19</v>
      </c>
      <c r="S123" s="525">
        <f t="shared" si="108"/>
        <v>94</v>
      </c>
      <c r="T123" s="564">
        <f t="shared" si="109"/>
        <v>1</v>
      </c>
      <c r="U123" s="564">
        <f t="shared" si="110"/>
        <v>0.25333333333333335</v>
      </c>
      <c r="V123" s="564">
        <f t="shared" si="111"/>
        <v>3.7499999999999999E-2</v>
      </c>
      <c r="W123" s="564">
        <f t="shared" si="112"/>
        <v>9.4999999999999998E-3</v>
      </c>
      <c r="X123" s="543">
        <f t="shared" si="113"/>
        <v>0.25</v>
      </c>
      <c r="Y123" s="544">
        <f t="shared" si="104"/>
        <v>0.31333333333333335</v>
      </c>
      <c r="Z123" s="543">
        <f t="shared" si="114"/>
        <v>9.3749999999999997E-3</v>
      </c>
      <c r="AA123" s="544">
        <f t="shared" si="115"/>
        <v>1.175E-2</v>
      </c>
      <c r="AB123" s="774" t="s">
        <v>43</v>
      </c>
      <c r="AC123" s="892" t="s">
        <v>227</v>
      </c>
      <c r="AD123" s="892" t="s">
        <v>38</v>
      </c>
      <c r="AE123" s="892" t="s">
        <v>39</v>
      </c>
      <c r="AF123" s="494"/>
      <c r="AG123" s="187"/>
      <c r="AH123" s="187"/>
      <c r="AI123" s="187"/>
    </row>
    <row r="124" spans="1:35" ht="92.45" customHeight="1" thickBot="1" x14ac:dyDescent="0.35">
      <c r="A124" s="331"/>
      <c r="B124" s="1070" t="s">
        <v>281</v>
      </c>
      <c r="C124" s="1070" t="s">
        <v>282</v>
      </c>
      <c r="D124" s="495" t="s">
        <v>219</v>
      </c>
      <c r="E124" s="1266">
        <v>3.7499999999999999E-2</v>
      </c>
      <c r="F124" s="568">
        <v>720</v>
      </c>
      <c r="G124" s="525">
        <v>180</v>
      </c>
      <c r="H124" s="525">
        <v>180</v>
      </c>
      <c r="I124" s="528">
        <f t="shared" si="105"/>
        <v>0.25</v>
      </c>
      <c r="J124" s="528">
        <f t="shared" si="116"/>
        <v>0.25</v>
      </c>
      <c r="K124" s="564">
        <f t="shared" si="106"/>
        <v>9.3749999999999997E-3</v>
      </c>
      <c r="L124" s="564">
        <f t="shared" si="93"/>
        <v>9.3749999999999997E-3</v>
      </c>
      <c r="M124" s="525">
        <v>224</v>
      </c>
      <c r="N124" s="582">
        <v>3</v>
      </c>
      <c r="O124" s="525">
        <v>76</v>
      </c>
      <c r="P124" s="525"/>
      <c r="Q124" s="525"/>
      <c r="R124" s="525">
        <f t="shared" si="107"/>
        <v>79</v>
      </c>
      <c r="S124" s="525">
        <f t="shared" si="108"/>
        <v>303</v>
      </c>
      <c r="T124" s="564">
        <v>1</v>
      </c>
      <c r="U124" s="564">
        <f>+R124/H124</f>
        <v>0.43888888888888888</v>
      </c>
      <c r="V124" s="564">
        <f>+T124*E124</f>
        <v>3.7499999999999999E-2</v>
      </c>
      <c r="W124" s="564">
        <f t="shared" si="112"/>
        <v>1.6458333333333332E-2</v>
      </c>
      <c r="X124" s="543">
        <f t="shared" si="113"/>
        <v>0.31111111111111112</v>
      </c>
      <c r="Y124" s="614">
        <f t="shared" si="104"/>
        <v>0.42083333333333334</v>
      </c>
      <c r="Z124" s="606">
        <f>+X124*E124</f>
        <v>1.1666666666666667E-2</v>
      </c>
      <c r="AA124" s="607">
        <f t="shared" si="115"/>
        <v>1.578125E-2</v>
      </c>
      <c r="AB124" s="774" t="s">
        <v>43</v>
      </c>
      <c r="AC124" s="892" t="s">
        <v>227</v>
      </c>
      <c r="AD124" s="892" t="s">
        <v>38</v>
      </c>
      <c r="AE124" s="892" t="s">
        <v>39</v>
      </c>
      <c r="AF124" s="494"/>
      <c r="AG124" s="187"/>
      <c r="AH124" s="187"/>
      <c r="AI124" s="187"/>
    </row>
    <row r="125" spans="1:35" ht="189" customHeight="1" thickBot="1" x14ac:dyDescent="0.35">
      <c r="A125" s="331"/>
      <c r="B125" s="1284" t="s">
        <v>283</v>
      </c>
      <c r="C125" s="1285"/>
      <c r="D125" s="495"/>
      <c r="E125" s="522">
        <v>0.05</v>
      </c>
      <c r="F125" s="527"/>
      <c r="G125" s="525"/>
      <c r="H125" s="525"/>
      <c r="I125" s="524">
        <f>+AVERAGE(I126:I129)</f>
        <v>0.25</v>
      </c>
      <c r="J125" s="524">
        <f>+AVERAGE(J126:J129)</f>
        <v>0.25</v>
      </c>
      <c r="K125" s="524">
        <f>+K126+K127+K128+K129</f>
        <v>0.15</v>
      </c>
      <c r="L125" s="524">
        <f>+L126+L127+L128+L129</f>
        <v>0.15</v>
      </c>
      <c r="M125" s="527"/>
      <c r="N125" s="527"/>
      <c r="O125" s="527"/>
      <c r="P125" s="527"/>
      <c r="Q125" s="527"/>
      <c r="R125" s="527"/>
      <c r="S125" s="527"/>
      <c r="T125" s="579">
        <f>+AVERAGE(T126:T129)</f>
        <v>1</v>
      </c>
      <c r="U125" s="579">
        <f>+AVERAGE(U126:U129)</f>
        <v>0.5</v>
      </c>
      <c r="V125" s="579">
        <f>+(V126+V127+V128+V129)*E125</f>
        <v>0.03</v>
      </c>
      <c r="W125" s="579">
        <f>+(W126+W127+W128+W129)*F125</f>
        <v>0</v>
      </c>
      <c r="X125" s="539">
        <f>+AVERAGE(X126:X129)</f>
        <v>0.25</v>
      </c>
      <c r="Y125" s="1000">
        <f>+X125+((Y127-X127)/4)</f>
        <v>0.28125</v>
      </c>
      <c r="Z125" s="539">
        <f>+(Z126+Z127+Z128+Z129)*E125</f>
        <v>7.4999999999999997E-3</v>
      </c>
      <c r="AA125" s="599">
        <f>+(AA126+AA127+AA128+AA129)</f>
        <v>0.22499999999999998</v>
      </c>
      <c r="AB125" s="215"/>
      <c r="AC125" s="740" t="s">
        <v>284</v>
      </c>
      <c r="AD125" s="494"/>
      <c r="AE125" s="740" t="s">
        <v>284</v>
      </c>
      <c r="AF125" s="494"/>
      <c r="AG125" s="187"/>
      <c r="AH125" s="187"/>
      <c r="AI125" s="187"/>
    </row>
    <row r="126" spans="1:35" ht="118.15" customHeight="1" thickBot="1" x14ac:dyDescent="0.35">
      <c r="A126" s="331"/>
      <c r="B126" s="1070" t="s">
        <v>285</v>
      </c>
      <c r="C126" s="1070" t="s">
        <v>286</v>
      </c>
      <c r="D126" s="495" t="s">
        <v>287</v>
      </c>
      <c r="E126" s="1259">
        <v>0.1</v>
      </c>
      <c r="F126" s="568">
        <v>1</v>
      </c>
      <c r="G126" s="525">
        <v>0</v>
      </c>
      <c r="H126" s="525">
        <v>0</v>
      </c>
      <c r="I126" s="528"/>
      <c r="J126" s="528"/>
      <c r="K126" s="564"/>
      <c r="L126" s="564"/>
      <c r="M126" s="525"/>
      <c r="N126" s="582"/>
      <c r="O126" s="525"/>
      <c r="P126" s="525"/>
      <c r="Q126" s="525"/>
      <c r="R126" s="525">
        <f t="shared" ref="R126:R129" si="121">+N126+O126+P126+Q126</f>
        <v>0</v>
      </c>
      <c r="S126" s="525">
        <f t="shared" ref="S126:S129" si="122">+R126+M126</f>
        <v>0</v>
      </c>
      <c r="T126" s="564"/>
      <c r="U126" s="564"/>
      <c r="V126" s="564"/>
      <c r="W126" s="564"/>
      <c r="X126" s="543"/>
      <c r="Y126" s="613">
        <v>0</v>
      </c>
      <c r="Z126" s="543"/>
      <c r="AA126" s="544"/>
      <c r="AB126" s="221" t="s">
        <v>43</v>
      </c>
      <c r="AC126" s="892" t="s">
        <v>227</v>
      </c>
      <c r="AD126" s="892" t="s">
        <v>38</v>
      </c>
      <c r="AE126" s="892" t="s">
        <v>39</v>
      </c>
      <c r="AF126" s="494"/>
      <c r="AG126" s="187"/>
      <c r="AH126" s="187"/>
      <c r="AI126" s="187"/>
    </row>
    <row r="127" spans="1:35" ht="117" customHeight="1" thickBot="1" x14ac:dyDescent="0.35">
      <c r="A127" s="331"/>
      <c r="B127" s="1071" t="s">
        <v>288</v>
      </c>
      <c r="C127" s="1071" t="s">
        <v>289</v>
      </c>
      <c r="D127" s="495" t="s">
        <v>287</v>
      </c>
      <c r="E127" s="1259">
        <v>0.6</v>
      </c>
      <c r="F127" s="568">
        <v>4</v>
      </c>
      <c r="G127" s="525">
        <v>1</v>
      </c>
      <c r="H127" s="525">
        <v>1</v>
      </c>
      <c r="I127" s="528">
        <f>+G127/F127</f>
        <v>0.25</v>
      </c>
      <c r="J127" s="528">
        <f t="shared" ref="J127" si="123">+H127/F127</f>
        <v>0.25</v>
      </c>
      <c r="K127" s="564">
        <f>+(G127/F127)*E127</f>
        <v>0.15</v>
      </c>
      <c r="L127" s="564">
        <f>+(H127/F127)*E127</f>
        <v>0.15</v>
      </c>
      <c r="M127" s="525">
        <v>1</v>
      </c>
      <c r="N127" s="582">
        <v>0.4</v>
      </c>
      <c r="O127" s="525">
        <v>0.1</v>
      </c>
      <c r="P127" s="525"/>
      <c r="Q127" s="525"/>
      <c r="R127" s="525">
        <f t="shared" si="121"/>
        <v>0.5</v>
      </c>
      <c r="S127" s="525">
        <f t="shared" si="122"/>
        <v>1.5</v>
      </c>
      <c r="T127" s="564">
        <f>+(M127/G127)</f>
        <v>1</v>
      </c>
      <c r="U127" s="564">
        <f t="shared" ref="U127" si="124">+R127/H127</f>
        <v>0.5</v>
      </c>
      <c r="V127" s="564">
        <f>+T127*E127</f>
        <v>0.6</v>
      </c>
      <c r="W127" s="564">
        <f t="shared" si="112"/>
        <v>0.3</v>
      </c>
      <c r="X127" s="543">
        <f>+M127/F127</f>
        <v>0.25</v>
      </c>
      <c r="Y127" s="544">
        <f>+S127/F127</f>
        <v>0.375</v>
      </c>
      <c r="Z127" s="543">
        <f>+X127*E127</f>
        <v>0.15</v>
      </c>
      <c r="AA127" s="544">
        <f>+Y127*E127</f>
        <v>0.22499999999999998</v>
      </c>
      <c r="AB127" s="221" t="s">
        <v>43</v>
      </c>
      <c r="AC127" s="892" t="s">
        <v>227</v>
      </c>
      <c r="AD127" s="892" t="s">
        <v>38</v>
      </c>
      <c r="AE127" s="892" t="s">
        <v>39</v>
      </c>
      <c r="AF127" s="494"/>
      <c r="AG127" s="187"/>
      <c r="AH127" s="187"/>
      <c r="AI127" s="187"/>
    </row>
    <row r="128" spans="1:35" ht="90" customHeight="1" thickBot="1" x14ac:dyDescent="0.35">
      <c r="A128" s="331"/>
      <c r="B128" s="1070" t="s">
        <v>290</v>
      </c>
      <c r="C128" s="1070" t="s">
        <v>291</v>
      </c>
      <c r="D128" s="495" t="s">
        <v>287</v>
      </c>
      <c r="E128" s="1259">
        <v>0.2</v>
      </c>
      <c r="F128" s="568">
        <v>1</v>
      </c>
      <c r="G128" s="525">
        <v>0</v>
      </c>
      <c r="H128" s="525">
        <v>0</v>
      </c>
      <c r="I128" s="528"/>
      <c r="J128" s="528"/>
      <c r="K128" s="564"/>
      <c r="L128" s="564"/>
      <c r="M128" s="525"/>
      <c r="N128" s="582"/>
      <c r="O128" s="525"/>
      <c r="P128" s="525"/>
      <c r="Q128" s="525"/>
      <c r="R128" s="525">
        <f t="shared" si="121"/>
        <v>0</v>
      </c>
      <c r="S128" s="525">
        <f t="shared" si="122"/>
        <v>0</v>
      </c>
      <c r="T128" s="564"/>
      <c r="U128" s="564"/>
      <c r="V128" s="564"/>
      <c r="W128" s="564"/>
      <c r="X128" s="543"/>
      <c r="Y128" s="544">
        <v>0</v>
      </c>
      <c r="Z128" s="543"/>
      <c r="AA128" s="544"/>
      <c r="AB128" s="221" t="s">
        <v>43</v>
      </c>
      <c r="AC128" s="892" t="s">
        <v>227</v>
      </c>
      <c r="AD128" s="892" t="s">
        <v>38</v>
      </c>
      <c r="AE128" s="892" t="s">
        <v>39</v>
      </c>
      <c r="AF128" s="494"/>
      <c r="AG128" s="187"/>
      <c r="AH128" s="187"/>
      <c r="AI128" s="187"/>
    </row>
    <row r="129" spans="1:35" ht="75.599999999999994" customHeight="1" thickBot="1" x14ac:dyDescent="0.35">
      <c r="A129" s="331"/>
      <c r="B129" s="1070" t="s">
        <v>292</v>
      </c>
      <c r="C129" s="1070" t="s">
        <v>293</v>
      </c>
      <c r="D129" s="495" t="s">
        <v>287</v>
      </c>
      <c r="E129" s="1259">
        <v>0.1</v>
      </c>
      <c r="F129" s="568">
        <v>1</v>
      </c>
      <c r="G129" s="525">
        <v>0</v>
      </c>
      <c r="H129" s="525">
        <v>0</v>
      </c>
      <c r="I129" s="528"/>
      <c r="J129" s="528"/>
      <c r="K129" s="564"/>
      <c r="L129" s="564"/>
      <c r="M129" s="525"/>
      <c r="N129" s="582"/>
      <c r="O129" s="525"/>
      <c r="P129" s="525"/>
      <c r="Q129" s="525"/>
      <c r="R129" s="525">
        <f t="shared" si="121"/>
        <v>0</v>
      </c>
      <c r="S129" s="525">
        <f t="shared" si="122"/>
        <v>0</v>
      </c>
      <c r="T129" s="564"/>
      <c r="U129" s="564"/>
      <c r="V129" s="564"/>
      <c r="W129" s="564"/>
      <c r="X129" s="543"/>
      <c r="Y129" s="614">
        <v>0</v>
      </c>
      <c r="Z129" s="543"/>
      <c r="AA129" s="544"/>
      <c r="AB129" s="221" t="s">
        <v>43</v>
      </c>
      <c r="AC129" s="892" t="s">
        <v>227</v>
      </c>
      <c r="AD129" s="892" t="s">
        <v>38</v>
      </c>
      <c r="AE129" s="892" t="s">
        <v>39</v>
      </c>
      <c r="AF129" s="494"/>
      <c r="AG129" s="187"/>
      <c r="AH129" s="187"/>
      <c r="AI129" s="187"/>
    </row>
    <row r="130" spans="1:35" ht="147" customHeight="1" thickBot="1" x14ac:dyDescent="0.35">
      <c r="A130" s="331"/>
      <c r="B130" s="1286" t="s">
        <v>294</v>
      </c>
      <c r="C130" s="1285"/>
      <c r="D130" s="494"/>
      <c r="E130" s="529">
        <v>0.2</v>
      </c>
      <c r="F130" s="529">
        <f>+E130*V130</f>
        <v>0.13438738197424893</v>
      </c>
      <c r="G130" s="527"/>
      <c r="H130" s="529">
        <f>E130*W130</f>
        <v>7.2778533220161187E-2</v>
      </c>
      <c r="I130" s="519">
        <f>+(I131+I140+I143+I148+I153+I160+I166)/6</f>
        <v>0.3193759495300631</v>
      </c>
      <c r="J130" s="565">
        <f>+(J131+J140+J143+J148+J153+J160+J166)/7</f>
        <v>0.34638669838232705</v>
      </c>
      <c r="K130" s="566">
        <f>+(K131+K140+K143+K148+K153+K160+K166)/6</f>
        <v>0.17451004248744692</v>
      </c>
      <c r="L130" s="567">
        <f>+(L131+L140+L143+L148+L153+L160+L166)/7</f>
        <v>0.31558347607692649</v>
      </c>
      <c r="M130" s="527"/>
      <c r="N130" s="750"/>
      <c r="O130" s="527"/>
      <c r="P130" s="527"/>
      <c r="Q130" s="527"/>
      <c r="R130" s="527"/>
      <c r="S130" s="527"/>
      <c r="T130" s="519">
        <f>+(T131+T140+T143+T148+T153+T160+T166)/6</f>
        <v>0.73629960790547333</v>
      </c>
      <c r="U130" s="565">
        <f>+(U131+U140+U143+U148+U153+U160+U166)/7</f>
        <v>0.38626405715864992</v>
      </c>
      <c r="V130" s="566">
        <f>+V131+V140+V143+V148+V153+V160+V166</f>
        <v>0.67193690987124466</v>
      </c>
      <c r="W130" s="567">
        <f>+W131+W140+W143+W148+W153+W160+W166</f>
        <v>0.36389266610080589</v>
      </c>
      <c r="X130" s="605">
        <f>+(X131+X140+X143+X148+X153+X160+X166)/6</f>
        <v>0.24621230380461609</v>
      </c>
      <c r="Y130" s="619">
        <f>+(Y131+Y140+Y143+Y148+Y153+Y160+Y166)/7</f>
        <v>0.29663032039737786</v>
      </c>
      <c r="Z130" s="618">
        <f>+Z131+Z140+Z143+Z148+Z153+Z160+Z166</f>
        <v>0.18458001541682623</v>
      </c>
      <c r="AA130" s="777">
        <f>+(AA131*E131)+(AA140*E140)+(AA143*E143)+(AA148*E148)+(AA153*E153)+(AA160*E160)+(AA166*E166)</f>
        <v>0.28079297278084014</v>
      </c>
      <c r="AB130" s="228"/>
      <c r="AC130" s="228"/>
      <c r="AD130" s="494"/>
      <c r="AE130" s="494"/>
      <c r="AF130" s="494"/>
      <c r="AG130" s="187"/>
      <c r="AH130" s="187"/>
      <c r="AI130" s="187"/>
    </row>
    <row r="131" spans="1:35" ht="86.25" customHeight="1" thickBot="1" x14ac:dyDescent="0.35">
      <c r="A131" s="331"/>
      <c r="B131" s="1284" t="s">
        <v>295</v>
      </c>
      <c r="C131" s="1285"/>
      <c r="D131" s="1258"/>
      <c r="E131" s="522">
        <v>0.2</v>
      </c>
      <c r="F131" s="527"/>
      <c r="G131" s="525"/>
      <c r="H131" s="525"/>
      <c r="I131" s="524">
        <f>+AVERAGE(I132:I139)</f>
        <v>0.33333333333333331</v>
      </c>
      <c r="J131" s="524">
        <f>+AVERAGE(J132:J139)</f>
        <v>0.3</v>
      </c>
      <c r="K131" s="524">
        <f>+K132+K133+K134+K135+K136+K137+K138+K139</f>
        <v>0.21750000000000003</v>
      </c>
      <c r="L131" s="524">
        <f>+L132+L133+L134+L135+L136+L137+L138+L139</f>
        <v>0.21250000000000002</v>
      </c>
      <c r="M131" s="527"/>
      <c r="N131" s="527"/>
      <c r="O131" s="527"/>
      <c r="P131" s="527"/>
      <c r="Q131" s="527"/>
      <c r="R131" s="527"/>
      <c r="S131" s="527"/>
      <c r="T131" s="579">
        <f>+AVERAGE(T132:T139)</f>
        <v>0.60613098076617389</v>
      </c>
      <c r="U131" s="579">
        <f>+AVERAGE(U132:U139)</f>
        <v>0.29081774420565043</v>
      </c>
      <c r="V131" s="575">
        <f>+(V132+V133+V134+V135+V136+V137+V138+V139)*E131</f>
        <v>9.023690987124465E-2</v>
      </c>
      <c r="W131" s="575">
        <f>+(W132+W133+W134+W135+W136+W137+W138+W139)*E131</f>
        <v>4.3280527290350417E-2</v>
      </c>
      <c r="X131" s="539">
        <f>+AVERAGE(X132:X139)</f>
        <v>0.22653274519154346</v>
      </c>
      <c r="Y131" s="611">
        <f>+AVERAGE(Y132:Y139)</f>
        <v>0.33444201468746987</v>
      </c>
      <c r="Z131" s="539">
        <f>+(Z132+Z133+Z134+Z135+Z136+Z137+Z138+Z139)*E131</f>
        <v>3.155922746781116E-2</v>
      </c>
      <c r="AA131" s="599">
        <f>+(AA132+AA133+AA134+AA135+AA136+AA137+AA138+AA139)</f>
        <v>0.24358114655205626</v>
      </c>
      <c r="AB131" s="215"/>
      <c r="AC131" s="494"/>
      <c r="AD131" s="494"/>
      <c r="AE131" s="494"/>
      <c r="AF131" s="494"/>
      <c r="AG131" s="187"/>
      <c r="AH131" s="187"/>
      <c r="AI131" s="187"/>
    </row>
    <row r="132" spans="1:35" ht="72.599999999999994" customHeight="1" thickBot="1" x14ac:dyDescent="0.35">
      <c r="A132" s="331"/>
      <c r="B132" s="1070" t="s">
        <v>296</v>
      </c>
      <c r="C132" s="1070" t="s">
        <v>297</v>
      </c>
      <c r="D132" s="495" t="s">
        <v>103</v>
      </c>
      <c r="E132" s="1259">
        <v>0.15</v>
      </c>
      <c r="F132" s="568">
        <v>16776</v>
      </c>
      <c r="G132" s="525">
        <v>4194</v>
      </c>
      <c r="H132" s="525">
        <v>4194</v>
      </c>
      <c r="I132" s="528">
        <f t="shared" ref="I132:I139" si="125">+G132/F132</f>
        <v>0.25</v>
      </c>
      <c r="J132" s="528">
        <f t="shared" ref="J132:J170" si="126">+H132/F132</f>
        <v>0.25</v>
      </c>
      <c r="K132" s="528">
        <f t="shared" ref="K132:K139" si="127">+(G132/F132)*E132</f>
        <v>3.7499999999999999E-2</v>
      </c>
      <c r="L132" s="528">
        <f t="shared" ref="L132:L170" si="128">+(H132/F132)*E132</f>
        <v>3.7499999999999999E-2</v>
      </c>
      <c r="M132" s="525">
        <v>3146</v>
      </c>
      <c r="N132" s="582">
        <v>2976</v>
      </c>
      <c r="O132" s="577">
        <v>3032</v>
      </c>
      <c r="P132" s="525"/>
      <c r="Q132" s="525"/>
      <c r="R132" s="525">
        <f t="shared" ref="R132:R170" si="129">+N132+O132+P132+Q132</f>
        <v>6008</v>
      </c>
      <c r="S132" s="525">
        <f>+M132+R132</f>
        <v>9154</v>
      </c>
      <c r="T132" s="528">
        <f>+(M132/G132)</f>
        <v>0.75011921793037672</v>
      </c>
      <c r="U132" s="831">
        <f>+((N132/H132)*0.25)+((O132/H132)*0.25)</f>
        <v>0.35813066285169293</v>
      </c>
      <c r="V132" s="528">
        <f t="shared" ref="V132:V139" si="130">+T132*E132</f>
        <v>0.11251788268955651</v>
      </c>
      <c r="W132" s="528">
        <f>+U132*E132</f>
        <v>5.3719599427753936E-2</v>
      </c>
      <c r="X132" s="543">
        <f>+M132/F132</f>
        <v>0.18752980448259418</v>
      </c>
      <c r="Y132" s="615">
        <f>+((M132/4194)*0.25) + ((O132/4194)*0.25)</f>
        <v>0.36826418693371482</v>
      </c>
      <c r="Z132" s="543">
        <f>+X132*E132</f>
        <v>2.8129470672389127E-2</v>
      </c>
      <c r="AA132" s="544">
        <f>+Y132*E132</f>
        <v>5.523962804005722E-2</v>
      </c>
      <c r="AB132" s="221" t="s">
        <v>43</v>
      </c>
      <c r="AC132" s="739" t="s">
        <v>298</v>
      </c>
      <c r="AD132" s="892" t="s">
        <v>38</v>
      </c>
      <c r="AE132" s="892" t="s">
        <v>39</v>
      </c>
      <c r="AF132" s="494"/>
      <c r="AG132" s="187"/>
      <c r="AH132" s="187"/>
      <c r="AI132" s="187"/>
    </row>
    <row r="133" spans="1:35" ht="72.599999999999994" customHeight="1" thickBot="1" x14ac:dyDescent="0.35">
      <c r="A133" s="331"/>
      <c r="B133" s="1070" t="s">
        <v>299</v>
      </c>
      <c r="C133" s="1070" t="s">
        <v>300</v>
      </c>
      <c r="D133" s="495" t="s">
        <v>103</v>
      </c>
      <c r="E133" s="1259">
        <v>0.15</v>
      </c>
      <c r="F133" s="568">
        <v>22724</v>
      </c>
      <c r="G133" s="525">
        <v>5681</v>
      </c>
      <c r="H133" s="525">
        <v>5681</v>
      </c>
      <c r="I133" s="528">
        <f t="shared" si="125"/>
        <v>0.25</v>
      </c>
      <c r="J133" s="528">
        <f t="shared" si="126"/>
        <v>0.25</v>
      </c>
      <c r="K133" s="528">
        <f t="shared" si="127"/>
        <v>3.7499999999999999E-2</v>
      </c>
      <c r="L133" s="528">
        <f t="shared" si="128"/>
        <v>3.7499999999999999E-2</v>
      </c>
      <c r="M133" s="525">
        <v>5681</v>
      </c>
      <c r="N133" s="582">
        <v>5455</v>
      </c>
      <c r="O133" s="577">
        <v>5455</v>
      </c>
      <c r="P133" s="525"/>
      <c r="Q133" s="525"/>
      <c r="R133" s="525">
        <f t="shared" si="129"/>
        <v>10910</v>
      </c>
      <c r="S133" s="525">
        <f t="shared" ref="S133:S170" si="131">+R133+M133</f>
        <v>16591</v>
      </c>
      <c r="T133" s="528">
        <f t="shared" ref="T133:T139" si="132">+(M133/G133)</f>
        <v>1</v>
      </c>
      <c r="U133" s="831">
        <f>+((N133/H133)*0.25)+((O133/H133)*0.25)</f>
        <v>0.48010913571554303</v>
      </c>
      <c r="V133" s="528">
        <f t="shared" si="130"/>
        <v>0.15</v>
      </c>
      <c r="W133" s="528">
        <f t="shared" ref="W133:W141" si="133">+U133*E133</f>
        <v>7.2016370357331452E-2</v>
      </c>
      <c r="X133" s="543">
        <f t="shared" ref="X133:X139" si="134">+M133/F133</f>
        <v>0.25</v>
      </c>
      <c r="Y133" s="607">
        <f>+X133+((O133/H133)*0.25)</f>
        <v>0.49005456785777152</v>
      </c>
      <c r="Z133" s="543">
        <f t="shared" ref="Z133:Z139" si="135">+X133*E133</f>
        <v>3.7499999999999999E-2</v>
      </c>
      <c r="AA133" s="544">
        <f>+Y133*E133</f>
        <v>7.3508185178665725E-2</v>
      </c>
      <c r="AB133" s="221" t="s">
        <v>43</v>
      </c>
      <c r="AC133" s="739" t="s">
        <v>298</v>
      </c>
      <c r="AD133" s="892" t="s">
        <v>38</v>
      </c>
      <c r="AE133" s="892" t="s">
        <v>39</v>
      </c>
      <c r="AF133" s="494"/>
      <c r="AG133" s="187"/>
      <c r="AH133" s="187"/>
      <c r="AI133" s="187"/>
    </row>
    <row r="134" spans="1:35" ht="72.599999999999994" customHeight="1" thickBot="1" x14ac:dyDescent="0.35">
      <c r="A134" s="331"/>
      <c r="B134" s="1070" t="s">
        <v>301</v>
      </c>
      <c r="C134" s="1070" t="s">
        <v>302</v>
      </c>
      <c r="D134" s="495" t="s">
        <v>103</v>
      </c>
      <c r="E134" s="1259">
        <v>0.1</v>
      </c>
      <c r="F134" s="568">
        <f>150*4</f>
        <v>600</v>
      </c>
      <c r="G134" s="525">
        <v>150</v>
      </c>
      <c r="H134" s="525">
        <v>150</v>
      </c>
      <c r="I134" s="528">
        <f t="shared" si="125"/>
        <v>0.25</v>
      </c>
      <c r="J134" s="528">
        <f t="shared" si="126"/>
        <v>0.25</v>
      </c>
      <c r="K134" s="528">
        <f t="shared" si="127"/>
        <v>2.5000000000000001E-2</v>
      </c>
      <c r="L134" s="528">
        <f t="shared" si="128"/>
        <v>2.5000000000000001E-2</v>
      </c>
      <c r="M134" s="525">
        <v>133</v>
      </c>
      <c r="N134" s="1126"/>
      <c r="O134" s="577">
        <v>136</v>
      </c>
      <c r="P134" s="525"/>
      <c r="Q134" s="525"/>
      <c r="R134" s="525">
        <f t="shared" si="129"/>
        <v>136</v>
      </c>
      <c r="S134" s="525">
        <f t="shared" si="131"/>
        <v>269</v>
      </c>
      <c r="T134" s="528">
        <f t="shared" si="132"/>
        <v>0.88666666666666671</v>
      </c>
      <c r="U134" s="528">
        <f>+R134/H134</f>
        <v>0.90666666666666662</v>
      </c>
      <c r="V134" s="528">
        <f t="shared" si="130"/>
        <v>8.8666666666666671E-2</v>
      </c>
      <c r="W134" s="528">
        <f t="shared" si="133"/>
        <v>9.0666666666666673E-2</v>
      </c>
      <c r="X134" s="543">
        <f t="shared" si="134"/>
        <v>0.22166666666666668</v>
      </c>
      <c r="Y134" s="607">
        <f t="shared" ref="Y134:Y170" si="136">+S134/F134</f>
        <v>0.44833333333333331</v>
      </c>
      <c r="Z134" s="543">
        <f t="shared" si="135"/>
        <v>2.2166666666666668E-2</v>
      </c>
      <c r="AA134" s="544">
        <f>+Y134*E134</f>
        <v>4.4833333333333336E-2</v>
      </c>
      <c r="AB134" s="221" t="s">
        <v>43</v>
      </c>
      <c r="AC134" s="892" t="s">
        <v>227</v>
      </c>
      <c r="AD134" s="892" t="s">
        <v>38</v>
      </c>
      <c r="AE134" s="892" t="s">
        <v>39</v>
      </c>
      <c r="AF134" s="494"/>
      <c r="AG134" s="187"/>
      <c r="AH134" s="187"/>
      <c r="AI134" s="187"/>
    </row>
    <row r="135" spans="1:35" ht="74.45" customHeight="1" thickBot="1" x14ac:dyDescent="0.35">
      <c r="A135" s="331"/>
      <c r="B135" s="1070" t="s">
        <v>303</v>
      </c>
      <c r="C135" s="1070" t="s">
        <v>304</v>
      </c>
      <c r="D135" s="495" t="s">
        <v>103</v>
      </c>
      <c r="E135" s="1259">
        <v>0.25</v>
      </c>
      <c r="F135" s="568">
        <v>4</v>
      </c>
      <c r="G135" s="525">
        <v>1</v>
      </c>
      <c r="H135" s="525">
        <v>1</v>
      </c>
      <c r="I135" s="528">
        <f t="shared" si="125"/>
        <v>0.25</v>
      </c>
      <c r="J135" s="528">
        <f t="shared" si="126"/>
        <v>0.25</v>
      </c>
      <c r="K135" s="528">
        <f t="shared" si="127"/>
        <v>6.25E-2</v>
      </c>
      <c r="L135" s="528">
        <f t="shared" si="128"/>
        <v>6.25E-2</v>
      </c>
      <c r="M135" s="525">
        <v>0</v>
      </c>
      <c r="N135" s="582">
        <v>0</v>
      </c>
      <c r="O135" s="525">
        <v>0</v>
      </c>
      <c r="P135" s="525"/>
      <c r="Q135" s="525"/>
      <c r="R135" s="525">
        <f t="shared" si="129"/>
        <v>0</v>
      </c>
      <c r="S135" s="525">
        <f t="shared" si="131"/>
        <v>0</v>
      </c>
      <c r="T135" s="528">
        <f t="shared" si="132"/>
        <v>0</v>
      </c>
      <c r="U135" s="528">
        <f t="shared" ref="U135:U151" si="137">+R135/H135</f>
        <v>0</v>
      </c>
      <c r="V135" s="528">
        <f t="shared" si="130"/>
        <v>0</v>
      </c>
      <c r="W135" s="528">
        <f t="shared" si="133"/>
        <v>0</v>
      </c>
      <c r="X135" s="543">
        <f t="shared" si="134"/>
        <v>0</v>
      </c>
      <c r="Y135" s="544">
        <f t="shared" si="136"/>
        <v>0</v>
      </c>
      <c r="Z135" s="543">
        <f t="shared" si="135"/>
        <v>0</v>
      </c>
      <c r="AA135" s="544">
        <f>+Y135*E135</f>
        <v>0</v>
      </c>
      <c r="AB135" s="221" t="s">
        <v>43</v>
      </c>
      <c r="AC135" s="892" t="s">
        <v>227</v>
      </c>
      <c r="AD135" s="892" t="s">
        <v>38</v>
      </c>
      <c r="AE135" s="892" t="s">
        <v>39</v>
      </c>
      <c r="AF135" s="494"/>
      <c r="AG135" s="187"/>
      <c r="AH135" s="187"/>
      <c r="AI135" s="187"/>
    </row>
    <row r="136" spans="1:35" ht="82.9" customHeight="1" thickBot="1" x14ac:dyDescent="0.35">
      <c r="A136" s="331"/>
      <c r="B136" s="1070" t="s">
        <v>305</v>
      </c>
      <c r="C136" s="1070" t="s">
        <v>306</v>
      </c>
      <c r="D136" s="495" t="s">
        <v>103</v>
      </c>
      <c r="E136" s="1259">
        <v>0.2</v>
      </c>
      <c r="F136" s="568">
        <v>1</v>
      </c>
      <c r="G136" s="525">
        <v>0</v>
      </c>
      <c r="H136" s="525">
        <v>0</v>
      </c>
      <c r="I136" s="528"/>
      <c r="J136" s="528"/>
      <c r="K136" s="528"/>
      <c r="L136" s="528"/>
      <c r="M136" s="525"/>
      <c r="N136" s="582"/>
      <c r="O136" s="525"/>
      <c r="P136" s="525"/>
      <c r="Q136" s="525"/>
      <c r="R136" s="525">
        <f t="shared" si="129"/>
        <v>0</v>
      </c>
      <c r="S136" s="525">
        <f t="shared" si="131"/>
        <v>0</v>
      </c>
      <c r="T136" s="528"/>
      <c r="U136" s="528"/>
      <c r="V136" s="528"/>
      <c r="W136" s="528"/>
      <c r="X136" s="543"/>
      <c r="Y136" s="544"/>
      <c r="Z136" s="543">
        <v>0</v>
      </c>
      <c r="AA136" s="544">
        <v>0</v>
      </c>
      <c r="AB136" s="221" t="s">
        <v>43</v>
      </c>
      <c r="AC136" s="892" t="s">
        <v>227</v>
      </c>
      <c r="AD136" s="892" t="s">
        <v>38</v>
      </c>
      <c r="AE136" s="892" t="s">
        <v>39</v>
      </c>
      <c r="AF136" s="494"/>
      <c r="AG136" s="187"/>
      <c r="AH136" s="187"/>
      <c r="AI136" s="187"/>
    </row>
    <row r="137" spans="1:35" ht="80.45" customHeight="1" thickBot="1" x14ac:dyDescent="0.35">
      <c r="A137" s="331"/>
      <c r="B137" s="1070" t="s">
        <v>307</v>
      </c>
      <c r="C137" s="1070" t="s">
        <v>308</v>
      </c>
      <c r="D137" s="495" t="s">
        <v>103</v>
      </c>
      <c r="E137" s="1259">
        <v>0.1</v>
      </c>
      <c r="F137" s="568">
        <v>10</v>
      </c>
      <c r="G137" s="525">
        <v>4</v>
      </c>
      <c r="H137" s="525">
        <v>4</v>
      </c>
      <c r="I137" s="528">
        <f t="shared" si="125"/>
        <v>0.4</v>
      </c>
      <c r="J137" s="528">
        <f t="shared" si="126"/>
        <v>0.4</v>
      </c>
      <c r="K137" s="528">
        <f t="shared" si="127"/>
        <v>4.0000000000000008E-2</v>
      </c>
      <c r="L137" s="528">
        <f t="shared" si="128"/>
        <v>4.0000000000000008E-2</v>
      </c>
      <c r="M137" s="525">
        <v>7</v>
      </c>
      <c r="N137" s="582">
        <v>0</v>
      </c>
      <c r="O137" s="525">
        <v>0</v>
      </c>
      <c r="P137" s="525"/>
      <c r="Q137" s="525"/>
      <c r="R137" s="525">
        <f t="shared" si="129"/>
        <v>0</v>
      </c>
      <c r="S137" s="525">
        <f t="shared" si="131"/>
        <v>7</v>
      </c>
      <c r="T137" s="528">
        <v>1</v>
      </c>
      <c r="U137" s="528">
        <f t="shared" si="137"/>
        <v>0</v>
      </c>
      <c r="V137" s="528">
        <f t="shared" si="130"/>
        <v>0.1</v>
      </c>
      <c r="W137" s="528">
        <f t="shared" si="133"/>
        <v>0</v>
      </c>
      <c r="X137" s="543">
        <f t="shared" si="134"/>
        <v>0.7</v>
      </c>
      <c r="Y137" s="544">
        <f t="shared" si="136"/>
        <v>0.7</v>
      </c>
      <c r="Z137" s="543">
        <f t="shared" si="135"/>
        <v>6.9999999999999993E-2</v>
      </c>
      <c r="AA137" s="544">
        <f>+Y137*E137</f>
        <v>6.9999999999999993E-2</v>
      </c>
      <c r="AB137" s="221" t="s">
        <v>43</v>
      </c>
      <c r="AC137" s="892" t="s">
        <v>227</v>
      </c>
      <c r="AD137" s="892" t="s">
        <v>38</v>
      </c>
      <c r="AE137" s="892" t="s">
        <v>39</v>
      </c>
      <c r="AF137" s="494"/>
      <c r="AG137" s="187"/>
      <c r="AH137" s="187"/>
      <c r="AI137" s="187"/>
    </row>
    <row r="138" spans="1:35" ht="93.6" customHeight="1" thickBot="1" x14ac:dyDescent="0.35">
      <c r="A138" s="331"/>
      <c r="B138" s="1070" t="s">
        <v>309</v>
      </c>
      <c r="C138" s="1070" t="s">
        <v>310</v>
      </c>
      <c r="D138" s="495" t="s">
        <v>103</v>
      </c>
      <c r="E138" s="1259">
        <v>2.5000000000000001E-2</v>
      </c>
      <c r="F138" s="568">
        <v>1</v>
      </c>
      <c r="G138" s="525">
        <v>0</v>
      </c>
      <c r="H138" s="525">
        <v>0</v>
      </c>
      <c r="I138" s="528"/>
      <c r="J138" s="528"/>
      <c r="K138" s="528"/>
      <c r="L138" s="528"/>
      <c r="M138" s="525"/>
      <c r="N138" s="582"/>
      <c r="O138" s="525"/>
      <c r="P138" s="525"/>
      <c r="Q138" s="525"/>
      <c r="R138" s="525"/>
      <c r="S138" s="525"/>
      <c r="T138" s="528"/>
      <c r="U138" s="528"/>
      <c r="V138" s="528"/>
      <c r="W138" s="528"/>
      <c r="X138" s="543"/>
      <c r="Y138" s="544"/>
      <c r="Z138" s="543">
        <v>0</v>
      </c>
      <c r="AA138" s="544">
        <v>0</v>
      </c>
      <c r="AB138" s="221" t="s">
        <v>43</v>
      </c>
      <c r="AC138" s="892" t="s">
        <v>227</v>
      </c>
      <c r="AD138" s="892" t="s">
        <v>38</v>
      </c>
      <c r="AE138" s="892" t="s">
        <v>39</v>
      </c>
      <c r="AF138" s="494"/>
      <c r="AG138" s="187"/>
      <c r="AH138" s="187"/>
      <c r="AI138" s="187"/>
    </row>
    <row r="139" spans="1:35" ht="91.15" customHeight="1" thickBot="1" x14ac:dyDescent="0.35">
      <c r="A139" s="331"/>
      <c r="B139" s="1070" t="s">
        <v>311</v>
      </c>
      <c r="C139" s="1070" t="s">
        <v>312</v>
      </c>
      <c r="D139" s="495" t="s">
        <v>103</v>
      </c>
      <c r="E139" s="1259">
        <v>2.5000000000000001E-2</v>
      </c>
      <c r="F139" s="568">
        <v>1</v>
      </c>
      <c r="G139" s="525">
        <v>0.6</v>
      </c>
      <c r="H139" s="525">
        <v>0.4</v>
      </c>
      <c r="I139" s="528">
        <f t="shared" si="125"/>
        <v>0.6</v>
      </c>
      <c r="J139" s="528">
        <f t="shared" si="126"/>
        <v>0.4</v>
      </c>
      <c r="K139" s="528">
        <f t="shared" si="127"/>
        <v>1.4999999999999999E-2</v>
      </c>
      <c r="L139" s="528">
        <f t="shared" si="128"/>
        <v>1.0000000000000002E-2</v>
      </c>
      <c r="M139" s="525">
        <v>0</v>
      </c>
      <c r="N139" s="582">
        <v>0</v>
      </c>
      <c r="O139" s="525">
        <v>0</v>
      </c>
      <c r="P139" s="525"/>
      <c r="Q139" s="525"/>
      <c r="R139" s="525">
        <f t="shared" si="129"/>
        <v>0</v>
      </c>
      <c r="S139" s="525">
        <f t="shared" si="131"/>
        <v>0</v>
      </c>
      <c r="T139" s="528">
        <f t="shared" si="132"/>
        <v>0</v>
      </c>
      <c r="U139" s="528">
        <f t="shared" si="137"/>
        <v>0</v>
      </c>
      <c r="V139" s="528">
        <f t="shared" si="130"/>
        <v>0</v>
      </c>
      <c r="W139" s="528">
        <f t="shared" si="133"/>
        <v>0</v>
      </c>
      <c r="X139" s="543">
        <f t="shared" si="134"/>
        <v>0</v>
      </c>
      <c r="Y139" s="614">
        <f t="shared" si="136"/>
        <v>0</v>
      </c>
      <c r="Z139" s="543">
        <f t="shared" si="135"/>
        <v>0</v>
      </c>
      <c r="AA139" s="544">
        <f>+Y139*E139</f>
        <v>0</v>
      </c>
      <c r="AB139" s="221" t="s">
        <v>43</v>
      </c>
      <c r="AC139" s="892" t="s">
        <v>227</v>
      </c>
      <c r="AD139" s="892" t="s">
        <v>38</v>
      </c>
      <c r="AE139" s="892" t="s">
        <v>39</v>
      </c>
      <c r="AF139" s="494"/>
      <c r="AG139" s="187"/>
      <c r="AH139" s="187"/>
      <c r="AI139" s="187"/>
    </row>
    <row r="140" spans="1:35" ht="114.75" customHeight="1" thickBot="1" x14ac:dyDescent="0.35">
      <c r="A140" s="331"/>
      <c r="B140" s="1284" t="s">
        <v>313</v>
      </c>
      <c r="C140" s="1285"/>
      <c r="D140" s="1258"/>
      <c r="E140" s="522">
        <v>0.2</v>
      </c>
      <c r="F140" s="527"/>
      <c r="G140" s="527"/>
      <c r="H140" s="527"/>
      <c r="I140" s="524">
        <f>+AVERAGE(I141:I142)</f>
        <v>0.23392236384704518</v>
      </c>
      <c r="J140" s="524">
        <f>+AVERAGE(J141:J142)</f>
        <v>0.25535921205098494</v>
      </c>
      <c r="K140" s="524">
        <f>+K141+K142</f>
        <v>0.22106025492468134</v>
      </c>
      <c r="L140" s="524">
        <f>+L141+L142</f>
        <v>0.2596465816917729</v>
      </c>
      <c r="M140" s="527"/>
      <c r="N140" s="527"/>
      <c r="O140" s="527"/>
      <c r="P140" s="527"/>
      <c r="Q140" s="527"/>
      <c r="R140" s="525"/>
      <c r="S140" s="525"/>
      <c r="T140" s="579">
        <f>+AVERAGE(T141:T142)</f>
        <v>0.5</v>
      </c>
      <c r="U140" s="579">
        <f>+AVERAGE(U141:U142)</f>
        <v>0.19333333333333333</v>
      </c>
      <c r="V140" s="579">
        <f>+(V141+V142)*E140</f>
        <v>0.18000000000000002</v>
      </c>
      <c r="W140" s="579">
        <f>+(W141+W142)*E140</f>
        <v>6.9599999999999995E-2</v>
      </c>
      <c r="X140" s="539">
        <f>+AVERAGE(X141:X142)</f>
        <v>0.13789107763615296</v>
      </c>
      <c r="Y140" s="611">
        <f>+AVERAGE(Y141:Y142)</f>
        <v>0.18829663962920046</v>
      </c>
      <c r="Z140" s="539">
        <f>+(Z141+Z142)*E140</f>
        <v>4.9640787949015074E-2</v>
      </c>
      <c r="AA140" s="599">
        <f>+(AA141+AA142)</f>
        <v>0.33893395133256082</v>
      </c>
      <c r="AB140" s="215"/>
      <c r="AC140" s="494"/>
      <c r="AD140" s="494"/>
      <c r="AE140" s="494"/>
      <c r="AF140" s="494"/>
      <c r="AG140" s="187"/>
      <c r="AH140" s="187"/>
      <c r="AI140" s="187"/>
    </row>
    <row r="141" spans="1:35" ht="120" customHeight="1" thickBot="1" x14ac:dyDescent="0.35">
      <c r="A141" s="331"/>
      <c r="B141" s="1070" t="s">
        <v>314</v>
      </c>
      <c r="C141" s="1070" t="s">
        <v>315</v>
      </c>
      <c r="D141" s="495" t="s">
        <v>103</v>
      </c>
      <c r="E141" s="1259">
        <v>0.9</v>
      </c>
      <c r="F141" s="568">
        <v>3452</v>
      </c>
      <c r="G141" s="525">
        <v>752</v>
      </c>
      <c r="H141" s="525">
        <v>900</v>
      </c>
      <c r="I141" s="528">
        <f>+G141/F141</f>
        <v>0.21784472769409038</v>
      </c>
      <c r="J141" s="528">
        <f t="shared" si="126"/>
        <v>0.26071842410196988</v>
      </c>
      <c r="K141" s="528">
        <f>+(G141/F141)*E141</f>
        <v>0.19606025492468135</v>
      </c>
      <c r="L141" s="528">
        <f t="shared" si="128"/>
        <v>0.23464658169177291</v>
      </c>
      <c r="M141" s="525">
        <v>952</v>
      </c>
      <c r="N141" s="582">
        <v>0</v>
      </c>
      <c r="O141" s="525">
        <v>348</v>
      </c>
      <c r="P141" s="525"/>
      <c r="Q141" s="525"/>
      <c r="R141" s="525">
        <f t="shared" si="129"/>
        <v>348</v>
      </c>
      <c r="S141" s="525">
        <f t="shared" si="131"/>
        <v>1300</v>
      </c>
      <c r="T141" s="528">
        <v>1</v>
      </c>
      <c r="U141" s="556">
        <f t="shared" si="137"/>
        <v>0.38666666666666666</v>
      </c>
      <c r="V141" s="556">
        <f>+T141*E141</f>
        <v>0.9</v>
      </c>
      <c r="W141" s="556">
        <f t="shared" si="133"/>
        <v>0.34799999999999998</v>
      </c>
      <c r="X141" s="606">
        <f>+M141/F141</f>
        <v>0.27578215527230593</v>
      </c>
      <c r="Y141" s="615">
        <f t="shared" si="136"/>
        <v>0.37659327925840091</v>
      </c>
      <c r="Z141" s="606">
        <f>+X141*E141</f>
        <v>0.24820393974507535</v>
      </c>
      <c r="AA141" s="607">
        <f>+Y141*E141</f>
        <v>0.33893395133256082</v>
      </c>
      <c r="AB141" s="221" t="s">
        <v>43</v>
      </c>
      <c r="AC141" s="892" t="s">
        <v>227</v>
      </c>
      <c r="AD141" s="892" t="s">
        <v>38</v>
      </c>
      <c r="AE141" s="892" t="s">
        <v>39</v>
      </c>
      <c r="AF141" s="494"/>
      <c r="AG141" s="187"/>
      <c r="AH141" s="187"/>
      <c r="AI141" s="187"/>
    </row>
    <row r="142" spans="1:35" ht="102" customHeight="1" thickBot="1" x14ac:dyDescent="0.35">
      <c r="A142" s="331"/>
      <c r="B142" s="1070" t="s">
        <v>316</v>
      </c>
      <c r="C142" s="1070" t="s">
        <v>317</v>
      </c>
      <c r="D142" s="495" t="s">
        <v>103</v>
      </c>
      <c r="E142" s="1259">
        <v>0.1</v>
      </c>
      <c r="F142" s="568">
        <v>4</v>
      </c>
      <c r="G142" s="525">
        <v>1</v>
      </c>
      <c r="H142" s="525">
        <v>1</v>
      </c>
      <c r="I142" s="528">
        <f>+G142/F142</f>
        <v>0.25</v>
      </c>
      <c r="J142" s="528">
        <f t="shared" si="126"/>
        <v>0.25</v>
      </c>
      <c r="K142" s="528">
        <f>+(G142/F142)*E142</f>
        <v>2.5000000000000001E-2</v>
      </c>
      <c r="L142" s="528">
        <f t="shared" si="128"/>
        <v>2.5000000000000001E-2</v>
      </c>
      <c r="M142" s="525">
        <v>0</v>
      </c>
      <c r="N142" s="582">
        <v>0</v>
      </c>
      <c r="O142" s="525">
        <v>0</v>
      </c>
      <c r="P142" s="525"/>
      <c r="Q142" s="525"/>
      <c r="R142" s="525">
        <f t="shared" si="129"/>
        <v>0</v>
      </c>
      <c r="S142" s="525">
        <f t="shared" si="131"/>
        <v>0</v>
      </c>
      <c r="T142" s="528">
        <f>+(M142/G142)</f>
        <v>0</v>
      </c>
      <c r="U142" s="556">
        <f t="shared" si="137"/>
        <v>0</v>
      </c>
      <c r="V142" s="556">
        <f>+T142*E142</f>
        <v>0</v>
      </c>
      <c r="W142" s="556">
        <f>+U142*E142</f>
        <v>0</v>
      </c>
      <c r="X142" s="606">
        <f>+M142/F142</f>
        <v>0</v>
      </c>
      <c r="Y142" s="609">
        <f t="shared" si="136"/>
        <v>0</v>
      </c>
      <c r="Z142" s="606">
        <f>+X142*E142</f>
        <v>0</v>
      </c>
      <c r="AA142" s="607">
        <f>+Y142*E142</f>
        <v>0</v>
      </c>
      <c r="AB142" s="221" t="s">
        <v>43</v>
      </c>
      <c r="AC142" s="892" t="s">
        <v>227</v>
      </c>
      <c r="AD142" s="892" t="s">
        <v>38</v>
      </c>
      <c r="AE142" s="892" t="s">
        <v>39</v>
      </c>
      <c r="AF142" s="494"/>
      <c r="AG142" s="187"/>
      <c r="AH142" s="187"/>
      <c r="AI142" s="187"/>
    </row>
    <row r="143" spans="1:35" ht="72" customHeight="1" thickBot="1" x14ac:dyDescent="0.35">
      <c r="A143" s="331"/>
      <c r="B143" s="1284" t="s">
        <v>318</v>
      </c>
      <c r="C143" s="1285"/>
      <c r="D143" s="1258"/>
      <c r="E143" s="522">
        <v>0.1</v>
      </c>
      <c r="F143" s="568"/>
      <c r="G143" s="527"/>
      <c r="H143" s="527"/>
      <c r="I143" s="524">
        <f>+AVERAGE(I144:I147)</f>
        <v>0.25</v>
      </c>
      <c r="J143" s="524">
        <f>+AVERAGE(J144:J147)</f>
        <v>0.27083333333333337</v>
      </c>
      <c r="K143" s="524">
        <f>+K144+K145+K146+K147</f>
        <v>0.25</v>
      </c>
      <c r="L143" s="524">
        <f>+L144+L145+L146+L147</f>
        <v>0.28000000000000003</v>
      </c>
      <c r="M143" s="527"/>
      <c r="N143" s="527"/>
      <c r="O143" s="527"/>
      <c r="P143" s="527"/>
      <c r="Q143" s="527"/>
      <c r="R143" s="527"/>
      <c r="S143" s="527"/>
      <c r="T143" s="579">
        <f>+AVERAGE(T144:T147)</f>
        <v>0.81166666666666665</v>
      </c>
      <c r="U143" s="579">
        <f>+AVERAGE(U144:U147)</f>
        <v>0.19117647058823528</v>
      </c>
      <c r="V143" s="579">
        <f>+(V144+V145+V146+V147)*E143</f>
        <v>7.9200000000000007E-2</v>
      </c>
      <c r="W143" s="579">
        <f>+(W144+W145+W146+W147)*E143</f>
        <v>2.2941176470588232E-2</v>
      </c>
      <c r="X143" s="539">
        <f>+AVERAGE(X144:X147)</f>
        <v>0.20291666666666666</v>
      </c>
      <c r="Y143" s="611">
        <f>+AVERAGE(Y144:Y147)</f>
        <v>0.25708333333333333</v>
      </c>
      <c r="Z143" s="539">
        <f>+(Z144+Z145+Z146+Z147)*E143</f>
        <v>1.9800000000000002E-2</v>
      </c>
      <c r="AA143" s="599">
        <f>+(AA144+AA145+AA146+AA147)</f>
        <v>0.26300000000000001</v>
      </c>
      <c r="AB143" s="215"/>
      <c r="AC143" s="494"/>
      <c r="AD143" s="494"/>
      <c r="AE143" s="494"/>
      <c r="AF143" s="494"/>
      <c r="AG143" s="187"/>
      <c r="AH143" s="187"/>
      <c r="AI143" s="187"/>
    </row>
    <row r="144" spans="1:35" ht="84" customHeight="1" thickBot="1" x14ac:dyDescent="0.35">
      <c r="A144" s="331"/>
      <c r="B144" s="1070" t="s">
        <v>319</v>
      </c>
      <c r="C144" s="1070" t="s">
        <v>320</v>
      </c>
      <c r="D144" s="495" t="s">
        <v>103</v>
      </c>
      <c r="E144" s="1259">
        <v>0.4</v>
      </c>
      <c r="F144" s="568">
        <v>200</v>
      </c>
      <c r="G144" s="525">
        <v>50</v>
      </c>
      <c r="H144" s="525">
        <v>60</v>
      </c>
      <c r="I144" s="528">
        <f>+G144/F144</f>
        <v>0.25</v>
      </c>
      <c r="J144" s="528">
        <f t="shared" si="126"/>
        <v>0.3</v>
      </c>
      <c r="K144" s="528">
        <f>+(G144/F144)*E144</f>
        <v>0.1</v>
      </c>
      <c r="L144" s="528">
        <f t="shared" si="128"/>
        <v>0.12</v>
      </c>
      <c r="M144" s="525">
        <v>39</v>
      </c>
      <c r="N144" s="582">
        <v>0</v>
      </c>
      <c r="O144" s="525">
        <v>0</v>
      </c>
      <c r="P144" s="525"/>
      <c r="Q144" s="525"/>
      <c r="R144" s="525">
        <f t="shared" si="129"/>
        <v>0</v>
      </c>
      <c r="S144" s="525">
        <f t="shared" si="131"/>
        <v>39</v>
      </c>
      <c r="T144" s="528">
        <f>+(M144/G144)</f>
        <v>0.78</v>
      </c>
      <c r="U144" s="556">
        <f t="shared" si="137"/>
        <v>0</v>
      </c>
      <c r="V144" s="556">
        <f>+T144*E144</f>
        <v>0.31200000000000006</v>
      </c>
      <c r="W144" s="556">
        <f t="shared" ref="W144:W170" si="138">+U144*E144</f>
        <v>0</v>
      </c>
      <c r="X144" s="606">
        <f>+M144/F144</f>
        <v>0.19500000000000001</v>
      </c>
      <c r="Y144" s="615">
        <f t="shared" si="136"/>
        <v>0.19500000000000001</v>
      </c>
      <c r="Z144" s="606">
        <f>+X144*E144</f>
        <v>7.8000000000000014E-2</v>
      </c>
      <c r="AA144" s="607">
        <f>+Y144*E144</f>
        <v>7.8000000000000014E-2</v>
      </c>
      <c r="AB144" s="221" t="s">
        <v>43</v>
      </c>
      <c r="AC144" s="892" t="s">
        <v>227</v>
      </c>
      <c r="AD144" s="892" t="s">
        <v>38</v>
      </c>
      <c r="AE144" s="892" t="s">
        <v>39</v>
      </c>
      <c r="AF144" s="494"/>
      <c r="AG144" s="187"/>
      <c r="AH144" s="187"/>
      <c r="AI144" s="187"/>
    </row>
    <row r="145" spans="1:35" ht="101.45" customHeight="1" thickBot="1" x14ac:dyDescent="0.35">
      <c r="A145" s="331"/>
      <c r="B145" s="1070" t="s">
        <v>321</v>
      </c>
      <c r="C145" s="1070" t="s">
        <v>322</v>
      </c>
      <c r="D145" s="495" t="s">
        <v>103</v>
      </c>
      <c r="E145" s="1259">
        <v>0.1</v>
      </c>
      <c r="F145" s="568">
        <v>4</v>
      </c>
      <c r="G145" s="525">
        <v>1</v>
      </c>
      <c r="H145" s="525">
        <v>1</v>
      </c>
      <c r="I145" s="528">
        <f>+G145/F145</f>
        <v>0.25</v>
      </c>
      <c r="J145" s="528">
        <f t="shared" si="126"/>
        <v>0.25</v>
      </c>
      <c r="K145" s="528">
        <f>+(G145/F145)*E145</f>
        <v>2.5000000000000001E-2</v>
      </c>
      <c r="L145" s="528">
        <f t="shared" si="128"/>
        <v>2.5000000000000001E-2</v>
      </c>
      <c r="M145" s="525">
        <v>1</v>
      </c>
      <c r="N145" s="582">
        <v>0</v>
      </c>
      <c r="O145" s="525">
        <v>0</v>
      </c>
      <c r="P145" s="525"/>
      <c r="Q145" s="525"/>
      <c r="R145" s="525">
        <f t="shared" si="129"/>
        <v>0</v>
      </c>
      <c r="S145" s="525">
        <f t="shared" si="131"/>
        <v>1</v>
      </c>
      <c r="T145" s="528">
        <f>+(M145/G145)</f>
        <v>1</v>
      </c>
      <c r="U145" s="556">
        <f t="shared" si="137"/>
        <v>0</v>
      </c>
      <c r="V145" s="556">
        <f>+T145*E145</f>
        <v>0.1</v>
      </c>
      <c r="W145" s="556">
        <f t="shared" si="138"/>
        <v>0</v>
      </c>
      <c r="X145" s="606">
        <f>+M145/F145</f>
        <v>0.25</v>
      </c>
      <c r="Y145" s="607">
        <f t="shared" si="136"/>
        <v>0.25</v>
      </c>
      <c r="Z145" s="606">
        <f>+X145*E145</f>
        <v>2.5000000000000001E-2</v>
      </c>
      <c r="AA145" s="607">
        <f>+Y145*E145</f>
        <v>2.5000000000000001E-2</v>
      </c>
      <c r="AB145" s="221" t="s">
        <v>43</v>
      </c>
      <c r="AC145" s="892" t="s">
        <v>227</v>
      </c>
      <c r="AD145" s="892" t="s">
        <v>38</v>
      </c>
      <c r="AE145" s="892" t="s">
        <v>39</v>
      </c>
      <c r="AF145" s="494"/>
      <c r="AG145" s="187"/>
      <c r="AH145" s="187"/>
      <c r="AI145" s="187"/>
    </row>
    <row r="146" spans="1:35" ht="101.45" customHeight="1" thickBot="1" x14ac:dyDescent="0.35">
      <c r="A146" s="331"/>
      <c r="B146" s="1070" t="s">
        <v>323</v>
      </c>
      <c r="C146" s="1070" t="s">
        <v>324</v>
      </c>
      <c r="D146" s="495" t="s">
        <v>103</v>
      </c>
      <c r="E146" s="1259">
        <v>0.2</v>
      </c>
      <c r="F146" s="568">
        <v>20</v>
      </c>
      <c r="G146" s="525">
        <v>5</v>
      </c>
      <c r="H146" s="525">
        <v>5</v>
      </c>
      <c r="I146" s="528">
        <f>+G146/F146</f>
        <v>0.25</v>
      </c>
      <c r="J146" s="528">
        <f t="shared" si="126"/>
        <v>0.25</v>
      </c>
      <c r="K146" s="528">
        <f>+(G146/F146)*E146</f>
        <v>0.05</v>
      </c>
      <c r="L146" s="528">
        <f t="shared" si="128"/>
        <v>0.05</v>
      </c>
      <c r="M146" s="525">
        <v>3</v>
      </c>
      <c r="N146" s="582">
        <v>0</v>
      </c>
      <c r="O146" s="525">
        <v>0</v>
      </c>
      <c r="P146" s="525"/>
      <c r="Q146" s="525"/>
      <c r="R146" s="525">
        <f t="shared" si="129"/>
        <v>0</v>
      </c>
      <c r="S146" s="525">
        <f t="shared" si="131"/>
        <v>3</v>
      </c>
      <c r="T146" s="528">
        <f>+(M146/G146)</f>
        <v>0.6</v>
      </c>
      <c r="U146" s="556">
        <f t="shared" si="137"/>
        <v>0</v>
      </c>
      <c r="V146" s="556">
        <f>+T146*E146</f>
        <v>0.12</v>
      </c>
      <c r="W146" s="556">
        <f t="shared" si="138"/>
        <v>0</v>
      </c>
      <c r="X146" s="606">
        <f>+M146/F146</f>
        <v>0.15</v>
      </c>
      <c r="Y146" s="607">
        <f t="shared" si="136"/>
        <v>0.15</v>
      </c>
      <c r="Z146" s="606">
        <f>+X146*E146</f>
        <v>0.03</v>
      </c>
      <c r="AA146" s="607">
        <f>+Y146*E146</f>
        <v>0.03</v>
      </c>
      <c r="AB146" s="221" t="s">
        <v>43</v>
      </c>
      <c r="AC146" s="892" t="s">
        <v>227</v>
      </c>
      <c r="AD146" s="892" t="s">
        <v>38</v>
      </c>
      <c r="AE146" s="892" t="s">
        <v>39</v>
      </c>
      <c r="AF146" s="494"/>
      <c r="AG146" s="187"/>
      <c r="AH146" s="187"/>
      <c r="AI146" s="187"/>
    </row>
    <row r="147" spans="1:35" ht="82.9" customHeight="1" thickBot="1" x14ac:dyDescent="0.35">
      <c r="A147" s="331"/>
      <c r="B147" s="1071" t="s">
        <v>325</v>
      </c>
      <c r="C147" s="1127" t="s">
        <v>326</v>
      </c>
      <c r="D147" s="495" t="s">
        <v>103</v>
      </c>
      <c r="E147" s="1259">
        <v>0.3</v>
      </c>
      <c r="F147" s="568">
        <v>60</v>
      </c>
      <c r="G147" s="525">
        <v>15</v>
      </c>
      <c r="H147" s="577">
        <v>17</v>
      </c>
      <c r="I147" s="528">
        <f>+G147/F147</f>
        <v>0.25</v>
      </c>
      <c r="J147" s="528">
        <f t="shared" si="126"/>
        <v>0.28333333333333333</v>
      </c>
      <c r="K147" s="528">
        <f>+(G147/F147)*E147</f>
        <v>7.4999999999999997E-2</v>
      </c>
      <c r="L147" s="528">
        <f t="shared" si="128"/>
        <v>8.4999999999999992E-2</v>
      </c>
      <c r="M147" s="525">
        <v>13</v>
      </c>
      <c r="N147" s="582">
        <v>0</v>
      </c>
      <c r="O147" s="525">
        <v>13</v>
      </c>
      <c r="P147" s="525"/>
      <c r="Q147" s="525"/>
      <c r="R147" s="525">
        <f t="shared" si="129"/>
        <v>13</v>
      </c>
      <c r="S147" s="525">
        <f t="shared" si="131"/>
        <v>26</v>
      </c>
      <c r="T147" s="528">
        <f>+(M147/G147)</f>
        <v>0.8666666666666667</v>
      </c>
      <c r="U147" s="556">
        <f t="shared" si="137"/>
        <v>0.76470588235294112</v>
      </c>
      <c r="V147" s="556">
        <f>+T147*E147</f>
        <v>0.26</v>
      </c>
      <c r="W147" s="556">
        <f t="shared" si="138"/>
        <v>0.22941176470588232</v>
      </c>
      <c r="X147" s="606">
        <f>+M147/F147</f>
        <v>0.21666666666666667</v>
      </c>
      <c r="Y147" s="609">
        <f t="shared" si="136"/>
        <v>0.43333333333333335</v>
      </c>
      <c r="Z147" s="606">
        <f>+X147*E147</f>
        <v>6.5000000000000002E-2</v>
      </c>
      <c r="AA147" s="607">
        <f>+Y147*E147</f>
        <v>0.13</v>
      </c>
      <c r="AB147" s="221" t="s">
        <v>43</v>
      </c>
      <c r="AC147" s="892" t="s">
        <v>227</v>
      </c>
      <c r="AD147" s="892" t="s">
        <v>38</v>
      </c>
      <c r="AE147" s="892" t="s">
        <v>39</v>
      </c>
      <c r="AF147" s="494"/>
      <c r="AG147" s="187"/>
      <c r="AH147" s="187"/>
      <c r="AI147" s="187"/>
    </row>
    <row r="148" spans="1:35" ht="86.25" customHeight="1" thickBot="1" x14ac:dyDescent="0.35">
      <c r="A148" s="331"/>
      <c r="B148" s="1284" t="s">
        <v>327</v>
      </c>
      <c r="C148" s="1285"/>
      <c r="D148" s="1258"/>
      <c r="E148" s="522">
        <v>0.2</v>
      </c>
      <c r="F148" s="568"/>
      <c r="G148" s="527"/>
      <c r="H148" s="527"/>
      <c r="I148" s="524">
        <f>+AVERAGE(I149:I152)</f>
        <v>0.25</v>
      </c>
      <c r="J148" s="524">
        <f>+AVERAGE(J149:J152)</f>
        <v>0.22500000000000001</v>
      </c>
      <c r="K148" s="524">
        <f>+K149+K150+K151+K152</f>
        <v>0.15000000000000002</v>
      </c>
      <c r="L148" s="524">
        <f>+L149+L150+L151+L152</f>
        <v>0.20374999999999999</v>
      </c>
      <c r="M148" s="527"/>
      <c r="N148" s="527"/>
      <c r="O148" s="527"/>
      <c r="P148" s="527"/>
      <c r="Q148" s="527"/>
      <c r="R148" s="527"/>
      <c r="S148" s="527"/>
      <c r="T148" s="579">
        <f>+AVERAGE(T149:T152)</f>
        <v>1</v>
      </c>
      <c r="U148" s="579">
        <f>+AVERAGE(U149:U152)</f>
        <v>0.76136363636363635</v>
      </c>
      <c r="V148" s="579">
        <f>+(V149+V150+V151+V152)*E148</f>
        <v>0.12000000000000002</v>
      </c>
      <c r="W148" s="579">
        <f>+(W149+W150+W151+W152)*E148</f>
        <v>0.14636363636363636</v>
      </c>
      <c r="X148" s="539">
        <f>+AVERAGE(X149:X152)</f>
        <v>0.40833333333333338</v>
      </c>
      <c r="Y148" s="611">
        <f>+AVERAGE(Y149:Y152)</f>
        <v>0.46875</v>
      </c>
      <c r="Z148" s="539">
        <f>+(Z149+Z150+Z151+Z152)*E148</f>
        <v>4.4250000000000005E-2</v>
      </c>
      <c r="AA148" s="599">
        <f>+(AA149+AA150+AA151+AA152)</f>
        <v>0.35625000000000001</v>
      </c>
      <c r="AB148" s="215"/>
      <c r="AC148" s="892" t="s">
        <v>328</v>
      </c>
      <c r="AD148" s="892" t="s">
        <v>329</v>
      </c>
      <c r="AE148" s="494"/>
      <c r="AF148" s="494"/>
      <c r="AG148" s="187"/>
      <c r="AH148" s="187"/>
      <c r="AI148" s="187"/>
    </row>
    <row r="149" spans="1:35" ht="68.45" customHeight="1" thickBot="1" x14ac:dyDescent="0.35">
      <c r="A149" s="331"/>
      <c r="B149" s="1071" t="s">
        <v>330</v>
      </c>
      <c r="C149" s="1071" t="s">
        <v>331</v>
      </c>
      <c r="D149" s="495" t="s">
        <v>103</v>
      </c>
      <c r="E149" s="1259">
        <v>0.05</v>
      </c>
      <c r="F149" s="568">
        <v>4</v>
      </c>
      <c r="G149" s="525">
        <v>1</v>
      </c>
      <c r="H149" s="525">
        <v>1</v>
      </c>
      <c r="I149" s="528">
        <f>+G149/F149</f>
        <v>0.25</v>
      </c>
      <c r="J149" s="528">
        <f t="shared" si="126"/>
        <v>0.25</v>
      </c>
      <c r="K149" s="528">
        <f>+(G149/F149)*E149</f>
        <v>1.2500000000000001E-2</v>
      </c>
      <c r="L149" s="528">
        <f t="shared" si="128"/>
        <v>1.2500000000000001E-2</v>
      </c>
      <c r="M149" s="525">
        <v>1</v>
      </c>
      <c r="N149" s="576">
        <v>0</v>
      </c>
      <c r="O149" s="525">
        <v>1</v>
      </c>
      <c r="P149" s="525"/>
      <c r="Q149" s="525"/>
      <c r="R149" s="525">
        <f t="shared" si="129"/>
        <v>1</v>
      </c>
      <c r="S149" s="525">
        <f t="shared" si="131"/>
        <v>2</v>
      </c>
      <c r="T149" s="528">
        <f>+(M149/G149)</f>
        <v>1</v>
      </c>
      <c r="U149" s="556">
        <f t="shared" si="137"/>
        <v>1</v>
      </c>
      <c r="V149" s="556">
        <f>+T149*E149</f>
        <v>0.05</v>
      </c>
      <c r="W149" s="556">
        <f t="shared" si="138"/>
        <v>0.05</v>
      </c>
      <c r="X149" s="606">
        <f>+M149/F149</f>
        <v>0.25</v>
      </c>
      <c r="Y149" s="615">
        <f t="shared" si="136"/>
        <v>0.5</v>
      </c>
      <c r="Z149" s="606">
        <f>+X149*E149</f>
        <v>1.2500000000000001E-2</v>
      </c>
      <c r="AA149" s="607">
        <f>+Y149*E149</f>
        <v>2.5000000000000001E-2</v>
      </c>
      <c r="AB149" s="221" t="s">
        <v>43</v>
      </c>
      <c r="AC149" s="892" t="s">
        <v>227</v>
      </c>
      <c r="AD149" s="892" t="s">
        <v>38</v>
      </c>
      <c r="AE149" s="892" t="s">
        <v>39</v>
      </c>
      <c r="AF149" s="494"/>
      <c r="AG149" s="187"/>
      <c r="AH149" s="187"/>
      <c r="AI149" s="187"/>
    </row>
    <row r="150" spans="1:35" ht="84.6" customHeight="1" thickBot="1" x14ac:dyDescent="0.35">
      <c r="A150" s="331"/>
      <c r="B150" s="1071" t="s">
        <v>332</v>
      </c>
      <c r="C150" s="1071" t="s">
        <v>333</v>
      </c>
      <c r="D150" s="495" t="s">
        <v>103</v>
      </c>
      <c r="E150" s="1259">
        <v>0.15</v>
      </c>
      <c r="F150" s="568">
        <v>40</v>
      </c>
      <c r="G150" s="525">
        <v>10</v>
      </c>
      <c r="H150" s="577">
        <v>11</v>
      </c>
      <c r="I150" s="528">
        <f>+G150/F150</f>
        <v>0.25</v>
      </c>
      <c r="J150" s="528">
        <f t="shared" si="126"/>
        <v>0.27500000000000002</v>
      </c>
      <c r="K150" s="528">
        <f>+(G150/F150)*E150</f>
        <v>3.7499999999999999E-2</v>
      </c>
      <c r="L150" s="528">
        <f t="shared" si="128"/>
        <v>4.1250000000000002E-2</v>
      </c>
      <c r="M150" s="525">
        <v>29</v>
      </c>
      <c r="N150" s="576">
        <v>2</v>
      </c>
      <c r="O150" s="525">
        <v>4</v>
      </c>
      <c r="P150" s="525"/>
      <c r="Q150" s="525"/>
      <c r="R150" s="525">
        <f t="shared" si="129"/>
        <v>6</v>
      </c>
      <c r="S150" s="525">
        <f t="shared" si="131"/>
        <v>35</v>
      </c>
      <c r="T150" s="528">
        <v>1</v>
      </c>
      <c r="U150" s="556">
        <f t="shared" si="137"/>
        <v>0.54545454545454541</v>
      </c>
      <c r="V150" s="556">
        <f>+T150*E150</f>
        <v>0.15</v>
      </c>
      <c r="W150" s="556">
        <f t="shared" si="138"/>
        <v>8.1818181818181804E-2</v>
      </c>
      <c r="X150" s="606">
        <f>+M150/F150</f>
        <v>0.72499999999999998</v>
      </c>
      <c r="Y150" s="607">
        <f t="shared" si="136"/>
        <v>0.875</v>
      </c>
      <c r="Z150" s="606">
        <f>+X150*E150</f>
        <v>0.10875</v>
      </c>
      <c r="AA150" s="607">
        <f>+Y150*E150</f>
        <v>0.13125000000000001</v>
      </c>
      <c r="AB150" s="221" t="s">
        <v>43</v>
      </c>
      <c r="AC150" s="892" t="s">
        <v>227</v>
      </c>
      <c r="AD150" s="892" t="s">
        <v>38</v>
      </c>
      <c r="AE150" s="892" t="s">
        <v>39</v>
      </c>
      <c r="AF150" s="494"/>
      <c r="AG150" s="187"/>
      <c r="AH150" s="187"/>
      <c r="AI150" s="187"/>
    </row>
    <row r="151" spans="1:35" ht="98.45" customHeight="1" thickBot="1" x14ac:dyDescent="0.35">
      <c r="A151" s="331"/>
      <c r="B151" s="1071" t="s">
        <v>334</v>
      </c>
      <c r="C151" s="1071" t="s">
        <v>335</v>
      </c>
      <c r="D151" s="499" t="s">
        <v>103</v>
      </c>
      <c r="E151" s="1267">
        <v>0.4</v>
      </c>
      <c r="F151" s="568">
        <f>80*4</f>
        <v>320</v>
      </c>
      <c r="G151" s="525">
        <v>80</v>
      </c>
      <c r="H151" s="525">
        <v>80</v>
      </c>
      <c r="I151" s="528">
        <f>+G151/F151</f>
        <v>0.25</v>
      </c>
      <c r="J151" s="528">
        <f t="shared" si="126"/>
        <v>0.25</v>
      </c>
      <c r="K151" s="528">
        <f>+(G151/F151)*E151</f>
        <v>0.1</v>
      </c>
      <c r="L151" s="528">
        <f t="shared" si="128"/>
        <v>0.1</v>
      </c>
      <c r="M151" s="525">
        <v>80</v>
      </c>
      <c r="N151" s="576">
        <v>20</v>
      </c>
      <c r="O151" s="525">
        <v>20</v>
      </c>
      <c r="P151" s="525"/>
      <c r="Q151" s="525"/>
      <c r="R151" s="525">
        <f t="shared" si="129"/>
        <v>40</v>
      </c>
      <c r="S151" s="525">
        <f t="shared" si="131"/>
        <v>120</v>
      </c>
      <c r="T151" s="528">
        <f>+(M151/G151)</f>
        <v>1</v>
      </c>
      <c r="U151" s="556">
        <f t="shared" si="137"/>
        <v>0.5</v>
      </c>
      <c r="V151" s="556">
        <f>+T151*E151</f>
        <v>0.4</v>
      </c>
      <c r="W151" s="556">
        <f t="shared" si="138"/>
        <v>0.2</v>
      </c>
      <c r="X151" s="606">
        <f>+M151/F151</f>
        <v>0.25</v>
      </c>
      <c r="Y151" s="607">
        <f>+X151+12.5%</f>
        <v>0.375</v>
      </c>
      <c r="Z151" s="606">
        <f>+X151*E151</f>
        <v>0.1</v>
      </c>
      <c r="AA151" s="607">
        <f>+Y151*E151</f>
        <v>0.15000000000000002</v>
      </c>
      <c r="AB151" s="221" t="s">
        <v>43</v>
      </c>
      <c r="AC151" s="739" t="s">
        <v>336</v>
      </c>
      <c r="AD151" s="892" t="s">
        <v>38</v>
      </c>
      <c r="AE151" s="892" t="s">
        <v>39</v>
      </c>
      <c r="AF151" s="494"/>
      <c r="AG151" s="187"/>
      <c r="AH151" s="187"/>
      <c r="AI151" s="187"/>
    </row>
    <row r="152" spans="1:35" ht="89.45" customHeight="1" thickBot="1" x14ac:dyDescent="0.35">
      <c r="A152" s="331"/>
      <c r="B152" s="1071" t="s">
        <v>337</v>
      </c>
      <c r="C152" s="1071" t="s">
        <v>338</v>
      </c>
      <c r="D152" s="495" t="s">
        <v>103</v>
      </c>
      <c r="E152" s="1259">
        <v>0.4</v>
      </c>
      <c r="F152" s="568">
        <v>80</v>
      </c>
      <c r="G152" s="525">
        <v>0</v>
      </c>
      <c r="H152" s="525">
        <v>10</v>
      </c>
      <c r="I152" s="528"/>
      <c r="J152" s="528">
        <f t="shared" si="126"/>
        <v>0.125</v>
      </c>
      <c r="K152" s="528"/>
      <c r="L152" s="528">
        <f t="shared" si="128"/>
        <v>0.05</v>
      </c>
      <c r="M152" s="525"/>
      <c r="N152" s="576">
        <v>3</v>
      </c>
      <c r="O152" s="525">
        <v>7</v>
      </c>
      <c r="P152" s="525"/>
      <c r="Q152" s="525"/>
      <c r="R152" s="525">
        <f t="shared" si="129"/>
        <v>10</v>
      </c>
      <c r="S152" s="525">
        <f t="shared" si="131"/>
        <v>10</v>
      </c>
      <c r="T152" s="528"/>
      <c r="U152" s="556">
        <f>+R152/H152</f>
        <v>1</v>
      </c>
      <c r="V152" s="556"/>
      <c r="W152" s="556">
        <f t="shared" si="138"/>
        <v>0.4</v>
      </c>
      <c r="X152" s="606"/>
      <c r="Y152" s="609">
        <f t="shared" si="136"/>
        <v>0.125</v>
      </c>
      <c r="Z152" s="606"/>
      <c r="AA152" s="607">
        <f>+Y152*E152</f>
        <v>0.05</v>
      </c>
      <c r="AB152" s="221" t="s">
        <v>43</v>
      </c>
      <c r="AC152" s="892" t="s">
        <v>227</v>
      </c>
      <c r="AD152" s="892" t="s">
        <v>38</v>
      </c>
      <c r="AE152" s="892" t="s">
        <v>39</v>
      </c>
      <c r="AF152" s="494"/>
      <c r="AG152" s="187"/>
      <c r="AH152" s="187"/>
      <c r="AI152" s="187"/>
    </row>
    <row r="153" spans="1:35" ht="80.45" customHeight="1" thickBot="1" x14ac:dyDescent="0.35">
      <c r="A153" s="331"/>
      <c r="B153" s="1284" t="s">
        <v>339</v>
      </c>
      <c r="C153" s="1285"/>
      <c r="D153" s="1258"/>
      <c r="E153" s="522">
        <v>0.05</v>
      </c>
      <c r="F153" s="568"/>
      <c r="G153" s="527"/>
      <c r="H153" s="527"/>
      <c r="I153" s="524">
        <f>+AVERAGE(I154:I159)</f>
        <v>0.625</v>
      </c>
      <c r="J153" s="524">
        <f>+AVERAGE(J154:J159)</f>
        <v>0.45611434329197087</v>
      </c>
      <c r="K153" s="524">
        <f>+K154+K155+K156+K157+K158+K159</f>
        <v>6.25E-2</v>
      </c>
      <c r="L153" s="524">
        <f>+L154+L155+L156+L157+L158+L159</f>
        <v>0.36258775084671224</v>
      </c>
      <c r="M153" s="527"/>
      <c r="N153" s="527"/>
      <c r="O153" s="527"/>
      <c r="P153" s="527"/>
      <c r="Q153" s="527"/>
      <c r="R153" s="527"/>
      <c r="S153" s="527"/>
      <c r="T153" s="579">
        <f>+AVERAGE(T154:T159)</f>
        <v>0.5</v>
      </c>
      <c r="U153" s="579">
        <f>+AVERAGE(U154:U159)</f>
        <v>0.60049054895302767</v>
      </c>
      <c r="V153" s="579">
        <f>+(V154+V155+V156+V157+V158+V159)*E153</f>
        <v>2.5000000000000005E-3</v>
      </c>
      <c r="W153" s="579">
        <f>+(W154+W155+W156+W157+W158+W159)*E153</f>
        <v>1.8707325976230899E-2</v>
      </c>
      <c r="X153" s="539">
        <f>+AVERAGE(X154:X159)</f>
        <v>0.25</v>
      </c>
      <c r="Y153" s="611">
        <f>+AVERAGE(Y154:Y159)</f>
        <v>0.35094025513164118</v>
      </c>
      <c r="Z153" s="539">
        <f>+(Z154+Z155+Z156+Z157+Z158+Z159)*E153</f>
        <v>1.2500000000000002E-3</v>
      </c>
      <c r="AA153" s="599">
        <f>+(AA154+AA155+AA156+AA157+AA158+AA159)</f>
        <v>0.1863990640783334</v>
      </c>
      <c r="AB153" s="215"/>
      <c r="AC153" s="494"/>
      <c r="AD153" s="494"/>
      <c r="AE153" s="494"/>
      <c r="AF153" s="494"/>
      <c r="AG153" s="187"/>
      <c r="AH153" s="187"/>
      <c r="AI153" s="187"/>
    </row>
    <row r="154" spans="1:35" ht="91.15" customHeight="1" thickBot="1" x14ac:dyDescent="0.35">
      <c r="A154" s="331"/>
      <c r="B154" s="1196" t="s">
        <v>340</v>
      </c>
      <c r="C154" s="1196" t="s">
        <v>341</v>
      </c>
      <c r="D154" s="495" t="s">
        <v>47</v>
      </c>
      <c r="E154" s="1259">
        <v>0.05</v>
      </c>
      <c r="F154" s="568">
        <v>1</v>
      </c>
      <c r="G154" s="525">
        <v>0</v>
      </c>
      <c r="H154" s="525">
        <v>1</v>
      </c>
      <c r="I154" s="528"/>
      <c r="J154" s="528">
        <f>+H154/F154</f>
        <v>1</v>
      </c>
      <c r="K154" s="528"/>
      <c r="L154" s="528">
        <f>+(H154/F154)*E154</f>
        <v>0.05</v>
      </c>
      <c r="M154" s="525"/>
      <c r="N154" s="576">
        <v>1</v>
      </c>
      <c r="O154" s="525"/>
      <c r="P154" s="525"/>
      <c r="Q154" s="525"/>
      <c r="R154" s="525">
        <f t="shared" si="129"/>
        <v>1</v>
      </c>
      <c r="S154" s="525">
        <f t="shared" si="131"/>
        <v>1</v>
      </c>
      <c r="T154" s="528"/>
      <c r="U154" s="556">
        <f>+R154/H154</f>
        <v>1</v>
      </c>
      <c r="V154" s="556"/>
      <c r="W154" s="556">
        <f t="shared" si="138"/>
        <v>0.05</v>
      </c>
      <c r="X154" s="606"/>
      <c r="Y154" s="615">
        <f t="shared" si="136"/>
        <v>1</v>
      </c>
      <c r="Z154" s="606">
        <v>0</v>
      </c>
      <c r="AA154" s="607">
        <f>+Y154*E154</f>
        <v>0.05</v>
      </c>
      <c r="AB154" s="221" t="s">
        <v>43</v>
      </c>
      <c r="AC154" s="746" t="s">
        <v>227</v>
      </c>
      <c r="AD154" s="892" t="s">
        <v>38</v>
      </c>
      <c r="AE154" s="892" t="s">
        <v>39</v>
      </c>
      <c r="AF154" s="494"/>
      <c r="AG154" s="187"/>
      <c r="AH154" s="187"/>
      <c r="AI154" s="187"/>
    </row>
    <row r="155" spans="1:35" ht="62.45" customHeight="1" thickBot="1" x14ac:dyDescent="0.35">
      <c r="A155" s="331"/>
      <c r="B155" s="1070" t="s">
        <v>342</v>
      </c>
      <c r="C155" s="1070" t="s">
        <v>343</v>
      </c>
      <c r="D155" s="495" t="s">
        <v>47</v>
      </c>
      <c r="E155" s="1259">
        <v>0.05</v>
      </c>
      <c r="F155" s="568">
        <v>8</v>
      </c>
      <c r="G155" s="525">
        <v>2</v>
      </c>
      <c r="H155" s="525">
        <v>2</v>
      </c>
      <c r="I155" s="528">
        <f>+G155/F155</f>
        <v>0.25</v>
      </c>
      <c r="J155" s="528">
        <f t="shared" si="126"/>
        <v>0.25</v>
      </c>
      <c r="K155" s="528">
        <f>+(G155/F155)*E155</f>
        <v>1.2500000000000001E-2</v>
      </c>
      <c r="L155" s="528">
        <f t="shared" si="128"/>
        <v>1.2500000000000001E-2</v>
      </c>
      <c r="M155" s="525">
        <v>4</v>
      </c>
      <c r="N155" s="576">
        <v>0</v>
      </c>
      <c r="O155" s="525">
        <v>2</v>
      </c>
      <c r="P155" s="525"/>
      <c r="Q155" s="525"/>
      <c r="R155" s="525">
        <f t="shared" si="129"/>
        <v>2</v>
      </c>
      <c r="S155" s="525">
        <f t="shared" si="131"/>
        <v>6</v>
      </c>
      <c r="T155" s="528">
        <v>1</v>
      </c>
      <c r="U155" s="556">
        <f t="shared" ref="U155:U157" si="139">+R155/H155</f>
        <v>1</v>
      </c>
      <c r="V155" s="556">
        <f>+T155*E155</f>
        <v>0.05</v>
      </c>
      <c r="W155" s="556">
        <f t="shared" si="138"/>
        <v>0.05</v>
      </c>
      <c r="X155" s="606">
        <f>+M155/F155</f>
        <v>0.5</v>
      </c>
      <c r="Y155" s="607">
        <f t="shared" si="136"/>
        <v>0.75</v>
      </c>
      <c r="Z155" s="606">
        <f>+X155*E155</f>
        <v>2.5000000000000001E-2</v>
      </c>
      <c r="AA155" s="607">
        <f>+Y155*E155</f>
        <v>3.7500000000000006E-2</v>
      </c>
      <c r="AB155" s="221" t="s">
        <v>43</v>
      </c>
      <c r="AC155" s="746" t="s">
        <v>227</v>
      </c>
      <c r="AD155" s="892" t="s">
        <v>38</v>
      </c>
      <c r="AE155" s="892" t="s">
        <v>39</v>
      </c>
      <c r="AF155" s="494"/>
      <c r="AG155" s="187"/>
      <c r="AH155" s="187"/>
      <c r="AI155" s="187"/>
    </row>
    <row r="156" spans="1:35" ht="115.15" customHeight="1" thickBot="1" x14ac:dyDescent="0.35">
      <c r="A156" s="331"/>
      <c r="B156" s="1070" t="s">
        <v>344</v>
      </c>
      <c r="C156" s="1070" t="s">
        <v>345</v>
      </c>
      <c r="D156" s="498" t="s">
        <v>346</v>
      </c>
      <c r="E156" s="1259">
        <v>0.35</v>
      </c>
      <c r="F156" s="568">
        <v>3534</v>
      </c>
      <c r="G156" s="525">
        <v>0</v>
      </c>
      <c r="H156" s="525">
        <v>1500</v>
      </c>
      <c r="I156" s="528"/>
      <c r="J156" s="528">
        <f t="shared" si="126"/>
        <v>0.42444821731748728</v>
      </c>
      <c r="K156" s="528"/>
      <c r="L156" s="528">
        <f>+(H156/F156)*E156</f>
        <v>0.14855687606112053</v>
      </c>
      <c r="M156" s="525"/>
      <c r="N156" s="576">
        <v>0</v>
      </c>
      <c r="O156" s="525">
        <v>353</v>
      </c>
      <c r="P156" s="525"/>
      <c r="Q156" s="525"/>
      <c r="R156" s="525">
        <f t="shared" si="129"/>
        <v>353</v>
      </c>
      <c r="S156" s="525">
        <f t="shared" si="131"/>
        <v>353</v>
      </c>
      <c r="T156" s="528"/>
      <c r="U156" s="556">
        <f t="shared" si="139"/>
        <v>0.23533333333333334</v>
      </c>
      <c r="V156" s="556"/>
      <c r="W156" s="556">
        <f t="shared" si="138"/>
        <v>8.2366666666666657E-2</v>
      </c>
      <c r="X156" s="606"/>
      <c r="Y156" s="607">
        <f t="shared" si="136"/>
        <v>9.9886813808715336E-2</v>
      </c>
      <c r="Z156" s="606">
        <v>0</v>
      </c>
      <c r="AA156" s="607">
        <f>+Y156*E156</f>
        <v>3.4960384833050362E-2</v>
      </c>
      <c r="AB156" s="221" t="s">
        <v>43</v>
      </c>
      <c r="AC156" s="779" t="s">
        <v>347</v>
      </c>
      <c r="AD156" s="892" t="s">
        <v>38</v>
      </c>
      <c r="AE156" s="892" t="s">
        <v>39</v>
      </c>
      <c r="AF156" s="494"/>
      <c r="AG156" s="187"/>
      <c r="AH156" s="187"/>
      <c r="AI156" s="187"/>
    </row>
    <row r="157" spans="1:35" ht="142.9" customHeight="1" thickBot="1" x14ac:dyDescent="0.35">
      <c r="A157" s="331"/>
      <c r="B157" s="1070" t="s">
        <v>348</v>
      </c>
      <c r="C157" s="1070" t="s">
        <v>349</v>
      </c>
      <c r="D157" s="498" t="s">
        <v>350</v>
      </c>
      <c r="E157" s="1259">
        <v>0.25</v>
      </c>
      <c r="F157" s="568">
        <v>55</v>
      </c>
      <c r="G157" s="525">
        <v>0</v>
      </c>
      <c r="H157" s="525">
        <v>15</v>
      </c>
      <c r="I157" s="528"/>
      <c r="J157" s="528">
        <f t="shared" si="126"/>
        <v>0.27272727272727271</v>
      </c>
      <c r="K157" s="528"/>
      <c r="L157" s="528">
        <f t="shared" si="128"/>
        <v>6.8181818181818177E-2</v>
      </c>
      <c r="M157" s="525"/>
      <c r="N157" s="576">
        <v>0</v>
      </c>
      <c r="O157" s="525">
        <v>0</v>
      </c>
      <c r="P157" s="525"/>
      <c r="Q157" s="525"/>
      <c r="R157" s="525">
        <f t="shared" si="129"/>
        <v>0</v>
      </c>
      <c r="S157" s="525">
        <f t="shared" si="131"/>
        <v>0</v>
      </c>
      <c r="T157" s="528"/>
      <c r="U157" s="556">
        <f t="shared" si="139"/>
        <v>0</v>
      </c>
      <c r="V157" s="556"/>
      <c r="W157" s="556">
        <f t="shared" si="138"/>
        <v>0</v>
      </c>
      <c r="X157" s="606"/>
      <c r="Y157" s="607">
        <f t="shared" si="136"/>
        <v>0</v>
      </c>
      <c r="Z157" s="606">
        <v>0</v>
      </c>
      <c r="AA157" s="607">
        <v>0</v>
      </c>
      <c r="AB157" s="221" t="s">
        <v>43</v>
      </c>
      <c r="AC157" s="779" t="s">
        <v>351</v>
      </c>
      <c r="AD157" s="892" t="s">
        <v>38</v>
      </c>
      <c r="AE157" s="892" t="s">
        <v>39</v>
      </c>
      <c r="AF157" s="494"/>
      <c r="AG157" s="187"/>
      <c r="AH157" s="187"/>
      <c r="AI157" s="187"/>
    </row>
    <row r="158" spans="1:35" ht="76.900000000000006" customHeight="1" thickBot="1" x14ac:dyDescent="0.35">
      <c r="A158" s="331"/>
      <c r="B158" s="502" t="s">
        <v>352</v>
      </c>
      <c r="C158" s="502" t="s">
        <v>353</v>
      </c>
      <c r="D158" s="497" t="s">
        <v>219</v>
      </c>
      <c r="E158" s="1259">
        <v>0.05</v>
      </c>
      <c r="F158" s="568">
        <v>2</v>
      </c>
      <c r="G158" s="525">
        <v>2</v>
      </c>
      <c r="H158" s="525"/>
      <c r="I158" s="528">
        <f>+G158/F158</f>
        <v>1</v>
      </c>
      <c r="J158" s="528"/>
      <c r="K158" s="528">
        <f>+(G158/F158)*E158</f>
        <v>0.05</v>
      </c>
      <c r="L158" s="528"/>
      <c r="M158" s="525">
        <v>0</v>
      </c>
      <c r="N158" s="576"/>
      <c r="O158" s="525"/>
      <c r="P158" s="525"/>
      <c r="Q158" s="525"/>
      <c r="R158" s="525">
        <f t="shared" si="129"/>
        <v>0</v>
      </c>
      <c r="S158" s="525">
        <f t="shared" si="131"/>
        <v>0</v>
      </c>
      <c r="T158" s="528">
        <f>+(M158/G158)</f>
        <v>0</v>
      </c>
      <c r="U158" s="556"/>
      <c r="V158" s="556">
        <f>+T158*E158</f>
        <v>0</v>
      </c>
      <c r="W158" s="556"/>
      <c r="X158" s="606">
        <f>+M158/F158</f>
        <v>0</v>
      </c>
      <c r="Y158" s="607">
        <v>0</v>
      </c>
      <c r="Z158" s="606">
        <f>+X158*E158</f>
        <v>0</v>
      </c>
      <c r="AA158" s="607">
        <f>+Y158*E158</f>
        <v>0</v>
      </c>
      <c r="AB158" s="775" t="s">
        <v>354</v>
      </c>
      <c r="AC158" s="739" t="s">
        <v>354</v>
      </c>
      <c r="AD158" s="494"/>
      <c r="AE158" s="892" t="s">
        <v>39</v>
      </c>
      <c r="AF158" s="494"/>
      <c r="AG158" s="187"/>
      <c r="AH158" s="187"/>
      <c r="AI158" s="187"/>
    </row>
    <row r="159" spans="1:35" ht="106.9" customHeight="1" thickBot="1" x14ac:dyDescent="0.35">
      <c r="A159" s="331"/>
      <c r="B159" s="1070" t="s">
        <v>355</v>
      </c>
      <c r="C159" s="1070" t="s">
        <v>356</v>
      </c>
      <c r="D159" s="499" t="s">
        <v>357</v>
      </c>
      <c r="E159" s="1259">
        <v>0.25</v>
      </c>
      <c r="F159" s="568">
        <v>10600</v>
      </c>
      <c r="G159" s="525">
        <v>0</v>
      </c>
      <c r="H159" s="525">
        <v>3534</v>
      </c>
      <c r="I159" s="528"/>
      <c r="J159" s="528">
        <f t="shared" si="126"/>
        <v>0.33339622641509437</v>
      </c>
      <c r="K159" s="528"/>
      <c r="L159" s="528">
        <f t="shared" si="128"/>
        <v>8.3349056603773591E-2</v>
      </c>
      <c r="M159" s="525"/>
      <c r="N159" s="576">
        <v>0</v>
      </c>
      <c r="O159" s="525">
        <v>2711</v>
      </c>
      <c r="P159" s="525"/>
      <c r="Q159" s="525"/>
      <c r="R159" s="525">
        <f t="shared" si="129"/>
        <v>2711</v>
      </c>
      <c r="S159" s="525">
        <f t="shared" si="131"/>
        <v>2711</v>
      </c>
      <c r="T159" s="528"/>
      <c r="U159" s="556">
        <f>+R159/H159</f>
        <v>0.76711941143180529</v>
      </c>
      <c r="V159" s="556"/>
      <c r="W159" s="556">
        <f t="shared" si="138"/>
        <v>0.19177985285795132</v>
      </c>
      <c r="X159" s="1128"/>
      <c r="Y159" s="607">
        <f t="shared" si="136"/>
        <v>0.25575471698113206</v>
      </c>
      <c r="Z159" s="606">
        <v>0</v>
      </c>
      <c r="AA159" s="607">
        <f>+Y159*E159</f>
        <v>6.3938679245283014E-2</v>
      </c>
      <c r="AB159" s="221" t="s">
        <v>43</v>
      </c>
      <c r="AC159" s="739" t="s">
        <v>358</v>
      </c>
      <c r="AD159" s="494"/>
      <c r="AE159" s="494"/>
      <c r="AF159" s="494"/>
      <c r="AG159" s="187"/>
      <c r="AH159" s="187"/>
      <c r="AI159" s="187"/>
    </row>
    <row r="160" spans="1:35" ht="30" customHeight="1" thickBot="1" x14ac:dyDescent="0.35">
      <c r="A160" s="331"/>
      <c r="B160" s="1284" t="s">
        <v>359</v>
      </c>
      <c r="C160" s="1285"/>
      <c r="D160" s="1258"/>
      <c r="E160" s="522">
        <v>0.2</v>
      </c>
      <c r="F160" s="568"/>
      <c r="G160" s="527"/>
      <c r="H160" s="527"/>
      <c r="I160" s="524">
        <f>+AVERAGE(I161:I165)</f>
        <v>0.22400000000000003</v>
      </c>
      <c r="J160" s="524">
        <f>+AVERAGE(J161:J165)</f>
        <v>0.29239999999999999</v>
      </c>
      <c r="K160" s="524">
        <f>+K161+K162+K163+K164+K165</f>
        <v>0.14599999999999999</v>
      </c>
      <c r="L160" s="524">
        <f>+L161+L162+L163+L164+L165</f>
        <v>0.2656</v>
      </c>
      <c r="M160" s="527"/>
      <c r="N160" s="527"/>
      <c r="O160" s="527"/>
      <c r="P160" s="527"/>
      <c r="Q160" s="527"/>
      <c r="R160" s="527"/>
      <c r="S160" s="527"/>
      <c r="T160" s="579">
        <f>+AVERAGE(T161:T165)</f>
        <v>1</v>
      </c>
      <c r="U160" s="579">
        <f>+AVERAGE(U161:U165)</f>
        <v>0.36666666666666664</v>
      </c>
      <c r="V160" s="579">
        <f>+(V161+V162+V163+V164+V165)*E160</f>
        <v>0.19999999999999998</v>
      </c>
      <c r="W160" s="610">
        <f>+(W161+W162+W163+W164+W165)*E160</f>
        <v>0.05</v>
      </c>
      <c r="X160" s="611">
        <f>+AVERAGE(X161:X165)</f>
        <v>0.25159999999999999</v>
      </c>
      <c r="Y160" s="539">
        <f>+AVERAGE(Y161:Y165)</f>
        <v>0.3644</v>
      </c>
      <c r="Z160" s="539">
        <f>+(Z161+Z162+Z163+Z164+Z165)*E160</f>
        <v>3.8080000000000003E-2</v>
      </c>
      <c r="AA160" s="599">
        <f>+(AA161+AA162+AA163+AA164+AA165)</f>
        <v>0.25960000000000005</v>
      </c>
      <c r="AB160" s="215"/>
      <c r="AC160" s="494"/>
      <c r="AD160" s="494"/>
      <c r="AE160" s="494"/>
      <c r="AF160" s="494"/>
      <c r="AG160" s="187"/>
      <c r="AH160" s="187"/>
      <c r="AI160" s="187"/>
    </row>
    <row r="161" spans="1:35" ht="92.45" customHeight="1" thickBot="1" x14ac:dyDescent="0.35">
      <c r="A161" s="331"/>
      <c r="B161" s="1070" t="s">
        <v>360</v>
      </c>
      <c r="C161" s="1070" t="s">
        <v>361</v>
      </c>
      <c r="D161" s="495" t="s">
        <v>103</v>
      </c>
      <c r="E161" s="1259">
        <v>0.3</v>
      </c>
      <c r="F161" s="568">
        <v>500</v>
      </c>
      <c r="G161" s="525">
        <v>10</v>
      </c>
      <c r="H161" s="525">
        <v>96</v>
      </c>
      <c r="I161" s="528">
        <f>+G161/F161</f>
        <v>0.02</v>
      </c>
      <c r="J161" s="528">
        <f t="shared" si="126"/>
        <v>0.192</v>
      </c>
      <c r="K161" s="528">
        <f>+(G161/F161)*E161</f>
        <v>6.0000000000000001E-3</v>
      </c>
      <c r="L161" s="528">
        <f t="shared" si="128"/>
        <v>5.7599999999999998E-2</v>
      </c>
      <c r="M161" s="525">
        <v>64</v>
      </c>
      <c r="N161" s="576">
        <v>0</v>
      </c>
      <c r="O161" s="525">
        <v>32</v>
      </c>
      <c r="P161" s="525"/>
      <c r="Q161" s="525"/>
      <c r="R161" s="525">
        <f t="shared" si="129"/>
        <v>32</v>
      </c>
      <c r="S161" s="525">
        <f t="shared" si="131"/>
        <v>96</v>
      </c>
      <c r="T161" s="528">
        <v>1</v>
      </c>
      <c r="U161" s="528">
        <f t="shared" ref="U161:U170" si="140">+R161/H161</f>
        <v>0.33333333333333331</v>
      </c>
      <c r="V161" s="528">
        <f>+T161*E161</f>
        <v>0.3</v>
      </c>
      <c r="W161" s="528">
        <f t="shared" si="138"/>
        <v>9.9999999999999992E-2</v>
      </c>
      <c r="X161" s="612">
        <f>+M161/F161</f>
        <v>0.128</v>
      </c>
      <c r="Y161" s="544">
        <f t="shared" si="136"/>
        <v>0.192</v>
      </c>
      <c r="Z161" s="543">
        <f>+X161*E161</f>
        <v>3.8399999999999997E-2</v>
      </c>
      <c r="AA161" s="544">
        <f>+Y161*E161</f>
        <v>5.7599999999999998E-2</v>
      </c>
      <c r="AB161" s="221" t="s">
        <v>43</v>
      </c>
      <c r="AC161" s="892" t="s">
        <v>227</v>
      </c>
      <c r="AD161" s="892" t="s">
        <v>38</v>
      </c>
      <c r="AE161" s="892" t="s">
        <v>39</v>
      </c>
      <c r="AF161" s="494"/>
      <c r="AG161" s="187"/>
      <c r="AH161" s="187"/>
      <c r="AI161" s="187"/>
    </row>
    <row r="162" spans="1:35" ht="139.9" customHeight="1" thickBot="1" x14ac:dyDescent="0.35">
      <c r="A162" s="331"/>
      <c r="B162" s="1070" t="s">
        <v>362</v>
      </c>
      <c r="C162" s="1070" t="s">
        <v>363</v>
      </c>
      <c r="D162" s="495" t="s">
        <v>103</v>
      </c>
      <c r="E162" s="1259">
        <v>0.4</v>
      </c>
      <c r="F162" s="568">
        <v>200</v>
      </c>
      <c r="G162" s="525">
        <v>20</v>
      </c>
      <c r="H162" s="525">
        <v>54</v>
      </c>
      <c r="I162" s="528">
        <f>+G162/F162</f>
        <v>0.1</v>
      </c>
      <c r="J162" s="528">
        <f t="shared" si="126"/>
        <v>0.27</v>
      </c>
      <c r="K162" s="528">
        <f>+(G162/F162)*E162</f>
        <v>4.0000000000000008E-2</v>
      </c>
      <c r="L162" s="528">
        <f t="shared" si="128"/>
        <v>0.10800000000000001</v>
      </c>
      <c r="M162" s="525">
        <v>26</v>
      </c>
      <c r="N162" s="576">
        <v>0</v>
      </c>
      <c r="O162" s="525">
        <v>0</v>
      </c>
      <c r="P162" s="525"/>
      <c r="Q162" s="525"/>
      <c r="R162" s="525">
        <f t="shared" si="129"/>
        <v>0</v>
      </c>
      <c r="S162" s="525">
        <f t="shared" si="131"/>
        <v>26</v>
      </c>
      <c r="T162" s="528">
        <v>1</v>
      </c>
      <c r="U162" s="528">
        <f t="shared" si="140"/>
        <v>0</v>
      </c>
      <c r="V162" s="528">
        <f>+T162*E162</f>
        <v>0.4</v>
      </c>
      <c r="W162" s="528">
        <f t="shared" si="138"/>
        <v>0</v>
      </c>
      <c r="X162" s="543">
        <f>+M162/F162</f>
        <v>0.13</v>
      </c>
      <c r="Y162" s="544">
        <f t="shared" si="136"/>
        <v>0.13</v>
      </c>
      <c r="Z162" s="543">
        <f>+X162*E162</f>
        <v>5.2000000000000005E-2</v>
      </c>
      <c r="AA162" s="544">
        <f>+Y162*E162</f>
        <v>5.2000000000000005E-2</v>
      </c>
      <c r="AB162" s="221" t="s">
        <v>43</v>
      </c>
      <c r="AC162" s="892" t="s">
        <v>227</v>
      </c>
      <c r="AD162" s="892" t="s">
        <v>38</v>
      </c>
      <c r="AE162" s="892" t="s">
        <v>39</v>
      </c>
      <c r="AF162" s="494"/>
      <c r="AG162" s="187"/>
      <c r="AH162" s="187"/>
      <c r="AI162" s="187"/>
    </row>
    <row r="163" spans="1:35" ht="82.9" customHeight="1" thickBot="1" x14ac:dyDescent="0.35">
      <c r="A163" s="331"/>
      <c r="B163" s="1070" t="s">
        <v>364</v>
      </c>
      <c r="C163" s="1070" t="s">
        <v>365</v>
      </c>
      <c r="D163" s="495" t="s">
        <v>103</v>
      </c>
      <c r="E163" s="1259">
        <v>0.1</v>
      </c>
      <c r="F163" s="568">
        <v>1</v>
      </c>
      <c r="G163" s="525">
        <v>0.5</v>
      </c>
      <c r="H163" s="525">
        <v>0.5</v>
      </c>
      <c r="I163" s="528">
        <f>+G163/F163</f>
        <v>0.5</v>
      </c>
      <c r="J163" s="528">
        <f t="shared" si="126"/>
        <v>0.5</v>
      </c>
      <c r="K163" s="528">
        <f>+(G163/F163)*E163</f>
        <v>0.05</v>
      </c>
      <c r="L163" s="528">
        <f t="shared" si="128"/>
        <v>0.05</v>
      </c>
      <c r="M163" s="525">
        <v>0.5</v>
      </c>
      <c r="N163" s="576">
        <v>0</v>
      </c>
      <c r="O163" s="525">
        <v>0</v>
      </c>
      <c r="P163" s="525"/>
      <c r="Q163" s="525"/>
      <c r="R163" s="525">
        <f t="shared" si="129"/>
        <v>0</v>
      </c>
      <c r="S163" s="525">
        <f t="shared" si="131"/>
        <v>0.5</v>
      </c>
      <c r="T163" s="528">
        <f>+(M163/G163)</f>
        <v>1</v>
      </c>
      <c r="U163" s="528">
        <f t="shared" si="140"/>
        <v>0</v>
      </c>
      <c r="V163" s="528">
        <f>+T163*E163</f>
        <v>0.1</v>
      </c>
      <c r="W163" s="528">
        <f t="shared" si="138"/>
        <v>0</v>
      </c>
      <c r="X163" s="543">
        <f>+M163/F163</f>
        <v>0.5</v>
      </c>
      <c r="Y163" s="544">
        <f t="shared" si="136"/>
        <v>0.5</v>
      </c>
      <c r="Z163" s="543">
        <f>+X163*E163</f>
        <v>0.05</v>
      </c>
      <c r="AA163" s="544">
        <f>+Y163*E163</f>
        <v>0.05</v>
      </c>
      <c r="AB163" s="221" t="s">
        <v>43</v>
      </c>
      <c r="AC163" s="892" t="s">
        <v>227</v>
      </c>
      <c r="AD163" s="892" t="s">
        <v>38</v>
      </c>
      <c r="AE163" s="892" t="s">
        <v>39</v>
      </c>
      <c r="AF163" s="494"/>
      <c r="AG163" s="187"/>
      <c r="AH163" s="187"/>
      <c r="AI163" s="187"/>
    </row>
    <row r="164" spans="1:35" ht="183" customHeight="1" thickBot="1" x14ac:dyDescent="0.35">
      <c r="A164" s="331"/>
      <c r="B164" s="1070" t="s">
        <v>366</v>
      </c>
      <c r="C164" s="1070" t="s">
        <v>367</v>
      </c>
      <c r="D164" s="495" t="s">
        <v>103</v>
      </c>
      <c r="E164" s="1259">
        <v>0.1</v>
      </c>
      <c r="F164" s="568">
        <v>8</v>
      </c>
      <c r="G164" s="525">
        <v>2</v>
      </c>
      <c r="H164" s="525">
        <v>2</v>
      </c>
      <c r="I164" s="528">
        <f>+G164/F164</f>
        <v>0.25</v>
      </c>
      <c r="J164" s="528">
        <f>+H164/F164</f>
        <v>0.25</v>
      </c>
      <c r="K164" s="528">
        <f>+(G164/F164)*E164</f>
        <v>2.5000000000000001E-2</v>
      </c>
      <c r="L164" s="528">
        <f t="shared" si="128"/>
        <v>2.5000000000000001E-2</v>
      </c>
      <c r="M164" s="525">
        <v>2</v>
      </c>
      <c r="N164" s="576">
        <v>0</v>
      </c>
      <c r="O164" s="525">
        <v>3</v>
      </c>
      <c r="P164" s="525"/>
      <c r="Q164" s="525"/>
      <c r="R164" s="525">
        <f t="shared" si="129"/>
        <v>3</v>
      </c>
      <c r="S164" s="525">
        <f>+R164+M164</f>
        <v>5</v>
      </c>
      <c r="T164" s="528">
        <f>+(M164/G164)</f>
        <v>1</v>
      </c>
      <c r="U164" s="528">
        <v>1</v>
      </c>
      <c r="V164" s="528">
        <f>+T164*E164</f>
        <v>0.1</v>
      </c>
      <c r="W164" s="528">
        <f t="shared" si="138"/>
        <v>0.1</v>
      </c>
      <c r="X164" s="543">
        <f>+M164/F164</f>
        <v>0.25</v>
      </c>
      <c r="Y164" s="544">
        <f t="shared" si="136"/>
        <v>0.625</v>
      </c>
      <c r="Z164" s="543">
        <f>+X164*E164</f>
        <v>2.5000000000000001E-2</v>
      </c>
      <c r="AA164" s="544">
        <f>+Y164*E164</f>
        <v>6.25E-2</v>
      </c>
      <c r="AB164" s="221" t="s">
        <v>43</v>
      </c>
      <c r="AC164" s="892" t="s">
        <v>227</v>
      </c>
      <c r="AD164" s="892" t="s">
        <v>38</v>
      </c>
      <c r="AE164" s="892" t="s">
        <v>39</v>
      </c>
      <c r="AF164" s="494"/>
      <c r="AG164" s="187"/>
      <c r="AH164" s="187"/>
      <c r="AI164" s="187"/>
    </row>
    <row r="165" spans="1:35" ht="180.6" customHeight="1" thickBot="1" x14ac:dyDescent="0.35">
      <c r="A165" s="331"/>
      <c r="B165" s="1070" t="s">
        <v>368</v>
      </c>
      <c r="C165" s="1070" t="s">
        <v>369</v>
      </c>
      <c r="D165" s="495" t="s">
        <v>103</v>
      </c>
      <c r="E165" s="1259">
        <v>0.1</v>
      </c>
      <c r="F165" s="568">
        <v>8</v>
      </c>
      <c r="G165" s="525">
        <v>2</v>
      </c>
      <c r="H165" s="525">
        <v>2</v>
      </c>
      <c r="I165" s="528">
        <f>+G165/F165</f>
        <v>0.25</v>
      </c>
      <c r="J165" s="528">
        <f t="shared" si="126"/>
        <v>0.25</v>
      </c>
      <c r="K165" s="528">
        <f>+(G165/F165)*E165</f>
        <v>2.5000000000000001E-2</v>
      </c>
      <c r="L165" s="528">
        <f t="shared" si="128"/>
        <v>2.5000000000000001E-2</v>
      </c>
      <c r="M165" s="525">
        <v>2</v>
      </c>
      <c r="N165" s="576">
        <v>0</v>
      </c>
      <c r="O165" s="525">
        <v>1</v>
      </c>
      <c r="P165" s="525"/>
      <c r="Q165" s="525"/>
      <c r="R165" s="525">
        <f>+N165+O165+P165+Q165</f>
        <v>1</v>
      </c>
      <c r="S165" s="525">
        <f t="shared" si="131"/>
        <v>3</v>
      </c>
      <c r="T165" s="528">
        <f>+(M165/G165)</f>
        <v>1</v>
      </c>
      <c r="U165" s="528">
        <f t="shared" si="140"/>
        <v>0.5</v>
      </c>
      <c r="V165" s="528">
        <f>+T165*E165</f>
        <v>0.1</v>
      </c>
      <c r="W165" s="528">
        <f t="shared" si="138"/>
        <v>0.05</v>
      </c>
      <c r="X165" s="543">
        <f>+M165/F165</f>
        <v>0.25</v>
      </c>
      <c r="Y165" s="544">
        <f t="shared" si="136"/>
        <v>0.375</v>
      </c>
      <c r="Z165" s="543">
        <f>+X165*E165</f>
        <v>2.5000000000000001E-2</v>
      </c>
      <c r="AA165" s="544">
        <f>+Y165*E165</f>
        <v>3.7500000000000006E-2</v>
      </c>
      <c r="AB165" s="221" t="s">
        <v>43</v>
      </c>
      <c r="AC165" s="892" t="s">
        <v>227</v>
      </c>
      <c r="AD165" s="892" t="s">
        <v>38</v>
      </c>
      <c r="AE165" s="892" t="s">
        <v>39</v>
      </c>
      <c r="AF165" s="494"/>
      <c r="AG165" s="187"/>
      <c r="AH165" s="187"/>
      <c r="AI165" s="187"/>
    </row>
    <row r="166" spans="1:35" ht="144.6" customHeight="1" thickBot="1" x14ac:dyDescent="0.35">
      <c r="A166" s="331"/>
      <c r="B166" s="1284" t="s">
        <v>370</v>
      </c>
      <c r="C166" s="1285"/>
      <c r="D166" s="1258"/>
      <c r="E166" s="522">
        <v>0.05</v>
      </c>
      <c r="F166" s="568"/>
      <c r="G166" s="527"/>
      <c r="H166" s="527"/>
      <c r="I166" s="524"/>
      <c r="J166" s="524">
        <f>+AVERAGE(J167:J170)</f>
        <v>0.625</v>
      </c>
      <c r="K166" s="524">
        <f>+K167+K168+K169+K170</f>
        <v>0</v>
      </c>
      <c r="L166" s="524">
        <f>+L167+L168+L169+L170</f>
        <v>0.625</v>
      </c>
      <c r="M166" s="527"/>
      <c r="N166" s="527"/>
      <c r="O166" s="527"/>
      <c r="P166" s="527"/>
      <c r="Q166" s="527"/>
      <c r="R166" s="527"/>
      <c r="S166" s="527"/>
      <c r="T166" s="579"/>
      <c r="U166" s="579">
        <f>+AVERAGE(U167:U170)</f>
        <v>0.3</v>
      </c>
      <c r="V166" s="579"/>
      <c r="W166" s="579">
        <f>+(W167+W168+W169+W170)*E166</f>
        <v>1.3000000000000001E-2</v>
      </c>
      <c r="X166" s="539"/>
      <c r="Y166" s="599">
        <f>+AVERAGE(Y167:Y170)</f>
        <v>0.1125</v>
      </c>
      <c r="Z166" s="539">
        <f>+(Z167+Z168+Z169+Z170)*E166</f>
        <v>0</v>
      </c>
      <c r="AA166" s="599">
        <f>+(AA167+AA168+AA169+AA170)</f>
        <v>0.11</v>
      </c>
      <c r="AB166" s="215"/>
      <c r="AC166" s="917" t="s">
        <v>371</v>
      </c>
      <c r="AD166" s="917" t="s">
        <v>372</v>
      </c>
      <c r="AE166" s="494"/>
      <c r="AF166" s="494"/>
      <c r="AG166" s="187"/>
      <c r="AH166" s="187"/>
      <c r="AI166" s="187"/>
    </row>
    <row r="167" spans="1:35" ht="131.44999999999999" customHeight="1" thickBot="1" x14ac:dyDescent="0.35">
      <c r="A167" s="331"/>
      <c r="B167" s="1070" t="s">
        <v>373</v>
      </c>
      <c r="C167" s="1070" t="s">
        <v>374</v>
      </c>
      <c r="D167" s="495" t="s">
        <v>103</v>
      </c>
      <c r="E167" s="1259">
        <v>0.3</v>
      </c>
      <c r="F167" s="568">
        <v>4</v>
      </c>
      <c r="G167" s="525">
        <v>0</v>
      </c>
      <c r="H167" s="525">
        <v>1</v>
      </c>
      <c r="I167" s="528"/>
      <c r="J167" s="528">
        <f t="shared" si="126"/>
        <v>0.25</v>
      </c>
      <c r="K167" s="528">
        <f>+(G167/F167)*E167</f>
        <v>0</v>
      </c>
      <c r="L167" s="528">
        <f t="shared" si="128"/>
        <v>7.4999999999999997E-2</v>
      </c>
      <c r="M167" s="525"/>
      <c r="N167" s="576">
        <v>0</v>
      </c>
      <c r="O167" s="525">
        <v>0</v>
      </c>
      <c r="P167" s="525"/>
      <c r="Q167" s="525"/>
      <c r="R167" s="525">
        <f t="shared" si="129"/>
        <v>0</v>
      </c>
      <c r="S167" s="525">
        <f t="shared" si="131"/>
        <v>0</v>
      </c>
      <c r="T167" s="528"/>
      <c r="U167" s="528">
        <f t="shared" si="140"/>
        <v>0</v>
      </c>
      <c r="V167" s="528"/>
      <c r="W167" s="528">
        <f t="shared" si="138"/>
        <v>0</v>
      </c>
      <c r="X167" s="543"/>
      <c r="Y167" s="544">
        <f t="shared" si="136"/>
        <v>0</v>
      </c>
      <c r="Z167" s="543"/>
      <c r="AA167" s="544">
        <f t="shared" ref="AA167:AA169" si="141">+Y167*E167</f>
        <v>0</v>
      </c>
      <c r="AB167" s="221" t="s">
        <v>43</v>
      </c>
      <c r="AC167" s="897" t="s">
        <v>44</v>
      </c>
      <c r="AD167" s="892" t="s">
        <v>38</v>
      </c>
      <c r="AE167" s="892" t="s">
        <v>39</v>
      </c>
      <c r="AF167" s="494"/>
      <c r="AG167" s="187"/>
      <c r="AH167" s="187"/>
      <c r="AI167" s="187"/>
    </row>
    <row r="168" spans="1:35" ht="131.44999999999999" customHeight="1" thickBot="1" x14ac:dyDescent="0.35">
      <c r="A168" s="331"/>
      <c r="B168" s="1070" t="s">
        <v>375</v>
      </c>
      <c r="C168" s="1070" t="s">
        <v>376</v>
      </c>
      <c r="D168" s="495" t="s">
        <v>103</v>
      </c>
      <c r="E168" s="1259">
        <v>0.3</v>
      </c>
      <c r="F168" s="568">
        <v>1</v>
      </c>
      <c r="G168" s="525">
        <v>0</v>
      </c>
      <c r="H168" s="525">
        <v>1</v>
      </c>
      <c r="I168" s="528"/>
      <c r="J168" s="528">
        <f t="shared" si="126"/>
        <v>1</v>
      </c>
      <c r="K168" s="528">
        <f>+(G168/F168)*E168</f>
        <v>0</v>
      </c>
      <c r="L168" s="528">
        <f t="shared" si="128"/>
        <v>0.3</v>
      </c>
      <c r="M168" s="525"/>
      <c r="N168" s="576">
        <v>0</v>
      </c>
      <c r="O168" s="525">
        <v>0.2</v>
      </c>
      <c r="P168" s="525"/>
      <c r="Q168" s="525"/>
      <c r="R168" s="525">
        <f>+N168+O168+P168+Q168</f>
        <v>0.2</v>
      </c>
      <c r="S168" s="525">
        <f>+R168+M168</f>
        <v>0.2</v>
      </c>
      <c r="T168" s="528"/>
      <c r="U168" s="528">
        <f>+R168/H168</f>
        <v>0.2</v>
      </c>
      <c r="V168" s="528"/>
      <c r="W168" s="528">
        <f t="shared" si="138"/>
        <v>0.06</v>
      </c>
      <c r="X168" s="543"/>
      <c r="Y168" s="544">
        <f t="shared" si="136"/>
        <v>0.2</v>
      </c>
      <c r="Z168" s="543"/>
      <c r="AA168" s="544">
        <f t="shared" si="141"/>
        <v>0.06</v>
      </c>
      <c r="AB168" s="221" t="s">
        <v>43</v>
      </c>
      <c r="AC168" s="897" t="s">
        <v>44</v>
      </c>
      <c r="AD168" s="892" t="s">
        <v>38</v>
      </c>
      <c r="AE168" s="892" t="s">
        <v>39</v>
      </c>
      <c r="AF168" s="494"/>
      <c r="AG168" s="187"/>
      <c r="AH168" s="187"/>
      <c r="AI168" s="187"/>
    </row>
    <row r="169" spans="1:35" ht="131.44999999999999" customHeight="1" thickBot="1" x14ac:dyDescent="0.35">
      <c r="A169" s="331"/>
      <c r="B169" s="1070" t="s">
        <v>377</v>
      </c>
      <c r="C169" s="1070" t="s">
        <v>378</v>
      </c>
      <c r="D169" s="495" t="s">
        <v>103</v>
      </c>
      <c r="E169" s="1259">
        <v>0.2</v>
      </c>
      <c r="F169" s="568">
        <v>4</v>
      </c>
      <c r="G169" s="525">
        <v>0</v>
      </c>
      <c r="H169" s="525">
        <v>1</v>
      </c>
      <c r="I169" s="528"/>
      <c r="J169" s="528">
        <f t="shared" si="126"/>
        <v>0.25</v>
      </c>
      <c r="K169" s="528">
        <f t="shared" ref="K169:K170" si="142">+(G169/F169)*E169</f>
        <v>0</v>
      </c>
      <c r="L169" s="528">
        <f t="shared" si="128"/>
        <v>0.05</v>
      </c>
      <c r="M169" s="525"/>
      <c r="N169" s="576">
        <v>0</v>
      </c>
      <c r="O169" s="525">
        <v>1</v>
      </c>
      <c r="P169" s="525"/>
      <c r="Q169" s="525"/>
      <c r="R169" s="525">
        <f t="shared" si="129"/>
        <v>1</v>
      </c>
      <c r="S169" s="525">
        <f t="shared" si="131"/>
        <v>1</v>
      </c>
      <c r="T169" s="528"/>
      <c r="U169" s="528">
        <v>1</v>
      </c>
      <c r="V169" s="528"/>
      <c r="W169" s="528">
        <f t="shared" si="138"/>
        <v>0.2</v>
      </c>
      <c r="X169" s="543"/>
      <c r="Y169" s="544">
        <f t="shared" si="136"/>
        <v>0.25</v>
      </c>
      <c r="Z169" s="543"/>
      <c r="AA169" s="544">
        <f t="shared" si="141"/>
        <v>0.05</v>
      </c>
      <c r="AB169" s="221" t="s">
        <v>43</v>
      </c>
      <c r="AC169" s="897" t="s">
        <v>44</v>
      </c>
      <c r="AD169" s="892" t="s">
        <v>38</v>
      </c>
      <c r="AE169" s="892" t="s">
        <v>39</v>
      </c>
      <c r="AF169" s="494"/>
      <c r="AG169" s="187"/>
      <c r="AH169" s="187"/>
      <c r="AI169" s="187"/>
    </row>
    <row r="170" spans="1:35" ht="131.44999999999999" customHeight="1" thickBot="1" x14ac:dyDescent="0.35">
      <c r="A170" s="331"/>
      <c r="B170" s="1070" t="s">
        <v>379</v>
      </c>
      <c r="C170" s="1070" t="s">
        <v>380</v>
      </c>
      <c r="D170" s="495" t="s">
        <v>103</v>
      </c>
      <c r="E170" s="1259">
        <v>0.2</v>
      </c>
      <c r="F170" s="568">
        <v>1</v>
      </c>
      <c r="G170" s="525">
        <v>0</v>
      </c>
      <c r="H170" s="525">
        <v>1</v>
      </c>
      <c r="I170" s="528"/>
      <c r="J170" s="528">
        <f t="shared" si="126"/>
        <v>1</v>
      </c>
      <c r="K170" s="528">
        <f t="shared" si="142"/>
        <v>0</v>
      </c>
      <c r="L170" s="528">
        <f t="shared" si="128"/>
        <v>0.2</v>
      </c>
      <c r="M170" s="525"/>
      <c r="N170" s="576">
        <v>0</v>
      </c>
      <c r="O170" s="525">
        <v>0</v>
      </c>
      <c r="P170" s="525"/>
      <c r="Q170" s="525"/>
      <c r="R170" s="525">
        <f t="shared" si="129"/>
        <v>0</v>
      </c>
      <c r="S170" s="525">
        <f t="shared" si="131"/>
        <v>0</v>
      </c>
      <c r="T170" s="528"/>
      <c r="U170" s="528">
        <f t="shared" si="140"/>
        <v>0</v>
      </c>
      <c r="V170" s="528"/>
      <c r="W170" s="528">
        <f t="shared" si="138"/>
        <v>0</v>
      </c>
      <c r="X170" s="543"/>
      <c r="Y170" s="614">
        <f t="shared" si="136"/>
        <v>0</v>
      </c>
      <c r="Z170" s="543"/>
      <c r="AA170" s="544">
        <f>+Y170*E170</f>
        <v>0</v>
      </c>
      <c r="AB170" s="221" t="s">
        <v>43</v>
      </c>
      <c r="AC170" s="897" t="s">
        <v>44</v>
      </c>
      <c r="AD170" s="892" t="s">
        <v>38</v>
      </c>
      <c r="AE170" s="892" t="s">
        <v>39</v>
      </c>
      <c r="AF170" s="494"/>
      <c r="AG170" s="187"/>
      <c r="AH170" s="187"/>
      <c r="AI170" s="187"/>
    </row>
    <row r="171" spans="1:35" ht="93.6" customHeight="1" thickBot="1" x14ac:dyDescent="0.35">
      <c r="A171" s="331"/>
      <c r="B171" s="1286" t="s">
        <v>381</v>
      </c>
      <c r="C171" s="1285"/>
      <c r="D171" s="494"/>
      <c r="E171" s="529">
        <v>0.15</v>
      </c>
      <c r="F171" s="529">
        <f>+E171*V171</f>
        <v>9.5333068181818179E-2</v>
      </c>
      <c r="G171" s="527"/>
      <c r="H171" s="529">
        <f>E171*W171</f>
        <v>5.0120989392122582E-2</v>
      </c>
      <c r="I171" s="519">
        <f>+(I172+I175+I179+I184+I186+I192+I195+I199+I203+I206+I209)/11</f>
        <v>0.15789568518161531</v>
      </c>
      <c r="J171" s="519">
        <f>+(J172+J175+J179+J184+J186+J192+J195+J199+J203+J206+J209)/10</f>
        <v>0.32694532147021121</v>
      </c>
      <c r="K171" s="520">
        <f>+(K172+K175+K179+K184+K186+K192+K195+K199+K203+K206+K209)/11</f>
        <v>0.13500023925638274</v>
      </c>
      <c r="L171" s="520">
        <f>+(L172+L175+L179+L184+L186+L192+L195+L199+L203+L206+L209)/11</f>
        <v>0.29944978534279126</v>
      </c>
      <c r="M171" s="527"/>
      <c r="N171" s="527"/>
      <c r="O171" s="527"/>
      <c r="P171" s="527"/>
      <c r="Q171" s="527"/>
      <c r="R171" s="527"/>
      <c r="S171" s="527"/>
      <c r="T171" s="519">
        <f>+(T172+T175+T179+T184+T186+T192+T195+T199+T203+T206+T209)/11</f>
        <v>0.7831160468319559</v>
      </c>
      <c r="U171" s="565">
        <f>+(U172+U175+U179+U184+U186+U192+U195+U199+U203+U206+U209)/11</f>
        <v>0.38201341937174882</v>
      </c>
      <c r="V171" s="520">
        <f>+V172+V175+V179+V184+V186+V192+V195+V199+V203+V206+V209</f>
        <v>0.63555378787878791</v>
      </c>
      <c r="W171" s="898">
        <f>+W172+W175+W179+W184+W186+W192+W195+W199+W203+W206+W209</f>
        <v>0.33413992928081721</v>
      </c>
      <c r="X171" s="605">
        <f>+(X172+X175+X179+X184+X186+X192+X195+X199+X203+X206+X209)/11</f>
        <v>0.17228948927894114</v>
      </c>
      <c r="Y171" s="619">
        <f>+(Y172+Y175+Y179+Y184+Y186+Y192+Y195+Y199+Y203+Y206+Y209)/11</f>
        <v>0.28132744900710766</v>
      </c>
      <c r="Z171" s="597">
        <f>+Z172+Z175+Z179+Z184+Z186+Z192+Z195+Z199+Z203+Z206+Z209</f>
        <v>0.14750248083618644</v>
      </c>
      <c r="AA171" s="776">
        <f>+(AA172*E172)+(AA175*E175)+(AA179*E179)+(AA184*E184)+(AA186*E186)+(AA192*E192)+(AA195*E195)+(AA199*E199)+(AA203*E203)+(AA206*E206)+(AA209*E209)</f>
        <v>0.2790745770380203</v>
      </c>
      <c r="AB171" s="207"/>
      <c r="AC171" s="833" t="s">
        <v>382</v>
      </c>
      <c r="AD171" s="494"/>
      <c r="AE171" s="494"/>
      <c r="AF171" s="494"/>
      <c r="AG171" s="187"/>
      <c r="AH171" s="187"/>
      <c r="AI171" s="187"/>
    </row>
    <row r="172" spans="1:35" ht="57" customHeight="1" thickBot="1" x14ac:dyDescent="0.35">
      <c r="A172" s="331"/>
      <c r="B172" s="1284" t="s">
        <v>383</v>
      </c>
      <c r="C172" s="1285"/>
      <c r="D172" s="1258"/>
      <c r="E172" s="522">
        <v>0.05</v>
      </c>
      <c r="F172" s="568"/>
      <c r="G172" s="527"/>
      <c r="H172" s="527"/>
      <c r="I172" s="524">
        <f>+AVERAGE(I173:I174)</f>
        <v>0.125</v>
      </c>
      <c r="J172" s="524">
        <f>+AVERAGE(J173:J174)</f>
        <v>0.33096590909090906</v>
      </c>
      <c r="K172" s="524">
        <f>+K173+K174</f>
        <v>8.7499999999999994E-2</v>
      </c>
      <c r="L172" s="524">
        <f>+L173+L174</f>
        <v>0.33607954545454544</v>
      </c>
      <c r="M172" s="527"/>
      <c r="N172" s="527"/>
      <c r="O172" s="527"/>
      <c r="P172" s="527"/>
      <c r="Q172" s="527"/>
      <c r="R172" s="527"/>
      <c r="S172" s="527"/>
      <c r="T172" s="579">
        <f>+AVERAGE(T173:T174)</f>
        <v>1</v>
      </c>
      <c r="U172" s="579">
        <f>+AVERAGE(U173:U174)</f>
        <v>0.32301298701298697</v>
      </c>
      <c r="V172" s="579">
        <f>+(V173+V174)*E172</f>
        <v>3.4999999999999996E-2</v>
      </c>
      <c r="W172" s="579">
        <f>+(W173+W174)*E172</f>
        <v>1.6039480519480519E-2</v>
      </c>
      <c r="X172" s="539">
        <f>+AVERAGE(X173:X174)</f>
        <v>0.161</v>
      </c>
      <c r="Y172" s="611">
        <f>+AVERAGE(Y173:Y174)</f>
        <v>0.18733522727272728</v>
      </c>
      <c r="Z172" s="539">
        <f>+(Z173+Z174)*E172</f>
        <v>5.6350000000000003E-3</v>
      </c>
      <c r="AA172" s="599">
        <f>+(AA173+AA174)</f>
        <v>0.22045113636363634</v>
      </c>
      <c r="AB172" s="215"/>
      <c r="AC172" s="494"/>
      <c r="AD172" s="494"/>
      <c r="AE172" s="494"/>
      <c r="AF172" s="494"/>
      <c r="AG172" s="187"/>
      <c r="AH172" s="187"/>
      <c r="AI172" s="187"/>
    </row>
    <row r="173" spans="1:35" ht="103.15" customHeight="1" thickBot="1" x14ac:dyDescent="0.35">
      <c r="A173" s="331"/>
      <c r="B173" s="1070" t="s">
        <v>384</v>
      </c>
      <c r="C173" s="1070" t="s">
        <v>385</v>
      </c>
      <c r="D173" s="495" t="s">
        <v>386</v>
      </c>
      <c r="E173" s="1259">
        <v>0.7</v>
      </c>
      <c r="F173" s="568">
        <v>16000</v>
      </c>
      <c r="G173" s="525">
        <v>2000</v>
      </c>
      <c r="H173" s="525">
        <v>5500</v>
      </c>
      <c r="I173" s="528">
        <f>+G173/F173</f>
        <v>0.125</v>
      </c>
      <c r="J173" s="528">
        <f t="shared" ref="J173:J177" si="143">+H173/F173</f>
        <v>0.34375</v>
      </c>
      <c r="K173" s="528">
        <f>+(G173/F173)*E173</f>
        <v>8.7499999999999994E-2</v>
      </c>
      <c r="L173" s="528">
        <f t="shared" ref="L173:L193" si="144">+(H173/F173)*E173</f>
        <v>0.24062499999999998</v>
      </c>
      <c r="M173" s="525">
        <v>2576</v>
      </c>
      <c r="N173" s="576">
        <v>939</v>
      </c>
      <c r="O173" s="576">
        <v>807</v>
      </c>
      <c r="P173" s="525"/>
      <c r="Q173" s="525"/>
      <c r="R173" s="525">
        <f t="shared" ref="R173:R211" si="145">+N173+O173+P173+Q173</f>
        <v>1746</v>
      </c>
      <c r="S173" s="525">
        <f t="shared" ref="S173:S211" si="146">+R173+M173</f>
        <v>4322</v>
      </c>
      <c r="T173" s="528">
        <v>1</v>
      </c>
      <c r="U173" s="528">
        <f t="shared" ref="U173:U208" si="147">+R173/H173</f>
        <v>0.31745454545454543</v>
      </c>
      <c r="V173" s="528">
        <f>+T173*E173</f>
        <v>0.7</v>
      </c>
      <c r="W173" s="528">
        <f t="shared" ref="W173" si="148">+U173*E173</f>
        <v>0.22221818181818179</v>
      </c>
      <c r="X173" s="543">
        <f>+M173/F173</f>
        <v>0.161</v>
      </c>
      <c r="Y173" s="613">
        <f t="shared" ref="Y173:Y211" si="149">+S173/F173</f>
        <v>0.270125</v>
      </c>
      <c r="Z173" s="543">
        <f>+X173*E173</f>
        <v>0.11269999999999999</v>
      </c>
      <c r="AA173" s="544">
        <f>+Y173*E173</f>
        <v>0.18908749999999999</v>
      </c>
      <c r="AB173" s="221" t="s">
        <v>43</v>
      </c>
      <c r="AC173" s="832" t="s">
        <v>44</v>
      </c>
      <c r="AD173" s="832" t="s">
        <v>38</v>
      </c>
      <c r="AE173" s="832" t="s">
        <v>39</v>
      </c>
      <c r="AF173" s="494"/>
      <c r="AG173" s="187"/>
      <c r="AH173" s="187"/>
      <c r="AI173" s="187"/>
    </row>
    <row r="174" spans="1:35" ht="97.15" customHeight="1" thickBot="1" x14ac:dyDescent="0.35">
      <c r="A174" s="331"/>
      <c r="B174" s="1070" t="s">
        <v>387</v>
      </c>
      <c r="C174" s="1070" t="s">
        <v>388</v>
      </c>
      <c r="D174" s="495" t="s">
        <v>386</v>
      </c>
      <c r="E174" s="1259">
        <v>0.3</v>
      </c>
      <c r="F174" s="568">
        <v>2200</v>
      </c>
      <c r="G174" s="525">
        <v>0</v>
      </c>
      <c r="H174" s="525">
        <v>700</v>
      </c>
      <c r="I174" s="528"/>
      <c r="J174" s="528">
        <f t="shared" si="143"/>
        <v>0.31818181818181818</v>
      </c>
      <c r="K174" s="528"/>
      <c r="L174" s="528">
        <f t="shared" si="144"/>
        <v>9.5454545454545445E-2</v>
      </c>
      <c r="M174" s="525"/>
      <c r="N174" s="576">
        <v>9</v>
      </c>
      <c r="O174" s="576">
        <v>221</v>
      </c>
      <c r="P174" s="525"/>
      <c r="Q174" s="525"/>
      <c r="R174" s="525">
        <f t="shared" si="145"/>
        <v>230</v>
      </c>
      <c r="S174" s="525">
        <f t="shared" si="146"/>
        <v>230</v>
      </c>
      <c r="T174" s="528"/>
      <c r="U174" s="528">
        <f t="shared" si="147"/>
        <v>0.32857142857142857</v>
      </c>
      <c r="V174" s="528"/>
      <c r="W174" s="528">
        <f>+U174*E174</f>
        <v>9.8571428571428574E-2</v>
      </c>
      <c r="X174" s="543"/>
      <c r="Y174" s="620">
        <f t="shared" si="149"/>
        <v>0.10454545454545454</v>
      </c>
      <c r="Z174" s="543"/>
      <c r="AA174" s="607">
        <f>+Y174*E174</f>
        <v>3.1363636363636357E-2</v>
      </c>
      <c r="AB174" s="221" t="s">
        <v>43</v>
      </c>
      <c r="AC174" s="833" t="s">
        <v>389</v>
      </c>
      <c r="AD174" s="832" t="s">
        <v>38</v>
      </c>
      <c r="AE174" s="832" t="s">
        <v>39</v>
      </c>
      <c r="AF174" s="494"/>
      <c r="AG174" s="187"/>
      <c r="AH174" s="187"/>
      <c r="AI174" s="187"/>
    </row>
    <row r="175" spans="1:35" ht="87" customHeight="1" thickBot="1" x14ac:dyDescent="0.35">
      <c r="A175" s="331"/>
      <c r="B175" s="1284" t="s">
        <v>390</v>
      </c>
      <c r="C175" s="1285"/>
      <c r="D175" s="1258"/>
      <c r="E175" s="522">
        <v>0.1</v>
      </c>
      <c r="F175" s="568"/>
      <c r="G175" s="525"/>
      <c r="H175" s="531"/>
      <c r="I175" s="524">
        <f>+AVERAGE(I176:I178)</f>
        <v>0.30833333333333335</v>
      </c>
      <c r="J175" s="524">
        <f>+AVERAGE(J176:J178)</f>
        <v>0.48893333333333339</v>
      </c>
      <c r="K175" s="524">
        <f>+K176+K177+K178</f>
        <v>0.20500000000000002</v>
      </c>
      <c r="L175" s="524">
        <f>+L176+L177+L178</f>
        <v>0.46671999999999997</v>
      </c>
      <c r="M175" s="527"/>
      <c r="N175" s="527"/>
      <c r="O175" s="527"/>
      <c r="P175" s="527"/>
      <c r="Q175" s="527"/>
      <c r="R175" s="527"/>
      <c r="S175" s="527"/>
      <c r="T175" s="579">
        <f>+AVERAGE(T176:T178)</f>
        <v>1</v>
      </c>
      <c r="U175" s="579">
        <f>+AVERAGE(U176:U178)</f>
        <v>0.85490608862235551</v>
      </c>
      <c r="V175" s="579">
        <f>+(V176+V177+V178)*E175</f>
        <v>6.9999999999999993E-2</v>
      </c>
      <c r="W175" s="579">
        <f>+(W176+W177+W178)*E175</f>
        <v>8.4242897301349332E-2</v>
      </c>
      <c r="X175" s="539">
        <f>+AVERAGE(X176:X178)</f>
        <v>0.383075</v>
      </c>
      <c r="Y175" s="611">
        <f>+AVERAGE(Y176:Y178)</f>
        <v>0.70928888888888897</v>
      </c>
      <c r="Z175" s="539">
        <f>+(Z176+Z177+Z178)*E175</f>
        <v>2.6718500000000003E-2</v>
      </c>
      <c r="AA175" s="599">
        <f>+(AA176+AA177+AA178)</f>
        <v>0.69518000000000002</v>
      </c>
      <c r="AB175" s="215"/>
      <c r="AC175" s="494"/>
      <c r="AD175" s="494"/>
      <c r="AE175" s="494"/>
      <c r="AF175" s="494"/>
      <c r="AG175" s="187"/>
      <c r="AH175" s="187"/>
      <c r="AI175" s="187"/>
    </row>
    <row r="176" spans="1:35" ht="135" customHeight="1" thickBot="1" x14ac:dyDescent="0.35">
      <c r="A176" s="331"/>
      <c r="B176" s="1070" t="s">
        <v>391</v>
      </c>
      <c r="C176" s="1070" t="s">
        <v>392</v>
      </c>
      <c r="D176" s="495" t="s">
        <v>386</v>
      </c>
      <c r="E176" s="1259">
        <v>0.4</v>
      </c>
      <c r="F176" s="568">
        <v>5000</v>
      </c>
      <c r="G176" s="532">
        <v>1000</v>
      </c>
      <c r="H176" s="583">
        <v>1334</v>
      </c>
      <c r="I176" s="528">
        <f>+G176/F176</f>
        <v>0.2</v>
      </c>
      <c r="J176" s="528">
        <f>+H176/F176</f>
        <v>0.26679999999999998</v>
      </c>
      <c r="K176" s="528">
        <f>+(G176/F176)*E176</f>
        <v>8.0000000000000016E-2</v>
      </c>
      <c r="L176" s="528">
        <f t="shared" si="144"/>
        <v>0.10672</v>
      </c>
      <c r="M176" s="525">
        <v>1867</v>
      </c>
      <c r="N176" s="576">
        <v>618</v>
      </c>
      <c r="O176" s="576">
        <v>356</v>
      </c>
      <c r="P176" s="525"/>
      <c r="Q176" s="525"/>
      <c r="R176" s="525">
        <f t="shared" si="145"/>
        <v>974</v>
      </c>
      <c r="S176" s="525">
        <f t="shared" si="146"/>
        <v>2841</v>
      </c>
      <c r="T176" s="528">
        <v>1</v>
      </c>
      <c r="U176" s="528">
        <f t="shared" si="147"/>
        <v>0.73013493253373318</v>
      </c>
      <c r="V176" s="528">
        <f>+T176*E176</f>
        <v>0.4</v>
      </c>
      <c r="W176" s="528">
        <f t="shared" ref="W176:W208" si="150">+U176*E176</f>
        <v>0.29205397301349328</v>
      </c>
      <c r="X176" s="543">
        <f>+M176/F176</f>
        <v>0.37340000000000001</v>
      </c>
      <c r="Y176" s="613">
        <f t="shared" si="149"/>
        <v>0.56820000000000004</v>
      </c>
      <c r="Z176" s="543">
        <f>+X176*E176</f>
        <v>0.14936000000000002</v>
      </c>
      <c r="AA176" s="544">
        <f>+Y176*E176</f>
        <v>0.22728000000000004</v>
      </c>
      <c r="AB176" s="221" t="s">
        <v>43</v>
      </c>
      <c r="AC176" s="832" t="s">
        <v>44</v>
      </c>
      <c r="AD176" s="832" t="s">
        <v>38</v>
      </c>
      <c r="AE176" s="832" t="s">
        <v>39</v>
      </c>
      <c r="AF176" s="494"/>
      <c r="AG176" s="187"/>
      <c r="AH176" s="187"/>
      <c r="AI176" s="187"/>
    </row>
    <row r="177" spans="1:35" ht="135" customHeight="1" thickBot="1" x14ac:dyDescent="0.35">
      <c r="A177" s="331"/>
      <c r="B177" s="1070" t="s">
        <v>393</v>
      </c>
      <c r="C177" s="1070" t="s">
        <v>394</v>
      </c>
      <c r="D177" s="495" t="s">
        <v>386</v>
      </c>
      <c r="E177" s="1259">
        <v>0.3</v>
      </c>
      <c r="F177" s="568">
        <v>12000</v>
      </c>
      <c r="G177" s="532">
        <v>5000</v>
      </c>
      <c r="H177" s="583">
        <v>2400</v>
      </c>
      <c r="I177" s="528">
        <f>+G177/F177</f>
        <v>0.41666666666666669</v>
      </c>
      <c r="J177" s="528">
        <f t="shared" si="143"/>
        <v>0.2</v>
      </c>
      <c r="K177" s="528">
        <f>+(G177/F177)*E177</f>
        <v>0.125</v>
      </c>
      <c r="L177" s="528">
        <f t="shared" si="144"/>
        <v>0.06</v>
      </c>
      <c r="M177" s="525">
        <v>4713</v>
      </c>
      <c r="N177" s="576">
        <v>626</v>
      </c>
      <c r="O177" s="576">
        <v>1377</v>
      </c>
      <c r="P177" s="525"/>
      <c r="Q177" s="525"/>
      <c r="R177" s="525">
        <f t="shared" si="145"/>
        <v>2003</v>
      </c>
      <c r="S177" s="525">
        <f t="shared" si="146"/>
        <v>6716</v>
      </c>
      <c r="T177" s="528">
        <v>1</v>
      </c>
      <c r="U177" s="528">
        <f t="shared" si="147"/>
        <v>0.83458333333333334</v>
      </c>
      <c r="V177" s="528">
        <f>+T177*E177</f>
        <v>0.3</v>
      </c>
      <c r="W177" s="528">
        <f t="shared" si="150"/>
        <v>0.25037500000000001</v>
      </c>
      <c r="X177" s="543">
        <f>+M177/F177</f>
        <v>0.39274999999999999</v>
      </c>
      <c r="Y177" s="544">
        <f t="shared" si="149"/>
        <v>0.55966666666666665</v>
      </c>
      <c r="Z177" s="543">
        <f>+X177*E177</f>
        <v>0.11782499999999999</v>
      </c>
      <c r="AA177" s="544">
        <f>+Y177*E177</f>
        <v>0.16789999999999999</v>
      </c>
      <c r="AB177" s="221" t="s">
        <v>43</v>
      </c>
      <c r="AC177" s="832" t="s">
        <v>44</v>
      </c>
      <c r="AD177" s="832" t="s">
        <v>38</v>
      </c>
      <c r="AE177" s="832" t="s">
        <v>39</v>
      </c>
      <c r="AF177" s="494"/>
      <c r="AG177" s="187"/>
      <c r="AH177" s="187"/>
      <c r="AI177" s="187"/>
    </row>
    <row r="178" spans="1:35" ht="135" customHeight="1" thickBot="1" x14ac:dyDescent="0.35">
      <c r="A178" s="331"/>
      <c r="B178" s="1070" t="s">
        <v>395</v>
      </c>
      <c r="C178" s="1070" t="s">
        <v>396</v>
      </c>
      <c r="D178" s="495" t="s">
        <v>386</v>
      </c>
      <c r="E178" s="1259">
        <v>0.3</v>
      </c>
      <c r="F178" s="568">
        <v>1</v>
      </c>
      <c r="G178" s="532">
        <v>0</v>
      </c>
      <c r="H178" s="1248">
        <v>1</v>
      </c>
      <c r="I178" s="528"/>
      <c r="J178" s="528">
        <f>+H178/F178</f>
        <v>1</v>
      </c>
      <c r="K178" s="528"/>
      <c r="L178" s="528">
        <f t="shared" si="144"/>
        <v>0.3</v>
      </c>
      <c r="M178" s="525"/>
      <c r="N178" s="576">
        <v>0</v>
      </c>
      <c r="O178" s="576">
        <v>1</v>
      </c>
      <c r="P178" s="525"/>
      <c r="Q178" s="525"/>
      <c r="R178" s="525">
        <f t="shared" si="145"/>
        <v>1</v>
      </c>
      <c r="S178" s="525">
        <f t="shared" si="146"/>
        <v>1</v>
      </c>
      <c r="T178" s="528"/>
      <c r="U178" s="528">
        <f t="shared" si="147"/>
        <v>1</v>
      </c>
      <c r="V178" s="528"/>
      <c r="W178" s="528">
        <f t="shared" si="150"/>
        <v>0.3</v>
      </c>
      <c r="X178" s="543"/>
      <c r="Y178" s="544">
        <f t="shared" si="149"/>
        <v>1</v>
      </c>
      <c r="Z178" s="543"/>
      <c r="AA178" s="544">
        <f>+Y178*E178</f>
        <v>0.3</v>
      </c>
      <c r="AB178" s="221" t="s">
        <v>43</v>
      </c>
      <c r="AC178" s="833" t="s">
        <v>389</v>
      </c>
      <c r="AD178" s="832" t="s">
        <v>38</v>
      </c>
      <c r="AE178" s="832" t="s">
        <v>39</v>
      </c>
      <c r="AF178" s="494"/>
      <c r="AG178" s="187"/>
      <c r="AH178" s="187"/>
      <c r="AI178" s="187"/>
    </row>
    <row r="179" spans="1:35" ht="135" customHeight="1" thickBot="1" x14ac:dyDescent="0.35">
      <c r="A179" s="331"/>
      <c r="B179" s="1284" t="s">
        <v>397</v>
      </c>
      <c r="C179" s="1285"/>
      <c r="D179" s="1258"/>
      <c r="E179" s="522">
        <v>0.1</v>
      </c>
      <c r="F179" s="568"/>
      <c r="G179" s="525"/>
      <c r="H179" s="561"/>
      <c r="I179" s="524">
        <f>+AVERAGE(I180:I183)</f>
        <v>0.1752103260310604</v>
      </c>
      <c r="J179" s="524">
        <f>+AVERAGE(J180:J183)</f>
        <v>0.31178031471767975</v>
      </c>
      <c r="K179" s="524">
        <f>+K180+K181+K182+K183</f>
        <v>0.17445397511056257</v>
      </c>
      <c r="L179" s="524">
        <f>+L180+L181+L182+L183</f>
        <v>0.31513853748842946</v>
      </c>
      <c r="M179" s="525"/>
      <c r="N179" s="525"/>
      <c r="O179" s="525"/>
      <c r="P179" s="525"/>
      <c r="Q179" s="525"/>
      <c r="R179" s="525"/>
      <c r="S179" s="525"/>
      <c r="T179" s="579">
        <f>+AVERAGE(T180:T183)</f>
        <v>0.62594318181818176</v>
      </c>
      <c r="U179" s="579">
        <f>+AVERAGE(U180:U183)</f>
        <v>0.31557499999999999</v>
      </c>
      <c r="V179" s="579">
        <f>+(V180+V181+V182+V183)*E179</f>
        <v>6.9720454545454544E-2</v>
      </c>
      <c r="W179" s="579">
        <f>+(W180+W181+W182+W183)*F179</f>
        <v>0</v>
      </c>
      <c r="X179" s="539">
        <f>+AVERAGE(X180:X183)</f>
        <v>0.1083654494497583</v>
      </c>
      <c r="Y179" s="611">
        <f>+AVERAGE(Y180:Y183)</f>
        <v>0.20480867479173093</v>
      </c>
      <c r="Z179" s="539">
        <f>+(Z180+Z181+Z182+Z183)*E179</f>
        <v>1.2047093098837808E-2</v>
      </c>
      <c r="AA179" s="599">
        <f>+(AA180+AA181+AA182+AA183)</f>
        <v>0.22222551126195619</v>
      </c>
      <c r="AB179" s="215"/>
      <c r="AC179" s="494"/>
      <c r="AD179" s="494"/>
      <c r="AE179" s="494"/>
      <c r="AF179" s="494"/>
      <c r="AG179" s="187"/>
      <c r="AH179" s="187"/>
      <c r="AI179" s="187"/>
    </row>
    <row r="180" spans="1:35" ht="135" customHeight="1" thickBot="1" x14ac:dyDescent="0.35">
      <c r="A180" s="331"/>
      <c r="B180" s="1070" t="s">
        <v>398</v>
      </c>
      <c r="C180" s="1070" t="s">
        <v>399</v>
      </c>
      <c r="D180" s="495" t="s">
        <v>386</v>
      </c>
      <c r="E180" s="1259">
        <v>0.2</v>
      </c>
      <c r="F180" s="568">
        <v>5556</v>
      </c>
      <c r="G180" s="525">
        <v>1100</v>
      </c>
      <c r="H180" s="525">
        <v>1500</v>
      </c>
      <c r="I180" s="528">
        <f>+G180/F180</f>
        <v>0.19798416126709864</v>
      </c>
      <c r="J180" s="528">
        <f t="shared" ref="J180:J193" si="151">+H180/F180</f>
        <v>0.26997840172786175</v>
      </c>
      <c r="K180" s="528">
        <f>+(G180/F180)*E180</f>
        <v>3.9596832253419728E-2</v>
      </c>
      <c r="L180" s="528">
        <f t="shared" si="144"/>
        <v>5.3995680345572353E-2</v>
      </c>
      <c r="M180" s="525">
        <v>272</v>
      </c>
      <c r="N180" s="594">
        <v>402</v>
      </c>
      <c r="O180" s="594">
        <v>91</v>
      </c>
      <c r="P180" s="525"/>
      <c r="Q180" s="525"/>
      <c r="R180" s="525">
        <f>+N180+O180+P180+Q180</f>
        <v>493</v>
      </c>
      <c r="S180" s="525">
        <f>+R180+M180</f>
        <v>765</v>
      </c>
      <c r="T180" s="528">
        <f>+(M180/G180)</f>
        <v>0.24727272727272728</v>
      </c>
      <c r="U180" s="528">
        <f t="shared" si="147"/>
        <v>0.32866666666666666</v>
      </c>
      <c r="V180" s="528">
        <f>+T180*E180</f>
        <v>4.9454545454545459E-2</v>
      </c>
      <c r="W180" s="528">
        <f t="shared" si="150"/>
        <v>6.5733333333333338E-2</v>
      </c>
      <c r="X180" s="543">
        <f>+M180/F180</f>
        <v>4.8956083513318933E-2</v>
      </c>
      <c r="Y180" s="613">
        <f t="shared" si="149"/>
        <v>0.13768898488120951</v>
      </c>
      <c r="Z180" s="543">
        <f>+X180*E180</f>
        <v>9.7912167026637867E-3</v>
      </c>
      <c r="AA180" s="544">
        <f>+Y180*E180</f>
        <v>2.7537796976241903E-2</v>
      </c>
      <c r="AB180" s="221" t="s">
        <v>43</v>
      </c>
      <c r="AC180" s="832" t="s">
        <v>44</v>
      </c>
      <c r="AD180" s="832" t="s">
        <v>38</v>
      </c>
      <c r="AE180" s="832" t="s">
        <v>39</v>
      </c>
      <c r="AF180" s="494"/>
      <c r="AG180" s="187"/>
      <c r="AH180" s="187"/>
      <c r="AI180" s="187"/>
    </row>
    <row r="181" spans="1:35" ht="135" customHeight="1" thickBot="1" x14ac:dyDescent="0.35">
      <c r="A181" s="331"/>
      <c r="B181" s="1070" t="s">
        <v>400</v>
      </c>
      <c r="C181" s="1070" t="s">
        <v>401</v>
      </c>
      <c r="D181" s="495" t="s">
        <v>386</v>
      </c>
      <c r="E181" s="1259">
        <v>0.3</v>
      </c>
      <c r="F181" s="568">
        <v>14000</v>
      </c>
      <c r="G181" s="525">
        <v>2000</v>
      </c>
      <c r="H181" s="525">
        <v>5000</v>
      </c>
      <c r="I181" s="528">
        <f>+G181/F181</f>
        <v>0.14285714285714285</v>
      </c>
      <c r="J181" s="528">
        <f t="shared" si="151"/>
        <v>0.35714285714285715</v>
      </c>
      <c r="K181" s="528">
        <f>+(G181/F181)*E181</f>
        <v>4.2857142857142851E-2</v>
      </c>
      <c r="L181" s="528">
        <f t="shared" si="144"/>
        <v>0.10714285714285714</v>
      </c>
      <c r="M181" s="525">
        <v>1929</v>
      </c>
      <c r="N181" s="594">
        <v>145</v>
      </c>
      <c r="O181" s="594">
        <v>1059</v>
      </c>
      <c r="P181" s="525"/>
      <c r="Q181" s="525"/>
      <c r="R181" s="525">
        <f t="shared" si="145"/>
        <v>1204</v>
      </c>
      <c r="S181" s="525">
        <f t="shared" si="146"/>
        <v>3133</v>
      </c>
      <c r="T181" s="528">
        <f>+(M181/G181)</f>
        <v>0.96450000000000002</v>
      </c>
      <c r="U181" s="528">
        <f t="shared" si="147"/>
        <v>0.24079999999999999</v>
      </c>
      <c r="V181" s="528">
        <f>+T181*E181</f>
        <v>0.28935</v>
      </c>
      <c r="W181" s="528">
        <f t="shared" si="150"/>
        <v>7.2239999999999999E-2</v>
      </c>
      <c r="X181" s="543">
        <f>+M181/F181</f>
        <v>0.13778571428571429</v>
      </c>
      <c r="Y181" s="544">
        <f t="shared" si="149"/>
        <v>0.22378571428571428</v>
      </c>
      <c r="Z181" s="543">
        <f>+X181*E181</f>
        <v>4.1335714285714288E-2</v>
      </c>
      <c r="AA181" s="544">
        <f>+Y181*E181</f>
        <v>6.7135714285714285E-2</v>
      </c>
      <c r="AB181" s="221" t="s">
        <v>43</v>
      </c>
      <c r="AC181" s="832" t="s">
        <v>44</v>
      </c>
      <c r="AD181" s="832" t="s">
        <v>38</v>
      </c>
      <c r="AE181" s="832" t="s">
        <v>39</v>
      </c>
      <c r="AF181" s="494"/>
      <c r="AG181" s="187"/>
      <c r="AH181" s="187"/>
      <c r="AI181" s="187"/>
    </row>
    <row r="182" spans="1:35" ht="135" customHeight="1" thickBot="1" x14ac:dyDescent="0.35">
      <c r="A182" s="331"/>
      <c r="B182" s="1070" t="s">
        <v>402</v>
      </c>
      <c r="C182" s="1070" t="s">
        <v>403</v>
      </c>
      <c r="D182" s="495" t="s">
        <v>386</v>
      </c>
      <c r="E182" s="1259">
        <v>0.2</v>
      </c>
      <c r="F182" s="568">
        <v>25000</v>
      </c>
      <c r="G182" s="525">
        <v>4000</v>
      </c>
      <c r="H182" s="525">
        <v>8000</v>
      </c>
      <c r="I182" s="528">
        <f>+G182/F182</f>
        <v>0.16</v>
      </c>
      <c r="J182" s="528">
        <f t="shared" si="151"/>
        <v>0.32</v>
      </c>
      <c r="K182" s="528">
        <f>+(G182/F182)*E182</f>
        <v>3.2000000000000001E-2</v>
      </c>
      <c r="L182" s="528">
        <f t="shared" si="144"/>
        <v>6.4000000000000001E-2</v>
      </c>
      <c r="M182" s="525">
        <v>1168</v>
      </c>
      <c r="N182" s="594">
        <v>401</v>
      </c>
      <c r="O182" s="594">
        <v>875</v>
      </c>
      <c r="P182" s="525"/>
      <c r="Q182" s="525"/>
      <c r="R182" s="525">
        <f t="shared" si="145"/>
        <v>1276</v>
      </c>
      <c r="S182" s="525">
        <f t="shared" si="146"/>
        <v>2444</v>
      </c>
      <c r="T182" s="528">
        <f>+(M182/G182)</f>
        <v>0.29199999999999998</v>
      </c>
      <c r="U182" s="528">
        <f t="shared" si="147"/>
        <v>0.1595</v>
      </c>
      <c r="V182" s="528">
        <f>+T182*E182</f>
        <v>5.8400000000000001E-2</v>
      </c>
      <c r="W182" s="528">
        <f t="shared" si="150"/>
        <v>3.1900000000000005E-2</v>
      </c>
      <c r="X182" s="543">
        <f>+M182/F182</f>
        <v>4.6719999999999998E-2</v>
      </c>
      <c r="Y182" s="544">
        <f t="shared" si="149"/>
        <v>9.776E-2</v>
      </c>
      <c r="Z182" s="543">
        <f>+X182*E182</f>
        <v>9.3439999999999999E-3</v>
      </c>
      <c r="AA182" s="544">
        <f>+Y182*E182</f>
        <v>1.9552E-2</v>
      </c>
      <c r="AB182" s="221" t="s">
        <v>43</v>
      </c>
      <c r="AC182" s="832" t="s">
        <v>44</v>
      </c>
      <c r="AD182" s="832" t="s">
        <v>38</v>
      </c>
      <c r="AE182" s="832" t="s">
        <v>39</v>
      </c>
      <c r="AF182" s="494"/>
      <c r="AG182" s="187"/>
      <c r="AH182" s="187"/>
      <c r="AI182" s="187"/>
    </row>
    <row r="183" spans="1:35" ht="135" customHeight="1" thickBot="1" x14ac:dyDescent="0.35">
      <c r="A183" s="331"/>
      <c r="B183" s="1070" t="s">
        <v>404</v>
      </c>
      <c r="C183" s="1070" t="s">
        <v>405</v>
      </c>
      <c r="D183" s="495" t="s">
        <v>386</v>
      </c>
      <c r="E183" s="1259">
        <v>0.3</v>
      </c>
      <c r="F183" s="568">
        <v>50</v>
      </c>
      <c r="G183" s="525">
        <v>10</v>
      </c>
      <c r="H183" s="525">
        <v>15</v>
      </c>
      <c r="I183" s="528">
        <f>+G183/F183</f>
        <v>0.2</v>
      </c>
      <c r="J183" s="528">
        <f t="shared" si="151"/>
        <v>0.3</v>
      </c>
      <c r="K183" s="528">
        <f>+(G183/F183)*E183</f>
        <v>0.06</v>
      </c>
      <c r="L183" s="528">
        <f t="shared" si="144"/>
        <v>0.09</v>
      </c>
      <c r="M183" s="525">
        <v>10</v>
      </c>
      <c r="N183" s="594">
        <v>0</v>
      </c>
      <c r="O183" s="594">
        <v>8</v>
      </c>
      <c r="P183" s="525"/>
      <c r="Q183" s="525"/>
      <c r="R183" s="525">
        <f t="shared" si="145"/>
        <v>8</v>
      </c>
      <c r="S183" s="525">
        <f t="shared" si="146"/>
        <v>18</v>
      </c>
      <c r="T183" s="528">
        <f>+(M183/G183)</f>
        <v>1</v>
      </c>
      <c r="U183" s="528">
        <f t="shared" si="147"/>
        <v>0.53333333333333333</v>
      </c>
      <c r="V183" s="528">
        <f>+T183*E183</f>
        <v>0.3</v>
      </c>
      <c r="W183" s="528">
        <f t="shared" si="150"/>
        <v>0.16</v>
      </c>
      <c r="X183" s="543">
        <f>+M183/F183</f>
        <v>0.2</v>
      </c>
      <c r="Y183" s="614">
        <f t="shared" si="149"/>
        <v>0.36</v>
      </c>
      <c r="Z183" s="543">
        <f>+X183*E183</f>
        <v>0.06</v>
      </c>
      <c r="AA183" s="544">
        <f>+Y183*E183</f>
        <v>0.108</v>
      </c>
      <c r="AB183" s="221" t="s">
        <v>43</v>
      </c>
      <c r="AC183" s="832" t="s">
        <v>44</v>
      </c>
      <c r="AD183" s="832" t="s">
        <v>38</v>
      </c>
      <c r="AE183" s="832" t="s">
        <v>39</v>
      </c>
      <c r="AF183" s="494"/>
      <c r="AG183" s="187"/>
      <c r="AH183" s="187"/>
      <c r="AI183" s="187"/>
    </row>
    <row r="184" spans="1:35" ht="135" customHeight="1" thickBot="1" x14ac:dyDescent="0.35">
      <c r="A184" s="331"/>
      <c r="B184" s="1284" t="s">
        <v>406</v>
      </c>
      <c r="C184" s="1285"/>
      <c r="D184" s="1258"/>
      <c r="E184" s="522">
        <v>0.1</v>
      </c>
      <c r="F184" s="568"/>
      <c r="G184" s="525"/>
      <c r="H184" s="525"/>
      <c r="I184" s="524">
        <f>+AVERAGE(I185)</f>
        <v>4.2000000000000003E-2</v>
      </c>
      <c r="J184" s="524">
        <f>+AVERAGE(J185)</f>
        <v>0.33</v>
      </c>
      <c r="K184" s="524">
        <f>+K185</f>
        <v>4.2000000000000003E-2</v>
      </c>
      <c r="L184" s="524">
        <f>+L185</f>
        <v>0.33</v>
      </c>
      <c r="M184" s="527"/>
      <c r="N184" s="527"/>
      <c r="O184" s="527"/>
      <c r="P184" s="527"/>
      <c r="Q184" s="527"/>
      <c r="R184" s="527"/>
      <c r="S184" s="527"/>
      <c r="T184" s="579">
        <f>+AVERAGE(T185)</f>
        <v>0</v>
      </c>
      <c r="U184" s="579">
        <f>+AVERAGE(U185)</f>
        <v>0.19212121212121211</v>
      </c>
      <c r="V184" s="579">
        <f>+(V185)*E184</f>
        <v>0</v>
      </c>
      <c r="W184" s="579">
        <f>+(W185)*E184</f>
        <v>1.9212121212121212E-2</v>
      </c>
      <c r="X184" s="539">
        <f>+AVERAGE(X185)</f>
        <v>0</v>
      </c>
      <c r="Y184" s="611">
        <f>+AVERAGE(Y185)</f>
        <v>6.3399999999999998E-2</v>
      </c>
      <c r="Z184" s="539">
        <f>+(Z185)*E184</f>
        <v>0</v>
      </c>
      <c r="AA184" s="599">
        <f>+(AA185)</f>
        <v>6.3399999999999998E-2</v>
      </c>
      <c r="AB184" s="215"/>
      <c r="AC184" s="494"/>
      <c r="AD184" s="494"/>
      <c r="AE184" s="494"/>
      <c r="AF184" s="494"/>
      <c r="AG184" s="187"/>
      <c r="AH184" s="187"/>
      <c r="AI184" s="187"/>
    </row>
    <row r="185" spans="1:35" ht="135" customHeight="1" thickBot="1" x14ac:dyDescent="0.35">
      <c r="A185" s="331"/>
      <c r="B185" s="1070" t="s">
        <v>407</v>
      </c>
      <c r="C185" s="1070" t="s">
        <v>408</v>
      </c>
      <c r="D185" s="495" t="s">
        <v>386</v>
      </c>
      <c r="E185" s="1259">
        <v>1</v>
      </c>
      <c r="F185" s="568">
        <v>5000</v>
      </c>
      <c r="G185" s="525">
        <v>210</v>
      </c>
      <c r="H185" s="315">
        <v>1650</v>
      </c>
      <c r="I185" s="528">
        <f>+G185/F185</f>
        <v>4.2000000000000003E-2</v>
      </c>
      <c r="J185" s="528">
        <f t="shared" si="151"/>
        <v>0.33</v>
      </c>
      <c r="K185" s="528">
        <f>+(G185/F185)*E185</f>
        <v>4.2000000000000003E-2</v>
      </c>
      <c r="L185" s="528">
        <f t="shared" si="144"/>
        <v>0.33</v>
      </c>
      <c r="M185" s="525">
        <v>0</v>
      </c>
      <c r="N185" s="594">
        <v>0</v>
      </c>
      <c r="O185" s="594">
        <v>317</v>
      </c>
      <c r="P185" s="525"/>
      <c r="Q185" s="525"/>
      <c r="R185" s="525">
        <f t="shared" si="145"/>
        <v>317</v>
      </c>
      <c r="S185" s="525">
        <f t="shared" si="146"/>
        <v>317</v>
      </c>
      <c r="T185" s="528">
        <f>+(M185/G185)</f>
        <v>0</v>
      </c>
      <c r="U185" s="528">
        <f t="shared" si="147"/>
        <v>0.19212121212121211</v>
      </c>
      <c r="V185" s="528">
        <f>+T185*E185</f>
        <v>0</v>
      </c>
      <c r="W185" s="528">
        <f t="shared" si="150"/>
        <v>0.19212121212121211</v>
      </c>
      <c r="X185" s="543">
        <f>+M185/F185</f>
        <v>0</v>
      </c>
      <c r="Y185" s="620">
        <f t="shared" si="149"/>
        <v>6.3399999999999998E-2</v>
      </c>
      <c r="Z185" s="543">
        <f>+X185*E185</f>
        <v>0</v>
      </c>
      <c r="AA185" s="544">
        <f>+Y185*E185</f>
        <v>6.3399999999999998E-2</v>
      </c>
      <c r="AB185" s="221" t="s">
        <v>43</v>
      </c>
      <c r="AC185" s="832" t="s">
        <v>44</v>
      </c>
      <c r="AD185" s="832" t="s">
        <v>38</v>
      </c>
      <c r="AE185" s="832" t="s">
        <v>39</v>
      </c>
      <c r="AF185" s="494"/>
      <c r="AG185" s="187"/>
      <c r="AH185" s="187"/>
      <c r="AI185" s="187"/>
    </row>
    <row r="186" spans="1:35" ht="135" customHeight="1" thickBot="1" x14ac:dyDescent="0.35">
      <c r="A186" s="331"/>
      <c r="B186" s="1284" t="s">
        <v>409</v>
      </c>
      <c r="C186" s="1285"/>
      <c r="D186" s="1258"/>
      <c r="E186" s="522">
        <v>0.1</v>
      </c>
      <c r="F186" s="568"/>
      <c r="G186" s="525"/>
      <c r="H186" s="525"/>
      <c r="I186" s="524">
        <f>+AVERAGE(I187:I191)</f>
        <v>0.13873355263157894</v>
      </c>
      <c r="J186" s="524">
        <f>+AVERAGE(J187:J191)</f>
        <v>0.30382894736842103</v>
      </c>
      <c r="K186" s="524">
        <f>+K187+K188+K189+K190+K191</f>
        <v>0.11001315789473685</v>
      </c>
      <c r="L186" s="524">
        <f>+L187+L188+L189+L190+L191</f>
        <v>0.30417105263157895</v>
      </c>
      <c r="M186" s="527"/>
      <c r="N186" s="527"/>
      <c r="O186" s="527"/>
      <c r="P186" s="527"/>
      <c r="Q186" s="527"/>
      <c r="R186" s="527"/>
      <c r="S186" s="527"/>
      <c r="T186" s="579">
        <f>+AVERAGE(T187:T191)</f>
        <v>1</v>
      </c>
      <c r="U186" s="579">
        <f>+AVERAGE(U187:U191)</f>
        <v>0.1728947209653092</v>
      </c>
      <c r="V186" s="579">
        <f>+(V187+V188+V189+V190+V191)*E186</f>
        <v>8.0000000000000016E-2</v>
      </c>
      <c r="W186" s="579">
        <f>+(W187+W188+W189+W190+W191)*E186</f>
        <v>1.7412289592760182E-2</v>
      </c>
      <c r="X186" s="539">
        <f>+AVERAGE(X187:X191)</f>
        <v>0.18213075657894739</v>
      </c>
      <c r="Y186" s="611">
        <f>+AVERAGE(Y187:Y191)</f>
        <v>0.19610328947368422</v>
      </c>
      <c r="Z186" s="539">
        <f>+(Z187+Z188+Z189+Z190+Z191)*E186</f>
        <v>1.4271164473684213E-2</v>
      </c>
      <c r="AA186" s="599">
        <f>+(AA187+AA188+AA189+AA190+AA191)</f>
        <v>0.19356046052631579</v>
      </c>
      <c r="AB186" s="215"/>
      <c r="AC186" s="494"/>
      <c r="AD186" s="494"/>
      <c r="AE186" s="494"/>
      <c r="AF186" s="494"/>
      <c r="AG186" s="187"/>
      <c r="AH186" s="187"/>
      <c r="AI186" s="187"/>
    </row>
    <row r="187" spans="1:35" ht="135" customHeight="1" thickBot="1" x14ac:dyDescent="0.35">
      <c r="A187" s="331"/>
      <c r="B187" s="1070" t="s">
        <v>410</v>
      </c>
      <c r="C187" s="1070" t="s">
        <v>411</v>
      </c>
      <c r="D187" s="495" t="s">
        <v>386</v>
      </c>
      <c r="E187" s="1259">
        <v>0.24</v>
      </c>
      <c r="F187" s="568">
        <v>8000</v>
      </c>
      <c r="G187" s="525">
        <v>350</v>
      </c>
      <c r="H187" s="525">
        <v>2550</v>
      </c>
      <c r="I187" s="528">
        <f>+G187/F187</f>
        <v>4.3749999999999997E-2</v>
      </c>
      <c r="J187" s="528">
        <f t="shared" si="151"/>
        <v>0.31874999999999998</v>
      </c>
      <c r="K187" s="528">
        <f>+(G187/F187)*E187</f>
        <v>1.0499999999999999E-2</v>
      </c>
      <c r="L187" s="528">
        <f t="shared" si="144"/>
        <v>7.6499999999999999E-2</v>
      </c>
      <c r="M187" s="525">
        <v>477</v>
      </c>
      <c r="N187" s="594">
        <v>32</v>
      </c>
      <c r="O187" s="594">
        <v>500</v>
      </c>
      <c r="P187" s="525"/>
      <c r="Q187" s="525"/>
      <c r="R187" s="525">
        <f t="shared" si="145"/>
        <v>532</v>
      </c>
      <c r="S187" s="525">
        <f t="shared" si="146"/>
        <v>1009</v>
      </c>
      <c r="T187" s="528">
        <v>1</v>
      </c>
      <c r="U187" s="556">
        <f t="shared" si="147"/>
        <v>0.20862745098039215</v>
      </c>
      <c r="V187" s="556">
        <f>+T187*E187</f>
        <v>0.24</v>
      </c>
      <c r="W187" s="556">
        <f t="shared" si="150"/>
        <v>5.0070588235294117E-2</v>
      </c>
      <c r="X187" s="606">
        <f>+M187/F187</f>
        <v>5.9624999999999997E-2</v>
      </c>
      <c r="Y187" s="615">
        <f>+S187/F187</f>
        <v>0.12612499999999999</v>
      </c>
      <c r="Z187" s="606">
        <f>+X187*E187</f>
        <v>1.4309999999999998E-2</v>
      </c>
      <c r="AA187" s="607">
        <f>+Y187*E187</f>
        <v>3.0269999999999995E-2</v>
      </c>
      <c r="AB187" s="221" t="s">
        <v>43</v>
      </c>
      <c r="AC187" s="832" t="s">
        <v>44</v>
      </c>
      <c r="AD187" s="832" t="s">
        <v>38</v>
      </c>
      <c r="AE187" s="832" t="s">
        <v>39</v>
      </c>
      <c r="AF187" s="494"/>
      <c r="AG187" s="187"/>
      <c r="AH187" s="187"/>
      <c r="AI187" s="187"/>
    </row>
    <row r="188" spans="1:35" ht="135" customHeight="1" thickBot="1" x14ac:dyDescent="0.35">
      <c r="A188" s="331"/>
      <c r="B188" s="1070" t="s">
        <v>412</v>
      </c>
      <c r="C188" s="1070" t="s">
        <v>413</v>
      </c>
      <c r="D188" s="495" t="s">
        <v>386</v>
      </c>
      <c r="E188" s="1259">
        <v>0.2</v>
      </c>
      <c r="F188" s="568">
        <v>1</v>
      </c>
      <c r="G188" s="525">
        <v>0</v>
      </c>
      <c r="H188" s="525">
        <v>0.33</v>
      </c>
      <c r="I188" s="528"/>
      <c r="J188" s="528">
        <f t="shared" si="151"/>
        <v>0.33</v>
      </c>
      <c r="K188" s="528"/>
      <c r="L188" s="528">
        <f t="shared" si="144"/>
        <v>6.6000000000000003E-2</v>
      </c>
      <c r="M188" s="525"/>
      <c r="N188" s="594">
        <v>0</v>
      </c>
      <c r="O188" s="594">
        <v>0</v>
      </c>
      <c r="P188" s="525"/>
      <c r="Q188" s="525"/>
      <c r="R188" s="525">
        <f t="shared" si="145"/>
        <v>0</v>
      </c>
      <c r="S188" s="525">
        <f t="shared" si="146"/>
        <v>0</v>
      </c>
      <c r="T188" s="528"/>
      <c r="U188" s="556">
        <f t="shared" si="147"/>
        <v>0</v>
      </c>
      <c r="V188" s="556"/>
      <c r="W188" s="556">
        <f t="shared" si="150"/>
        <v>0</v>
      </c>
      <c r="X188" s="606"/>
      <c r="Y188" s="615">
        <f t="shared" si="149"/>
        <v>0</v>
      </c>
      <c r="Z188" s="606"/>
      <c r="AA188" s="607">
        <f>+Y188*E188</f>
        <v>0</v>
      </c>
      <c r="AB188" s="221" t="s">
        <v>43</v>
      </c>
      <c r="AC188" s="833" t="s">
        <v>414</v>
      </c>
      <c r="AD188" s="832" t="s">
        <v>38</v>
      </c>
      <c r="AE188" s="832" t="s">
        <v>39</v>
      </c>
      <c r="AF188" s="494"/>
      <c r="AG188" s="187"/>
      <c r="AH188" s="187"/>
      <c r="AI188" s="187"/>
    </row>
    <row r="189" spans="1:35" ht="135" customHeight="1" thickBot="1" x14ac:dyDescent="0.35">
      <c r="A189" s="331"/>
      <c r="B189" s="1070" t="s">
        <v>415</v>
      </c>
      <c r="C189" s="1070" t="s">
        <v>416</v>
      </c>
      <c r="D189" s="495" t="s">
        <v>386</v>
      </c>
      <c r="E189" s="1259">
        <v>0.18</v>
      </c>
      <c r="F189" s="568">
        <v>3800</v>
      </c>
      <c r="G189" s="525">
        <v>280</v>
      </c>
      <c r="H189" s="525">
        <v>1170</v>
      </c>
      <c r="I189" s="528">
        <f>+G189/F189</f>
        <v>7.3684210526315783E-2</v>
      </c>
      <c r="J189" s="528">
        <f t="shared" si="151"/>
        <v>0.30789473684210528</v>
      </c>
      <c r="K189" s="528">
        <f>+(G189/F189)*E189</f>
        <v>1.326315789473684E-2</v>
      </c>
      <c r="L189" s="528">
        <f>+(H189/F189)*E189</f>
        <v>5.5421052631578947E-2</v>
      </c>
      <c r="M189" s="525">
        <v>529</v>
      </c>
      <c r="N189" s="594">
        <v>0</v>
      </c>
      <c r="O189" s="594">
        <v>180</v>
      </c>
      <c r="P189" s="525"/>
      <c r="Q189" s="525"/>
      <c r="R189" s="525">
        <f t="shared" si="145"/>
        <v>180</v>
      </c>
      <c r="S189" s="525">
        <f t="shared" si="146"/>
        <v>709</v>
      </c>
      <c r="T189" s="528">
        <v>1</v>
      </c>
      <c r="U189" s="556">
        <f t="shared" si="147"/>
        <v>0.15384615384615385</v>
      </c>
      <c r="V189" s="556">
        <f>+T189*E189</f>
        <v>0.18</v>
      </c>
      <c r="W189" s="556">
        <f t="shared" si="150"/>
        <v>2.7692307692307693E-2</v>
      </c>
      <c r="X189" s="606">
        <f>+M189/F189</f>
        <v>0.13921052631578948</v>
      </c>
      <c r="Y189" s="607">
        <f t="shared" si="149"/>
        <v>0.18657894736842107</v>
      </c>
      <c r="Z189" s="606">
        <f>+X189*E189</f>
        <v>2.5057894736842105E-2</v>
      </c>
      <c r="AA189" s="607">
        <f>+Y189*E189</f>
        <v>3.3584210526315793E-2</v>
      </c>
      <c r="AB189" s="221" t="s">
        <v>43</v>
      </c>
      <c r="AC189" s="832" t="s">
        <v>44</v>
      </c>
      <c r="AD189" s="832" t="s">
        <v>38</v>
      </c>
      <c r="AE189" s="832" t="s">
        <v>39</v>
      </c>
      <c r="AF189" s="494"/>
      <c r="AG189" s="187"/>
      <c r="AH189" s="187"/>
      <c r="AI189" s="187"/>
    </row>
    <row r="190" spans="1:35" ht="135" customHeight="1" thickBot="1" x14ac:dyDescent="0.35">
      <c r="A190" s="331"/>
      <c r="B190" s="1070" t="s">
        <v>417</v>
      </c>
      <c r="C190" s="1070" t="s">
        <v>418</v>
      </c>
      <c r="D190" s="495" t="s">
        <v>386</v>
      </c>
      <c r="E190" s="1259">
        <v>0.2</v>
      </c>
      <c r="F190" s="568">
        <v>80</v>
      </c>
      <c r="G190" s="525">
        <v>30</v>
      </c>
      <c r="H190" s="525">
        <v>20</v>
      </c>
      <c r="I190" s="528">
        <f>+G190/F190</f>
        <v>0.375</v>
      </c>
      <c r="J190" s="528">
        <f t="shared" si="151"/>
        <v>0.25</v>
      </c>
      <c r="K190" s="528">
        <f>+(G190/F190)*E190</f>
        <v>7.5000000000000011E-2</v>
      </c>
      <c r="L190" s="528">
        <f t="shared" si="144"/>
        <v>0.05</v>
      </c>
      <c r="M190" s="525">
        <v>32</v>
      </c>
      <c r="N190" s="594">
        <v>3</v>
      </c>
      <c r="O190" s="594">
        <v>3</v>
      </c>
      <c r="P190" s="525"/>
      <c r="Q190" s="525"/>
      <c r="R190" s="525">
        <f t="shared" si="145"/>
        <v>6</v>
      </c>
      <c r="S190" s="525">
        <f t="shared" si="146"/>
        <v>38</v>
      </c>
      <c r="T190" s="528">
        <v>1</v>
      </c>
      <c r="U190" s="556">
        <f t="shared" si="147"/>
        <v>0.3</v>
      </c>
      <c r="V190" s="556">
        <f>+T190*E190</f>
        <v>0.2</v>
      </c>
      <c r="W190" s="556">
        <f t="shared" si="150"/>
        <v>0.06</v>
      </c>
      <c r="X190" s="606">
        <f>+M190/F190</f>
        <v>0.4</v>
      </c>
      <c r="Y190" s="607">
        <f t="shared" si="149"/>
        <v>0.47499999999999998</v>
      </c>
      <c r="Z190" s="606">
        <f>+X190*E190</f>
        <v>8.0000000000000016E-2</v>
      </c>
      <c r="AA190" s="607">
        <f>+Y190*E190</f>
        <v>9.5000000000000001E-2</v>
      </c>
      <c r="AB190" s="221" t="s">
        <v>43</v>
      </c>
      <c r="AC190" s="832" t="s">
        <v>44</v>
      </c>
      <c r="AD190" s="832" t="s">
        <v>38</v>
      </c>
      <c r="AE190" s="832" t="s">
        <v>39</v>
      </c>
      <c r="AF190" s="494"/>
      <c r="AG190" s="187"/>
      <c r="AH190" s="187"/>
      <c r="AI190" s="187"/>
    </row>
    <row r="191" spans="1:35" ht="135" customHeight="1" thickBot="1" x14ac:dyDescent="0.35">
      <c r="A191" s="331"/>
      <c r="B191" s="1070" t="s">
        <v>419</v>
      </c>
      <c r="C191" s="1070" t="s">
        <v>420</v>
      </c>
      <c r="D191" s="495" t="s">
        <v>386</v>
      </c>
      <c r="E191" s="1259">
        <v>0.18</v>
      </c>
      <c r="F191" s="568">
        <v>3200</v>
      </c>
      <c r="G191" s="525">
        <v>200</v>
      </c>
      <c r="H191" s="525">
        <v>1000</v>
      </c>
      <c r="I191" s="528">
        <f>+G191/F191</f>
        <v>6.25E-2</v>
      </c>
      <c r="J191" s="528">
        <f t="shared" si="151"/>
        <v>0.3125</v>
      </c>
      <c r="K191" s="528">
        <f>+(G191/F191)*E191</f>
        <v>1.125E-2</v>
      </c>
      <c r="L191" s="528">
        <f t="shared" si="144"/>
        <v>5.6249999999999994E-2</v>
      </c>
      <c r="M191" s="525">
        <v>415</v>
      </c>
      <c r="N191" s="594">
        <v>98</v>
      </c>
      <c r="O191" s="594">
        <v>104</v>
      </c>
      <c r="P191" s="525"/>
      <c r="Q191" s="525"/>
      <c r="R191" s="525">
        <f t="shared" si="145"/>
        <v>202</v>
      </c>
      <c r="S191" s="525">
        <f t="shared" si="146"/>
        <v>617</v>
      </c>
      <c r="T191" s="528">
        <v>1</v>
      </c>
      <c r="U191" s="556">
        <f t="shared" si="147"/>
        <v>0.20200000000000001</v>
      </c>
      <c r="V191" s="556">
        <f>+T191*E191</f>
        <v>0.18</v>
      </c>
      <c r="W191" s="556">
        <f t="shared" si="150"/>
        <v>3.6360000000000003E-2</v>
      </c>
      <c r="X191" s="606">
        <f>+M191/F191</f>
        <v>0.12968750000000001</v>
      </c>
      <c r="Y191" s="609">
        <f t="shared" si="149"/>
        <v>0.1928125</v>
      </c>
      <c r="Z191" s="606">
        <f>+X191*E191</f>
        <v>2.334375E-2</v>
      </c>
      <c r="AA191" s="607">
        <f>+Y191*E191</f>
        <v>3.4706250000000001E-2</v>
      </c>
      <c r="AB191" s="221" t="s">
        <v>43</v>
      </c>
      <c r="AC191" s="832" t="s">
        <v>44</v>
      </c>
      <c r="AD191" s="832" t="s">
        <v>38</v>
      </c>
      <c r="AE191" s="832" t="s">
        <v>39</v>
      </c>
      <c r="AF191" s="494"/>
      <c r="AG191" s="187"/>
      <c r="AH191" s="187"/>
      <c r="AI191" s="187"/>
    </row>
    <row r="192" spans="1:35" ht="135" customHeight="1" thickBot="1" x14ac:dyDescent="0.35">
      <c r="A192" s="331"/>
      <c r="B192" s="1284" t="s">
        <v>421</v>
      </c>
      <c r="C192" s="1285"/>
      <c r="D192" s="1258"/>
      <c r="E192" s="522">
        <v>0.1</v>
      </c>
      <c r="F192" s="568"/>
      <c r="G192" s="525"/>
      <c r="H192" s="525"/>
      <c r="I192" s="524">
        <f>+AVERAGE(I193:I194)</f>
        <v>1.2500000000000001E-2</v>
      </c>
      <c r="J192" s="524">
        <f>+AVERAGE(J193:J194)</f>
        <v>0.31666666666666665</v>
      </c>
      <c r="K192" s="524">
        <f>+K193+K194</f>
        <v>3.7499999999999999E-3</v>
      </c>
      <c r="L192" s="524">
        <f>+L193+L194</f>
        <v>0.32333333333333331</v>
      </c>
      <c r="M192" s="527"/>
      <c r="N192" s="527"/>
      <c r="O192" s="527"/>
      <c r="P192" s="527"/>
      <c r="Q192" s="527"/>
      <c r="R192" s="527"/>
      <c r="S192" s="527"/>
      <c r="T192" s="579">
        <f>+AVERAGE(T193:T194)</f>
        <v>1</v>
      </c>
      <c r="U192" s="579">
        <f>+AVERAGE(U193:U194)</f>
        <v>4.583333333333333E-2</v>
      </c>
      <c r="V192" s="579">
        <f>+(V193+V194)*E192</f>
        <v>0.03</v>
      </c>
      <c r="W192" s="579">
        <f>+(W193+W194)*E192</f>
        <v>2.7499999999999998E-3</v>
      </c>
      <c r="X192" s="539">
        <f>+AVERAGE(X193:X194)</f>
        <v>1.2500000000000001E-2</v>
      </c>
      <c r="Y192" s="611">
        <f>+AVERAGE(Y193:Y194)</f>
        <v>0.02</v>
      </c>
      <c r="Z192" s="539">
        <f>+(Z193+Z194)*E192</f>
        <v>3.7500000000000001E-4</v>
      </c>
      <c r="AA192" s="599">
        <f>+(AA193+AA194)</f>
        <v>1.2E-2</v>
      </c>
      <c r="AB192" s="215"/>
      <c r="AC192" s="494"/>
      <c r="AD192" s="494"/>
      <c r="AE192" s="494"/>
      <c r="AF192" s="494"/>
      <c r="AG192" s="187"/>
      <c r="AH192" s="187"/>
      <c r="AI192" s="187"/>
    </row>
    <row r="193" spans="1:35" ht="135" customHeight="1" thickBot="1" x14ac:dyDescent="0.35">
      <c r="A193" s="331"/>
      <c r="B193" s="1070" t="s">
        <v>422</v>
      </c>
      <c r="C193" s="1070" t="s">
        <v>423</v>
      </c>
      <c r="D193" s="495" t="s">
        <v>386</v>
      </c>
      <c r="E193" s="1259">
        <v>0.3</v>
      </c>
      <c r="F193" s="568">
        <v>20000</v>
      </c>
      <c r="G193" s="525">
        <v>250</v>
      </c>
      <c r="H193" s="525">
        <v>6000</v>
      </c>
      <c r="I193" s="528">
        <f>+G193/F193</f>
        <v>1.2500000000000001E-2</v>
      </c>
      <c r="J193" s="528">
        <f t="shared" si="151"/>
        <v>0.3</v>
      </c>
      <c r="K193" s="528">
        <f>+(G193/F193)*E193</f>
        <v>3.7499999999999999E-3</v>
      </c>
      <c r="L193" s="528">
        <f t="shared" si="144"/>
        <v>0.09</v>
      </c>
      <c r="M193" s="525">
        <v>250</v>
      </c>
      <c r="N193" s="594">
        <v>219</v>
      </c>
      <c r="O193" s="594">
        <v>331</v>
      </c>
      <c r="P193" s="525"/>
      <c r="Q193" s="525"/>
      <c r="R193" s="525">
        <f t="shared" si="145"/>
        <v>550</v>
      </c>
      <c r="S193" s="525">
        <f t="shared" si="146"/>
        <v>800</v>
      </c>
      <c r="T193" s="528">
        <f>+(M193/G193)</f>
        <v>1</v>
      </c>
      <c r="U193" s="528">
        <f t="shared" si="147"/>
        <v>9.166666666666666E-2</v>
      </c>
      <c r="V193" s="528">
        <f>+T193*E193</f>
        <v>0.3</v>
      </c>
      <c r="W193" s="528">
        <f t="shared" si="150"/>
        <v>2.7499999999999997E-2</v>
      </c>
      <c r="X193" s="543">
        <f>+M193/F193</f>
        <v>1.2500000000000001E-2</v>
      </c>
      <c r="Y193" s="613">
        <f t="shared" si="149"/>
        <v>0.04</v>
      </c>
      <c r="Z193" s="543">
        <f>+X193*E193</f>
        <v>3.7499999999999999E-3</v>
      </c>
      <c r="AA193" s="544">
        <f>+Y193*E193</f>
        <v>1.2E-2</v>
      </c>
      <c r="AB193" s="221" t="s">
        <v>43</v>
      </c>
      <c r="AC193" s="832" t="s">
        <v>44</v>
      </c>
      <c r="AD193" s="832" t="s">
        <v>38</v>
      </c>
      <c r="AE193" s="832" t="s">
        <v>39</v>
      </c>
      <c r="AF193" s="494"/>
      <c r="AG193" s="187"/>
      <c r="AH193" s="187"/>
      <c r="AI193" s="187"/>
    </row>
    <row r="194" spans="1:35" ht="135" customHeight="1" thickBot="1" x14ac:dyDescent="0.35">
      <c r="A194" s="331"/>
      <c r="B194" s="1070" t="s">
        <v>424</v>
      </c>
      <c r="C194" s="1070" t="s">
        <v>425</v>
      </c>
      <c r="D194" s="495" t="s">
        <v>386</v>
      </c>
      <c r="E194" s="1259">
        <v>0.7</v>
      </c>
      <c r="F194" s="568">
        <v>3000</v>
      </c>
      <c r="G194" s="525">
        <v>0</v>
      </c>
      <c r="H194" s="525">
        <v>1000</v>
      </c>
      <c r="I194" s="528"/>
      <c r="J194" s="528">
        <f>+H194/F194</f>
        <v>0.33333333333333331</v>
      </c>
      <c r="K194" s="528"/>
      <c r="L194" s="528">
        <f>+(H194/F194)*E194</f>
        <v>0.23333333333333331</v>
      </c>
      <c r="M194" s="525"/>
      <c r="N194" s="594">
        <v>0</v>
      </c>
      <c r="O194" s="594">
        <v>0</v>
      </c>
      <c r="P194" s="525"/>
      <c r="Q194" s="525"/>
      <c r="R194" s="525">
        <f t="shared" si="145"/>
        <v>0</v>
      </c>
      <c r="S194" s="525">
        <f t="shared" si="146"/>
        <v>0</v>
      </c>
      <c r="T194" s="528"/>
      <c r="U194" s="528">
        <f t="shared" si="147"/>
        <v>0</v>
      </c>
      <c r="V194" s="528"/>
      <c r="W194" s="528">
        <f t="shared" si="150"/>
        <v>0</v>
      </c>
      <c r="X194" s="543"/>
      <c r="Y194" s="614">
        <v>0</v>
      </c>
      <c r="Z194" s="543"/>
      <c r="AA194" s="544"/>
      <c r="AB194" s="221" t="s">
        <v>43</v>
      </c>
      <c r="AC194" s="833" t="s">
        <v>414</v>
      </c>
      <c r="AD194" s="832" t="s">
        <v>38</v>
      </c>
      <c r="AE194" s="832" t="s">
        <v>39</v>
      </c>
      <c r="AF194" s="494"/>
      <c r="AG194" s="187"/>
      <c r="AH194" s="187"/>
      <c r="AI194" s="187"/>
    </row>
    <row r="195" spans="1:35" ht="135" customHeight="1" thickBot="1" x14ac:dyDescent="0.35">
      <c r="A195" s="331"/>
      <c r="B195" s="1284" t="s">
        <v>426</v>
      </c>
      <c r="C195" s="1285"/>
      <c r="D195" s="1258"/>
      <c r="E195" s="522">
        <v>0.1</v>
      </c>
      <c r="F195" s="568"/>
      <c r="G195" s="525"/>
      <c r="H195" s="525"/>
      <c r="I195" s="524">
        <f>+AVERAGE(I196:I198)</f>
        <v>0.19771672771672774</v>
      </c>
      <c r="J195" s="524">
        <f>+AVERAGE(J196:J198)</f>
        <v>0.28894993894993898</v>
      </c>
      <c r="K195" s="524">
        <f>+K196+K197+K198</f>
        <v>0.19857509157509157</v>
      </c>
      <c r="L195" s="524">
        <f>+L196+L197+L198</f>
        <v>0.29342490842490843</v>
      </c>
      <c r="M195" s="527"/>
      <c r="N195" s="527"/>
      <c r="O195" s="527"/>
      <c r="P195" s="527"/>
      <c r="Q195" s="527"/>
      <c r="R195" s="527"/>
      <c r="S195" s="527"/>
      <c r="T195" s="579">
        <f>+AVERAGE(T196:T198)</f>
        <v>0.68</v>
      </c>
      <c r="U195" s="579">
        <f>+AVERAGE(U196:U198)</f>
        <v>0.54155427103403986</v>
      </c>
      <c r="V195" s="579">
        <f>+(V196+V197+V198)*E195</f>
        <v>7.9000000000000015E-2</v>
      </c>
      <c r="W195" s="579">
        <f>+(W196+W197+W198)*E195</f>
        <v>5.7233140655105964E-2</v>
      </c>
      <c r="X195" s="539">
        <f>+AVERAGE(X196:X198)</f>
        <v>0.20072039072039072</v>
      </c>
      <c r="Y195" s="611">
        <f>+AVERAGE(Y196:Y198)</f>
        <v>0.34927960927960927</v>
      </c>
      <c r="Z195" s="539">
        <f>+(Z196+Z197+Z198)*E195</f>
        <v>1.9708058608058607E-2</v>
      </c>
      <c r="AA195" s="599">
        <f>+(AA196+AA197+AA198)</f>
        <v>0.3579194139194139</v>
      </c>
      <c r="AB195" s="215"/>
      <c r="AC195" s="494"/>
      <c r="AD195" s="494"/>
      <c r="AE195" s="494"/>
      <c r="AF195" s="494"/>
      <c r="AG195" s="187"/>
      <c r="AH195" s="187"/>
      <c r="AI195" s="187"/>
    </row>
    <row r="196" spans="1:35" ht="135" customHeight="1" thickBot="1" x14ac:dyDescent="0.35">
      <c r="A196" s="331"/>
      <c r="B196" s="1070" t="s">
        <v>427</v>
      </c>
      <c r="C196" s="1070" t="s">
        <v>428</v>
      </c>
      <c r="D196" s="495" t="s">
        <v>386</v>
      </c>
      <c r="E196" s="1259">
        <v>0.5</v>
      </c>
      <c r="F196" s="568">
        <v>1092</v>
      </c>
      <c r="G196" s="525">
        <v>200</v>
      </c>
      <c r="H196" s="525">
        <v>346</v>
      </c>
      <c r="I196" s="528">
        <f>+G196/F196</f>
        <v>0.18315018315018314</v>
      </c>
      <c r="J196" s="528">
        <f t="shared" ref="J196:J208" si="152">+H196/F196</f>
        <v>0.31684981684981683</v>
      </c>
      <c r="K196" s="528">
        <f>+(G196/F196)*E196</f>
        <v>9.1575091575091569E-2</v>
      </c>
      <c r="L196" s="528">
        <f t="shared" ref="L196:L197" si="153">+(H196/F196)*E196</f>
        <v>0.15842490842490842</v>
      </c>
      <c r="M196" s="525">
        <v>188</v>
      </c>
      <c r="N196" s="594">
        <v>125</v>
      </c>
      <c r="O196" s="594">
        <v>45</v>
      </c>
      <c r="P196" s="525"/>
      <c r="Q196" s="525"/>
      <c r="R196" s="525">
        <f t="shared" si="145"/>
        <v>170</v>
      </c>
      <c r="S196" s="525">
        <f t="shared" si="146"/>
        <v>358</v>
      </c>
      <c r="T196" s="528">
        <f>+(M196/G196)</f>
        <v>0.94</v>
      </c>
      <c r="U196" s="528">
        <f t="shared" si="147"/>
        <v>0.4913294797687861</v>
      </c>
      <c r="V196" s="528">
        <f>+T196*E196</f>
        <v>0.47</v>
      </c>
      <c r="W196" s="528">
        <f t="shared" si="150"/>
        <v>0.24566473988439305</v>
      </c>
      <c r="X196" s="543">
        <f>+M196/F196</f>
        <v>0.17216117216117216</v>
      </c>
      <c r="Y196" s="613">
        <f t="shared" si="149"/>
        <v>0.32783882783882784</v>
      </c>
      <c r="Z196" s="543">
        <f>+X196*E196</f>
        <v>8.608058608058608E-2</v>
      </c>
      <c r="AA196" s="544">
        <f>+Y196*E196</f>
        <v>0.16391941391941392</v>
      </c>
      <c r="AB196" s="221" t="s">
        <v>43</v>
      </c>
      <c r="AC196" s="832" t="s">
        <v>44</v>
      </c>
      <c r="AD196" s="832" t="s">
        <v>38</v>
      </c>
      <c r="AE196" s="832" t="s">
        <v>39</v>
      </c>
      <c r="AF196" s="494"/>
      <c r="AG196" s="187"/>
      <c r="AH196" s="187"/>
      <c r="AI196" s="187"/>
    </row>
    <row r="197" spans="1:35" ht="135" customHeight="1" thickBot="1" x14ac:dyDescent="0.35">
      <c r="A197" s="331"/>
      <c r="B197" s="1070" t="s">
        <v>429</v>
      </c>
      <c r="C197" s="1070" t="s">
        <v>430</v>
      </c>
      <c r="D197" s="495" t="s">
        <v>386</v>
      </c>
      <c r="E197" s="1259">
        <v>0.3</v>
      </c>
      <c r="F197" s="568">
        <v>4</v>
      </c>
      <c r="G197" s="525">
        <v>1</v>
      </c>
      <c r="H197" s="525">
        <v>1</v>
      </c>
      <c r="I197" s="528">
        <f>+G197/F197</f>
        <v>0.25</v>
      </c>
      <c r="J197" s="528">
        <f t="shared" si="152"/>
        <v>0.25</v>
      </c>
      <c r="K197" s="528">
        <f>+(G197/F197)*E197</f>
        <v>7.4999999999999997E-2</v>
      </c>
      <c r="L197" s="528">
        <f t="shared" si="153"/>
        <v>7.4999999999999997E-2</v>
      </c>
      <c r="M197" s="525">
        <v>1</v>
      </c>
      <c r="N197" s="594">
        <v>1</v>
      </c>
      <c r="O197" s="594">
        <v>0</v>
      </c>
      <c r="P197" s="525"/>
      <c r="Q197" s="525"/>
      <c r="R197" s="525">
        <f t="shared" si="145"/>
        <v>1</v>
      </c>
      <c r="S197" s="525">
        <f t="shared" si="146"/>
        <v>2</v>
      </c>
      <c r="T197" s="528">
        <f>+(M197/G197)</f>
        <v>1</v>
      </c>
      <c r="U197" s="528">
        <f t="shared" si="147"/>
        <v>1</v>
      </c>
      <c r="V197" s="528">
        <f>+T197*E197</f>
        <v>0.3</v>
      </c>
      <c r="W197" s="528">
        <f>+U197*E197</f>
        <v>0.3</v>
      </c>
      <c r="X197" s="543">
        <f>+M197/F197</f>
        <v>0.25</v>
      </c>
      <c r="Y197" s="544">
        <f t="shared" si="149"/>
        <v>0.5</v>
      </c>
      <c r="Z197" s="543">
        <f>+X197*E197</f>
        <v>7.4999999999999997E-2</v>
      </c>
      <c r="AA197" s="544">
        <f>+Y197*E197</f>
        <v>0.15</v>
      </c>
      <c r="AB197" s="221" t="s">
        <v>43</v>
      </c>
      <c r="AC197" s="832" t="s">
        <v>44</v>
      </c>
      <c r="AD197" s="832" t="s">
        <v>38</v>
      </c>
      <c r="AE197" s="832" t="s">
        <v>39</v>
      </c>
      <c r="AF197" s="494"/>
      <c r="AG197" s="187"/>
      <c r="AH197" s="187"/>
      <c r="AI197" s="187"/>
    </row>
    <row r="198" spans="1:35" ht="135" customHeight="1" thickBot="1" x14ac:dyDescent="0.35">
      <c r="A198" s="331"/>
      <c r="B198" s="1070" t="s">
        <v>431</v>
      </c>
      <c r="C198" s="1070" t="s">
        <v>432</v>
      </c>
      <c r="D198" s="495" t="s">
        <v>386</v>
      </c>
      <c r="E198" s="1259">
        <v>0.2</v>
      </c>
      <c r="F198" s="568">
        <v>150</v>
      </c>
      <c r="G198" s="525">
        <v>24</v>
      </c>
      <c r="H198" s="525">
        <v>45</v>
      </c>
      <c r="I198" s="528">
        <f>+G198/F198</f>
        <v>0.16</v>
      </c>
      <c r="J198" s="528">
        <f t="shared" si="152"/>
        <v>0.3</v>
      </c>
      <c r="K198" s="528">
        <f>+(G198/F198)*E198</f>
        <v>3.2000000000000001E-2</v>
      </c>
      <c r="L198" s="528">
        <f>+(H198/F198)*E198</f>
        <v>0.06</v>
      </c>
      <c r="M198" s="525">
        <v>27</v>
      </c>
      <c r="N198" s="594">
        <v>0</v>
      </c>
      <c r="O198" s="594">
        <v>6</v>
      </c>
      <c r="P198" s="525"/>
      <c r="Q198" s="525"/>
      <c r="R198" s="525">
        <f t="shared" si="145"/>
        <v>6</v>
      </c>
      <c r="S198" s="525">
        <f t="shared" si="146"/>
        <v>33</v>
      </c>
      <c r="T198" s="528">
        <v>0.1</v>
      </c>
      <c r="U198" s="528">
        <f t="shared" si="147"/>
        <v>0.13333333333333333</v>
      </c>
      <c r="V198" s="528">
        <f>+T198*E198</f>
        <v>2.0000000000000004E-2</v>
      </c>
      <c r="W198" s="528">
        <f t="shared" si="150"/>
        <v>2.6666666666666668E-2</v>
      </c>
      <c r="X198" s="543">
        <f>+M198/F198</f>
        <v>0.18</v>
      </c>
      <c r="Y198" s="614">
        <f t="shared" si="149"/>
        <v>0.22</v>
      </c>
      <c r="Z198" s="543">
        <f>+X198*E198</f>
        <v>3.5999999999999997E-2</v>
      </c>
      <c r="AA198" s="544">
        <f>+Y198*E198</f>
        <v>4.4000000000000004E-2</v>
      </c>
      <c r="AB198" s="221" t="s">
        <v>43</v>
      </c>
      <c r="AC198" s="832" t="s">
        <v>44</v>
      </c>
      <c r="AD198" s="832" t="s">
        <v>38</v>
      </c>
      <c r="AE198" s="832" t="s">
        <v>39</v>
      </c>
      <c r="AF198" s="494"/>
      <c r="AG198" s="187"/>
      <c r="AH198" s="187"/>
      <c r="AI198" s="187"/>
    </row>
    <row r="199" spans="1:35" ht="135" customHeight="1" thickBot="1" x14ac:dyDescent="0.35">
      <c r="A199" s="331"/>
      <c r="B199" s="1284" t="s">
        <v>433</v>
      </c>
      <c r="C199" s="1285"/>
      <c r="D199" s="1258"/>
      <c r="E199" s="522">
        <v>0.1</v>
      </c>
      <c r="F199" s="568"/>
      <c r="G199" s="525"/>
      <c r="H199" s="525"/>
      <c r="I199" s="524">
        <f>+AVERAGE(I200:I202)</f>
        <v>0.14374999999999999</v>
      </c>
      <c r="J199" s="524">
        <f>+AVERAGE(J200:J202)</f>
        <v>0.36074640522875817</v>
      </c>
      <c r="K199" s="524">
        <f>+K200+K201+K202</f>
        <v>6.7500000000000004E-2</v>
      </c>
      <c r="L199" s="524">
        <f>+L200+L201+L202</f>
        <v>0.36927960784313729</v>
      </c>
      <c r="M199" s="527"/>
      <c r="N199" s="527"/>
      <c r="O199" s="527"/>
      <c r="P199" s="527"/>
      <c r="Q199" s="527"/>
      <c r="R199" s="527"/>
      <c r="S199" s="527"/>
      <c r="T199" s="579">
        <f>+AVERAGE(T200:T202)</f>
        <v>0.72222222222222221</v>
      </c>
      <c r="U199" s="579">
        <f>+AVERAGE(U200:U202)</f>
        <v>4.9999999999999996E-2</v>
      </c>
      <c r="V199" s="579">
        <f>+(V200+V201+V202)*E199</f>
        <v>3.888888888888889E-2</v>
      </c>
      <c r="W199" s="579">
        <f>+(W200+W201+W202)*E199</f>
        <v>3.0000000000000001E-3</v>
      </c>
      <c r="X199" s="539">
        <f>+AVERAGE(X200:X202)</f>
        <v>0.25741666666666668</v>
      </c>
      <c r="Y199" s="611">
        <f>+X199+((Y201-X201)/3)+((Y200-X200)/3)+(Y202/3)</f>
        <v>0.27825</v>
      </c>
      <c r="Z199" s="539">
        <f>+(Z200+Z201+Z202)*E199</f>
        <v>1.4611666666666665E-2</v>
      </c>
      <c r="AA199" s="599">
        <f>+(AA200+AA201+AA202)</f>
        <v>0.15861666666666666</v>
      </c>
      <c r="AB199" s="215"/>
      <c r="AC199" s="494"/>
      <c r="AD199" s="494"/>
      <c r="AE199" s="494"/>
      <c r="AF199" s="494"/>
      <c r="AG199" s="187"/>
      <c r="AH199" s="187"/>
      <c r="AI199" s="187"/>
    </row>
    <row r="200" spans="1:35" ht="135" customHeight="1" thickBot="1" x14ac:dyDescent="0.35">
      <c r="A200" s="331"/>
      <c r="B200" s="1070" t="s">
        <v>434</v>
      </c>
      <c r="C200" s="1070" t="s">
        <v>435</v>
      </c>
      <c r="D200" s="495" t="s">
        <v>386</v>
      </c>
      <c r="E200" s="1259">
        <v>0.3</v>
      </c>
      <c r="F200" s="568">
        <v>10000</v>
      </c>
      <c r="G200" s="525">
        <v>1000</v>
      </c>
      <c r="H200" s="315">
        <f>4000-1658</f>
        <v>2342</v>
      </c>
      <c r="I200" s="528">
        <f>+G200/F200</f>
        <v>0.1</v>
      </c>
      <c r="J200" s="528">
        <f t="shared" si="152"/>
        <v>0.23419999999999999</v>
      </c>
      <c r="K200" s="528">
        <f>+(G200/F200)*E200</f>
        <v>0.03</v>
      </c>
      <c r="L200" s="528">
        <f t="shared" ref="L200:L208" si="154">+(H200/F200)*E200</f>
        <v>7.0259999999999989E-2</v>
      </c>
      <c r="M200" s="525">
        <v>4315</v>
      </c>
      <c r="N200" s="594">
        <v>0</v>
      </c>
      <c r="O200" s="594">
        <v>0</v>
      </c>
      <c r="P200" s="525"/>
      <c r="Q200" s="525"/>
      <c r="R200" s="525">
        <f t="shared" si="145"/>
        <v>0</v>
      </c>
      <c r="S200" s="525">
        <f t="shared" si="146"/>
        <v>4315</v>
      </c>
      <c r="T200" s="528">
        <v>1</v>
      </c>
      <c r="U200" s="528">
        <f t="shared" si="147"/>
        <v>0</v>
      </c>
      <c r="V200" s="528">
        <f>+T200*E200</f>
        <v>0.3</v>
      </c>
      <c r="W200" s="528">
        <f t="shared" si="150"/>
        <v>0</v>
      </c>
      <c r="X200" s="543">
        <f>+M200/F200</f>
        <v>0.43149999999999999</v>
      </c>
      <c r="Y200" s="613">
        <f t="shared" si="149"/>
        <v>0.43149999999999999</v>
      </c>
      <c r="Z200" s="543">
        <f>+X200*E200</f>
        <v>0.12944999999999998</v>
      </c>
      <c r="AA200" s="544">
        <f>+Y200*E200</f>
        <v>0.12944999999999998</v>
      </c>
      <c r="AB200" s="221" t="s">
        <v>43</v>
      </c>
      <c r="AC200" s="832" t="s">
        <v>44</v>
      </c>
      <c r="AD200" s="832" t="s">
        <v>38</v>
      </c>
      <c r="AE200" s="832" t="s">
        <v>39</v>
      </c>
      <c r="AF200" s="494"/>
      <c r="AG200" s="187"/>
      <c r="AH200" s="187"/>
      <c r="AI200" s="187"/>
    </row>
    <row r="201" spans="1:35" ht="135" customHeight="1" thickBot="1" x14ac:dyDescent="0.35">
      <c r="A201" s="331"/>
      <c r="B201" s="1070" t="s">
        <v>436</v>
      </c>
      <c r="C201" s="1070" t="s">
        <v>437</v>
      </c>
      <c r="D201" s="495" t="s">
        <v>386</v>
      </c>
      <c r="E201" s="1259">
        <v>0.2</v>
      </c>
      <c r="F201" s="568">
        <v>96</v>
      </c>
      <c r="G201" s="525">
        <v>18</v>
      </c>
      <c r="H201" s="525">
        <v>40</v>
      </c>
      <c r="I201" s="528">
        <f>+G201/F201</f>
        <v>0.1875</v>
      </c>
      <c r="J201" s="528">
        <f t="shared" si="152"/>
        <v>0.41666666666666669</v>
      </c>
      <c r="K201" s="528">
        <f>+(G201/F201)*E201</f>
        <v>3.7500000000000006E-2</v>
      </c>
      <c r="L201" s="528">
        <f t="shared" si="154"/>
        <v>8.3333333333333343E-2</v>
      </c>
      <c r="M201" s="525">
        <v>8</v>
      </c>
      <c r="N201" s="594">
        <v>0</v>
      </c>
      <c r="O201" s="594">
        <v>6</v>
      </c>
      <c r="P201" s="525"/>
      <c r="Q201" s="525"/>
      <c r="R201" s="525">
        <f t="shared" si="145"/>
        <v>6</v>
      </c>
      <c r="S201" s="525">
        <f t="shared" si="146"/>
        <v>14</v>
      </c>
      <c r="T201" s="528">
        <f>+(M201/G201)</f>
        <v>0.44444444444444442</v>
      </c>
      <c r="U201" s="528">
        <f t="shared" si="147"/>
        <v>0.15</v>
      </c>
      <c r="V201" s="528">
        <f>+T201*E201</f>
        <v>8.8888888888888892E-2</v>
      </c>
      <c r="W201" s="528">
        <f t="shared" si="150"/>
        <v>0.03</v>
      </c>
      <c r="X201" s="543">
        <f>+M201/F201</f>
        <v>8.3333333333333329E-2</v>
      </c>
      <c r="Y201" s="544">
        <f t="shared" si="149"/>
        <v>0.14583333333333334</v>
      </c>
      <c r="Z201" s="543">
        <f>+X201*E201</f>
        <v>1.6666666666666666E-2</v>
      </c>
      <c r="AA201" s="544">
        <f>+Y201*E201</f>
        <v>2.9166666666666671E-2</v>
      </c>
      <c r="AB201" s="221" t="s">
        <v>43</v>
      </c>
      <c r="AC201" s="832" t="s">
        <v>44</v>
      </c>
      <c r="AD201" s="832" t="s">
        <v>38</v>
      </c>
      <c r="AE201" s="832" t="s">
        <v>39</v>
      </c>
      <c r="AF201" s="494"/>
      <c r="AG201" s="187"/>
      <c r="AH201" s="187"/>
      <c r="AI201" s="187"/>
    </row>
    <row r="202" spans="1:35" ht="135" customHeight="1" thickBot="1" x14ac:dyDescent="0.35">
      <c r="A202" s="331"/>
      <c r="B202" s="1070" t="s">
        <v>438</v>
      </c>
      <c r="C202" s="1070" t="s">
        <v>439</v>
      </c>
      <c r="D202" s="495" t="s">
        <v>386</v>
      </c>
      <c r="E202" s="1259">
        <v>0.5</v>
      </c>
      <c r="F202" s="568">
        <v>51000</v>
      </c>
      <c r="G202" s="525">
        <v>0</v>
      </c>
      <c r="H202" s="525">
        <v>22000</v>
      </c>
      <c r="I202" s="528"/>
      <c r="J202" s="528">
        <f t="shared" si="152"/>
        <v>0.43137254901960786</v>
      </c>
      <c r="K202" s="528"/>
      <c r="L202" s="528">
        <f t="shared" si="154"/>
        <v>0.21568627450980393</v>
      </c>
      <c r="M202" s="525"/>
      <c r="N202" s="594">
        <v>0</v>
      </c>
      <c r="O202" s="594">
        <v>0</v>
      </c>
      <c r="P202" s="525"/>
      <c r="Q202" s="525"/>
      <c r="R202" s="525">
        <f t="shared" si="145"/>
        <v>0</v>
      </c>
      <c r="S202" s="525">
        <f t="shared" si="146"/>
        <v>0</v>
      </c>
      <c r="T202" s="528"/>
      <c r="U202" s="528">
        <f t="shared" si="147"/>
        <v>0</v>
      </c>
      <c r="V202" s="528"/>
      <c r="W202" s="528">
        <f t="shared" si="150"/>
        <v>0</v>
      </c>
      <c r="X202" s="543"/>
      <c r="Y202" s="544">
        <f t="shared" si="149"/>
        <v>0</v>
      </c>
      <c r="Z202" s="543"/>
      <c r="AA202" s="544">
        <f>+Y202*E202</f>
        <v>0</v>
      </c>
      <c r="AB202" s="221" t="s">
        <v>43</v>
      </c>
      <c r="AC202" s="833" t="s">
        <v>414</v>
      </c>
      <c r="AD202" s="832" t="s">
        <v>38</v>
      </c>
      <c r="AE202" s="832" t="s">
        <v>39</v>
      </c>
      <c r="AF202" s="494"/>
      <c r="AG202" s="187"/>
      <c r="AH202" s="187"/>
      <c r="AI202" s="187"/>
    </row>
    <row r="203" spans="1:35" ht="135" customHeight="1" thickBot="1" x14ac:dyDescent="0.35">
      <c r="A203" s="331"/>
      <c r="B203" s="1284" t="s">
        <v>440</v>
      </c>
      <c r="C203" s="1285"/>
      <c r="D203" s="1258"/>
      <c r="E203" s="522">
        <v>0.1</v>
      </c>
      <c r="F203" s="568"/>
      <c r="G203" s="525"/>
      <c r="H203" s="525"/>
      <c r="I203" s="524">
        <f>+AVERAGE(I204:I205)</f>
        <v>0.24264705882352941</v>
      </c>
      <c r="J203" s="524">
        <f>+AVERAGE(J204:J205)</f>
        <v>0.30147058823529416</v>
      </c>
      <c r="K203" s="524">
        <f>+K204+K205</f>
        <v>0.24044117647058824</v>
      </c>
      <c r="L203" s="524">
        <f>+L204+L205</f>
        <v>0.31691176470588234</v>
      </c>
      <c r="M203" s="527"/>
      <c r="N203" s="527"/>
      <c r="O203" s="527"/>
      <c r="P203" s="527"/>
      <c r="Q203" s="527"/>
      <c r="R203" s="527"/>
      <c r="S203" s="527"/>
      <c r="T203" s="579">
        <f>+AVERAGE(T204:T205)</f>
        <v>1</v>
      </c>
      <c r="U203" s="579">
        <f>+AVERAGE(U204:U205)</f>
        <v>1</v>
      </c>
      <c r="V203" s="579">
        <f>+(V204+V205)*E203</f>
        <v>0.1</v>
      </c>
      <c r="W203" s="579">
        <f>+(W204+W205)*E203</f>
        <v>0.1</v>
      </c>
      <c r="X203" s="539">
        <f>+AVERAGE(X204:X205)</f>
        <v>0.24264705882352941</v>
      </c>
      <c r="Y203" s="611">
        <f>+AVERAGE(Y204:Y205)</f>
        <v>0.57352941176470584</v>
      </c>
      <c r="Z203" s="539">
        <f>+(Z204+Z205)*E203</f>
        <v>2.4044117647058827E-2</v>
      </c>
      <c r="AA203" s="599">
        <f>+(AA204+AA205)</f>
        <v>0.59558823529411775</v>
      </c>
      <c r="AB203" s="215"/>
      <c r="AC203" s="494"/>
      <c r="AD203" s="494"/>
      <c r="AE203" s="494"/>
      <c r="AF203" s="494"/>
      <c r="AG203" s="187"/>
      <c r="AH203" s="187"/>
      <c r="AI203" s="187"/>
    </row>
    <row r="204" spans="1:35" ht="135" customHeight="1" thickBot="1" x14ac:dyDescent="0.35">
      <c r="A204" s="331"/>
      <c r="B204" s="1070" t="s">
        <v>441</v>
      </c>
      <c r="C204" s="1070" t="s">
        <v>442</v>
      </c>
      <c r="D204" s="495" t="s">
        <v>386</v>
      </c>
      <c r="E204" s="528">
        <v>0.65</v>
      </c>
      <c r="F204" s="568">
        <v>17</v>
      </c>
      <c r="G204" s="525">
        <v>4</v>
      </c>
      <c r="H204" s="525">
        <v>6</v>
      </c>
      <c r="I204" s="556">
        <f>+G204/F204</f>
        <v>0.23529411764705882</v>
      </c>
      <c r="J204" s="556">
        <f t="shared" si="152"/>
        <v>0.35294117647058826</v>
      </c>
      <c r="K204" s="528">
        <f>+(G204/F204)*E204</f>
        <v>0.15294117647058825</v>
      </c>
      <c r="L204" s="528">
        <f>+(H204/F204)*E204</f>
        <v>0.22941176470588237</v>
      </c>
      <c r="M204" s="525">
        <v>4</v>
      </c>
      <c r="N204" s="594">
        <v>3</v>
      </c>
      <c r="O204" s="525">
        <v>4</v>
      </c>
      <c r="P204" s="525"/>
      <c r="Q204" s="525"/>
      <c r="R204" s="525">
        <f t="shared" si="145"/>
        <v>7</v>
      </c>
      <c r="S204" s="525">
        <f t="shared" si="146"/>
        <v>11</v>
      </c>
      <c r="T204" s="528">
        <f>+(M204/G204)</f>
        <v>1</v>
      </c>
      <c r="U204" s="528">
        <v>1</v>
      </c>
      <c r="V204" s="528">
        <f>+T204*E204</f>
        <v>0.65</v>
      </c>
      <c r="W204" s="528">
        <f t="shared" si="150"/>
        <v>0.65</v>
      </c>
      <c r="X204" s="543">
        <f>+M204/F204</f>
        <v>0.23529411764705882</v>
      </c>
      <c r="Y204" s="613">
        <f t="shared" si="149"/>
        <v>0.6470588235294118</v>
      </c>
      <c r="Z204" s="543">
        <f>+X204*E204</f>
        <v>0.15294117647058825</v>
      </c>
      <c r="AA204" s="544">
        <f>+Y204*E204</f>
        <v>0.42058823529411771</v>
      </c>
      <c r="AB204" s="221" t="s">
        <v>43</v>
      </c>
      <c r="AC204" s="832" t="s">
        <v>44</v>
      </c>
      <c r="AD204" s="832" t="s">
        <v>38</v>
      </c>
      <c r="AE204" s="832" t="s">
        <v>39</v>
      </c>
      <c r="AF204" s="494"/>
      <c r="AG204" s="187"/>
      <c r="AH204" s="187"/>
      <c r="AI204" s="187"/>
    </row>
    <row r="205" spans="1:35" ht="135" customHeight="1" thickBot="1" x14ac:dyDescent="0.35">
      <c r="A205" s="331"/>
      <c r="B205" s="1070" t="s">
        <v>443</v>
      </c>
      <c r="C205" s="1070" t="s">
        <v>444</v>
      </c>
      <c r="D205" s="495" t="s">
        <v>386</v>
      </c>
      <c r="E205" s="528">
        <v>0.35</v>
      </c>
      <c r="F205" s="568">
        <v>4</v>
      </c>
      <c r="G205" s="525">
        <v>1</v>
      </c>
      <c r="H205" s="525">
        <v>1</v>
      </c>
      <c r="I205" s="528">
        <f>+G205/F205</f>
        <v>0.25</v>
      </c>
      <c r="J205" s="528">
        <f t="shared" si="152"/>
        <v>0.25</v>
      </c>
      <c r="K205" s="528">
        <f>+(G205/F205)*E205</f>
        <v>8.7499999999999994E-2</v>
      </c>
      <c r="L205" s="528">
        <f t="shared" si="154"/>
        <v>8.7499999999999994E-2</v>
      </c>
      <c r="M205" s="525">
        <v>1</v>
      </c>
      <c r="N205" s="594">
        <v>0</v>
      </c>
      <c r="O205" s="525">
        <v>1</v>
      </c>
      <c r="P205" s="525"/>
      <c r="Q205" s="525"/>
      <c r="R205" s="525">
        <f t="shared" si="145"/>
        <v>1</v>
      </c>
      <c r="S205" s="525">
        <f t="shared" si="146"/>
        <v>2</v>
      </c>
      <c r="T205" s="528">
        <f>+(M205/G205)</f>
        <v>1</v>
      </c>
      <c r="U205" s="528">
        <f t="shared" si="147"/>
        <v>1</v>
      </c>
      <c r="V205" s="528">
        <f>+T205*E205</f>
        <v>0.35</v>
      </c>
      <c r="W205" s="528">
        <f t="shared" si="150"/>
        <v>0.35</v>
      </c>
      <c r="X205" s="608">
        <f>+M205/F205</f>
        <v>0.25</v>
      </c>
      <c r="Y205" s="614">
        <f t="shared" si="149"/>
        <v>0.5</v>
      </c>
      <c r="Z205" s="543">
        <f>+X205*E205</f>
        <v>8.7499999999999994E-2</v>
      </c>
      <c r="AA205" s="544">
        <f>+Y205*E205</f>
        <v>0.17499999999999999</v>
      </c>
      <c r="AB205" s="221" t="s">
        <v>43</v>
      </c>
      <c r="AC205" s="832" t="s">
        <v>44</v>
      </c>
      <c r="AD205" s="832" t="s">
        <v>38</v>
      </c>
      <c r="AE205" s="832" t="s">
        <v>39</v>
      </c>
      <c r="AF205" s="494"/>
      <c r="AG205" s="187"/>
      <c r="AH205" s="187"/>
      <c r="AI205" s="187"/>
    </row>
    <row r="206" spans="1:35" ht="135" customHeight="1" thickBot="1" x14ac:dyDescent="0.35">
      <c r="A206" s="331"/>
      <c r="B206" s="1284" t="s">
        <v>445</v>
      </c>
      <c r="C206" s="1285"/>
      <c r="D206" s="1258"/>
      <c r="E206" s="522">
        <v>0.05</v>
      </c>
      <c r="F206" s="568"/>
      <c r="G206" s="525"/>
      <c r="H206" s="525"/>
      <c r="I206" s="524">
        <f>+AVERAGE(I207:I208)</f>
        <v>0.20833333333333331</v>
      </c>
      <c r="J206" s="524">
        <f>+AVERAGE(J207:J208)</f>
        <v>0.2361111111111111</v>
      </c>
      <c r="K206" s="524">
        <f>+K207+K208</f>
        <v>0.2</v>
      </c>
      <c r="L206" s="524">
        <f>+L207+L208</f>
        <v>0.23888888888888887</v>
      </c>
      <c r="M206" s="527"/>
      <c r="N206" s="527"/>
      <c r="O206" s="527"/>
      <c r="P206" s="527"/>
      <c r="Q206" s="527"/>
      <c r="R206" s="527"/>
      <c r="S206" s="527"/>
      <c r="T206" s="579">
        <f>+AVERAGE(T207:T208)</f>
        <v>0.58611111111111103</v>
      </c>
      <c r="U206" s="579">
        <f>+AVERAGE(U207:U208)</f>
        <v>0.70625000000000004</v>
      </c>
      <c r="V206" s="579">
        <f>+(V207+V208)*E206</f>
        <v>3.2944444444444443E-2</v>
      </c>
      <c r="W206" s="610">
        <f>+(W207+W208)*E206</f>
        <v>3.4250000000000003E-2</v>
      </c>
      <c r="X206" s="611">
        <f>+AVERAGE(X207:X208)</f>
        <v>0.10694444444444444</v>
      </c>
      <c r="Y206" s="611">
        <f>+AVERAGE(Y207:Y208)</f>
        <v>0.27222222222222225</v>
      </c>
      <c r="Z206" s="539">
        <f>+(Z207+Z208)*E206</f>
        <v>5.8611111111111112E-3</v>
      </c>
      <c r="AA206" s="599">
        <f>+(AA207+AA208)</f>
        <v>0.27944444444444444</v>
      </c>
      <c r="AB206" s="215"/>
      <c r="AC206" s="494"/>
      <c r="AD206" s="494"/>
      <c r="AE206" s="494"/>
      <c r="AF206" s="494"/>
      <c r="AG206" s="187"/>
      <c r="AH206" s="187"/>
      <c r="AI206" s="187"/>
    </row>
    <row r="207" spans="1:35" ht="135" customHeight="1" thickBot="1" x14ac:dyDescent="0.35">
      <c r="A207" s="331"/>
      <c r="B207" s="1070" t="s">
        <v>446</v>
      </c>
      <c r="C207" s="1070" t="s">
        <v>447</v>
      </c>
      <c r="D207" s="495" t="s">
        <v>386</v>
      </c>
      <c r="E207" s="1259">
        <v>0.6</v>
      </c>
      <c r="F207" s="568">
        <v>120</v>
      </c>
      <c r="G207" s="525">
        <v>20</v>
      </c>
      <c r="H207" s="525">
        <v>30</v>
      </c>
      <c r="I207" s="528">
        <f>+G207/F207</f>
        <v>0.16666666666666666</v>
      </c>
      <c r="J207" s="528">
        <f t="shared" si="152"/>
        <v>0.25</v>
      </c>
      <c r="K207" s="528">
        <f>+(G207/F207)*E207</f>
        <v>9.9999999999999992E-2</v>
      </c>
      <c r="L207" s="528">
        <f t="shared" si="154"/>
        <v>0.15</v>
      </c>
      <c r="M207" s="1268">
        <v>19</v>
      </c>
      <c r="N207" s="594">
        <v>8</v>
      </c>
      <c r="O207" s="525">
        <v>10</v>
      </c>
      <c r="P207" s="525"/>
      <c r="Q207" s="525"/>
      <c r="R207" s="525">
        <f t="shared" si="145"/>
        <v>18</v>
      </c>
      <c r="S207" s="525">
        <f t="shared" si="146"/>
        <v>37</v>
      </c>
      <c r="T207" s="528">
        <f>+(M207/G207)</f>
        <v>0.95</v>
      </c>
      <c r="U207" s="528">
        <f t="shared" si="147"/>
        <v>0.6</v>
      </c>
      <c r="V207" s="528">
        <f>+T207*E207</f>
        <v>0.56999999999999995</v>
      </c>
      <c r="W207" s="528">
        <f>+U207*E207</f>
        <v>0.36</v>
      </c>
      <c r="X207" s="612">
        <f>+M207/F207</f>
        <v>0.15833333333333333</v>
      </c>
      <c r="Y207" s="613">
        <f t="shared" si="149"/>
        <v>0.30833333333333335</v>
      </c>
      <c r="Z207" s="543">
        <f>+X207*E207</f>
        <v>9.4999999999999987E-2</v>
      </c>
      <c r="AA207" s="544">
        <f>+Y207*E207</f>
        <v>0.185</v>
      </c>
      <c r="AB207" s="221" t="s">
        <v>43</v>
      </c>
      <c r="AC207" s="832" t="s">
        <v>44</v>
      </c>
      <c r="AD207" s="832" t="s">
        <v>38</v>
      </c>
      <c r="AE207" s="832" t="s">
        <v>39</v>
      </c>
      <c r="AF207" s="494"/>
      <c r="AG207" s="187"/>
      <c r="AH207" s="187"/>
      <c r="AI207" s="187"/>
    </row>
    <row r="208" spans="1:35" ht="135" customHeight="1" thickBot="1" x14ac:dyDescent="0.35">
      <c r="A208" s="331"/>
      <c r="B208" s="1070" t="s">
        <v>448</v>
      </c>
      <c r="C208" s="1070" t="s">
        <v>449</v>
      </c>
      <c r="D208" s="495" t="s">
        <v>386</v>
      </c>
      <c r="E208" s="1259">
        <v>0.4</v>
      </c>
      <c r="F208" s="568">
        <v>72</v>
      </c>
      <c r="G208" s="525">
        <v>18</v>
      </c>
      <c r="H208" s="525">
        <v>16</v>
      </c>
      <c r="I208" s="528">
        <f>+G208/F208</f>
        <v>0.25</v>
      </c>
      <c r="J208" s="528">
        <f t="shared" si="152"/>
        <v>0.22222222222222221</v>
      </c>
      <c r="K208" s="528">
        <f>+(G208/F208)*E208</f>
        <v>0.1</v>
      </c>
      <c r="L208" s="528">
        <f t="shared" si="154"/>
        <v>8.8888888888888892E-2</v>
      </c>
      <c r="M208" s="1268">
        <v>4</v>
      </c>
      <c r="N208" s="594">
        <v>4</v>
      </c>
      <c r="O208" s="525">
        <v>9</v>
      </c>
      <c r="P208" s="525"/>
      <c r="Q208" s="525"/>
      <c r="R208" s="525">
        <f t="shared" si="145"/>
        <v>13</v>
      </c>
      <c r="S208" s="525">
        <f>+R208+M208</f>
        <v>17</v>
      </c>
      <c r="T208" s="528">
        <f>+(M208/G208)</f>
        <v>0.22222222222222221</v>
      </c>
      <c r="U208" s="528">
        <f t="shared" si="147"/>
        <v>0.8125</v>
      </c>
      <c r="V208" s="528">
        <f>+T208*E208</f>
        <v>8.8888888888888892E-2</v>
      </c>
      <c r="W208" s="528">
        <f t="shared" si="150"/>
        <v>0.32500000000000001</v>
      </c>
      <c r="X208" s="543">
        <f>+M208/F208</f>
        <v>5.5555555555555552E-2</v>
      </c>
      <c r="Y208" s="614">
        <f t="shared" si="149"/>
        <v>0.2361111111111111</v>
      </c>
      <c r="Z208" s="543">
        <f>+X208*E208</f>
        <v>2.2222222222222223E-2</v>
      </c>
      <c r="AA208" s="544">
        <f>+Y208*E208</f>
        <v>9.4444444444444442E-2</v>
      </c>
      <c r="AB208" s="221" t="s">
        <v>43</v>
      </c>
      <c r="AC208" s="832" t="s">
        <v>44</v>
      </c>
      <c r="AD208" s="832" t="s">
        <v>38</v>
      </c>
      <c r="AE208" s="832" t="s">
        <v>39</v>
      </c>
      <c r="AF208" s="494"/>
      <c r="AG208" s="187"/>
      <c r="AH208" s="187"/>
      <c r="AI208" s="187"/>
    </row>
    <row r="209" spans="1:35" ht="135" customHeight="1" thickBot="1" x14ac:dyDescent="0.35">
      <c r="A209" s="331"/>
      <c r="B209" s="1284" t="s">
        <v>450</v>
      </c>
      <c r="C209" s="1285"/>
      <c r="D209" s="1258"/>
      <c r="E209" s="522">
        <v>0.1</v>
      </c>
      <c r="F209" s="568"/>
      <c r="G209" s="525"/>
      <c r="H209" s="525"/>
      <c r="I209" s="524">
        <f>+AVERAGE(I210:I211)</f>
        <v>0.14262820512820512</v>
      </c>
      <c r="J209" s="524"/>
      <c r="K209" s="524">
        <f>+K210+K211</f>
        <v>0.15576923076923077</v>
      </c>
      <c r="L209" s="524"/>
      <c r="M209" s="527"/>
      <c r="N209" s="527"/>
      <c r="O209" s="527"/>
      <c r="P209" s="527"/>
      <c r="Q209" s="527"/>
      <c r="R209" s="527"/>
      <c r="S209" s="527"/>
      <c r="T209" s="579">
        <f>+AVERAGE(T210:T211)</f>
        <v>1</v>
      </c>
      <c r="U209" s="579"/>
      <c r="V209" s="579">
        <f>+(V210+V211)*E209</f>
        <v>0.1</v>
      </c>
      <c r="W209" s="579">
        <f>+(W210+W211)*F209</f>
        <v>0</v>
      </c>
      <c r="X209" s="539">
        <f>+AVERAGE(X210:X211)</f>
        <v>0.24038461538461539</v>
      </c>
      <c r="Y209" s="611">
        <f>+AVERAGE(Y210:Y211)</f>
        <v>0.24038461538461539</v>
      </c>
      <c r="Z209" s="539">
        <f>+(Z210+Z211)*E209</f>
        <v>2.4230769230769233E-2</v>
      </c>
      <c r="AA209" s="599">
        <f>+(AA210+AA211)</f>
        <v>0.24230769230769231</v>
      </c>
      <c r="AB209" s="215"/>
      <c r="AC209" s="494"/>
      <c r="AD209" s="494"/>
      <c r="AE209" s="494"/>
      <c r="AF209" s="494"/>
      <c r="AG209" s="187"/>
      <c r="AH209" s="187"/>
      <c r="AI209" s="187"/>
    </row>
    <row r="210" spans="1:35" ht="135" customHeight="1" thickBot="1" x14ac:dyDescent="0.35">
      <c r="A210" s="331"/>
      <c r="B210" s="1196" t="s">
        <v>451</v>
      </c>
      <c r="C210" s="1196" t="s">
        <v>452</v>
      </c>
      <c r="D210" s="499" t="s">
        <v>453</v>
      </c>
      <c r="E210" s="1267">
        <v>0.4</v>
      </c>
      <c r="F210" s="568">
        <v>13</v>
      </c>
      <c r="G210" s="525">
        <v>1</v>
      </c>
      <c r="H210" s="525"/>
      <c r="I210" s="528">
        <f>+G210/F210</f>
        <v>7.6923076923076927E-2</v>
      </c>
      <c r="J210" s="528"/>
      <c r="K210" s="528">
        <f>+(G210/F210)*E210</f>
        <v>3.0769230769230771E-2</v>
      </c>
      <c r="L210" s="528"/>
      <c r="M210" s="525">
        <v>3</v>
      </c>
      <c r="N210" s="594"/>
      <c r="O210" s="525"/>
      <c r="P210" s="525"/>
      <c r="Q210" s="525"/>
      <c r="R210" s="525">
        <f t="shared" si="145"/>
        <v>0</v>
      </c>
      <c r="S210" s="525">
        <f t="shared" si="146"/>
        <v>3</v>
      </c>
      <c r="T210" s="528">
        <v>1</v>
      </c>
      <c r="U210" s="528"/>
      <c r="V210" s="528">
        <f>+T210*E210</f>
        <v>0.4</v>
      </c>
      <c r="W210" s="528"/>
      <c r="X210" s="543">
        <f>+M210/F210</f>
        <v>0.23076923076923078</v>
      </c>
      <c r="Y210" s="613">
        <f t="shared" si="149"/>
        <v>0.23076923076923078</v>
      </c>
      <c r="Z210" s="543">
        <f>+X210*E210</f>
        <v>9.2307692307692313E-2</v>
      </c>
      <c r="AA210" s="544">
        <f>+Y210*E210</f>
        <v>9.2307692307692313E-2</v>
      </c>
      <c r="AB210" s="221" t="s">
        <v>43</v>
      </c>
      <c r="AC210" s="833" t="s">
        <v>454</v>
      </c>
      <c r="AD210" s="832" t="s">
        <v>38</v>
      </c>
      <c r="AE210" s="833" t="s">
        <v>455</v>
      </c>
      <c r="AF210" s="494"/>
      <c r="AG210" s="187"/>
      <c r="AH210" s="187"/>
      <c r="AI210" s="187"/>
    </row>
    <row r="211" spans="1:35" ht="135" customHeight="1" thickBot="1" x14ac:dyDescent="0.35">
      <c r="A211" s="331"/>
      <c r="B211" s="1196" t="s">
        <v>456</v>
      </c>
      <c r="C211" s="1196" t="s">
        <v>457</v>
      </c>
      <c r="D211" s="499" t="s">
        <v>453</v>
      </c>
      <c r="E211" s="1267">
        <v>0.6</v>
      </c>
      <c r="F211" s="568">
        <v>48</v>
      </c>
      <c r="G211" s="525">
        <v>10</v>
      </c>
      <c r="H211" s="525"/>
      <c r="I211" s="528">
        <f>+G211/F211</f>
        <v>0.20833333333333334</v>
      </c>
      <c r="J211" s="528"/>
      <c r="K211" s="528">
        <f>+(G211/F211)*E211</f>
        <v>0.125</v>
      </c>
      <c r="L211" s="528"/>
      <c r="M211" s="525">
        <v>12</v>
      </c>
      <c r="N211" s="594"/>
      <c r="O211" s="525"/>
      <c r="P211" s="525"/>
      <c r="Q211" s="525"/>
      <c r="R211" s="525">
        <f t="shared" si="145"/>
        <v>0</v>
      </c>
      <c r="S211" s="525">
        <f t="shared" si="146"/>
        <v>12</v>
      </c>
      <c r="T211" s="528">
        <v>1</v>
      </c>
      <c r="U211" s="528"/>
      <c r="V211" s="528">
        <f>+T211*E211</f>
        <v>0.6</v>
      </c>
      <c r="W211" s="528"/>
      <c r="X211" s="543">
        <f>+M211/F211</f>
        <v>0.25</v>
      </c>
      <c r="Y211" s="549">
        <f t="shared" si="149"/>
        <v>0.25</v>
      </c>
      <c r="Z211" s="543">
        <f>+X211*E211</f>
        <v>0.15</v>
      </c>
      <c r="AA211" s="549">
        <f>+Y211*E211</f>
        <v>0.15</v>
      </c>
      <c r="AB211" s="221" t="s">
        <v>43</v>
      </c>
      <c r="AC211" s="833" t="s">
        <v>454</v>
      </c>
      <c r="AD211" s="832" t="s">
        <v>38</v>
      </c>
      <c r="AE211" s="833" t="s">
        <v>455</v>
      </c>
      <c r="AF211" s="494"/>
      <c r="AG211" s="187"/>
      <c r="AH211" s="187"/>
      <c r="AI211" s="187"/>
    </row>
    <row r="212" spans="1:35" ht="21" customHeight="1" thickBot="1" x14ac:dyDescent="0.35">
      <c r="A212" s="187"/>
      <c r="B212" s="381"/>
      <c r="C212" s="381"/>
      <c r="D212" s="187"/>
      <c r="E212" s="569"/>
      <c r="F212" s="569"/>
      <c r="G212" s="381"/>
      <c r="H212" s="381"/>
      <c r="I212" s="381"/>
      <c r="J212" s="381"/>
      <c r="K212" s="381"/>
      <c r="L212" s="381"/>
      <c r="M212" s="381"/>
      <c r="N212" s="381"/>
      <c r="O212" s="381"/>
      <c r="P212" s="381"/>
      <c r="Q212" s="381"/>
      <c r="R212" s="381"/>
      <c r="S212" s="381"/>
      <c r="T212" s="381"/>
      <c r="U212" s="381"/>
      <c r="V212" s="381"/>
      <c r="W212" s="381"/>
      <c r="X212" s="381"/>
      <c r="Y212" s="384"/>
      <c r="Z212" s="381"/>
      <c r="AA212" s="384"/>
      <c r="AB212" s="187"/>
      <c r="AC212" s="187"/>
      <c r="AD212" s="187"/>
      <c r="AE212" s="187"/>
      <c r="AF212" s="187"/>
      <c r="AG212" s="187"/>
      <c r="AH212" s="187"/>
      <c r="AI212" s="187"/>
    </row>
    <row r="213" spans="1:35" ht="21" customHeight="1" thickBot="1" x14ac:dyDescent="0.35">
      <c r="A213" s="187"/>
      <c r="B213" s="381"/>
      <c r="C213" s="381"/>
      <c r="D213" s="187"/>
      <c r="E213" s="569"/>
      <c r="F213" s="569"/>
      <c r="G213" s="381"/>
      <c r="H213" s="381"/>
      <c r="I213" s="381"/>
      <c r="J213" s="381"/>
      <c r="K213" s="381"/>
      <c r="L213" s="381"/>
      <c r="M213" s="381"/>
      <c r="N213" s="381"/>
      <c r="O213" s="381"/>
      <c r="P213" s="381"/>
      <c r="Q213" s="381"/>
      <c r="R213" s="381"/>
      <c r="S213" s="381"/>
      <c r="T213" s="381"/>
      <c r="U213" s="381"/>
      <c r="V213" s="381"/>
      <c r="W213" s="381"/>
      <c r="X213" s="381"/>
      <c r="Y213" s="381"/>
      <c r="Z213" s="381"/>
      <c r="AA213" s="381"/>
      <c r="AB213" s="187"/>
      <c r="AC213" s="187"/>
      <c r="AD213" s="187"/>
      <c r="AE213" s="187"/>
      <c r="AF213" s="187"/>
      <c r="AG213" s="187"/>
      <c r="AH213" s="187"/>
      <c r="AI213" s="187"/>
    </row>
    <row r="214" spans="1:35" ht="21" customHeight="1" thickBot="1" x14ac:dyDescent="0.35">
      <c r="A214" s="187"/>
      <c r="B214" s="503"/>
      <c r="C214" s="381"/>
      <c r="D214" s="187"/>
      <c r="E214" s="569"/>
      <c r="F214" s="569"/>
      <c r="G214" s="381"/>
      <c r="H214" s="381"/>
      <c r="I214" s="381"/>
      <c r="J214" s="381"/>
      <c r="K214" s="381"/>
      <c r="L214" s="381"/>
      <c r="M214" s="381"/>
      <c r="N214" s="381"/>
      <c r="O214" s="381"/>
      <c r="P214" s="381"/>
      <c r="Q214" s="381"/>
      <c r="R214" s="381"/>
      <c r="S214" s="381"/>
      <c r="T214" s="381"/>
      <c r="U214" s="381"/>
      <c r="V214" s="381"/>
      <c r="W214" s="381"/>
      <c r="X214" s="381"/>
      <c r="Y214" s="381"/>
      <c r="Z214" s="381"/>
      <c r="AA214" s="381"/>
      <c r="AB214" s="187"/>
      <c r="AC214" s="187"/>
      <c r="AD214" s="187"/>
      <c r="AE214" s="187"/>
      <c r="AF214" s="187"/>
      <c r="AG214" s="187"/>
      <c r="AH214" s="187"/>
      <c r="AI214" s="187"/>
    </row>
    <row r="215" spans="1:35" ht="21" customHeight="1" thickBot="1" x14ac:dyDescent="0.35">
      <c r="A215" s="187"/>
      <c r="B215" s="381"/>
      <c r="C215" s="381"/>
      <c r="D215" s="187"/>
      <c r="E215" s="569"/>
      <c r="F215" s="569"/>
      <c r="G215" s="381"/>
      <c r="H215" s="381"/>
      <c r="I215" s="381"/>
      <c r="J215" s="381"/>
      <c r="K215" s="381"/>
      <c r="L215" s="381"/>
      <c r="M215" s="381"/>
      <c r="N215" s="381"/>
      <c r="O215" s="381"/>
      <c r="P215" s="381"/>
      <c r="Q215" s="381"/>
      <c r="R215" s="381"/>
      <c r="S215" s="381"/>
      <c r="T215" s="381"/>
      <c r="U215" s="381"/>
      <c r="V215" s="381"/>
      <c r="W215" s="381"/>
      <c r="X215" s="381"/>
      <c r="Y215" s="381"/>
      <c r="Z215" s="381"/>
      <c r="AA215" s="381"/>
      <c r="AB215" s="187"/>
      <c r="AC215" s="187"/>
      <c r="AD215" s="187"/>
      <c r="AE215" s="187"/>
      <c r="AF215" s="187"/>
      <c r="AG215" s="187"/>
      <c r="AH215" s="187"/>
      <c r="AI215" s="187"/>
    </row>
    <row r="216" spans="1:35" ht="21" customHeight="1" thickBot="1" x14ac:dyDescent="0.35">
      <c r="A216" s="187"/>
      <c r="B216" s="381"/>
      <c r="C216" s="381"/>
      <c r="D216" s="187"/>
      <c r="E216" s="569"/>
      <c r="F216" s="569"/>
      <c r="G216" s="381"/>
      <c r="H216" s="381"/>
      <c r="I216" s="381"/>
      <c r="J216" s="381"/>
      <c r="K216" s="381"/>
      <c r="L216" s="381"/>
      <c r="M216" s="381"/>
      <c r="N216" s="381"/>
      <c r="O216" s="381"/>
      <c r="P216" s="381"/>
      <c r="Q216" s="381"/>
      <c r="R216" s="381"/>
      <c r="S216" s="381"/>
      <c r="T216" s="381"/>
      <c r="U216" s="381"/>
      <c r="V216" s="381"/>
      <c r="W216" s="381"/>
      <c r="X216" s="381"/>
      <c r="Y216" s="381"/>
      <c r="Z216" s="381"/>
      <c r="AA216" s="381"/>
      <c r="AB216" s="187"/>
      <c r="AC216" s="187"/>
      <c r="AD216" s="187"/>
      <c r="AE216" s="187"/>
      <c r="AF216" s="187"/>
      <c r="AG216" s="187"/>
      <c r="AH216" s="187"/>
      <c r="AI216" s="187"/>
    </row>
    <row r="217" spans="1:35" ht="21" customHeight="1" thickBot="1" x14ac:dyDescent="0.35">
      <c r="A217" s="187"/>
      <c r="B217" s="381"/>
      <c r="C217" s="381"/>
      <c r="D217" s="187"/>
      <c r="E217" s="569"/>
      <c r="F217" s="569"/>
      <c r="G217" s="381"/>
      <c r="H217" s="381"/>
      <c r="I217" s="381"/>
      <c r="J217" s="381"/>
      <c r="K217" s="381"/>
      <c r="L217" s="381"/>
      <c r="M217" s="381"/>
      <c r="N217" s="381"/>
      <c r="O217" s="381"/>
      <c r="P217" s="381"/>
      <c r="Q217" s="381"/>
      <c r="R217" s="381"/>
      <c r="S217" s="381"/>
      <c r="T217" s="381"/>
      <c r="U217" s="381"/>
      <c r="V217" s="381"/>
      <c r="W217" s="381"/>
      <c r="X217" s="381"/>
      <c r="Y217" s="381"/>
      <c r="Z217" s="381"/>
      <c r="AA217" s="381"/>
      <c r="AB217" s="187"/>
      <c r="AC217" s="187"/>
      <c r="AD217" s="187"/>
      <c r="AE217" s="187"/>
      <c r="AF217" s="187"/>
      <c r="AG217" s="187"/>
      <c r="AH217" s="187"/>
      <c r="AI217" s="187"/>
    </row>
    <row r="218" spans="1:35" ht="21" customHeight="1" thickBot="1" x14ac:dyDescent="0.35">
      <c r="A218" s="187"/>
      <c r="B218" s="381"/>
      <c r="C218" s="381"/>
      <c r="D218" s="187"/>
      <c r="E218" s="569"/>
      <c r="F218" s="569"/>
      <c r="G218" s="381"/>
      <c r="H218" s="381"/>
      <c r="I218" s="381"/>
      <c r="J218" s="381"/>
      <c r="K218" s="381"/>
      <c r="L218" s="381"/>
      <c r="M218" s="381"/>
      <c r="N218" s="381"/>
      <c r="O218" s="381"/>
      <c r="P218" s="381"/>
      <c r="Q218" s="381"/>
      <c r="R218" s="381"/>
      <c r="S218" s="381"/>
      <c r="T218" s="381"/>
      <c r="U218" s="381"/>
      <c r="V218" s="381"/>
      <c r="W218" s="381"/>
      <c r="X218" s="381"/>
      <c r="Y218" s="381"/>
      <c r="Z218" s="381"/>
      <c r="AA218" s="381"/>
      <c r="AB218" s="187"/>
      <c r="AC218" s="187"/>
      <c r="AD218" s="187"/>
      <c r="AE218" s="187"/>
      <c r="AF218" s="187"/>
      <c r="AG218" s="187"/>
      <c r="AH218" s="187"/>
      <c r="AI218" s="187"/>
    </row>
    <row r="219" spans="1:35" ht="21" customHeight="1" thickBot="1" x14ac:dyDescent="0.35">
      <c r="A219" s="187"/>
      <c r="B219" s="381"/>
      <c r="C219" s="381"/>
      <c r="D219" s="187"/>
      <c r="E219" s="569"/>
      <c r="F219" s="569"/>
      <c r="G219" s="381"/>
      <c r="H219" s="381"/>
      <c r="I219" s="381"/>
      <c r="J219" s="381"/>
      <c r="K219" s="381"/>
      <c r="L219" s="381"/>
      <c r="M219" s="381"/>
      <c r="N219" s="381"/>
      <c r="O219" s="381"/>
      <c r="P219" s="381"/>
      <c r="Q219" s="381"/>
      <c r="R219" s="381"/>
      <c r="S219" s="381"/>
      <c r="T219" s="381"/>
      <c r="U219" s="381"/>
      <c r="V219" s="381"/>
      <c r="W219" s="381"/>
      <c r="X219" s="381"/>
      <c r="Y219" s="381"/>
      <c r="Z219" s="381"/>
      <c r="AA219" s="381"/>
      <c r="AB219" s="187"/>
      <c r="AC219" s="187"/>
      <c r="AD219" s="187"/>
      <c r="AE219" s="187"/>
      <c r="AF219" s="187"/>
      <c r="AG219" s="187"/>
      <c r="AH219" s="187"/>
      <c r="AI219" s="187"/>
    </row>
    <row r="220" spans="1:35" ht="21" customHeight="1" thickBot="1" x14ac:dyDescent="0.35">
      <c r="A220" s="187"/>
      <c r="B220" s="381"/>
      <c r="C220" s="381"/>
      <c r="D220" s="187"/>
      <c r="E220" s="569"/>
      <c r="F220" s="569"/>
      <c r="G220" s="381"/>
      <c r="H220" s="381"/>
      <c r="I220" s="381"/>
      <c r="J220" s="381"/>
      <c r="K220" s="381"/>
      <c r="L220" s="381"/>
      <c r="M220" s="381"/>
      <c r="N220" s="381"/>
      <c r="O220" s="381"/>
      <c r="P220" s="381"/>
      <c r="Q220" s="381"/>
      <c r="R220" s="381"/>
      <c r="S220" s="381"/>
      <c r="T220" s="381"/>
      <c r="U220" s="381"/>
      <c r="V220" s="381"/>
      <c r="W220" s="381"/>
      <c r="X220" s="381"/>
      <c r="Y220" s="381"/>
      <c r="Z220" s="381"/>
      <c r="AA220" s="381"/>
      <c r="AB220" s="187"/>
      <c r="AC220" s="187"/>
      <c r="AD220" s="187"/>
      <c r="AE220" s="187"/>
      <c r="AF220" s="187"/>
      <c r="AG220" s="187"/>
      <c r="AH220" s="187"/>
      <c r="AI220" s="187"/>
    </row>
    <row r="221" spans="1:35" ht="21" customHeight="1" thickBot="1" x14ac:dyDescent="0.35">
      <c r="A221" s="187"/>
      <c r="B221" s="381"/>
      <c r="C221" s="381"/>
      <c r="D221" s="187"/>
      <c r="E221" s="569"/>
      <c r="F221" s="569"/>
      <c r="G221" s="381"/>
      <c r="H221" s="381"/>
      <c r="I221" s="381"/>
      <c r="J221" s="381"/>
      <c r="K221" s="381"/>
      <c r="L221" s="381"/>
      <c r="M221" s="381"/>
      <c r="N221" s="381"/>
      <c r="O221" s="381"/>
      <c r="P221" s="381"/>
      <c r="Q221" s="381"/>
      <c r="R221" s="381"/>
      <c r="S221" s="381"/>
      <c r="T221" s="381"/>
      <c r="U221" s="381"/>
      <c r="V221" s="381"/>
      <c r="W221" s="381"/>
      <c r="X221" s="381"/>
      <c r="Y221" s="381"/>
      <c r="Z221" s="381"/>
      <c r="AA221" s="381"/>
      <c r="AB221" s="187"/>
      <c r="AC221" s="187"/>
      <c r="AD221" s="187"/>
      <c r="AE221" s="187"/>
      <c r="AF221" s="187"/>
      <c r="AG221" s="187"/>
      <c r="AH221" s="187"/>
      <c r="AI221" s="187"/>
    </row>
    <row r="222" spans="1:35" ht="21" customHeight="1" thickBot="1" x14ac:dyDescent="0.35">
      <c r="A222" s="187"/>
      <c r="B222" s="381"/>
      <c r="C222" s="381"/>
      <c r="D222" s="187"/>
      <c r="E222" s="569"/>
      <c r="F222" s="569"/>
      <c r="G222" s="381"/>
      <c r="H222" s="381"/>
      <c r="I222" s="381"/>
      <c r="J222" s="381"/>
      <c r="K222" s="381"/>
      <c r="L222" s="381"/>
      <c r="M222" s="381"/>
      <c r="N222" s="381"/>
      <c r="O222" s="381"/>
      <c r="P222" s="381"/>
      <c r="Q222" s="381"/>
      <c r="R222" s="381"/>
      <c r="S222" s="381"/>
      <c r="T222" s="381"/>
      <c r="U222" s="381"/>
      <c r="V222" s="381"/>
      <c r="W222" s="381"/>
      <c r="X222" s="381"/>
      <c r="Y222" s="381"/>
      <c r="Z222" s="381"/>
      <c r="AA222" s="381"/>
      <c r="AB222" s="187"/>
      <c r="AC222" s="187"/>
      <c r="AD222" s="187"/>
      <c r="AE222" s="187"/>
      <c r="AF222" s="187"/>
      <c r="AG222" s="187"/>
      <c r="AH222" s="187"/>
      <c r="AI222" s="187"/>
    </row>
    <row r="223" spans="1:35" ht="21" customHeight="1" thickBot="1" x14ac:dyDescent="0.35">
      <c r="A223" s="187"/>
      <c r="B223" s="381"/>
      <c r="C223" s="381"/>
      <c r="D223" s="187"/>
      <c r="E223" s="569"/>
      <c r="F223" s="569"/>
      <c r="G223" s="381"/>
      <c r="H223" s="381"/>
      <c r="I223" s="381"/>
      <c r="J223" s="381"/>
      <c r="K223" s="381"/>
      <c r="L223" s="381"/>
      <c r="M223" s="381"/>
      <c r="N223" s="381"/>
      <c r="O223" s="381"/>
      <c r="P223" s="381"/>
      <c r="Q223" s="381"/>
      <c r="R223" s="381"/>
      <c r="S223" s="381"/>
      <c r="T223" s="381"/>
      <c r="U223" s="381"/>
      <c r="V223" s="381"/>
      <c r="W223" s="381"/>
      <c r="X223" s="381"/>
      <c r="Y223" s="381"/>
      <c r="Z223" s="381"/>
      <c r="AA223" s="381"/>
      <c r="AB223" s="187"/>
      <c r="AC223" s="187"/>
      <c r="AD223" s="187"/>
      <c r="AE223" s="187"/>
      <c r="AF223" s="187"/>
      <c r="AG223" s="187"/>
      <c r="AH223" s="187"/>
      <c r="AI223" s="187"/>
    </row>
    <row r="224" spans="1:35" ht="21" customHeight="1" thickBot="1" x14ac:dyDescent="0.35">
      <c r="A224" s="187"/>
      <c r="B224" s="381"/>
      <c r="C224" s="381"/>
      <c r="D224" s="187"/>
      <c r="E224" s="569"/>
      <c r="F224" s="569"/>
      <c r="G224" s="381"/>
      <c r="H224" s="381"/>
      <c r="I224" s="381"/>
      <c r="J224" s="381"/>
      <c r="K224" s="381"/>
      <c r="L224" s="381"/>
      <c r="M224" s="381"/>
      <c r="N224" s="381"/>
      <c r="O224" s="381"/>
      <c r="P224" s="381"/>
      <c r="Q224" s="381"/>
      <c r="R224" s="381"/>
      <c r="S224" s="381"/>
      <c r="T224" s="381"/>
      <c r="U224" s="381"/>
      <c r="V224" s="381"/>
      <c r="W224" s="381"/>
      <c r="X224" s="381"/>
      <c r="Y224" s="381"/>
      <c r="Z224" s="381"/>
      <c r="AA224" s="381"/>
      <c r="AB224" s="187"/>
      <c r="AC224" s="187"/>
      <c r="AD224" s="187"/>
      <c r="AE224" s="187"/>
      <c r="AF224" s="187"/>
      <c r="AG224" s="187"/>
      <c r="AH224" s="187"/>
      <c r="AI224" s="187"/>
    </row>
    <row r="225" spans="1:35" ht="21" customHeight="1" thickBot="1" x14ac:dyDescent="0.35">
      <c r="A225" s="187"/>
      <c r="B225" s="381"/>
      <c r="C225" s="381"/>
      <c r="D225" s="187"/>
      <c r="E225" s="569"/>
      <c r="F225" s="569"/>
      <c r="G225" s="381"/>
      <c r="H225" s="381"/>
      <c r="I225" s="381"/>
      <c r="J225" s="381"/>
      <c r="K225" s="381"/>
      <c r="L225" s="381"/>
      <c r="M225" s="381"/>
      <c r="N225" s="381"/>
      <c r="O225" s="381"/>
      <c r="P225" s="381"/>
      <c r="Q225" s="381"/>
      <c r="R225" s="381"/>
      <c r="S225" s="381"/>
      <c r="T225" s="381"/>
      <c r="U225" s="381"/>
      <c r="V225" s="381"/>
      <c r="W225" s="381"/>
      <c r="X225" s="381"/>
      <c r="Y225" s="381"/>
      <c r="Z225" s="381"/>
      <c r="AA225" s="381"/>
      <c r="AB225" s="187"/>
      <c r="AC225" s="187"/>
      <c r="AD225" s="187"/>
      <c r="AE225" s="187"/>
      <c r="AF225" s="187"/>
      <c r="AG225" s="187"/>
      <c r="AH225" s="187"/>
      <c r="AI225" s="187"/>
    </row>
    <row r="226" spans="1:35" ht="21" customHeight="1" thickBot="1" x14ac:dyDescent="0.35">
      <c r="A226" s="187"/>
      <c r="B226" s="381"/>
      <c r="C226" s="381"/>
      <c r="D226" s="187"/>
      <c r="E226" s="569"/>
      <c r="F226" s="569"/>
      <c r="G226" s="381"/>
      <c r="H226" s="381"/>
      <c r="I226" s="381"/>
      <c r="J226" s="381"/>
      <c r="K226" s="381"/>
      <c r="L226" s="381"/>
      <c r="M226" s="381"/>
      <c r="N226" s="381"/>
      <c r="O226" s="381"/>
      <c r="P226" s="381"/>
      <c r="Q226" s="381"/>
      <c r="R226" s="381"/>
      <c r="S226" s="381"/>
      <c r="T226" s="381"/>
      <c r="U226" s="381"/>
      <c r="V226" s="381"/>
      <c r="W226" s="381"/>
      <c r="X226" s="381"/>
      <c r="Y226" s="381"/>
      <c r="Z226" s="381"/>
      <c r="AA226" s="381"/>
      <c r="AB226" s="187"/>
      <c r="AC226" s="187"/>
      <c r="AD226" s="187"/>
      <c r="AE226" s="187"/>
      <c r="AF226" s="187"/>
      <c r="AG226" s="187"/>
      <c r="AH226" s="187"/>
      <c r="AI226" s="187"/>
    </row>
    <row r="227" spans="1:35" ht="21" customHeight="1" thickBot="1" x14ac:dyDescent="0.35">
      <c r="A227" s="187"/>
      <c r="B227" s="381"/>
      <c r="C227" s="381"/>
      <c r="D227" s="187"/>
      <c r="E227" s="569"/>
      <c r="F227" s="569"/>
      <c r="G227" s="381"/>
      <c r="H227" s="381"/>
      <c r="I227" s="381"/>
      <c r="J227" s="381"/>
      <c r="K227" s="381"/>
      <c r="L227" s="381"/>
      <c r="M227" s="381"/>
      <c r="N227" s="381"/>
      <c r="O227" s="381"/>
      <c r="P227" s="381"/>
      <c r="Q227" s="381"/>
      <c r="R227" s="381"/>
      <c r="S227" s="381"/>
      <c r="T227" s="381"/>
      <c r="U227" s="381"/>
      <c r="V227" s="381"/>
      <c r="W227" s="381"/>
      <c r="X227" s="381"/>
      <c r="Y227" s="381"/>
      <c r="Z227" s="381"/>
      <c r="AA227" s="381"/>
      <c r="AB227" s="187"/>
      <c r="AC227" s="187"/>
      <c r="AD227" s="187"/>
      <c r="AE227" s="187"/>
      <c r="AF227" s="187"/>
      <c r="AG227" s="187"/>
      <c r="AH227" s="187"/>
      <c r="AI227" s="187"/>
    </row>
    <row r="228" spans="1:35" ht="21" customHeight="1" thickBot="1" x14ac:dyDescent="0.35">
      <c r="A228" s="187"/>
      <c r="B228" s="381"/>
      <c r="C228" s="381"/>
      <c r="D228" s="187"/>
      <c r="E228" s="569"/>
      <c r="F228" s="569"/>
      <c r="G228" s="381"/>
      <c r="H228" s="381"/>
      <c r="I228" s="381"/>
      <c r="J228" s="381"/>
      <c r="K228" s="381"/>
      <c r="L228" s="381"/>
      <c r="M228" s="381"/>
      <c r="N228" s="381"/>
      <c r="O228" s="381"/>
      <c r="P228" s="381"/>
      <c r="Q228" s="381"/>
      <c r="R228" s="381"/>
      <c r="S228" s="381"/>
      <c r="T228" s="381"/>
      <c r="U228" s="381"/>
      <c r="V228" s="381"/>
      <c r="W228" s="381"/>
      <c r="X228" s="381"/>
      <c r="Y228" s="381"/>
      <c r="Z228" s="381"/>
      <c r="AA228" s="381"/>
      <c r="AB228" s="187"/>
      <c r="AC228" s="187"/>
      <c r="AD228" s="187"/>
      <c r="AE228" s="187"/>
      <c r="AF228" s="187"/>
      <c r="AG228" s="187"/>
      <c r="AH228" s="187"/>
      <c r="AI228" s="187"/>
    </row>
    <row r="229" spans="1:35" ht="21" customHeight="1" thickBot="1" x14ac:dyDescent="0.35">
      <c r="A229" s="187"/>
      <c r="B229" s="381"/>
      <c r="C229" s="381"/>
      <c r="D229" s="187"/>
      <c r="E229" s="569"/>
      <c r="F229" s="569"/>
      <c r="G229" s="381"/>
      <c r="H229" s="381"/>
      <c r="I229" s="381"/>
      <c r="J229" s="381"/>
      <c r="K229" s="381"/>
      <c r="L229" s="381"/>
      <c r="M229" s="381"/>
      <c r="N229" s="381"/>
      <c r="O229" s="381"/>
      <c r="P229" s="381"/>
      <c r="Q229" s="381"/>
      <c r="R229" s="381"/>
      <c r="S229" s="381"/>
      <c r="T229" s="381"/>
      <c r="U229" s="381"/>
      <c r="V229" s="381"/>
      <c r="W229" s="381"/>
      <c r="X229" s="381"/>
      <c r="Y229" s="381"/>
      <c r="Z229" s="381"/>
      <c r="AA229" s="381"/>
      <c r="AB229" s="187"/>
      <c r="AC229" s="187"/>
      <c r="AD229" s="187"/>
      <c r="AE229" s="187"/>
      <c r="AF229" s="187"/>
      <c r="AG229" s="187"/>
      <c r="AH229" s="187"/>
      <c r="AI229" s="187"/>
    </row>
    <row r="230" spans="1:35" ht="21" customHeight="1" thickBot="1" x14ac:dyDescent="0.35">
      <c r="A230" s="187"/>
      <c r="B230" s="381"/>
      <c r="C230" s="381"/>
      <c r="D230" s="187"/>
      <c r="E230" s="569"/>
      <c r="F230" s="569"/>
      <c r="G230" s="381"/>
      <c r="H230" s="381"/>
      <c r="I230" s="381"/>
      <c r="J230" s="381"/>
      <c r="K230" s="381"/>
      <c r="L230" s="381"/>
      <c r="M230" s="381"/>
      <c r="N230" s="381"/>
      <c r="O230" s="381"/>
      <c r="P230" s="381"/>
      <c r="Q230" s="381"/>
      <c r="R230" s="381"/>
      <c r="S230" s="381"/>
      <c r="T230" s="381"/>
      <c r="U230" s="381"/>
      <c r="V230" s="381"/>
      <c r="W230" s="381"/>
      <c r="X230" s="381"/>
      <c r="Y230" s="381"/>
      <c r="Z230" s="381"/>
      <c r="AA230" s="381"/>
      <c r="AB230" s="187"/>
      <c r="AC230" s="187"/>
      <c r="AD230" s="187"/>
      <c r="AE230" s="187"/>
      <c r="AF230" s="187"/>
      <c r="AG230" s="187"/>
      <c r="AH230" s="187"/>
      <c r="AI230" s="187"/>
    </row>
    <row r="231" spans="1:35" ht="21" customHeight="1" thickBot="1" x14ac:dyDescent="0.35">
      <c r="A231" s="187"/>
      <c r="B231" s="381"/>
      <c r="C231" s="381"/>
      <c r="D231" s="187"/>
      <c r="E231" s="569"/>
      <c r="F231" s="569"/>
      <c r="G231" s="381"/>
      <c r="H231" s="381"/>
      <c r="I231" s="381"/>
      <c r="J231" s="381"/>
      <c r="K231" s="381"/>
      <c r="L231" s="381"/>
      <c r="M231" s="381"/>
      <c r="N231" s="381"/>
      <c r="O231" s="381"/>
      <c r="P231" s="381"/>
      <c r="Q231" s="381"/>
      <c r="R231" s="381"/>
      <c r="S231" s="381"/>
      <c r="T231" s="381"/>
      <c r="U231" s="381"/>
      <c r="V231" s="381"/>
      <c r="W231" s="381"/>
      <c r="X231" s="381"/>
      <c r="Y231" s="381"/>
      <c r="Z231" s="381"/>
      <c r="AA231" s="381"/>
      <c r="AB231" s="187"/>
      <c r="AC231" s="187"/>
      <c r="AD231" s="187"/>
      <c r="AE231" s="187"/>
      <c r="AF231" s="187"/>
      <c r="AG231" s="187"/>
      <c r="AH231" s="187"/>
      <c r="AI231" s="187"/>
    </row>
    <row r="232" spans="1:35" ht="21" customHeight="1" thickBot="1" x14ac:dyDescent="0.35">
      <c r="A232" s="187"/>
      <c r="B232" s="381"/>
      <c r="C232" s="381"/>
      <c r="D232" s="187"/>
      <c r="E232" s="569"/>
      <c r="F232" s="569"/>
      <c r="G232" s="381"/>
      <c r="H232" s="381"/>
      <c r="I232" s="381"/>
      <c r="J232" s="381"/>
      <c r="K232" s="381"/>
      <c r="L232" s="381"/>
      <c r="M232" s="381"/>
      <c r="N232" s="381"/>
      <c r="O232" s="381"/>
      <c r="P232" s="381"/>
      <c r="Q232" s="381"/>
      <c r="R232" s="381"/>
      <c r="S232" s="381"/>
      <c r="T232" s="381"/>
      <c r="U232" s="381"/>
      <c r="V232" s="381"/>
      <c r="W232" s="381"/>
      <c r="X232" s="381"/>
      <c r="Y232" s="381"/>
      <c r="Z232" s="381"/>
      <c r="AA232" s="381"/>
      <c r="AB232" s="187"/>
      <c r="AC232" s="187"/>
      <c r="AD232" s="187"/>
      <c r="AE232" s="187"/>
      <c r="AF232" s="187"/>
      <c r="AG232" s="187"/>
      <c r="AH232" s="187"/>
      <c r="AI232" s="187"/>
    </row>
    <row r="233" spans="1:35" ht="21" customHeight="1" thickBot="1" x14ac:dyDescent="0.35">
      <c r="A233" s="187"/>
      <c r="B233" s="381"/>
      <c r="C233" s="381"/>
      <c r="D233" s="187"/>
      <c r="E233" s="569"/>
      <c r="F233" s="569"/>
      <c r="G233" s="381"/>
      <c r="H233" s="381"/>
      <c r="I233" s="381"/>
      <c r="J233" s="381"/>
      <c r="K233" s="381"/>
      <c r="L233" s="381"/>
      <c r="M233" s="381"/>
      <c r="N233" s="381"/>
      <c r="O233" s="381"/>
      <c r="P233" s="381"/>
      <c r="Q233" s="381"/>
      <c r="R233" s="381"/>
      <c r="S233" s="381"/>
      <c r="T233" s="381"/>
      <c r="U233" s="381"/>
      <c r="V233" s="381"/>
      <c r="W233" s="381"/>
      <c r="X233" s="381"/>
      <c r="Y233" s="381"/>
      <c r="Z233" s="381"/>
      <c r="AA233" s="381"/>
      <c r="AB233" s="187"/>
      <c r="AC233" s="187"/>
      <c r="AD233" s="187"/>
      <c r="AE233" s="187"/>
      <c r="AF233" s="187"/>
      <c r="AG233" s="187"/>
      <c r="AH233" s="187"/>
      <c r="AI233" s="187"/>
    </row>
    <row r="234" spans="1:35" ht="21" customHeight="1" thickBot="1" x14ac:dyDescent="0.35">
      <c r="A234" s="187"/>
      <c r="B234" s="381"/>
      <c r="C234" s="381"/>
      <c r="D234" s="187"/>
      <c r="E234" s="569"/>
      <c r="F234" s="569"/>
      <c r="G234" s="381"/>
      <c r="H234" s="381"/>
      <c r="I234" s="381"/>
      <c r="J234" s="381"/>
      <c r="K234" s="381"/>
      <c r="L234" s="381"/>
      <c r="M234" s="381"/>
      <c r="N234" s="381"/>
      <c r="O234" s="381"/>
      <c r="P234" s="381"/>
      <c r="Q234" s="381"/>
      <c r="R234" s="381"/>
      <c r="S234" s="381"/>
      <c r="T234" s="381"/>
      <c r="U234" s="381"/>
      <c r="V234" s="381"/>
      <c r="W234" s="381"/>
      <c r="X234" s="381"/>
      <c r="Y234" s="381"/>
      <c r="Z234" s="381"/>
      <c r="AA234" s="381"/>
      <c r="AB234" s="187"/>
      <c r="AC234" s="187"/>
      <c r="AD234" s="187"/>
      <c r="AE234" s="187"/>
      <c r="AF234" s="187"/>
      <c r="AG234" s="187"/>
      <c r="AH234" s="187"/>
      <c r="AI234" s="187"/>
    </row>
    <row r="235" spans="1:35" ht="21" customHeight="1" thickBot="1" x14ac:dyDescent="0.35">
      <c r="A235" s="187"/>
      <c r="B235" s="381"/>
      <c r="C235" s="381"/>
      <c r="D235" s="187"/>
      <c r="E235" s="569"/>
      <c r="F235" s="569"/>
      <c r="G235" s="381"/>
      <c r="H235" s="381"/>
      <c r="I235" s="381"/>
      <c r="J235" s="381"/>
      <c r="K235" s="381"/>
      <c r="L235" s="381"/>
      <c r="M235" s="381"/>
      <c r="N235" s="381"/>
      <c r="O235" s="381"/>
      <c r="P235" s="381"/>
      <c r="Q235" s="381"/>
      <c r="R235" s="381"/>
      <c r="S235" s="381"/>
      <c r="T235" s="381"/>
      <c r="U235" s="381"/>
      <c r="V235" s="381"/>
      <c r="W235" s="381"/>
      <c r="X235" s="381"/>
      <c r="Y235" s="381"/>
      <c r="Z235" s="381"/>
      <c r="AA235" s="381"/>
      <c r="AB235" s="187"/>
      <c r="AC235" s="187"/>
      <c r="AD235" s="187"/>
      <c r="AE235" s="187"/>
      <c r="AF235" s="187"/>
      <c r="AG235" s="187"/>
      <c r="AH235" s="187"/>
      <c r="AI235" s="187"/>
    </row>
    <row r="236" spans="1:35" ht="21" customHeight="1" thickBot="1" x14ac:dyDescent="0.35">
      <c r="A236" s="187"/>
      <c r="B236" s="381"/>
      <c r="C236" s="381"/>
      <c r="D236" s="187"/>
      <c r="E236" s="569"/>
      <c r="F236" s="569"/>
      <c r="G236" s="381"/>
      <c r="H236" s="381"/>
      <c r="I236" s="381"/>
      <c r="J236" s="381"/>
      <c r="K236" s="381"/>
      <c r="L236" s="381"/>
      <c r="M236" s="381"/>
      <c r="N236" s="381"/>
      <c r="O236" s="381"/>
      <c r="P236" s="381"/>
      <c r="Q236" s="381"/>
      <c r="R236" s="381"/>
      <c r="S236" s="381"/>
      <c r="T236" s="381"/>
      <c r="U236" s="381"/>
      <c r="V236" s="381"/>
      <c r="W236" s="381"/>
      <c r="X236" s="381"/>
      <c r="Y236" s="381"/>
      <c r="Z236" s="381"/>
      <c r="AA236" s="381"/>
      <c r="AB236" s="187"/>
      <c r="AC236" s="187"/>
      <c r="AD236" s="187"/>
      <c r="AE236" s="187"/>
      <c r="AF236" s="187"/>
      <c r="AG236" s="187"/>
      <c r="AH236" s="187"/>
      <c r="AI236" s="187"/>
    </row>
    <row r="237" spans="1:35" ht="21" customHeight="1" thickBot="1" x14ac:dyDescent="0.35">
      <c r="A237" s="187"/>
      <c r="B237" s="381"/>
      <c r="C237" s="381"/>
      <c r="D237" s="187"/>
      <c r="E237" s="569"/>
      <c r="F237" s="569"/>
      <c r="G237" s="381"/>
      <c r="H237" s="381"/>
      <c r="I237" s="381"/>
      <c r="J237" s="381"/>
      <c r="K237" s="381"/>
      <c r="L237" s="381"/>
      <c r="M237" s="381"/>
      <c r="N237" s="381"/>
      <c r="O237" s="381"/>
      <c r="P237" s="381"/>
      <c r="Q237" s="381"/>
      <c r="R237" s="381"/>
      <c r="S237" s="381"/>
      <c r="T237" s="381"/>
      <c r="U237" s="381"/>
      <c r="V237" s="381"/>
      <c r="W237" s="381"/>
      <c r="X237" s="381"/>
      <c r="Y237" s="381"/>
      <c r="Z237" s="381"/>
      <c r="AA237" s="381"/>
      <c r="AB237" s="187"/>
      <c r="AC237" s="187"/>
      <c r="AD237" s="187"/>
      <c r="AE237" s="187"/>
      <c r="AF237" s="187"/>
      <c r="AG237" s="187"/>
      <c r="AH237" s="187"/>
      <c r="AI237" s="187"/>
    </row>
    <row r="238" spans="1:35" ht="21" customHeight="1" thickBot="1" x14ac:dyDescent="0.35">
      <c r="A238" s="187"/>
      <c r="B238" s="381"/>
      <c r="C238" s="381"/>
      <c r="D238" s="187"/>
      <c r="E238" s="569"/>
      <c r="F238" s="569"/>
      <c r="G238" s="381"/>
      <c r="H238" s="381"/>
      <c r="I238" s="381"/>
      <c r="J238" s="381"/>
      <c r="K238" s="381"/>
      <c r="L238" s="381"/>
      <c r="M238" s="381"/>
      <c r="N238" s="381"/>
      <c r="O238" s="381"/>
      <c r="P238" s="381"/>
      <c r="Q238" s="381"/>
      <c r="R238" s="381"/>
      <c r="S238" s="381"/>
      <c r="T238" s="381"/>
      <c r="U238" s="381"/>
      <c r="V238" s="381"/>
      <c r="W238" s="381"/>
      <c r="X238" s="381"/>
      <c r="Y238" s="381"/>
      <c r="Z238" s="381"/>
      <c r="AA238" s="381"/>
      <c r="AB238" s="187"/>
      <c r="AC238" s="187"/>
      <c r="AD238" s="187"/>
      <c r="AE238" s="187"/>
      <c r="AF238" s="187"/>
      <c r="AG238" s="187"/>
      <c r="AH238" s="187"/>
      <c r="AI238" s="187"/>
    </row>
    <row r="239" spans="1:35" ht="21" customHeight="1" thickBot="1" x14ac:dyDescent="0.35">
      <c r="A239" s="187"/>
      <c r="B239" s="381"/>
      <c r="C239" s="381"/>
      <c r="D239" s="187"/>
      <c r="E239" s="569"/>
      <c r="F239" s="569"/>
      <c r="G239" s="381"/>
      <c r="H239" s="381"/>
      <c r="I239" s="381"/>
      <c r="J239" s="381"/>
      <c r="K239" s="381"/>
      <c r="L239" s="381"/>
      <c r="M239" s="381"/>
      <c r="N239" s="381"/>
      <c r="O239" s="381"/>
      <c r="P239" s="381"/>
      <c r="Q239" s="381"/>
      <c r="R239" s="381"/>
      <c r="S239" s="381"/>
      <c r="T239" s="381"/>
      <c r="U239" s="381"/>
      <c r="V239" s="381"/>
      <c r="W239" s="381"/>
      <c r="X239" s="381"/>
      <c r="Y239" s="381"/>
      <c r="Z239" s="381"/>
      <c r="AA239" s="381"/>
      <c r="AB239" s="187"/>
      <c r="AC239" s="187"/>
      <c r="AD239" s="187"/>
      <c r="AE239" s="187"/>
      <c r="AF239" s="187"/>
      <c r="AG239" s="187"/>
      <c r="AH239" s="187"/>
      <c r="AI239" s="187"/>
    </row>
    <row r="240" spans="1:35" ht="21" customHeight="1" thickBot="1" x14ac:dyDescent="0.35">
      <c r="A240" s="187"/>
      <c r="B240" s="381"/>
      <c r="C240" s="381"/>
      <c r="D240" s="187"/>
      <c r="E240" s="569"/>
      <c r="F240" s="569"/>
      <c r="G240" s="381"/>
      <c r="H240" s="381"/>
      <c r="I240" s="381"/>
      <c r="J240" s="381"/>
      <c r="K240" s="381"/>
      <c r="L240" s="381"/>
      <c r="M240" s="381"/>
      <c r="N240" s="381"/>
      <c r="O240" s="381"/>
      <c r="P240" s="381"/>
      <c r="Q240" s="381"/>
      <c r="R240" s="381"/>
      <c r="S240" s="381"/>
      <c r="T240" s="381"/>
      <c r="U240" s="381"/>
      <c r="V240" s="381"/>
      <c r="W240" s="381"/>
      <c r="X240" s="381"/>
      <c r="Y240" s="381"/>
      <c r="Z240" s="381"/>
      <c r="AA240" s="381"/>
      <c r="AB240" s="187"/>
      <c r="AC240" s="187"/>
      <c r="AD240" s="187"/>
      <c r="AE240" s="187"/>
      <c r="AF240" s="187"/>
      <c r="AG240" s="187"/>
      <c r="AH240" s="187"/>
      <c r="AI240" s="187"/>
    </row>
    <row r="241" spans="1:35" ht="21" customHeight="1" thickBot="1" x14ac:dyDescent="0.35">
      <c r="A241" s="187"/>
      <c r="B241" s="381"/>
      <c r="C241" s="381"/>
      <c r="D241" s="187"/>
      <c r="E241" s="569"/>
      <c r="F241" s="569"/>
      <c r="G241" s="381"/>
      <c r="H241" s="381"/>
      <c r="I241" s="381"/>
      <c r="J241" s="381"/>
      <c r="K241" s="381"/>
      <c r="L241" s="381"/>
      <c r="M241" s="381"/>
      <c r="N241" s="381"/>
      <c r="O241" s="381"/>
      <c r="P241" s="381"/>
      <c r="Q241" s="381"/>
      <c r="R241" s="381"/>
      <c r="S241" s="381"/>
      <c r="T241" s="381"/>
      <c r="U241" s="381"/>
      <c r="V241" s="381"/>
      <c r="W241" s="381"/>
      <c r="X241" s="381"/>
      <c r="Y241" s="381"/>
      <c r="Z241" s="381"/>
      <c r="AA241" s="381"/>
      <c r="AB241" s="187"/>
      <c r="AC241" s="187"/>
      <c r="AD241" s="187"/>
      <c r="AE241" s="187"/>
      <c r="AF241" s="187"/>
      <c r="AG241" s="187"/>
      <c r="AH241" s="187"/>
      <c r="AI241" s="187"/>
    </row>
    <row r="242" spans="1:35" ht="21" customHeight="1" thickBot="1" x14ac:dyDescent="0.35">
      <c r="A242" s="187"/>
      <c r="B242" s="381"/>
      <c r="C242" s="381"/>
      <c r="D242" s="187"/>
      <c r="E242" s="569"/>
      <c r="F242" s="569"/>
      <c r="G242" s="381"/>
      <c r="H242" s="381"/>
      <c r="I242" s="381"/>
      <c r="J242" s="381"/>
      <c r="K242" s="381"/>
      <c r="L242" s="381"/>
      <c r="M242" s="381"/>
      <c r="N242" s="381"/>
      <c r="O242" s="381"/>
      <c r="P242" s="381"/>
      <c r="Q242" s="381"/>
      <c r="R242" s="381"/>
      <c r="S242" s="381"/>
      <c r="T242" s="381"/>
      <c r="U242" s="381"/>
      <c r="V242" s="381"/>
      <c r="W242" s="381"/>
      <c r="X242" s="381"/>
      <c r="Y242" s="381"/>
      <c r="Z242" s="381"/>
      <c r="AA242" s="381"/>
      <c r="AB242" s="187"/>
      <c r="AC242" s="187"/>
      <c r="AD242" s="187"/>
      <c r="AE242" s="187"/>
      <c r="AF242" s="187"/>
      <c r="AG242" s="187"/>
      <c r="AH242" s="187"/>
      <c r="AI242" s="187"/>
    </row>
    <row r="243" spans="1:35" ht="21" customHeight="1" thickBot="1" x14ac:dyDescent="0.35">
      <c r="A243" s="187"/>
      <c r="B243" s="381"/>
      <c r="C243" s="381"/>
      <c r="D243" s="187"/>
      <c r="E243" s="569"/>
      <c r="F243" s="569"/>
      <c r="G243" s="381"/>
      <c r="H243" s="381"/>
      <c r="I243" s="381"/>
      <c r="J243" s="381"/>
      <c r="K243" s="381"/>
      <c r="L243" s="381"/>
      <c r="M243" s="381"/>
      <c r="N243" s="381"/>
      <c r="O243" s="381"/>
      <c r="P243" s="381"/>
      <c r="Q243" s="381"/>
      <c r="R243" s="381"/>
      <c r="S243" s="381"/>
      <c r="T243" s="381"/>
      <c r="U243" s="381"/>
      <c r="V243" s="381"/>
      <c r="W243" s="381"/>
      <c r="X243" s="381"/>
      <c r="Y243" s="381"/>
      <c r="Z243" s="381"/>
      <c r="AA243" s="381"/>
      <c r="AB243" s="187"/>
      <c r="AC243" s="187"/>
      <c r="AD243" s="187"/>
      <c r="AE243" s="187"/>
      <c r="AF243" s="187"/>
      <c r="AG243" s="187"/>
      <c r="AH243" s="187"/>
      <c r="AI243" s="187"/>
    </row>
    <row r="244" spans="1:35" ht="21" customHeight="1" thickBot="1" x14ac:dyDescent="0.35">
      <c r="A244" s="187"/>
      <c r="B244" s="381"/>
      <c r="C244" s="381"/>
      <c r="D244" s="187"/>
      <c r="E244" s="569"/>
      <c r="F244" s="569"/>
      <c r="G244" s="381"/>
      <c r="H244" s="381"/>
      <c r="I244" s="381"/>
      <c r="J244" s="381"/>
      <c r="K244" s="381"/>
      <c r="L244" s="381"/>
      <c r="M244" s="381"/>
      <c r="N244" s="381"/>
      <c r="O244" s="381"/>
      <c r="P244" s="381"/>
      <c r="Q244" s="381"/>
      <c r="R244" s="381"/>
      <c r="S244" s="381"/>
      <c r="T244" s="381"/>
      <c r="U244" s="381"/>
      <c r="V244" s="381"/>
      <c r="W244" s="381"/>
      <c r="X244" s="381"/>
      <c r="Y244" s="381"/>
      <c r="Z244" s="381"/>
      <c r="AA244" s="381"/>
      <c r="AB244" s="187"/>
      <c r="AC244" s="187"/>
      <c r="AD244" s="187"/>
      <c r="AE244" s="187"/>
      <c r="AF244" s="187"/>
      <c r="AG244" s="187"/>
      <c r="AH244" s="187"/>
      <c r="AI244" s="187"/>
    </row>
    <row r="245" spans="1:35" ht="21" customHeight="1" thickBot="1" x14ac:dyDescent="0.35">
      <c r="A245" s="187"/>
      <c r="B245" s="381"/>
      <c r="C245" s="381"/>
      <c r="D245" s="187"/>
      <c r="E245" s="569"/>
      <c r="F245" s="569"/>
      <c r="G245" s="381"/>
      <c r="H245" s="381"/>
      <c r="I245" s="381"/>
      <c r="J245" s="381"/>
      <c r="K245" s="381"/>
      <c r="L245" s="381"/>
      <c r="M245" s="381"/>
      <c r="N245" s="381"/>
      <c r="O245" s="381"/>
      <c r="P245" s="381"/>
      <c r="Q245" s="381"/>
      <c r="R245" s="381"/>
      <c r="S245" s="381"/>
      <c r="T245" s="381"/>
      <c r="U245" s="381"/>
      <c r="V245" s="381"/>
      <c r="W245" s="381"/>
      <c r="X245" s="381"/>
      <c r="Y245" s="381"/>
      <c r="Z245" s="381"/>
      <c r="AA245" s="381"/>
      <c r="AB245" s="187"/>
      <c r="AC245" s="187"/>
      <c r="AD245" s="187"/>
      <c r="AE245" s="187"/>
      <c r="AF245" s="187"/>
      <c r="AG245" s="187"/>
      <c r="AH245" s="187"/>
      <c r="AI245" s="187"/>
    </row>
    <row r="246" spans="1:35" ht="21" customHeight="1" thickBot="1" x14ac:dyDescent="0.35">
      <c r="A246" s="187"/>
      <c r="B246" s="381"/>
      <c r="C246" s="381"/>
      <c r="D246" s="187"/>
      <c r="E246" s="569"/>
      <c r="F246" s="569"/>
      <c r="G246" s="381"/>
      <c r="H246" s="381"/>
      <c r="I246" s="381"/>
      <c r="J246" s="381"/>
      <c r="K246" s="381"/>
      <c r="L246" s="381"/>
      <c r="M246" s="381"/>
      <c r="N246" s="381"/>
      <c r="O246" s="381"/>
      <c r="P246" s="381"/>
      <c r="Q246" s="381"/>
      <c r="R246" s="381"/>
      <c r="S246" s="381"/>
      <c r="T246" s="381"/>
      <c r="U246" s="381"/>
      <c r="V246" s="381"/>
      <c r="W246" s="381"/>
      <c r="X246" s="381"/>
      <c r="Y246" s="381"/>
      <c r="Z246" s="381"/>
      <c r="AA246" s="381"/>
      <c r="AB246" s="187"/>
      <c r="AC246" s="187"/>
      <c r="AD246" s="187"/>
      <c r="AE246" s="187"/>
      <c r="AF246" s="187"/>
      <c r="AG246" s="187"/>
      <c r="AH246" s="187"/>
      <c r="AI246" s="187"/>
    </row>
    <row r="247" spans="1:35" ht="21" customHeight="1" thickBot="1" x14ac:dyDescent="0.35">
      <c r="A247" s="187"/>
      <c r="B247" s="381"/>
      <c r="C247" s="381"/>
      <c r="D247" s="187"/>
      <c r="E247" s="569"/>
      <c r="F247" s="569"/>
      <c r="G247" s="381"/>
      <c r="H247" s="381"/>
      <c r="I247" s="381"/>
      <c r="J247" s="381"/>
      <c r="K247" s="381"/>
      <c r="L247" s="381"/>
      <c r="M247" s="381"/>
      <c r="N247" s="381"/>
      <c r="O247" s="381"/>
      <c r="P247" s="381"/>
      <c r="Q247" s="381"/>
      <c r="R247" s="381"/>
      <c r="S247" s="381"/>
      <c r="T247" s="381"/>
      <c r="U247" s="381"/>
      <c r="V247" s="381"/>
      <c r="W247" s="381"/>
      <c r="X247" s="381"/>
      <c r="Y247" s="381"/>
      <c r="Z247" s="381"/>
      <c r="AA247" s="381"/>
      <c r="AB247" s="187"/>
      <c r="AC247" s="187"/>
      <c r="AD247" s="187"/>
      <c r="AE247" s="187"/>
      <c r="AF247" s="187"/>
      <c r="AG247" s="187"/>
      <c r="AH247" s="187"/>
      <c r="AI247" s="187"/>
    </row>
    <row r="248" spans="1:35" ht="21" customHeight="1" thickBot="1" x14ac:dyDescent="0.35">
      <c r="A248" s="187"/>
      <c r="B248" s="381"/>
      <c r="C248" s="381"/>
      <c r="D248" s="187"/>
      <c r="E248" s="569"/>
      <c r="F248" s="569"/>
      <c r="G248" s="381"/>
      <c r="H248" s="381"/>
      <c r="I248" s="381"/>
      <c r="J248" s="381"/>
      <c r="K248" s="381"/>
      <c r="L248" s="381"/>
      <c r="M248" s="381"/>
      <c r="N248" s="381"/>
      <c r="O248" s="381"/>
      <c r="P248" s="381"/>
      <c r="Q248" s="381"/>
      <c r="R248" s="381"/>
      <c r="S248" s="381"/>
      <c r="T248" s="381"/>
      <c r="U248" s="381"/>
      <c r="V248" s="381"/>
      <c r="W248" s="381"/>
      <c r="X248" s="381"/>
      <c r="Y248" s="381"/>
      <c r="Z248" s="381"/>
      <c r="AA248" s="381"/>
      <c r="AB248" s="187"/>
      <c r="AC248" s="187"/>
      <c r="AD248" s="187"/>
      <c r="AE248" s="187"/>
      <c r="AF248" s="187"/>
      <c r="AG248" s="187"/>
      <c r="AH248" s="187"/>
      <c r="AI248" s="187"/>
    </row>
    <row r="249" spans="1:35" ht="21" customHeight="1" thickBot="1" x14ac:dyDescent="0.35">
      <c r="A249" s="187"/>
      <c r="B249" s="381"/>
      <c r="C249" s="381"/>
      <c r="D249" s="187"/>
      <c r="E249" s="569"/>
      <c r="F249" s="569"/>
      <c r="G249" s="381"/>
      <c r="H249" s="381"/>
      <c r="I249" s="381"/>
      <c r="J249" s="381"/>
      <c r="K249" s="381"/>
      <c r="L249" s="381"/>
      <c r="M249" s="381"/>
      <c r="N249" s="381"/>
      <c r="O249" s="381"/>
      <c r="P249" s="381"/>
      <c r="Q249" s="381"/>
      <c r="R249" s="381"/>
      <c r="S249" s="381"/>
      <c r="T249" s="381"/>
      <c r="U249" s="381"/>
      <c r="V249" s="381"/>
      <c r="W249" s="381"/>
      <c r="X249" s="381"/>
      <c r="Y249" s="381"/>
      <c r="Z249" s="381"/>
      <c r="AA249" s="381"/>
      <c r="AB249" s="187"/>
      <c r="AC249" s="187"/>
      <c r="AD249" s="187"/>
      <c r="AE249" s="187"/>
      <c r="AF249" s="187"/>
      <c r="AG249" s="187"/>
      <c r="AH249" s="187"/>
      <c r="AI249" s="187"/>
    </row>
    <row r="250" spans="1:35" ht="21" customHeight="1" thickBot="1" x14ac:dyDescent="0.35">
      <c r="A250" s="187"/>
      <c r="B250" s="381"/>
      <c r="C250" s="381"/>
      <c r="D250" s="187"/>
      <c r="E250" s="569"/>
      <c r="F250" s="569"/>
      <c r="G250" s="381"/>
      <c r="H250" s="381"/>
      <c r="I250" s="381"/>
      <c r="J250" s="381"/>
      <c r="K250" s="381"/>
      <c r="L250" s="381"/>
      <c r="M250" s="381"/>
      <c r="N250" s="381"/>
      <c r="O250" s="381"/>
      <c r="P250" s="381"/>
      <c r="Q250" s="381"/>
      <c r="R250" s="381"/>
      <c r="S250" s="381"/>
      <c r="T250" s="381"/>
      <c r="U250" s="381"/>
      <c r="V250" s="381"/>
      <c r="W250" s="381"/>
      <c r="X250" s="381"/>
      <c r="Y250" s="381"/>
      <c r="Z250" s="381"/>
      <c r="AA250" s="381"/>
      <c r="AB250" s="187"/>
      <c r="AC250" s="187"/>
      <c r="AD250" s="187"/>
      <c r="AE250" s="187"/>
      <c r="AF250" s="187"/>
      <c r="AG250" s="187"/>
      <c r="AH250" s="187"/>
      <c r="AI250" s="187"/>
    </row>
    <row r="251" spans="1:35" ht="21" customHeight="1" thickBot="1" x14ac:dyDescent="0.35">
      <c r="A251" s="187"/>
      <c r="B251" s="381"/>
      <c r="C251" s="381"/>
      <c r="D251" s="187"/>
      <c r="E251" s="569"/>
      <c r="F251" s="569"/>
      <c r="G251" s="381"/>
      <c r="H251" s="381"/>
      <c r="I251" s="381"/>
      <c r="J251" s="381"/>
      <c r="K251" s="381"/>
      <c r="L251" s="381"/>
      <c r="M251" s="381"/>
      <c r="N251" s="381"/>
      <c r="O251" s="381"/>
      <c r="P251" s="381"/>
      <c r="Q251" s="381"/>
      <c r="R251" s="381"/>
      <c r="S251" s="381"/>
      <c r="T251" s="381"/>
      <c r="U251" s="381"/>
      <c r="V251" s="381"/>
      <c r="W251" s="381"/>
      <c r="X251" s="381"/>
      <c r="Y251" s="381"/>
      <c r="Z251" s="381"/>
      <c r="AA251" s="381"/>
      <c r="AB251" s="187"/>
      <c r="AC251" s="187"/>
      <c r="AD251" s="187"/>
      <c r="AE251" s="187"/>
      <c r="AF251" s="187"/>
      <c r="AG251" s="187"/>
      <c r="AH251" s="187"/>
      <c r="AI251" s="187"/>
    </row>
    <row r="252" spans="1:35" ht="21" customHeight="1" thickBot="1" x14ac:dyDescent="0.35">
      <c r="A252" s="187"/>
      <c r="B252" s="381"/>
      <c r="C252" s="381"/>
      <c r="D252" s="187"/>
      <c r="E252" s="569"/>
      <c r="F252" s="569"/>
      <c r="G252" s="381"/>
      <c r="H252" s="381"/>
      <c r="I252" s="381"/>
      <c r="J252" s="381"/>
      <c r="K252" s="381"/>
      <c r="L252" s="381"/>
      <c r="M252" s="381"/>
      <c r="N252" s="381"/>
      <c r="O252" s="381"/>
      <c r="P252" s="381"/>
      <c r="Q252" s="381"/>
      <c r="R252" s="381"/>
      <c r="S252" s="381"/>
      <c r="T252" s="381"/>
      <c r="U252" s="381"/>
      <c r="V252" s="381"/>
      <c r="W252" s="381"/>
      <c r="X252" s="381"/>
      <c r="Y252" s="381"/>
      <c r="Z252" s="381"/>
      <c r="AA252" s="381"/>
      <c r="AB252" s="187"/>
      <c r="AC252" s="187"/>
      <c r="AD252" s="187"/>
      <c r="AE252" s="187"/>
      <c r="AF252" s="187"/>
      <c r="AG252" s="187"/>
      <c r="AH252" s="187"/>
      <c r="AI252" s="187"/>
    </row>
    <row r="253" spans="1:35" ht="21" customHeight="1" thickBot="1" x14ac:dyDescent="0.35">
      <c r="A253" s="187"/>
      <c r="B253" s="381"/>
      <c r="C253" s="381"/>
      <c r="D253" s="187"/>
      <c r="E253" s="569"/>
      <c r="F253" s="569"/>
      <c r="G253" s="381"/>
      <c r="H253" s="381"/>
      <c r="I253" s="381"/>
      <c r="J253" s="381"/>
      <c r="K253" s="381"/>
      <c r="L253" s="381"/>
      <c r="M253" s="381"/>
      <c r="N253" s="381"/>
      <c r="O253" s="381"/>
      <c r="P253" s="381"/>
      <c r="Q253" s="381"/>
      <c r="R253" s="381"/>
      <c r="S253" s="381"/>
      <c r="T253" s="381"/>
      <c r="U253" s="381"/>
      <c r="V253" s="381"/>
      <c r="W253" s="381"/>
      <c r="X253" s="381"/>
      <c r="Y253" s="381"/>
      <c r="Z253" s="381"/>
      <c r="AA253" s="381"/>
      <c r="AB253" s="187"/>
      <c r="AC253" s="187"/>
      <c r="AD253" s="187"/>
      <c r="AE253" s="187"/>
      <c r="AF253" s="187"/>
      <c r="AG253" s="187"/>
      <c r="AH253" s="187"/>
      <c r="AI253" s="187"/>
    </row>
    <row r="254" spans="1:35" ht="21" customHeight="1" thickBot="1" x14ac:dyDescent="0.35">
      <c r="A254" s="187"/>
      <c r="B254" s="381"/>
      <c r="C254" s="381"/>
      <c r="D254" s="187"/>
      <c r="E254" s="569"/>
      <c r="F254" s="569"/>
      <c r="G254" s="381"/>
      <c r="H254" s="381"/>
      <c r="I254" s="381"/>
      <c r="J254" s="381"/>
      <c r="K254" s="381"/>
      <c r="L254" s="381"/>
      <c r="M254" s="381"/>
      <c r="N254" s="381"/>
      <c r="O254" s="381"/>
      <c r="P254" s="381"/>
      <c r="Q254" s="381"/>
      <c r="R254" s="381"/>
      <c r="S254" s="381"/>
      <c r="T254" s="381"/>
      <c r="U254" s="381"/>
      <c r="V254" s="381"/>
      <c r="W254" s="381"/>
      <c r="X254" s="381"/>
      <c r="Y254" s="381"/>
      <c r="Z254" s="381"/>
      <c r="AA254" s="381"/>
      <c r="AB254" s="187"/>
      <c r="AC254" s="187"/>
      <c r="AD254" s="187"/>
      <c r="AE254" s="187"/>
      <c r="AF254" s="187"/>
      <c r="AG254" s="187"/>
      <c r="AH254" s="187"/>
      <c r="AI254" s="187"/>
    </row>
    <row r="255" spans="1:35" ht="21" customHeight="1" thickBot="1" x14ac:dyDescent="0.35">
      <c r="A255" s="187"/>
      <c r="B255" s="381"/>
      <c r="C255" s="381"/>
      <c r="D255" s="187"/>
      <c r="E255" s="569"/>
      <c r="F255" s="569"/>
      <c r="G255" s="381"/>
      <c r="H255" s="381"/>
      <c r="I255" s="381"/>
      <c r="J255" s="381"/>
      <c r="K255" s="381"/>
      <c r="L255" s="381"/>
      <c r="M255" s="381"/>
      <c r="N255" s="381"/>
      <c r="O255" s="381"/>
      <c r="P255" s="381"/>
      <c r="Q255" s="381"/>
      <c r="R255" s="381"/>
      <c r="S255" s="381"/>
      <c r="T255" s="381"/>
      <c r="U255" s="381"/>
      <c r="V255" s="381"/>
      <c r="W255" s="381"/>
      <c r="X255" s="381"/>
      <c r="Y255" s="381"/>
      <c r="Z255" s="381"/>
      <c r="AA255" s="381"/>
      <c r="AB255" s="187"/>
      <c r="AC255" s="187"/>
      <c r="AD255" s="187"/>
      <c r="AE255" s="187"/>
      <c r="AF255" s="187"/>
      <c r="AG255" s="187"/>
      <c r="AH255" s="187"/>
      <c r="AI255" s="187"/>
    </row>
    <row r="256" spans="1:35" ht="21" customHeight="1" thickBot="1" x14ac:dyDescent="0.35">
      <c r="A256" s="187"/>
      <c r="B256" s="381"/>
      <c r="C256" s="381"/>
      <c r="D256" s="187"/>
      <c r="E256" s="569"/>
      <c r="F256" s="569"/>
      <c r="G256" s="381"/>
      <c r="H256" s="381"/>
      <c r="I256" s="381"/>
      <c r="J256" s="381"/>
      <c r="K256" s="381"/>
      <c r="L256" s="381"/>
      <c r="M256" s="381"/>
      <c r="N256" s="381"/>
      <c r="O256" s="381"/>
      <c r="P256" s="381"/>
      <c r="Q256" s="381"/>
      <c r="R256" s="381"/>
      <c r="S256" s="381"/>
      <c r="T256" s="381"/>
      <c r="U256" s="381"/>
      <c r="V256" s="381"/>
      <c r="W256" s="381"/>
      <c r="X256" s="381"/>
      <c r="Y256" s="381"/>
      <c r="Z256" s="381"/>
      <c r="AA256" s="381"/>
      <c r="AB256" s="187"/>
      <c r="AC256" s="187"/>
      <c r="AD256" s="187"/>
      <c r="AE256" s="187"/>
      <c r="AF256" s="187"/>
      <c r="AG256" s="187"/>
      <c r="AH256" s="187"/>
      <c r="AI256" s="187"/>
    </row>
    <row r="257" spans="1:35" ht="21" customHeight="1" thickBot="1" x14ac:dyDescent="0.35">
      <c r="A257" s="187"/>
      <c r="B257" s="381"/>
      <c r="C257" s="381"/>
      <c r="D257" s="187"/>
      <c r="E257" s="569"/>
      <c r="F257" s="569"/>
      <c r="G257" s="381"/>
      <c r="H257" s="381"/>
      <c r="I257" s="381"/>
      <c r="J257" s="381"/>
      <c r="K257" s="381"/>
      <c r="L257" s="381"/>
      <c r="M257" s="381"/>
      <c r="N257" s="381"/>
      <c r="O257" s="381"/>
      <c r="P257" s="381"/>
      <c r="Q257" s="381"/>
      <c r="R257" s="381"/>
      <c r="S257" s="381"/>
      <c r="T257" s="381"/>
      <c r="U257" s="381"/>
      <c r="V257" s="381"/>
      <c r="W257" s="381"/>
      <c r="X257" s="381"/>
      <c r="Y257" s="381"/>
      <c r="Z257" s="381"/>
      <c r="AA257" s="381"/>
      <c r="AB257" s="187"/>
      <c r="AC257" s="187"/>
      <c r="AD257" s="187"/>
      <c r="AE257" s="187"/>
      <c r="AF257" s="187"/>
      <c r="AG257" s="187"/>
      <c r="AH257" s="187"/>
      <c r="AI257" s="187"/>
    </row>
    <row r="258" spans="1:35" ht="21" customHeight="1" thickBot="1" x14ac:dyDescent="0.35">
      <c r="A258" s="187"/>
      <c r="B258" s="381"/>
      <c r="C258" s="381"/>
      <c r="D258" s="187"/>
      <c r="E258" s="569"/>
      <c r="F258" s="569"/>
      <c r="G258" s="381"/>
      <c r="H258" s="381"/>
      <c r="I258" s="381"/>
      <c r="J258" s="381"/>
      <c r="K258" s="381"/>
      <c r="L258" s="381"/>
      <c r="M258" s="381"/>
      <c r="N258" s="381"/>
      <c r="O258" s="381"/>
      <c r="P258" s="381"/>
      <c r="Q258" s="381"/>
      <c r="R258" s="381"/>
      <c r="S258" s="381"/>
      <c r="T258" s="381"/>
      <c r="U258" s="381"/>
      <c r="V258" s="381"/>
      <c r="W258" s="381"/>
      <c r="X258" s="381"/>
      <c r="Y258" s="381"/>
      <c r="Z258" s="381"/>
      <c r="AA258" s="381"/>
      <c r="AB258" s="187"/>
      <c r="AC258" s="187"/>
      <c r="AD258" s="187"/>
      <c r="AE258" s="187"/>
      <c r="AF258" s="187"/>
      <c r="AG258" s="187"/>
      <c r="AH258" s="187"/>
      <c r="AI258" s="187"/>
    </row>
    <row r="259" spans="1:35" ht="21" customHeight="1" thickBot="1" x14ac:dyDescent="0.35">
      <c r="A259" s="187"/>
      <c r="B259" s="381"/>
      <c r="C259" s="381"/>
      <c r="D259" s="187"/>
      <c r="E259" s="569"/>
      <c r="F259" s="569"/>
      <c r="G259" s="381"/>
      <c r="H259" s="381"/>
      <c r="I259" s="381"/>
      <c r="J259" s="381"/>
      <c r="K259" s="381"/>
      <c r="L259" s="381"/>
      <c r="M259" s="381"/>
      <c r="N259" s="381"/>
      <c r="O259" s="381"/>
      <c r="P259" s="381"/>
      <c r="Q259" s="381"/>
      <c r="R259" s="381"/>
      <c r="S259" s="381"/>
      <c r="T259" s="381"/>
      <c r="U259" s="381"/>
      <c r="V259" s="381"/>
      <c r="W259" s="381"/>
      <c r="X259" s="381"/>
      <c r="Y259" s="381"/>
      <c r="Z259" s="381"/>
      <c r="AA259" s="381"/>
      <c r="AB259" s="187"/>
      <c r="AC259" s="187"/>
      <c r="AD259" s="187"/>
      <c r="AE259" s="187"/>
      <c r="AF259" s="187"/>
      <c r="AG259" s="187"/>
      <c r="AH259" s="187"/>
      <c r="AI259" s="187"/>
    </row>
    <row r="260" spans="1:35" ht="21" customHeight="1" thickBot="1" x14ac:dyDescent="0.35">
      <c r="A260" s="187"/>
      <c r="B260" s="381"/>
      <c r="C260" s="381"/>
      <c r="D260" s="187"/>
      <c r="E260" s="569"/>
      <c r="F260" s="569"/>
      <c r="G260" s="381"/>
      <c r="H260" s="381"/>
      <c r="I260" s="381"/>
      <c r="J260" s="381"/>
      <c r="K260" s="381"/>
      <c r="L260" s="381"/>
      <c r="M260" s="381"/>
      <c r="N260" s="381"/>
      <c r="O260" s="381"/>
      <c r="P260" s="381"/>
      <c r="Q260" s="381"/>
      <c r="R260" s="381"/>
      <c r="S260" s="381"/>
      <c r="T260" s="381"/>
      <c r="U260" s="381"/>
      <c r="V260" s="381"/>
      <c r="W260" s="381"/>
      <c r="X260" s="381"/>
      <c r="Y260" s="381"/>
      <c r="Z260" s="381"/>
      <c r="AA260" s="381"/>
      <c r="AB260" s="187"/>
      <c r="AC260" s="187"/>
      <c r="AD260" s="187"/>
      <c r="AE260" s="187"/>
      <c r="AF260" s="187"/>
      <c r="AG260" s="187"/>
      <c r="AH260" s="187"/>
      <c r="AI260" s="187"/>
    </row>
    <row r="261" spans="1:35" ht="21" customHeight="1" thickBot="1" x14ac:dyDescent="0.35">
      <c r="A261" s="187"/>
      <c r="B261" s="381"/>
      <c r="C261" s="381"/>
      <c r="D261" s="187"/>
      <c r="E261" s="569"/>
      <c r="F261" s="569"/>
      <c r="G261" s="381"/>
      <c r="H261" s="381"/>
      <c r="I261" s="381"/>
      <c r="J261" s="381"/>
      <c r="K261" s="381"/>
      <c r="L261" s="381"/>
      <c r="M261" s="381"/>
      <c r="N261" s="381"/>
      <c r="O261" s="381"/>
      <c r="P261" s="381"/>
      <c r="Q261" s="381"/>
      <c r="R261" s="381"/>
      <c r="S261" s="381"/>
      <c r="T261" s="381"/>
      <c r="U261" s="381"/>
      <c r="V261" s="381"/>
      <c r="W261" s="381"/>
      <c r="X261" s="381"/>
      <c r="Y261" s="381"/>
      <c r="Z261" s="381"/>
      <c r="AA261" s="381"/>
      <c r="AB261" s="187"/>
      <c r="AC261" s="187"/>
      <c r="AD261" s="187"/>
      <c r="AE261" s="187"/>
      <c r="AF261" s="187"/>
      <c r="AG261" s="187"/>
      <c r="AH261" s="187"/>
      <c r="AI261" s="187"/>
    </row>
    <row r="262" spans="1:35" ht="21" customHeight="1" thickBot="1" x14ac:dyDescent="0.35">
      <c r="A262" s="187"/>
      <c r="B262" s="381"/>
      <c r="C262" s="381"/>
      <c r="D262" s="187"/>
      <c r="E262" s="569"/>
      <c r="F262" s="569"/>
      <c r="G262" s="381"/>
      <c r="H262" s="381"/>
      <c r="I262" s="381"/>
      <c r="J262" s="381"/>
      <c r="K262" s="381"/>
      <c r="L262" s="381"/>
      <c r="M262" s="381"/>
      <c r="N262" s="381"/>
      <c r="O262" s="381"/>
      <c r="P262" s="381"/>
      <c r="Q262" s="381"/>
      <c r="R262" s="381"/>
      <c r="S262" s="381"/>
      <c r="T262" s="381"/>
      <c r="U262" s="381"/>
      <c r="V262" s="381"/>
      <c r="W262" s="381"/>
      <c r="X262" s="381"/>
      <c r="Y262" s="381"/>
      <c r="Z262" s="381"/>
      <c r="AA262" s="381"/>
      <c r="AB262" s="187"/>
      <c r="AC262" s="187"/>
      <c r="AD262" s="187"/>
      <c r="AE262" s="187"/>
      <c r="AF262" s="187"/>
      <c r="AG262" s="187"/>
      <c r="AH262" s="187"/>
      <c r="AI262" s="187"/>
    </row>
    <row r="263" spans="1:35" ht="21" customHeight="1" thickBot="1" x14ac:dyDescent="0.35">
      <c r="A263" s="187"/>
      <c r="B263" s="381"/>
      <c r="C263" s="381"/>
      <c r="D263" s="187"/>
      <c r="E263" s="569"/>
      <c r="F263" s="569"/>
      <c r="G263" s="381"/>
      <c r="H263" s="381"/>
      <c r="I263" s="381"/>
      <c r="J263" s="381"/>
      <c r="K263" s="381"/>
      <c r="L263" s="381"/>
      <c r="M263" s="381"/>
      <c r="N263" s="381"/>
      <c r="O263" s="381"/>
      <c r="P263" s="381"/>
      <c r="Q263" s="381"/>
      <c r="R263" s="381"/>
      <c r="S263" s="381"/>
      <c r="T263" s="381"/>
      <c r="U263" s="381"/>
      <c r="V263" s="381"/>
      <c r="W263" s="381"/>
      <c r="X263" s="381"/>
      <c r="Y263" s="381"/>
      <c r="Z263" s="381"/>
      <c r="AA263" s="381"/>
      <c r="AB263" s="187"/>
      <c r="AC263" s="187"/>
      <c r="AD263" s="187"/>
      <c r="AE263" s="187"/>
      <c r="AF263" s="187"/>
      <c r="AG263" s="187"/>
      <c r="AH263" s="187"/>
      <c r="AI263" s="187"/>
    </row>
    <row r="264" spans="1:35" ht="21" customHeight="1" thickBot="1" x14ac:dyDescent="0.35">
      <c r="A264" s="187"/>
      <c r="B264" s="381"/>
      <c r="C264" s="381"/>
      <c r="D264" s="187"/>
      <c r="E264" s="569"/>
      <c r="F264" s="569"/>
      <c r="G264" s="381"/>
      <c r="H264" s="381"/>
      <c r="I264" s="381"/>
      <c r="J264" s="381"/>
      <c r="K264" s="381"/>
      <c r="L264" s="381"/>
      <c r="M264" s="381"/>
      <c r="N264" s="381"/>
      <c r="O264" s="381"/>
      <c r="P264" s="381"/>
      <c r="Q264" s="381"/>
      <c r="R264" s="381"/>
      <c r="S264" s="381"/>
      <c r="T264" s="381"/>
      <c r="U264" s="381"/>
      <c r="V264" s="381"/>
      <c r="W264" s="381"/>
      <c r="X264" s="381"/>
      <c r="Y264" s="381"/>
      <c r="Z264" s="381"/>
      <c r="AA264" s="381"/>
      <c r="AB264" s="187"/>
      <c r="AC264" s="187"/>
      <c r="AD264" s="187"/>
      <c r="AE264" s="187"/>
      <c r="AF264" s="187"/>
      <c r="AG264" s="187"/>
      <c r="AH264" s="187"/>
      <c r="AI264" s="187"/>
    </row>
    <row r="265" spans="1:35" ht="21" customHeight="1" thickBot="1" x14ac:dyDescent="0.35">
      <c r="A265" s="187"/>
      <c r="B265" s="381"/>
      <c r="C265" s="381"/>
      <c r="D265" s="187"/>
      <c r="E265" s="569"/>
      <c r="F265" s="569"/>
      <c r="G265" s="381"/>
      <c r="H265" s="381"/>
      <c r="I265" s="381"/>
      <c r="J265" s="381"/>
      <c r="K265" s="381"/>
      <c r="L265" s="381"/>
      <c r="M265" s="381"/>
      <c r="N265" s="381"/>
      <c r="O265" s="381"/>
      <c r="P265" s="381"/>
      <c r="Q265" s="381"/>
      <c r="R265" s="381"/>
      <c r="S265" s="381"/>
      <c r="T265" s="381"/>
      <c r="U265" s="381"/>
      <c r="V265" s="381"/>
      <c r="W265" s="381"/>
      <c r="X265" s="381"/>
      <c r="Y265" s="381"/>
      <c r="Z265" s="381"/>
      <c r="AA265" s="381"/>
      <c r="AB265" s="187"/>
      <c r="AC265" s="187"/>
      <c r="AD265" s="187"/>
      <c r="AE265" s="187"/>
      <c r="AF265" s="187"/>
      <c r="AG265" s="187"/>
      <c r="AH265" s="187"/>
      <c r="AI265" s="187"/>
    </row>
    <row r="266" spans="1:35" ht="21" customHeight="1" thickBot="1" x14ac:dyDescent="0.35">
      <c r="A266" s="187"/>
      <c r="B266" s="381"/>
      <c r="C266" s="381"/>
      <c r="D266" s="187"/>
      <c r="E266" s="569"/>
      <c r="F266" s="569"/>
      <c r="G266" s="381"/>
      <c r="H266" s="381"/>
      <c r="I266" s="381"/>
      <c r="J266" s="381"/>
      <c r="K266" s="381"/>
      <c r="L266" s="381"/>
      <c r="M266" s="381"/>
      <c r="N266" s="381"/>
      <c r="O266" s="381"/>
      <c r="P266" s="381"/>
      <c r="Q266" s="381"/>
      <c r="R266" s="381"/>
      <c r="S266" s="381"/>
      <c r="T266" s="381"/>
      <c r="U266" s="381"/>
      <c r="V266" s="381"/>
      <c r="W266" s="381"/>
      <c r="X266" s="381"/>
      <c r="Y266" s="381"/>
      <c r="Z266" s="381"/>
      <c r="AA266" s="381"/>
      <c r="AB266" s="187"/>
      <c r="AC266" s="187"/>
      <c r="AD266" s="187"/>
      <c r="AE266" s="187"/>
      <c r="AF266" s="187"/>
      <c r="AG266" s="187"/>
      <c r="AH266" s="187"/>
      <c r="AI266" s="187"/>
    </row>
    <row r="267" spans="1:35" ht="21" customHeight="1" thickBot="1" x14ac:dyDescent="0.35">
      <c r="A267" s="187"/>
      <c r="B267" s="381"/>
      <c r="C267" s="381"/>
      <c r="D267" s="187"/>
      <c r="E267" s="569"/>
      <c r="F267" s="569"/>
      <c r="G267" s="381"/>
      <c r="H267" s="381"/>
      <c r="I267" s="381"/>
      <c r="J267" s="381"/>
      <c r="K267" s="381"/>
      <c r="L267" s="381"/>
      <c r="M267" s="381"/>
      <c r="N267" s="381"/>
      <c r="O267" s="381"/>
      <c r="P267" s="381"/>
      <c r="Q267" s="381"/>
      <c r="R267" s="381"/>
      <c r="S267" s="381"/>
      <c r="T267" s="381"/>
      <c r="U267" s="381"/>
      <c r="V267" s="381"/>
      <c r="W267" s="381"/>
      <c r="X267" s="381"/>
      <c r="Y267" s="381"/>
      <c r="Z267" s="381"/>
      <c r="AA267" s="381"/>
      <c r="AB267" s="187"/>
      <c r="AC267" s="187"/>
      <c r="AD267" s="187"/>
      <c r="AE267" s="187"/>
      <c r="AF267" s="187"/>
      <c r="AG267" s="187"/>
      <c r="AH267" s="187"/>
      <c r="AI267" s="187"/>
    </row>
    <row r="268" spans="1:35" ht="21" customHeight="1" thickBot="1" x14ac:dyDescent="0.35">
      <c r="A268" s="187"/>
      <c r="B268" s="381"/>
      <c r="C268" s="381"/>
      <c r="D268" s="187"/>
      <c r="E268" s="569"/>
      <c r="F268" s="569"/>
      <c r="G268" s="381"/>
      <c r="H268" s="381"/>
      <c r="I268" s="381"/>
      <c r="J268" s="381"/>
      <c r="K268" s="381"/>
      <c r="L268" s="381"/>
      <c r="M268" s="381"/>
      <c r="N268" s="381"/>
      <c r="O268" s="381"/>
      <c r="P268" s="381"/>
      <c r="Q268" s="381"/>
      <c r="R268" s="381"/>
      <c r="S268" s="381"/>
      <c r="T268" s="381"/>
      <c r="U268" s="381"/>
      <c r="V268" s="381"/>
      <c r="W268" s="381"/>
      <c r="X268" s="381"/>
      <c r="Y268" s="381"/>
      <c r="Z268" s="381"/>
      <c r="AA268" s="381"/>
      <c r="AB268" s="187"/>
      <c r="AC268" s="187"/>
      <c r="AD268" s="187"/>
      <c r="AE268" s="187"/>
      <c r="AF268" s="187"/>
      <c r="AG268" s="187"/>
      <c r="AH268" s="187"/>
      <c r="AI268" s="187"/>
    </row>
    <row r="269" spans="1:35" ht="21" customHeight="1" thickBot="1" x14ac:dyDescent="0.35">
      <c r="A269" s="187"/>
      <c r="B269" s="381"/>
      <c r="C269" s="381"/>
      <c r="D269" s="187"/>
      <c r="E269" s="569"/>
      <c r="F269" s="569"/>
      <c r="G269" s="381"/>
      <c r="H269" s="381"/>
      <c r="I269" s="381"/>
      <c r="J269" s="381"/>
      <c r="K269" s="381"/>
      <c r="L269" s="381"/>
      <c r="M269" s="381"/>
      <c r="N269" s="381"/>
      <c r="O269" s="381"/>
      <c r="P269" s="381"/>
      <c r="Q269" s="381"/>
      <c r="R269" s="381"/>
      <c r="S269" s="381"/>
      <c r="T269" s="381"/>
      <c r="U269" s="381"/>
      <c r="V269" s="381"/>
      <c r="W269" s="381"/>
      <c r="X269" s="381"/>
      <c r="Y269" s="381"/>
      <c r="Z269" s="381"/>
      <c r="AA269" s="381"/>
      <c r="AB269" s="187"/>
      <c r="AC269" s="187"/>
      <c r="AD269" s="187"/>
      <c r="AE269" s="187"/>
      <c r="AF269" s="187"/>
      <c r="AG269" s="187"/>
      <c r="AH269" s="187"/>
      <c r="AI269" s="187"/>
    </row>
    <row r="270" spans="1:35" ht="21" customHeight="1" thickBot="1" x14ac:dyDescent="0.35">
      <c r="A270" s="187"/>
      <c r="B270" s="381"/>
      <c r="C270" s="381"/>
      <c r="D270" s="187"/>
      <c r="E270" s="569"/>
      <c r="F270" s="569"/>
      <c r="G270" s="381"/>
      <c r="H270" s="381"/>
      <c r="I270" s="381"/>
      <c r="J270" s="381"/>
      <c r="K270" s="381"/>
      <c r="L270" s="381"/>
      <c r="M270" s="381"/>
      <c r="N270" s="381"/>
      <c r="O270" s="381"/>
      <c r="P270" s="381"/>
      <c r="Q270" s="381"/>
      <c r="R270" s="381"/>
      <c r="S270" s="381"/>
      <c r="T270" s="381"/>
      <c r="U270" s="381"/>
      <c r="V270" s="381"/>
      <c r="W270" s="381"/>
      <c r="X270" s="381"/>
      <c r="Y270" s="381"/>
      <c r="Z270" s="381"/>
      <c r="AA270" s="381"/>
      <c r="AB270" s="187"/>
      <c r="AC270" s="187"/>
      <c r="AD270" s="187"/>
      <c r="AE270" s="187"/>
      <c r="AF270" s="187"/>
      <c r="AG270" s="187"/>
      <c r="AH270" s="187"/>
      <c r="AI270" s="187"/>
    </row>
    <row r="271" spans="1:35" ht="21" customHeight="1" thickBot="1" x14ac:dyDescent="0.35">
      <c r="A271" s="187"/>
      <c r="B271" s="381"/>
      <c r="C271" s="381"/>
      <c r="D271" s="187"/>
      <c r="E271" s="569"/>
      <c r="F271" s="569"/>
      <c r="G271" s="381"/>
      <c r="H271" s="381"/>
      <c r="I271" s="381"/>
      <c r="J271" s="381"/>
      <c r="K271" s="381"/>
      <c r="L271" s="381"/>
      <c r="M271" s="381"/>
      <c r="N271" s="381"/>
      <c r="O271" s="381"/>
      <c r="P271" s="381"/>
      <c r="Q271" s="381"/>
      <c r="R271" s="381"/>
      <c r="S271" s="381"/>
      <c r="T271" s="381"/>
      <c r="U271" s="381"/>
      <c r="V271" s="381"/>
      <c r="W271" s="381"/>
      <c r="X271" s="381"/>
      <c r="Y271" s="381"/>
      <c r="Z271" s="381"/>
      <c r="AA271" s="381"/>
      <c r="AB271" s="187"/>
      <c r="AC271" s="187"/>
      <c r="AD271" s="187"/>
      <c r="AE271" s="187"/>
      <c r="AF271" s="187"/>
      <c r="AG271" s="187"/>
      <c r="AH271" s="187"/>
      <c r="AI271" s="187"/>
    </row>
    <row r="272" spans="1:35" ht="21" customHeight="1" thickBot="1" x14ac:dyDescent="0.35">
      <c r="A272" s="187"/>
      <c r="B272" s="381"/>
      <c r="C272" s="381"/>
      <c r="D272" s="187"/>
      <c r="E272" s="569"/>
      <c r="F272" s="569"/>
      <c r="G272" s="381"/>
      <c r="H272" s="381"/>
      <c r="I272" s="381"/>
      <c r="J272" s="381"/>
      <c r="K272" s="381"/>
      <c r="L272" s="381"/>
      <c r="M272" s="381"/>
      <c r="N272" s="381"/>
      <c r="O272" s="381"/>
      <c r="P272" s="381"/>
      <c r="Q272" s="381"/>
      <c r="R272" s="381"/>
      <c r="S272" s="381"/>
      <c r="T272" s="381"/>
      <c r="U272" s="381"/>
      <c r="V272" s="381"/>
      <c r="W272" s="381"/>
      <c r="X272" s="381"/>
      <c r="Y272" s="385"/>
      <c r="Z272" s="385"/>
      <c r="AA272" s="766"/>
      <c r="AB272" s="269"/>
      <c r="AC272" s="200"/>
      <c r="AD272" s="187"/>
      <c r="AE272" s="187"/>
      <c r="AF272" s="187"/>
      <c r="AG272" s="187"/>
      <c r="AH272" s="187"/>
      <c r="AI272" s="187"/>
    </row>
    <row r="273" spans="1:35" ht="21" customHeight="1" thickBot="1" x14ac:dyDescent="0.35">
      <c r="A273" s="187"/>
      <c r="B273" s="381"/>
      <c r="C273" s="381"/>
      <c r="D273" s="187"/>
      <c r="E273" s="569"/>
      <c r="F273" s="569"/>
      <c r="G273" s="381"/>
      <c r="H273" s="381"/>
      <c r="I273" s="381"/>
      <c r="J273" s="381"/>
      <c r="K273" s="381"/>
      <c r="L273" s="381"/>
      <c r="M273" s="381"/>
      <c r="N273" s="381"/>
      <c r="O273" s="381"/>
      <c r="P273" s="381"/>
      <c r="Q273" s="381"/>
      <c r="R273" s="381"/>
      <c r="S273" s="381"/>
      <c r="T273" s="381"/>
      <c r="U273" s="381"/>
      <c r="V273" s="381"/>
      <c r="W273" s="381"/>
      <c r="X273" s="381"/>
      <c r="Y273" s="385"/>
      <c r="Z273" s="385"/>
      <c r="AA273" s="766"/>
      <c r="AB273" s="269"/>
      <c r="AC273" s="200"/>
      <c r="AD273" s="187"/>
      <c r="AE273" s="187"/>
      <c r="AF273" s="187"/>
      <c r="AG273" s="187"/>
      <c r="AH273" s="187"/>
      <c r="AI273" s="187"/>
    </row>
    <row r="274" spans="1:35" ht="21" customHeight="1" thickBot="1" x14ac:dyDescent="0.35">
      <c r="A274" s="187"/>
      <c r="B274" s="381"/>
      <c r="C274" s="381"/>
      <c r="D274" s="187"/>
      <c r="E274" s="569"/>
      <c r="F274" s="569"/>
      <c r="G274" s="381"/>
      <c r="H274" s="381"/>
      <c r="I274" s="381"/>
      <c r="J274" s="381"/>
      <c r="K274" s="381"/>
      <c r="L274" s="381"/>
      <c r="M274" s="381"/>
      <c r="N274" s="381"/>
      <c r="O274" s="381"/>
      <c r="P274" s="381"/>
      <c r="Q274" s="381"/>
      <c r="R274" s="381"/>
      <c r="S274" s="381"/>
      <c r="T274" s="381"/>
      <c r="U274" s="381"/>
      <c r="V274" s="381"/>
      <c r="W274" s="381"/>
      <c r="X274" s="381"/>
      <c r="Y274" s="385"/>
      <c r="Z274" s="385"/>
      <c r="AA274" s="766"/>
      <c r="AB274" s="269"/>
      <c r="AC274" s="200"/>
      <c r="AD274" s="187"/>
      <c r="AE274" s="187"/>
      <c r="AF274" s="187"/>
      <c r="AG274" s="187"/>
      <c r="AH274" s="187"/>
      <c r="AI274" s="187"/>
    </row>
    <row r="275" spans="1:35" ht="21" customHeight="1" thickBot="1" x14ac:dyDescent="0.35">
      <c r="A275" s="187"/>
      <c r="B275" s="381"/>
      <c r="C275" s="381"/>
      <c r="D275" s="187"/>
      <c r="E275" s="569"/>
      <c r="F275" s="569"/>
      <c r="G275" s="381"/>
      <c r="H275" s="381"/>
      <c r="I275" s="381"/>
      <c r="J275" s="381"/>
      <c r="K275" s="381"/>
      <c r="L275" s="381"/>
      <c r="M275" s="381"/>
      <c r="N275" s="381"/>
      <c r="O275" s="381"/>
      <c r="P275" s="381"/>
      <c r="Q275" s="381"/>
      <c r="R275" s="381"/>
      <c r="S275" s="381"/>
      <c r="T275" s="381"/>
      <c r="U275" s="381"/>
      <c r="V275" s="381"/>
      <c r="W275" s="381"/>
      <c r="X275" s="381"/>
      <c r="Y275" s="385"/>
      <c r="Z275" s="385"/>
      <c r="AA275" s="766"/>
      <c r="AB275" s="269"/>
      <c r="AC275" s="200"/>
      <c r="AD275" s="187"/>
      <c r="AE275" s="187"/>
      <c r="AF275" s="187"/>
      <c r="AG275" s="187"/>
      <c r="AH275" s="187"/>
      <c r="AI275" s="187"/>
    </row>
    <row r="276" spans="1:35" ht="21" customHeight="1" thickBot="1" x14ac:dyDescent="0.35">
      <c r="A276" s="187"/>
      <c r="B276" s="381"/>
      <c r="C276" s="381"/>
      <c r="D276" s="187"/>
      <c r="E276" s="569"/>
      <c r="F276" s="569"/>
      <c r="G276" s="381"/>
      <c r="H276" s="381"/>
      <c r="I276" s="381"/>
      <c r="J276" s="381"/>
      <c r="K276" s="381"/>
      <c r="L276" s="381"/>
      <c r="M276" s="381"/>
      <c r="N276" s="381"/>
      <c r="O276" s="381"/>
      <c r="P276" s="381"/>
      <c r="Q276" s="381"/>
      <c r="R276" s="381"/>
      <c r="S276" s="381"/>
      <c r="T276" s="381"/>
      <c r="U276" s="381"/>
      <c r="V276" s="381"/>
      <c r="W276" s="381"/>
      <c r="X276" s="381"/>
      <c r="Y276" s="385"/>
      <c r="Z276" s="385"/>
      <c r="AA276" s="766"/>
      <c r="AB276" s="269"/>
      <c r="AC276" s="200"/>
      <c r="AD276" s="187"/>
      <c r="AE276" s="187"/>
      <c r="AF276" s="187"/>
      <c r="AG276" s="187"/>
      <c r="AH276" s="187"/>
      <c r="AI276" s="187"/>
    </row>
    <row r="277" spans="1:35" ht="21" customHeight="1" thickBot="1" x14ac:dyDescent="0.35">
      <c r="A277" s="187"/>
      <c r="B277" s="381"/>
      <c r="C277" s="381"/>
      <c r="D277" s="187"/>
      <c r="E277" s="569"/>
      <c r="F277" s="569"/>
      <c r="G277" s="381"/>
      <c r="H277" s="381"/>
      <c r="I277" s="381"/>
      <c r="J277" s="381"/>
      <c r="K277" s="381"/>
      <c r="L277" s="381"/>
      <c r="M277" s="381"/>
      <c r="N277" s="381"/>
      <c r="O277" s="381"/>
      <c r="P277" s="381"/>
      <c r="Q277" s="381"/>
      <c r="R277" s="381"/>
      <c r="S277" s="381"/>
      <c r="T277" s="381"/>
      <c r="U277" s="381"/>
      <c r="V277" s="381"/>
      <c r="W277" s="381"/>
      <c r="X277" s="381"/>
      <c r="Y277" s="385"/>
      <c r="Z277" s="385"/>
      <c r="AA277" s="766"/>
      <c r="AB277" s="269"/>
      <c r="AC277" s="200"/>
      <c r="AD277" s="187"/>
      <c r="AE277" s="187"/>
      <c r="AF277" s="187"/>
      <c r="AG277" s="187"/>
      <c r="AH277" s="187"/>
      <c r="AI277" s="187"/>
    </row>
    <row r="278" spans="1:35" ht="21" customHeight="1" thickBot="1" x14ac:dyDescent="0.35">
      <c r="A278" s="187"/>
      <c r="B278" s="381"/>
      <c r="C278" s="381"/>
      <c r="D278" s="187"/>
      <c r="E278" s="569"/>
      <c r="F278" s="569"/>
      <c r="G278" s="381"/>
      <c r="H278" s="381"/>
      <c r="I278" s="381"/>
      <c r="J278" s="381"/>
      <c r="K278" s="381"/>
      <c r="L278" s="381"/>
      <c r="M278" s="381"/>
      <c r="N278" s="381"/>
      <c r="O278" s="381"/>
      <c r="P278" s="381"/>
      <c r="Q278" s="381"/>
      <c r="R278" s="381"/>
      <c r="S278" s="381"/>
      <c r="T278" s="381"/>
      <c r="U278" s="381"/>
      <c r="V278" s="381"/>
      <c r="W278" s="381"/>
      <c r="X278" s="381"/>
      <c r="Y278" s="385"/>
      <c r="Z278" s="385"/>
      <c r="AA278" s="766"/>
      <c r="AB278" s="269"/>
      <c r="AC278" s="200"/>
      <c r="AD278" s="187"/>
      <c r="AE278" s="187"/>
      <c r="AF278" s="187"/>
      <c r="AG278" s="187"/>
      <c r="AH278" s="187"/>
      <c r="AI278" s="187"/>
    </row>
    <row r="279" spans="1:35" ht="21" customHeight="1" thickBot="1" x14ac:dyDescent="0.35">
      <c r="A279" s="187"/>
      <c r="B279" s="381"/>
      <c r="C279" s="381"/>
      <c r="D279" s="187"/>
      <c r="E279" s="569"/>
      <c r="F279" s="569"/>
      <c r="G279" s="381"/>
      <c r="H279" s="381"/>
      <c r="I279" s="381"/>
      <c r="J279" s="381"/>
      <c r="K279" s="381"/>
      <c r="L279" s="381"/>
      <c r="M279" s="381"/>
      <c r="N279" s="381"/>
      <c r="O279" s="381"/>
      <c r="P279" s="381"/>
      <c r="Q279" s="381"/>
      <c r="R279" s="381"/>
      <c r="S279" s="381"/>
      <c r="T279" s="381"/>
      <c r="U279" s="381"/>
      <c r="V279" s="381"/>
      <c r="W279" s="381"/>
      <c r="X279" s="381"/>
      <c r="Y279" s="385"/>
      <c r="Z279" s="385"/>
      <c r="AA279" s="766"/>
      <c r="AB279" s="269"/>
      <c r="AC279" s="200"/>
      <c r="AD279" s="187"/>
      <c r="AE279" s="187"/>
      <c r="AF279" s="187"/>
      <c r="AG279" s="187"/>
      <c r="AH279" s="187"/>
      <c r="AI279" s="187"/>
    </row>
    <row r="280" spans="1:35" ht="21" customHeight="1" thickBot="1" x14ac:dyDescent="0.35">
      <c r="A280" s="187"/>
      <c r="B280" s="381"/>
      <c r="C280" s="381"/>
      <c r="D280" s="187"/>
      <c r="E280" s="569"/>
      <c r="F280" s="569"/>
      <c r="G280" s="381"/>
      <c r="H280" s="381"/>
      <c r="I280" s="381"/>
      <c r="J280" s="381"/>
      <c r="K280" s="381"/>
      <c r="L280" s="381"/>
      <c r="M280" s="381"/>
      <c r="N280" s="381"/>
      <c r="O280" s="381"/>
      <c r="P280" s="381"/>
      <c r="Q280" s="381"/>
      <c r="R280" s="381"/>
      <c r="S280" s="381"/>
      <c r="T280" s="381"/>
      <c r="U280" s="381"/>
      <c r="V280" s="381"/>
      <c r="W280" s="381"/>
      <c r="X280" s="381"/>
      <c r="Y280" s="385"/>
      <c r="Z280" s="385"/>
      <c r="AA280" s="766"/>
      <c r="AB280" s="269"/>
      <c r="AC280" s="200"/>
      <c r="AD280" s="187"/>
      <c r="AE280" s="187"/>
      <c r="AF280" s="187"/>
      <c r="AG280" s="187"/>
      <c r="AH280" s="187"/>
      <c r="AI280" s="187"/>
    </row>
    <row r="281" spans="1:35" ht="21" customHeight="1" thickBot="1" x14ac:dyDescent="0.35">
      <c r="A281" s="187"/>
      <c r="B281" s="381"/>
      <c r="C281" s="381"/>
      <c r="D281" s="187"/>
      <c r="E281" s="569"/>
      <c r="F281" s="569"/>
      <c r="G281" s="381"/>
      <c r="H281" s="381"/>
      <c r="I281" s="381"/>
      <c r="J281" s="381"/>
      <c r="K281" s="381"/>
      <c r="L281" s="381"/>
      <c r="M281" s="381"/>
      <c r="N281" s="381"/>
      <c r="O281" s="381"/>
      <c r="P281" s="381"/>
      <c r="Q281" s="381"/>
      <c r="R281" s="381"/>
      <c r="S281" s="381"/>
      <c r="T281" s="381"/>
      <c r="U281" s="381"/>
      <c r="V281" s="381"/>
      <c r="W281" s="381"/>
      <c r="X281" s="381"/>
      <c r="Y281" s="385"/>
      <c r="Z281" s="385"/>
      <c r="AA281" s="766"/>
      <c r="AB281" s="269"/>
      <c r="AC281" s="200"/>
      <c r="AD281" s="187"/>
      <c r="AE281" s="187"/>
      <c r="AF281" s="187"/>
      <c r="AG281" s="187"/>
      <c r="AH281" s="187"/>
      <c r="AI281" s="187"/>
    </row>
    <row r="282" spans="1:35" ht="21" customHeight="1" thickBot="1" x14ac:dyDescent="0.35">
      <c r="A282" s="187"/>
      <c r="B282" s="381"/>
      <c r="C282" s="381"/>
      <c r="D282" s="187"/>
      <c r="E282" s="569"/>
      <c r="F282" s="569"/>
      <c r="G282" s="381"/>
      <c r="H282" s="381"/>
      <c r="I282" s="381"/>
      <c r="J282" s="381"/>
      <c r="K282" s="381"/>
      <c r="L282" s="381"/>
      <c r="M282" s="381"/>
      <c r="N282" s="381"/>
      <c r="O282" s="381"/>
      <c r="P282" s="381"/>
      <c r="Q282" s="381"/>
      <c r="R282" s="381"/>
      <c r="S282" s="381"/>
      <c r="T282" s="381"/>
      <c r="U282" s="381"/>
      <c r="V282" s="381"/>
      <c r="W282" s="381"/>
      <c r="X282" s="381"/>
      <c r="Y282" s="385"/>
      <c r="Z282" s="385"/>
      <c r="AA282" s="766"/>
      <c r="AB282" s="269"/>
      <c r="AC282" s="200"/>
      <c r="AD282" s="187"/>
      <c r="AE282" s="187"/>
      <c r="AF282" s="187"/>
      <c r="AG282" s="187"/>
      <c r="AH282" s="187"/>
      <c r="AI282" s="187"/>
    </row>
    <row r="283" spans="1:35" ht="21" customHeight="1" thickBot="1" x14ac:dyDescent="0.35">
      <c r="A283" s="187"/>
      <c r="B283" s="381"/>
      <c r="C283" s="381"/>
      <c r="D283" s="187"/>
      <c r="E283" s="569"/>
      <c r="F283" s="569"/>
      <c r="G283" s="381"/>
      <c r="H283" s="381"/>
      <c r="I283" s="381"/>
      <c r="J283" s="381"/>
      <c r="K283" s="381"/>
      <c r="L283" s="381"/>
      <c r="M283" s="381"/>
      <c r="N283" s="381"/>
      <c r="O283" s="381"/>
      <c r="P283" s="381"/>
      <c r="Q283" s="381"/>
      <c r="R283" s="381"/>
      <c r="S283" s="381"/>
      <c r="T283" s="381"/>
      <c r="U283" s="381"/>
      <c r="V283" s="381"/>
      <c r="W283" s="381"/>
      <c r="X283" s="381"/>
      <c r="Y283" s="385"/>
      <c r="Z283" s="385"/>
      <c r="AA283" s="766"/>
      <c r="AB283" s="269"/>
      <c r="AC283" s="200"/>
      <c r="AD283" s="187"/>
      <c r="AE283" s="187"/>
      <c r="AF283" s="187"/>
      <c r="AG283" s="187"/>
      <c r="AH283" s="187"/>
      <c r="AI283" s="187"/>
    </row>
    <row r="284" spans="1:35" ht="21" customHeight="1" thickBot="1" x14ac:dyDescent="0.35">
      <c r="A284" s="187"/>
      <c r="B284" s="381"/>
      <c r="C284" s="381"/>
      <c r="D284" s="187"/>
      <c r="E284" s="569"/>
      <c r="F284" s="569"/>
      <c r="G284" s="381"/>
      <c r="H284" s="381"/>
      <c r="I284" s="381"/>
      <c r="J284" s="381"/>
      <c r="K284" s="381"/>
      <c r="L284" s="381"/>
      <c r="M284" s="381"/>
      <c r="N284" s="381"/>
      <c r="O284" s="381"/>
      <c r="P284" s="381"/>
      <c r="Q284" s="381"/>
      <c r="R284" s="381"/>
      <c r="S284" s="381"/>
      <c r="T284" s="381"/>
      <c r="U284" s="381"/>
      <c r="V284" s="381"/>
      <c r="W284" s="381"/>
      <c r="X284" s="381"/>
      <c r="Y284" s="385"/>
      <c r="Z284" s="385"/>
      <c r="AA284" s="766"/>
      <c r="AB284" s="269"/>
      <c r="AC284" s="200"/>
      <c r="AD284" s="187"/>
      <c r="AE284" s="187"/>
      <c r="AF284" s="187"/>
      <c r="AG284" s="187"/>
      <c r="AH284" s="187"/>
      <c r="AI284" s="187"/>
    </row>
    <row r="285" spans="1:35" ht="21" customHeight="1" thickBot="1" x14ac:dyDescent="0.35">
      <c r="A285" s="187"/>
      <c r="B285" s="381"/>
      <c r="C285" s="381"/>
      <c r="D285" s="187"/>
      <c r="E285" s="569"/>
      <c r="F285" s="569"/>
      <c r="G285" s="381"/>
      <c r="H285" s="381"/>
      <c r="I285" s="381"/>
      <c r="J285" s="381"/>
      <c r="K285" s="381"/>
      <c r="L285" s="381"/>
      <c r="M285" s="381"/>
      <c r="N285" s="381"/>
      <c r="O285" s="381"/>
      <c r="P285" s="381"/>
      <c r="Q285" s="381"/>
      <c r="R285" s="381"/>
      <c r="S285" s="381"/>
      <c r="T285" s="381"/>
      <c r="U285" s="381"/>
      <c r="V285" s="381"/>
      <c r="W285" s="381"/>
      <c r="X285" s="381"/>
      <c r="Y285" s="385"/>
      <c r="Z285" s="385"/>
      <c r="AA285" s="766"/>
      <c r="AB285" s="269"/>
      <c r="AC285" s="200"/>
      <c r="AD285" s="187"/>
      <c r="AE285" s="187"/>
      <c r="AF285" s="187"/>
      <c r="AG285" s="187"/>
      <c r="AH285" s="187"/>
      <c r="AI285" s="187"/>
    </row>
    <row r="286" spans="1:35" ht="21" customHeight="1" thickBot="1" x14ac:dyDescent="0.35">
      <c r="A286" s="187"/>
      <c r="B286" s="381"/>
      <c r="C286" s="381"/>
      <c r="D286" s="187"/>
      <c r="E286" s="569"/>
      <c r="F286" s="569"/>
      <c r="G286" s="381"/>
      <c r="H286" s="381"/>
      <c r="I286" s="381"/>
      <c r="J286" s="381"/>
      <c r="K286" s="381"/>
      <c r="L286" s="381"/>
      <c r="M286" s="381"/>
      <c r="N286" s="381"/>
      <c r="O286" s="381"/>
      <c r="P286" s="381"/>
      <c r="Q286" s="381"/>
      <c r="R286" s="381"/>
      <c r="S286" s="381"/>
      <c r="T286" s="381"/>
      <c r="U286" s="381"/>
      <c r="V286" s="381"/>
      <c r="W286" s="381"/>
      <c r="X286" s="381"/>
      <c r="Y286" s="385"/>
      <c r="Z286" s="385"/>
      <c r="AA286" s="766"/>
      <c r="AB286" s="269"/>
      <c r="AC286" s="200"/>
      <c r="AD286" s="187"/>
      <c r="AE286" s="187"/>
      <c r="AF286" s="187"/>
      <c r="AG286" s="187"/>
      <c r="AH286" s="187"/>
      <c r="AI286" s="187"/>
    </row>
    <row r="287" spans="1:35" ht="21" customHeight="1" thickBot="1" x14ac:dyDescent="0.35">
      <c r="A287" s="187"/>
      <c r="B287" s="381"/>
      <c r="C287" s="381"/>
      <c r="D287" s="187"/>
      <c r="E287" s="569"/>
      <c r="F287" s="569"/>
      <c r="G287" s="381"/>
      <c r="H287" s="381"/>
      <c r="I287" s="381"/>
      <c r="J287" s="381"/>
      <c r="K287" s="381"/>
      <c r="L287" s="381"/>
      <c r="M287" s="381"/>
      <c r="N287" s="381"/>
      <c r="O287" s="381"/>
      <c r="P287" s="381"/>
      <c r="Q287" s="381"/>
      <c r="R287" s="381"/>
      <c r="S287" s="381"/>
      <c r="T287" s="381"/>
      <c r="U287" s="381"/>
      <c r="V287" s="381"/>
      <c r="W287" s="381"/>
      <c r="X287" s="381"/>
      <c r="Y287" s="385"/>
      <c r="Z287" s="385"/>
      <c r="AA287" s="766"/>
      <c r="AB287" s="269"/>
      <c r="AC287" s="200"/>
      <c r="AD287" s="187"/>
      <c r="AE287" s="187"/>
      <c r="AF287" s="187"/>
      <c r="AG287" s="187"/>
      <c r="AH287" s="187"/>
      <c r="AI287" s="187"/>
    </row>
    <row r="288" spans="1:35" ht="21" customHeight="1" thickBot="1" x14ac:dyDescent="0.35">
      <c r="A288" s="187"/>
      <c r="B288" s="381"/>
      <c r="C288" s="381"/>
      <c r="D288" s="187"/>
      <c r="E288" s="569"/>
      <c r="F288" s="569"/>
      <c r="G288" s="381"/>
      <c r="H288" s="381"/>
      <c r="I288" s="381"/>
      <c r="J288" s="381"/>
      <c r="K288" s="381"/>
      <c r="L288" s="381"/>
      <c r="M288" s="381"/>
      <c r="N288" s="381"/>
      <c r="O288" s="381"/>
      <c r="P288" s="381"/>
      <c r="Q288" s="381"/>
      <c r="R288" s="381"/>
      <c r="S288" s="381"/>
      <c r="T288" s="381"/>
      <c r="U288" s="381"/>
      <c r="V288" s="381"/>
      <c r="W288" s="381"/>
      <c r="X288" s="381"/>
      <c r="Y288" s="385"/>
      <c r="Z288" s="385"/>
      <c r="AA288" s="766"/>
      <c r="AB288" s="269"/>
      <c r="AC288" s="200"/>
      <c r="AD288" s="187"/>
      <c r="AE288" s="187"/>
      <c r="AF288" s="187"/>
      <c r="AG288" s="187"/>
      <c r="AH288" s="187"/>
      <c r="AI288" s="187"/>
    </row>
    <row r="289" spans="1:35" ht="21" customHeight="1" thickBot="1" x14ac:dyDescent="0.35">
      <c r="A289" s="187"/>
      <c r="B289" s="381"/>
      <c r="C289" s="381"/>
      <c r="D289" s="187"/>
      <c r="E289" s="569"/>
      <c r="F289" s="569"/>
      <c r="G289" s="381"/>
      <c r="H289" s="381"/>
      <c r="I289" s="381"/>
      <c r="J289" s="381"/>
      <c r="K289" s="381"/>
      <c r="L289" s="381"/>
      <c r="M289" s="381"/>
      <c r="N289" s="381"/>
      <c r="O289" s="381"/>
      <c r="P289" s="381"/>
      <c r="Q289" s="381"/>
      <c r="R289" s="381"/>
      <c r="S289" s="381"/>
      <c r="T289" s="381"/>
      <c r="U289" s="381"/>
      <c r="V289" s="381"/>
      <c r="W289" s="381"/>
      <c r="X289" s="381"/>
      <c r="Y289" s="385"/>
      <c r="Z289" s="385"/>
      <c r="AA289" s="766"/>
      <c r="AB289" s="269"/>
      <c r="AC289" s="200"/>
      <c r="AD289" s="187"/>
      <c r="AE289" s="187"/>
      <c r="AF289" s="187"/>
      <c r="AG289" s="187"/>
      <c r="AH289" s="187"/>
      <c r="AI289" s="187"/>
    </row>
    <row r="290" spans="1:35" ht="21" customHeight="1" thickBot="1" x14ac:dyDescent="0.35">
      <c r="A290" s="187"/>
      <c r="B290" s="381"/>
      <c r="C290" s="381"/>
      <c r="D290" s="187"/>
      <c r="E290" s="569"/>
      <c r="F290" s="569"/>
      <c r="G290" s="381"/>
      <c r="H290" s="381"/>
      <c r="I290" s="381"/>
      <c r="J290" s="381"/>
      <c r="K290" s="381"/>
      <c r="L290" s="381"/>
      <c r="M290" s="381"/>
      <c r="N290" s="381"/>
      <c r="O290" s="381"/>
      <c r="P290" s="381"/>
      <c r="Q290" s="381"/>
      <c r="R290" s="381"/>
      <c r="S290" s="381"/>
      <c r="T290" s="381"/>
      <c r="U290" s="381"/>
      <c r="V290" s="381"/>
      <c r="W290" s="381"/>
      <c r="X290" s="381"/>
      <c r="Y290" s="385"/>
      <c r="Z290" s="385"/>
      <c r="AA290" s="766"/>
      <c r="AB290" s="269"/>
      <c r="AC290" s="200"/>
      <c r="AD290" s="187"/>
      <c r="AE290" s="187"/>
      <c r="AF290" s="187"/>
      <c r="AG290" s="187"/>
      <c r="AH290" s="187"/>
      <c r="AI290" s="187"/>
    </row>
    <row r="291" spans="1:35" ht="21" customHeight="1" thickBot="1" x14ac:dyDescent="0.35">
      <c r="A291" s="187"/>
      <c r="B291" s="381"/>
      <c r="C291" s="381"/>
      <c r="D291" s="187"/>
      <c r="E291" s="569"/>
      <c r="F291" s="569"/>
      <c r="G291" s="381"/>
      <c r="H291" s="381"/>
      <c r="I291" s="381"/>
      <c r="J291" s="381"/>
      <c r="K291" s="381"/>
      <c r="L291" s="381"/>
      <c r="M291" s="381"/>
      <c r="N291" s="381"/>
      <c r="O291" s="381"/>
      <c r="P291" s="381"/>
      <c r="Q291" s="381"/>
      <c r="R291" s="381"/>
      <c r="S291" s="381"/>
      <c r="T291" s="381"/>
      <c r="U291" s="381"/>
      <c r="V291" s="381"/>
      <c r="W291" s="381"/>
      <c r="X291" s="381"/>
      <c r="Y291" s="385"/>
      <c r="Z291" s="385"/>
      <c r="AA291" s="766"/>
      <c r="AB291" s="269"/>
      <c r="AC291" s="200"/>
      <c r="AD291" s="187"/>
      <c r="AE291" s="187"/>
      <c r="AF291" s="187"/>
      <c r="AG291" s="187"/>
      <c r="AH291" s="187"/>
      <c r="AI291" s="187"/>
    </row>
    <row r="292" spans="1:35" ht="21" customHeight="1" thickBot="1" x14ac:dyDescent="0.35">
      <c r="A292" s="187"/>
      <c r="B292" s="381"/>
      <c r="C292" s="381"/>
      <c r="D292" s="187"/>
      <c r="E292" s="569"/>
      <c r="F292" s="569"/>
      <c r="G292" s="381"/>
      <c r="H292" s="381"/>
      <c r="I292" s="381"/>
      <c r="J292" s="381"/>
      <c r="K292" s="381"/>
      <c r="L292" s="381"/>
      <c r="M292" s="381"/>
      <c r="N292" s="381"/>
      <c r="O292" s="381"/>
      <c r="P292" s="381"/>
      <c r="Q292" s="381"/>
      <c r="R292" s="381"/>
      <c r="S292" s="381"/>
      <c r="T292" s="381"/>
      <c r="U292" s="381"/>
      <c r="V292" s="381"/>
      <c r="W292" s="381"/>
      <c r="X292" s="381"/>
      <c r="Y292" s="385"/>
      <c r="Z292" s="385"/>
      <c r="AA292" s="766"/>
      <c r="AB292" s="269"/>
      <c r="AC292" s="200"/>
      <c r="AD292" s="187"/>
      <c r="AE292" s="187"/>
      <c r="AF292" s="187"/>
      <c r="AG292" s="187"/>
      <c r="AH292" s="187"/>
      <c r="AI292" s="187"/>
    </row>
    <row r="293" spans="1:35" ht="21" customHeight="1" thickBot="1" x14ac:dyDescent="0.35">
      <c r="A293" s="187"/>
      <c r="B293" s="381"/>
      <c r="C293" s="381"/>
      <c r="D293" s="187"/>
      <c r="E293" s="569"/>
      <c r="F293" s="569"/>
      <c r="G293" s="381"/>
      <c r="H293" s="381"/>
      <c r="I293" s="381"/>
      <c r="J293" s="381"/>
      <c r="K293" s="381"/>
      <c r="L293" s="381"/>
      <c r="M293" s="381"/>
      <c r="N293" s="381"/>
      <c r="O293" s="381"/>
      <c r="P293" s="381"/>
      <c r="Q293" s="381"/>
      <c r="R293" s="381"/>
      <c r="S293" s="381"/>
      <c r="T293" s="381"/>
      <c r="U293" s="381"/>
      <c r="V293" s="381"/>
      <c r="W293" s="381"/>
      <c r="X293" s="381"/>
      <c r="Y293" s="385"/>
      <c r="Z293" s="385"/>
      <c r="AA293" s="766"/>
      <c r="AB293" s="269"/>
      <c r="AC293" s="200"/>
      <c r="AD293" s="187"/>
      <c r="AE293" s="187"/>
      <c r="AF293" s="187"/>
      <c r="AG293" s="187"/>
      <c r="AH293" s="187"/>
      <c r="AI293" s="187"/>
    </row>
    <row r="294" spans="1:35" ht="21" customHeight="1" thickBot="1" x14ac:dyDescent="0.35">
      <c r="A294" s="187"/>
      <c r="B294" s="381"/>
      <c r="C294" s="381"/>
      <c r="D294" s="187"/>
      <c r="E294" s="569"/>
      <c r="F294" s="569"/>
      <c r="G294" s="381"/>
      <c r="H294" s="381"/>
      <c r="I294" s="381"/>
      <c r="J294" s="381"/>
      <c r="K294" s="381"/>
      <c r="L294" s="381"/>
      <c r="M294" s="381"/>
      <c r="N294" s="381"/>
      <c r="O294" s="381"/>
      <c r="P294" s="381"/>
      <c r="Q294" s="381"/>
      <c r="R294" s="381"/>
      <c r="S294" s="381"/>
      <c r="T294" s="381"/>
      <c r="U294" s="381"/>
      <c r="V294" s="381"/>
      <c r="W294" s="381"/>
      <c r="X294" s="381"/>
      <c r="Y294" s="385"/>
      <c r="Z294" s="385"/>
      <c r="AA294" s="766"/>
      <c r="AB294" s="269"/>
      <c r="AC294" s="200"/>
      <c r="AD294" s="187"/>
      <c r="AE294" s="187"/>
      <c r="AF294" s="187"/>
      <c r="AG294" s="187"/>
      <c r="AH294" s="187"/>
      <c r="AI294" s="187"/>
    </row>
    <row r="295" spans="1:35" ht="21" customHeight="1" thickBot="1" x14ac:dyDescent="0.35">
      <c r="A295" s="187"/>
      <c r="B295" s="381"/>
      <c r="C295" s="381"/>
      <c r="D295" s="187"/>
      <c r="E295" s="569"/>
      <c r="F295" s="569"/>
      <c r="G295" s="381"/>
      <c r="H295" s="381"/>
      <c r="I295" s="381"/>
      <c r="J295" s="381"/>
      <c r="K295" s="381"/>
      <c r="L295" s="381"/>
      <c r="M295" s="381"/>
      <c r="N295" s="381"/>
      <c r="O295" s="381"/>
      <c r="P295" s="381"/>
      <c r="Q295" s="381"/>
      <c r="R295" s="381"/>
      <c r="S295" s="381"/>
      <c r="T295" s="381"/>
      <c r="U295" s="381"/>
      <c r="V295" s="381"/>
      <c r="W295" s="381"/>
      <c r="X295" s="381"/>
      <c r="Y295" s="385"/>
      <c r="Z295" s="385"/>
      <c r="AA295" s="766"/>
      <c r="AB295" s="269"/>
      <c r="AC295" s="200"/>
      <c r="AD295" s="187"/>
      <c r="AE295" s="187"/>
      <c r="AF295" s="187"/>
      <c r="AG295" s="187"/>
      <c r="AH295" s="187"/>
      <c r="AI295" s="187"/>
    </row>
    <row r="296" spans="1:35" ht="21" customHeight="1" thickBot="1" x14ac:dyDescent="0.35">
      <c r="A296" s="187"/>
      <c r="B296" s="381"/>
      <c r="C296" s="381"/>
      <c r="D296" s="187"/>
      <c r="E296" s="569"/>
      <c r="F296" s="569"/>
      <c r="G296" s="381"/>
      <c r="H296" s="381"/>
      <c r="I296" s="381"/>
      <c r="J296" s="381"/>
      <c r="K296" s="381"/>
      <c r="L296" s="381"/>
      <c r="M296" s="381"/>
      <c r="N296" s="381"/>
      <c r="O296" s="381"/>
      <c r="P296" s="381"/>
      <c r="Q296" s="381"/>
      <c r="R296" s="381"/>
      <c r="S296" s="381"/>
      <c r="T296" s="381"/>
      <c r="U296" s="381"/>
      <c r="V296" s="381"/>
      <c r="W296" s="381"/>
      <c r="X296" s="381"/>
      <c r="Y296" s="385"/>
      <c r="Z296" s="385"/>
      <c r="AA296" s="766"/>
      <c r="AB296" s="269"/>
      <c r="AC296" s="200"/>
      <c r="AD296" s="187"/>
      <c r="AE296" s="187"/>
      <c r="AF296" s="187"/>
      <c r="AG296" s="187"/>
      <c r="AH296" s="187"/>
      <c r="AI296" s="187"/>
    </row>
    <row r="297" spans="1:35" ht="21" customHeight="1" thickBot="1" x14ac:dyDescent="0.35">
      <c r="A297" s="187"/>
      <c r="B297" s="381"/>
      <c r="C297" s="381"/>
      <c r="D297" s="187"/>
      <c r="E297" s="569"/>
      <c r="F297" s="569"/>
      <c r="G297" s="381"/>
      <c r="H297" s="381"/>
      <c r="I297" s="381"/>
      <c r="J297" s="381"/>
      <c r="K297" s="381"/>
      <c r="L297" s="381"/>
      <c r="M297" s="381"/>
      <c r="N297" s="381"/>
      <c r="O297" s="381"/>
      <c r="P297" s="381"/>
      <c r="Q297" s="381"/>
      <c r="R297" s="381"/>
      <c r="S297" s="381"/>
      <c r="T297" s="381"/>
      <c r="U297" s="381"/>
      <c r="V297" s="381"/>
      <c r="W297" s="381"/>
      <c r="X297" s="381"/>
      <c r="Y297" s="385"/>
      <c r="Z297" s="385"/>
      <c r="AA297" s="766"/>
      <c r="AB297" s="269"/>
      <c r="AC297" s="200"/>
      <c r="AD297" s="187"/>
      <c r="AE297" s="187"/>
      <c r="AF297" s="187"/>
      <c r="AG297" s="187"/>
      <c r="AH297" s="187"/>
      <c r="AI297" s="187"/>
    </row>
    <row r="298" spans="1:35" ht="21" customHeight="1" thickBot="1" x14ac:dyDescent="0.35">
      <c r="A298" s="187"/>
      <c r="B298" s="381"/>
      <c r="C298" s="381"/>
      <c r="D298" s="187"/>
      <c r="E298" s="569"/>
      <c r="F298" s="569"/>
      <c r="G298" s="381"/>
      <c r="H298" s="381"/>
      <c r="I298" s="381"/>
      <c r="J298" s="381"/>
      <c r="K298" s="381"/>
      <c r="L298" s="381"/>
      <c r="M298" s="381"/>
      <c r="N298" s="381"/>
      <c r="O298" s="381"/>
      <c r="P298" s="381"/>
      <c r="Q298" s="381"/>
      <c r="R298" s="381"/>
      <c r="S298" s="381"/>
      <c r="T298" s="381"/>
      <c r="U298" s="381"/>
      <c r="V298" s="381"/>
      <c r="W298" s="381"/>
      <c r="X298" s="381"/>
      <c r="Y298" s="385"/>
      <c r="Z298" s="385"/>
      <c r="AA298" s="766"/>
      <c r="AB298" s="269"/>
      <c r="AC298" s="200"/>
      <c r="AD298" s="187"/>
      <c r="AE298" s="187"/>
      <c r="AF298" s="187"/>
      <c r="AG298" s="187"/>
      <c r="AH298" s="187"/>
      <c r="AI298" s="187"/>
    </row>
    <row r="299" spans="1:35" ht="21" customHeight="1" thickBot="1" x14ac:dyDescent="0.35">
      <c r="A299" s="187"/>
      <c r="B299" s="381"/>
      <c r="C299" s="381"/>
      <c r="D299" s="187"/>
      <c r="E299" s="569"/>
      <c r="F299" s="569"/>
      <c r="G299" s="381"/>
      <c r="H299" s="381"/>
      <c r="I299" s="381"/>
      <c r="J299" s="381"/>
      <c r="K299" s="381"/>
      <c r="L299" s="381"/>
      <c r="M299" s="381"/>
      <c r="N299" s="381"/>
      <c r="O299" s="381"/>
      <c r="P299" s="381"/>
      <c r="Q299" s="381"/>
      <c r="R299" s="381"/>
      <c r="S299" s="381"/>
      <c r="T299" s="381"/>
      <c r="U299" s="381"/>
      <c r="V299" s="381"/>
      <c r="W299" s="381"/>
      <c r="X299" s="381"/>
      <c r="Y299" s="385"/>
      <c r="Z299" s="385"/>
      <c r="AA299" s="766"/>
      <c r="AB299" s="269"/>
      <c r="AC299" s="200"/>
      <c r="AD299" s="187"/>
      <c r="AE299" s="187"/>
      <c r="AF299" s="187"/>
      <c r="AG299" s="187"/>
      <c r="AH299" s="187"/>
      <c r="AI299" s="187"/>
    </row>
    <row r="300" spans="1:35" ht="21" customHeight="1" thickBot="1" x14ac:dyDescent="0.35">
      <c r="A300" s="187"/>
      <c r="B300" s="381"/>
      <c r="C300" s="381"/>
      <c r="D300" s="187"/>
      <c r="E300" s="569"/>
      <c r="F300" s="569"/>
      <c r="G300" s="381"/>
      <c r="H300" s="381"/>
      <c r="I300" s="381"/>
      <c r="J300" s="381"/>
      <c r="K300" s="381"/>
      <c r="L300" s="381"/>
      <c r="M300" s="381"/>
      <c r="N300" s="381"/>
      <c r="O300" s="381"/>
      <c r="P300" s="381"/>
      <c r="Q300" s="381"/>
      <c r="R300" s="381"/>
      <c r="S300" s="381"/>
      <c r="T300" s="381"/>
      <c r="U300" s="381"/>
      <c r="V300" s="381"/>
      <c r="W300" s="381"/>
      <c r="X300" s="381"/>
      <c r="Y300" s="385"/>
      <c r="Z300" s="385"/>
      <c r="AA300" s="766"/>
      <c r="AB300" s="269"/>
      <c r="AC300" s="200"/>
      <c r="AD300" s="187"/>
      <c r="AE300" s="187"/>
      <c r="AF300" s="187"/>
      <c r="AG300" s="187"/>
      <c r="AH300" s="187"/>
      <c r="AI300" s="187"/>
    </row>
    <row r="301" spans="1:35" ht="21" customHeight="1" thickBot="1" x14ac:dyDescent="0.35">
      <c r="A301" s="187"/>
      <c r="B301" s="381"/>
      <c r="C301" s="381"/>
      <c r="D301" s="187"/>
      <c r="E301" s="569"/>
      <c r="F301" s="569"/>
      <c r="G301" s="381"/>
      <c r="H301" s="381"/>
      <c r="I301" s="381"/>
      <c r="J301" s="381"/>
      <c r="K301" s="381"/>
      <c r="L301" s="381"/>
      <c r="M301" s="381"/>
      <c r="N301" s="381"/>
      <c r="O301" s="381"/>
      <c r="P301" s="381"/>
      <c r="Q301" s="381"/>
      <c r="R301" s="381"/>
      <c r="S301" s="381"/>
      <c r="T301" s="381"/>
      <c r="U301" s="381"/>
      <c r="V301" s="381"/>
      <c r="W301" s="381"/>
      <c r="X301" s="381"/>
      <c r="Y301" s="385"/>
      <c r="Z301" s="385"/>
      <c r="AA301" s="766"/>
      <c r="AB301" s="269"/>
      <c r="AC301" s="200"/>
      <c r="AD301" s="187"/>
      <c r="AE301" s="187"/>
      <c r="AF301" s="187"/>
      <c r="AG301" s="187"/>
      <c r="AH301" s="187"/>
      <c r="AI301" s="187"/>
    </row>
    <row r="302" spans="1:35" ht="21" customHeight="1" thickBot="1" x14ac:dyDescent="0.35">
      <c r="A302" s="187"/>
      <c r="B302" s="381"/>
      <c r="C302" s="381"/>
      <c r="D302" s="187"/>
      <c r="E302" s="569"/>
      <c r="F302" s="569"/>
      <c r="G302" s="381"/>
      <c r="H302" s="381"/>
      <c r="I302" s="381"/>
      <c r="J302" s="381"/>
      <c r="K302" s="381"/>
      <c r="L302" s="381"/>
      <c r="M302" s="381"/>
      <c r="N302" s="381"/>
      <c r="O302" s="381"/>
      <c r="P302" s="381"/>
      <c r="Q302" s="381"/>
      <c r="R302" s="381"/>
      <c r="S302" s="381"/>
      <c r="T302" s="381"/>
      <c r="U302" s="381"/>
      <c r="V302" s="381"/>
      <c r="W302" s="381"/>
      <c r="X302" s="381"/>
      <c r="Y302" s="385"/>
      <c r="Z302" s="385"/>
      <c r="AA302" s="766"/>
      <c r="AB302" s="269"/>
      <c r="AC302" s="200"/>
      <c r="AD302" s="187"/>
      <c r="AE302" s="187"/>
      <c r="AF302" s="187"/>
      <c r="AG302" s="187"/>
      <c r="AH302" s="187"/>
      <c r="AI302" s="187"/>
    </row>
    <row r="303" spans="1:35" ht="21" customHeight="1" thickBot="1" x14ac:dyDescent="0.35">
      <c r="A303" s="187"/>
      <c r="B303" s="381"/>
      <c r="C303" s="381"/>
      <c r="D303" s="187"/>
      <c r="E303" s="569"/>
      <c r="F303" s="569"/>
      <c r="G303" s="381"/>
      <c r="H303" s="381"/>
      <c r="I303" s="381"/>
      <c r="J303" s="381"/>
      <c r="K303" s="381"/>
      <c r="L303" s="381"/>
      <c r="M303" s="381"/>
      <c r="N303" s="381"/>
      <c r="O303" s="381"/>
      <c r="P303" s="381"/>
      <c r="Q303" s="381"/>
      <c r="R303" s="381"/>
      <c r="S303" s="381"/>
      <c r="T303" s="381"/>
      <c r="U303" s="381"/>
      <c r="V303" s="381"/>
      <c r="W303" s="381"/>
      <c r="X303" s="381"/>
      <c r="Y303" s="385"/>
      <c r="Z303" s="385"/>
      <c r="AA303" s="766"/>
      <c r="AB303" s="269"/>
      <c r="AC303" s="200"/>
      <c r="AD303" s="187"/>
      <c r="AE303" s="187"/>
      <c r="AF303" s="187"/>
      <c r="AG303" s="187"/>
      <c r="AH303" s="187"/>
      <c r="AI303" s="187"/>
    </row>
    <row r="304" spans="1:35" ht="21" customHeight="1" thickBot="1" x14ac:dyDescent="0.35">
      <c r="A304" s="187"/>
      <c r="B304" s="381"/>
      <c r="C304" s="381"/>
      <c r="D304" s="187"/>
      <c r="E304" s="569"/>
      <c r="F304" s="569"/>
      <c r="G304" s="381"/>
      <c r="H304" s="381"/>
      <c r="I304" s="381"/>
      <c r="J304" s="381"/>
      <c r="K304" s="381"/>
      <c r="L304" s="381"/>
      <c r="M304" s="381"/>
      <c r="N304" s="381"/>
      <c r="O304" s="381"/>
      <c r="P304" s="381"/>
      <c r="Q304" s="381"/>
      <c r="R304" s="381"/>
      <c r="S304" s="381"/>
      <c r="T304" s="381"/>
      <c r="U304" s="381"/>
      <c r="V304" s="381"/>
      <c r="W304" s="381"/>
      <c r="X304" s="381"/>
      <c r="Y304" s="385"/>
      <c r="Z304" s="385"/>
      <c r="AA304" s="766"/>
      <c r="AB304" s="269"/>
      <c r="AC304" s="200"/>
      <c r="AD304" s="187"/>
      <c r="AE304" s="187"/>
      <c r="AF304" s="187"/>
      <c r="AG304" s="187"/>
      <c r="AH304" s="187"/>
      <c r="AI304" s="187"/>
    </row>
    <row r="305" spans="1:35" ht="21" customHeight="1" thickBot="1" x14ac:dyDescent="0.35">
      <c r="A305" s="187"/>
      <c r="B305" s="381"/>
      <c r="C305" s="381"/>
      <c r="D305" s="187"/>
      <c r="E305" s="569"/>
      <c r="F305" s="569"/>
      <c r="G305" s="381"/>
      <c r="H305" s="381"/>
      <c r="I305" s="381"/>
      <c r="J305" s="381"/>
      <c r="K305" s="381"/>
      <c r="L305" s="381"/>
      <c r="M305" s="381"/>
      <c r="N305" s="381"/>
      <c r="O305" s="381"/>
      <c r="P305" s="381"/>
      <c r="Q305" s="381"/>
      <c r="R305" s="381"/>
      <c r="S305" s="381"/>
      <c r="T305" s="381"/>
      <c r="U305" s="381"/>
      <c r="V305" s="381"/>
      <c r="W305" s="381"/>
      <c r="X305" s="381"/>
      <c r="Y305" s="385"/>
      <c r="Z305" s="385"/>
      <c r="AA305" s="766"/>
      <c r="AB305" s="269"/>
      <c r="AC305" s="200"/>
      <c r="AD305" s="187"/>
      <c r="AE305" s="187"/>
      <c r="AF305" s="187"/>
      <c r="AG305" s="187"/>
      <c r="AH305" s="187"/>
      <c r="AI305" s="187"/>
    </row>
    <row r="306" spans="1:35" ht="21" customHeight="1" thickBot="1" x14ac:dyDescent="0.35">
      <c r="A306" s="187"/>
      <c r="B306" s="381"/>
      <c r="C306" s="381"/>
      <c r="D306" s="187"/>
      <c r="E306" s="569"/>
      <c r="F306" s="569"/>
      <c r="G306" s="381"/>
      <c r="H306" s="381"/>
      <c r="I306" s="381"/>
      <c r="J306" s="381"/>
      <c r="K306" s="381"/>
      <c r="L306" s="381"/>
      <c r="M306" s="381"/>
      <c r="N306" s="381"/>
      <c r="O306" s="381"/>
      <c r="P306" s="381"/>
      <c r="Q306" s="381"/>
      <c r="R306" s="381"/>
      <c r="S306" s="381"/>
      <c r="T306" s="381"/>
      <c r="U306" s="381"/>
      <c r="V306" s="381"/>
      <c r="W306" s="381"/>
      <c r="X306" s="381"/>
      <c r="Y306" s="385"/>
      <c r="Z306" s="385"/>
      <c r="AA306" s="766"/>
      <c r="AB306" s="269"/>
      <c r="AC306" s="200"/>
      <c r="AD306" s="187"/>
      <c r="AE306" s="187"/>
      <c r="AF306" s="187"/>
      <c r="AG306" s="187"/>
      <c r="AH306" s="187"/>
      <c r="AI306" s="187"/>
    </row>
    <row r="307" spans="1:35" ht="21" customHeight="1" thickBot="1" x14ac:dyDescent="0.35">
      <c r="A307" s="187"/>
      <c r="B307" s="381"/>
      <c r="C307" s="381"/>
      <c r="D307" s="187"/>
      <c r="E307" s="569"/>
      <c r="F307" s="569"/>
      <c r="G307" s="381"/>
      <c r="H307" s="381"/>
      <c r="I307" s="381"/>
      <c r="J307" s="381"/>
      <c r="K307" s="381"/>
      <c r="L307" s="381"/>
      <c r="M307" s="381"/>
      <c r="N307" s="381"/>
      <c r="O307" s="381"/>
      <c r="P307" s="381"/>
      <c r="Q307" s="381"/>
      <c r="R307" s="381"/>
      <c r="S307" s="381"/>
      <c r="T307" s="381"/>
      <c r="U307" s="381"/>
      <c r="V307" s="381"/>
      <c r="W307" s="381"/>
      <c r="X307" s="381"/>
      <c r="Y307" s="385"/>
      <c r="Z307" s="385"/>
      <c r="AA307" s="766"/>
      <c r="AB307" s="269"/>
      <c r="AC307" s="200"/>
      <c r="AD307" s="187"/>
      <c r="AE307" s="187"/>
      <c r="AF307" s="187"/>
      <c r="AG307" s="187"/>
      <c r="AH307" s="187"/>
      <c r="AI307" s="187"/>
    </row>
    <row r="308" spans="1:35" ht="21" customHeight="1" thickBot="1" x14ac:dyDescent="0.35">
      <c r="A308" s="187"/>
      <c r="B308" s="381"/>
      <c r="C308" s="381"/>
      <c r="D308" s="187"/>
      <c r="E308" s="569"/>
      <c r="F308" s="569"/>
      <c r="G308" s="381"/>
      <c r="H308" s="381"/>
      <c r="I308" s="381"/>
      <c r="J308" s="381"/>
      <c r="K308" s="381"/>
      <c r="L308" s="381"/>
      <c r="M308" s="381"/>
      <c r="N308" s="381"/>
      <c r="O308" s="381"/>
      <c r="P308" s="381"/>
      <c r="Q308" s="381"/>
      <c r="R308" s="381"/>
      <c r="S308" s="381"/>
      <c r="T308" s="381"/>
      <c r="U308" s="381"/>
      <c r="V308" s="381"/>
      <c r="W308" s="381"/>
      <c r="X308" s="381"/>
      <c r="Y308" s="385"/>
      <c r="Z308" s="385"/>
      <c r="AA308" s="766"/>
      <c r="AB308" s="269"/>
      <c r="AC308" s="200"/>
      <c r="AD308" s="187"/>
      <c r="AE308" s="187"/>
      <c r="AF308" s="187"/>
      <c r="AG308" s="187"/>
      <c r="AH308" s="187"/>
      <c r="AI308" s="187"/>
    </row>
    <row r="309" spans="1:35" ht="21" customHeight="1" thickBot="1" x14ac:dyDescent="0.35">
      <c r="A309" s="187"/>
      <c r="B309" s="381"/>
      <c r="C309" s="381"/>
      <c r="D309" s="187"/>
      <c r="E309" s="569"/>
      <c r="F309" s="569"/>
      <c r="G309" s="381"/>
      <c r="H309" s="381"/>
      <c r="I309" s="381"/>
      <c r="J309" s="381"/>
      <c r="K309" s="381"/>
      <c r="L309" s="381"/>
      <c r="M309" s="381"/>
      <c r="N309" s="381"/>
      <c r="O309" s="381"/>
      <c r="P309" s="381"/>
      <c r="Q309" s="381"/>
      <c r="R309" s="381"/>
      <c r="S309" s="381"/>
      <c r="T309" s="381"/>
      <c r="U309" s="381"/>
      <c r="V309" s="381"/>
      <c r="W309" s="381"/>
      <c r="X309" s="381"/>
      <c r="Y309" s="385"/>
      <c r="Z309" s="385"/>
      <c r="AA309" s="766"/>
      <c r="AB309" s="269"/>
      <c r="AC309" s="200"/>
      <c r="AD309" s="187"/>
      <c r="AE309" s="187"/>
      <c r="AF309" s="187"/>
      <c r="AG309" s="187"/>
      <c r="AH309" s="187"/>
      <c r="AI309" s="187"/>
    </row>
    <row r="310" spans="1:35" ht="21" customHeight="1" thickBot="1" x14ac:dyDescent="0.35">
      <c r="A310" s="187"/>
      <c r="B310" s="381"/>
      <c r="C310" s="381"/>
      <c r="D310" s="187"/>
      <c r="E310" s="569"/>
      <c r="F310" s="569"/>
      <c r="G310" s="381"/>
      <c r="H310" s="381"/>
      <c r="I310" s="381"/>
      <c r="J310" s="381"/>
      <c r="K310" s="381"/>
      <c r="L310" s="381"/>
      <c r="M310" s="381"/>
      <c r="N310" s="381"/>
      <c r="O310" s="381"/>
      <c r="P310" s="381"/>
      <c r="Q310" s="381"/>
      <c r="R310" s="381"/>
      <c r="S310" s="381"/>
      <c r="T310" s="381"/>
      <c r="U310" s="381"/>
      <c r="V310" s="381"/>
      <c r="W310" s="381"/>
      <c r="X310" s="381"/>
      <c r="Y310" s="385"/>
      <c r="Z310" s="385"/>
      <c r="AA310" s="766"/>
      <c r="AB310" s="269"/>
      <c r="AC310" s="200"/>
      <c r="AD310" s="187"/>
      <c r="AE310" s="187"/>
      <c r="AF310" s="187"/>
      <c r="AG310" s="187"/>
      <c r="AH310" s="187"/>
      <c r="AI310" s="187"/>
    </row>
    <row r="311" spans="1:35" ht="21" customHeight="1" thickBot="1" x14ac:dyDescent="0.35">
      <c r="A311" s="187"/>
      <c r="B311" s="381"/>
      <c r="C311" s="381"/>
      <c r="D311" s="187"/>
      <c r="E311" s="569"/>
      <c r="F311" s="569"/>
      <c r="G311" s="381"/>
      <c r="H311" s="381"/>
      <c r="I311" s="381"/>
      <c r="J311" s="381"/>
      <c r="K311" s="381"/>
      <c r="L311" s="381"/>
      <c r="M311" s="381"/>
      <c r="N311" s="381"/>
      <c r="O311" s="381"/>
      <c r="P311" s="381"/>
      <c r="Q311" s="381"/>
      <c r="R311" s="381"/>
      <c r="S311" s="381"/>
      <c r="T311" s="381"/>
      <c r="U311" s="381"/>
      <c r="V311" s="381"/>
      <c r="W311" s="381"/>
      <c r="X311" s="381"/>
      <c r="Y311" s="385"/>
      <c r="Z311" s="385"/>
      <c r="AA311" s="766"/>
      <c r="AB311" s="269"/>
      <c r="AC311" s="200"/>
      <c r="AD311" s="187"/>
      <c r="AE311" s="187"/>
      <c r="AF311" s="187"/>
      <c r="AG311" s="187"/>
      <c r="AH311" s="187"/>
      <c r="AI311" s="187"/>
    </row>
    <row r="312" spans="1:35" ht="21" customHeight="1" thickBot="1" x14ac:dyDescent="0.35">
      <c r="A312" s="187"/>
      <c r="B312" s="381"/>
      <c r="C312" s="381"/>
      <c r="D312" s="187"/>
      <c r="E312" s="569"/>
      <c r="F312" s="569"/>
      <c r="G312" s="381"/>
      <c r="H312" s="381"/>
      <c r="I312" s="381"/>
      <c r="J312" s="381"/>
      <c r="K312" s="381"/>
      <c r="L312" s="381"/>
      <c r="M312" s="381"/>
      <c r="N312" s="381"/>
      <c r="O312" s="381"/>
      <c r="P312" s="381"/>
      <c r="Q312" s="381"/>
      <c r="R312" s="381"/>
      <c r="S312" s="381"/>
      <c r="T312" s="381"/>
      <c r="U312" s="381"/>
      <c r="V312" s="381"/>
      <c r="W312" s="381"/>
      <c r="X312" s="381"/>
      <c r="Y312" s="385"/>
      <c r="Z312" s="385"/>
      <c r="AA312" s="766"/>
      <c r="AB312" s="269"/>
      <c r="AC312" s="200"/>
      <c r="AD312" s="187"/>
      <c r="AE312" s="187"/>
      <c r="AF312" s="187"/>
      <c r="AG312" s="187"/>
      <c r="AH312" s="187"/>
      <c r="AI312" s="187"/>
    </row>
    <row r="313" spans="1:35" ht="21" customHeight="1" thickBot="1" x14ac:dyDescent="0.35">
      <c r="A313" s="187"/>
      <c r="B313" s="381"/>
      <c r="C313" s="381"/>
      <c r="D313" s="187"/>
      <c r="E313" s="569"/>
      <c r="F313" s="569"/>
      <c r="G313" s="381"/>
      <c r="H313" s="381"/>
      <c r="I313" s="381"/>
      <c r="J313" s="381"/>
      <c r="K313" s="381"/>
      <c r="L313" s="381"/>
      <c r="M313" s="381"/>
      <c r="N313" s="381"/>
      <c r="O313" s="381"/>
      <c r="P313" s="381"/>
      <c r="Q313" s="381"/>
      <c r="R313" s="381"/>
      <c r="S313" s="381"/>
      <c r="T313" s="381"/>
      <c r="U313" s="381"/>
      <c r="V313" s="381"/>
      <c r="W313" s="381"/>
      <c r="X313" s="381"/>
      <c r="Y313" s="385"/>
      <c r="Z313" s="385"/>
      <c r="AA313" s="766"/>
      <c r="AB313" s="269"/>
      <c r="AC313" s="200"/>
      <c r="AD313" s="187"/>
      <c r="AE313" s="187"/>
      <c r="AF313" s="187"/>
      <c r="AG313" s="187"/>
      <c r="AH313" s="187"/>
      <c r="AI313" s="187"/>
    </row>
    <row r="314" spans="1:35" ht="21" customHeight="1" thickBot="1" x14ac:dyDescent="0.35">
      <c r="A314" s="187"/>
      <c r="B314" s="381"/>
      <c r="C314" s="381"/>
      <c r="D314" s="187"/>
      <c r="E314" s="569"/>
      <c r="F314" s="569"/>
      <c r="G314" s="381"/>
      <c r="H314" s="381"/>
      <c r="I314" s="381"/>
      <c r="J314" s="381"/>
      <c r="K314" s="381"/>
      <c r="L314" s="381"/>
      <c r="M314" s="381"/>
      <c r="N314" s="381"/>
      <c r="O314" s="381"/>
      <c r="P314" s="381"/>
      <c r="Q314" s="381"/>
      <c r="R314" s="381"/>
      <c r="S314" s="381"/>
      <c r="T314" s="381"/>
      <c r="U314" s="381"/>
      <c r="V314" s="381"/>
      <c r="W314" s="381"/>
      <c r="X314" s="381"/>
      <c r="Y314" s="385"/>
      <c r="Z314" s="385"/>
      <c r="AA314" s="766"/>
      <c r="AB314" s="269"/>
      <c r="AC314" s="200"/>
      <c r="AD314" s="187"/>
      <c r="AE314" s="187"/>
      <c r="AF314" s="187"/>
      <c r="AG314" s="187"/>
      <c r="AH314" s="187"/>
      <c r="AI314" s="187"/>
    </row>
    <row r="315" spans="1:35" ht="21" customHeight="1" thickBot="1" x14ac:dyDescent="0.35">
      <c r="A315" s="187"/>
      <c r="B315" s="381"/>
      <c r="C315" s="381"/>
      <c r="D315" s="187"/>
      <c r="E315" s="569"/>
      <c r="F315" s="569"/>
      <c r="G315" s="381"/>
      <c r="H315" s="381"/>
      <c r="I315" s="381"/>
      <c r="J315" s="381"/>
      <c r="K315" s="381"/>
      <c r="L315" s="381"/>
      <c r="M315" s="381"/>
      <c r="N315" s="381"/>
      <c r="O315" s="381"/>
      <c r="P315" s="381"/>
      <c r="Q315" s="381"/>
      <c r="R315" s="381"/>
      <c r="S315" s="381"/>
      <c r="T315" s="381"/>
      <c r="U315" s="381"/>
      <c r="V315" s="381"/>
      <c r="W315" s="381"/>
      <c r="X315" s="381"/>
      <c r="Y315" s="385"/>
      <c r="Z315" s="385"/>
      <c r="AA315" s="766"/>
      <c r="AB315" s="269"/>
      <c r="AC315" s="200"/>
      <c r="AD315" s="187"/>
      <c r="AE315" s="187"/>
      <c r="AF315" s="187"/>
      <c r="AG315" s="187"/>
      <c r="AH315" s="187"/>
      <c r="AI315" s="187"/>
    </row>
    <row r="316" spans="1:35" ht="21" customHeight="1" thickBot="1" x14ac:dyDescent="0.35">
      <c r="A316" s="187"/>
      <c r="B316" s="381"/>
      <c r="C316" s="381"/>
      <c r="D316" s="187"/>
      <c r="E316" s="569"/>
      <c r="F316" s="569"/>
      <c r="G316" s="381"/>
      <c r="H316" s="381"/>
      <c r="I316" s="381"/>
      <c r="J316" s="381"/>
      <c r="K316" s="381"/>
      <c r="L316" s="381"/>
      <c r="M316" s="381"/>
      <c r="N316" s="381"/>
      <c r="O316" s="381"/>
      <c r="P316" s="381"/>
      <c r="Q316" s="381"/>
      <c r="R316" s="381"/>
      <c r="S316" s="381"/>
      <c r="T316" s="381"/>
      <c r="U316" s="381"/>
      <c r="V316" s="381"/>
      <c r="W316" s="381"/>
      <c r="X316" s="381"/>
      <c r="Y316" s="385"/>
      <c r="Z316" s="385"/>
      <c r="AA316" s="766"/>
      <c r="AB316" s="269"/>
      <c r="AC316" s="200"/>
      <c r="AD316" s="187"/>
      <c r="AE316" s="187"/>
      <c r="AF316" s="187"/>
      <c r="AG316" s="187"/>
      <c r="AH316" s="187"/>
      <c r="AI316" s="187"/>
    </row>
    <row r="317" spans="1:35" ht="21" customHeight="1" thickBot="1" x14ac:dyDescent="0.35">
      <c r="A317" s="187"/>
      <c r="B317" s="381"/>
      <c r="C317" s="381"/>
      <c r="D317" s="187"/>
      <c r="E317" s="569"/>
      <c r="F317" s="569"/>
      <c r="G317" s="381"/>
      <c r="H317" s="381"/>
      <c r="I317" s="381"/>
      <c r="J317" s="381"/>
      <c r="K317" s="381"/>
      <c r="L317" s="381"/>
      <c r="M317" s="381"/>
      <c r="N317" s="381"/>
      <c r="O317" s="381"/>
      <c r="P317" s="381"/>
      <c r="Q317" s="381"/>
      <c r="R317" s="381"/>
      <c r="S317" s="381"/>
      <c r="T317" s="381"/>
      <c r="U317" s="381"/>
      <c r="V317" s="381"/>
      <c r="W317" s="381"/>
      <c r="X317" s="381"/>
      <c r="Y317" s="385"/>
      <c r="Z317" s="385"/>
      <c r="AA317" s="766"/>
      <c r="AB317" s="269"/>
      <c r="AC317" s="200"/>
      <c r="AD317" s="187"/>
      <c r="AE317" s="187"/>
      <c r="AF317" s="187"/>
      <c r="AG317" s="187"/>
      <c r="AH317" s="187"/>
      <c r="AI317" s="187"/>
    </row>
    <row r="318" spans="1:35" ht="21" customHeight="1" thickBot="1" x14ac:dyDescent="0.35">
      <c r="A318" s="187"/>
      <c r="B318" s="381"/>
      <c r="C318" s="381"/>
      <c r="D318" s="187"/>
      <c r="E318" s="569"/>
      <c r="F318" s="569"/>
      <c r="G318" s="381"/>
      <c r="H318" s="381"/>
      <c r="I318" s="381"/>
      <c r="J318" s="381"/>
      <c r="K318" s="381"/>
      <c r="L318" s="381"/>
      <c r="M318" s="381"/>
      <c r="N318" s="381"/>
      <c r="O318" s="381"/>
      <c r="P318" s="381"/>
      <c r="Q318" s="381"/>
      <c r="R318" s="381"/>
      <c r="S318" s="381"/>
      <c r="T318" s="381"/>
      <c r="U318" s="381"/>
      <c r="V318" s="381"/>
      <c r="W318" s="381"/>
      <c r="X318" s="381"/>
      <c r="Y318" s="385"/>
      <c r="Z318" s="385"/>
      <c r="AA318" s="766"/>
      <c r="AB318" s="269"/>
      <c r="AC318" s="200"/>
      <c r="AD318" s="187"/>
      <c r="AE318" s="187"/>
      <c r="AF318" s="187"/>
      <c r="AG318" s="187"/>
      <c r="AH318" s="187"/>
      <c r="AI318" s="187"/>
    </row>
    <row r="319" spans="1:35" ht="21" customHeight="1" thickBot="1" x14ac:dyDescent="0.35">
      <c r="A319" s="187"/>
      <c r="B319" s="381"/>
      <c r="C319" s="381"/>
      <c r="D319" s="187"/>
      <c r="E319" s="569"/>
      <c r="F319" s="569"/>
      <c r="G319" s="381"/>
      <c r="H319" s="381"/>
      <c r="I319" s="381"/>
      <c r="J319" s="381"/>
      <c r="K319" s="381"/>
      <c r="L319" s="381"/>
      <c r="M319" s="381"/>
      <c r="N319" s="381"/>
      <c r="O319" s="381"/>
      <c r="P319" s="381"/>
      <c r="Q319" s="381"/>
      <c r="R319" s="381"/>
      <c r="S319" s="381"/>
      <c r="T319" s="381"/>
      <c r="U319" s="381"/>
      <c r="V319" s="381"/>
      <c r="W319" s="381"/>
      <c r="X319" s="381"/>
      <c r="Y319" s="385"/>
      <c r="Z319" s="385"/>
      <c r="AA319" s="766"/>
      <c r="AB319" s="269"/>
      <c r="AC319" s="200"/>
      <c r="AD319" s="187"/>
      <c r="AE319" s="187"/>
      <c r="AF319" s="187"/>
      <c r="AG319" s="187"/>
      <c r="AH319" s="187"/>
      <c r="AI319" s="187"/>
    </row>
    <row r="320" spans="1:35" ht="21" customHeight="1" thickBot="1" x14ac:dyDescent="0.35">
      <c r="A320" s="187"/>
      <c r="B320" s="381"/>
      <c r="C320" s="381"/>
      <c r="D320" s="187"/>
      <c r="E320" s="569"/>
      <c r="F320" s="569"/>
      <c r="G320" s="381"/>
      <c r="H320" s="381"/>
      <c r="I320" s="381"/>
      <c r="J320" s="381"/>
      <c r="K320" s="381"/>
      <c r="L320" s="381"/>
      <c r="M320" s="381"/>
      <c r="N320" s="381"/>
      <c r="O320" s="381"/>
      <c r="P320" s="381"/>
      <c r="Q320" s="381"/>
      <c r="R320" s="381"/>
      <c r="S320" s="381"/>
      <c r="T320" s="381"/>
      <c r="U320" s="381"/>
      <c r="V320" s="381"/>
      <c r="W320" s="381"/>
      <c r="X320" s="381"/>
      <c r="Y320" s="385"/>
      <c r="Z320" s="385"/>
      <c r="AA320" s="766"/>
      <c r="AB320" s="269"/>
      <c r="AC320" s="200"/>
      <c r="AD320" s="187"/>
      <c r="AE320" s="187"/>
      <c r="AF320" s="187"/>
      <c r="AG320" s="187"/>
      <c r="AH320" s="187"/>
      <c r="AI320" s="187"/>
    </row>
    <row r="321" spans="1:35" ht="21" customHeight="1" thickBot="1" x14ac:dyDescent="0.35">
      <c r="A321" s="187"/>
      <c r="B321" s="381"/>
      <c r="C321" s="381"/>
      <c r="D321" s="187"/>
      <c r="E321" s="569"/>
      <c r="F321" s="569"/>
      <c r="G321" s="381"/>
      <c r="H321" s="381"/>
      <c r="I321" s="381"/>
      <c r="J321" s="381"/>
      <c r="K321" s="381"/>
      <c r="L321" s="381"/>
      <c r="M321" s="381"/>
      <c r="N321" s="381"/>
      <c r="O321" s="381"/>
      <c r="P321" s="381"/>
      <c r="Q321" s="381"/>
      <c r="R321" s="381"/>
      <c r="S321" s="381"/>
      <c r="T321" s="381"/>
      <c r="U321" s="381"/>
      <c r="V321" s="381"/>
      <c r="W321" s="381"/>
      <c r="X321" s="381"/>
      <c r="Y321" s="385"/>
      <c r="Z321" s="385"/>
      <c r="AA321" s="766"/>
      <c r="AB321" s="269"/>
      <c r="AC321" s="200"/>
      <c r="AD321" s="187"/>
      <c r="AE321" s="187"/>
      <c r="AF321" s="187"/>
      <c r="AG321" s="187"/>
      <c r="AH321" s="187"/>
      <c r="AI321" s="187"/>
    </row>
    <row r="322" spans="1:35" ht="21" customHeight="1" thickBot="1" x14ac:dyDescent="0.35">
      <c r="A322" s="187"/>
      <c r="B322" s="381"/>
      <c r="C322" s="381"/>
      <c r="D322" s="187"/>
      <c r="E322" s="569"/>
      <c r="F322" s="569"/>
      <c r="G322" s="381"/>
      <c r="H322" s="381"/>
      <c r="I322" s="381"/>
      <c r="J322" s="381"/>
      <c r="K322" s="381"/>
      <c r="L322" s="381"/>
      <c r="M322" s="381"/>
      <c r="N322" s="381"/>
      <c r="O322" s="381"/>
      <c r="P322" s="381"/>
      <c r="Q322" s="381"/>
      <c r="R322" s="381"/>
      <c r="S322" s="381"/>
      <c r="T322" s="381"/>
      <c r="U322" s="381"/>
      <c r="V322" s="381"/>
      <c r="W322" s="381"/>
      <c r="X322" s="381"/>
      <c r="Y322" s="385"/>
      <c r="Z322" s="385"/>
      <c r="AA322" s="766"/>
      <c r="AB322" s="269"/>
      <c r="AC322" s="200"/>
      <c r="AD322" s="187"/>
      <c r="AE322" s="187"/>
      <c r="AF322" s="187"/>
      <c r="AG322" s="187"/>
      <c r="AH322" s="187"/>
      <c r="AI322" s="187"/>
    </row>
    <row r="323" spans="1:35" ht="21" customHeight="1" thickBot="1" x14ac:dyDescent="0.35">
      <c r="A323" s="187"/>
      <c r="B323" s="381"/>
      <c r="C323" s="381"/>
      <c r="D323" s="187"/>
      <c r="E323" s="569"/>
      <c r="F323" s="569"/>
      <c r="G323" s="381"/>
      <c r="H323" s="381"/>
      <c r="I323" s="381"/>
      <c r="J323" s="381"/>
      <c r="K323" s="381"/>
      <c r="L323" s="381"/>
      <c r="M323" s="381"/>
      <c r="N323" s="381"/>
      <c r="O323" s="381"/>
      <c r="P323" s="381"/>
      <c r="Q323" s="381"/>
      <c r="R323" s="381"/>
      <c r="S323" s="381"/>
      <c r="T323" s="381"/>
      <c r="U323" s="381"/>
      <c r="V323" s="381"/>
      <c r="W323" s="381"/>
      <c r="X323" s="381"/>
      <c r="Y323" s="385"/>
      <c r="Z323" s="385"/>
      <c r="AA323" s="766"/>
      <c r="AB323" s="269"/>
      <c r="AC323" s="200"/>
      <c r="AD323" s="187"/>
      <c r="AE323" s="187"/>
      <c r="AF323" s="187"/>
      <c r="AG323" s="187"/>
      <c r="AH323" s="187"/>
      <c r="AI323" s="187"/>
    </row>
    <row r="324" spans="1:35" ht="21" customHeight="1" thickBot="1" x14ac:dyDescent="0.35">
      <c r="A324" s="187"/>
      <c r="B324" s="381"/>
      <c r="C324" s="381"/>
      <c r="D324" s="187"/>
      <c r="E324" s="569"/>
      <c r="F324" s="569"/>
      <c r="G324" s="381"/>
      <c r="H324" s="381"/>
      <c r="I324" s="381"/>
      <c r="J324" s="381"/>
      <c r="K324" s="381"/>
      <c r="L324" s="381"/>
      <c r="M324" s="381"/>
      <c r="N324" s="381"/>
      <c r="O324" s="381"/>
      <c r="P324" s="381"/>
      <c r="Q324" s="381"/>
      <c r="R324" s="381"/>
      <c r="S324" s="381"/>
      <c r="T324" s="381"/>
      <c r="U324" s="381"/>
      <c r="V324" s="381"/>
      <c r="W324" s="381"/>
      <c r="X324" s="381"/>
      <c r="Y324" s="385"/>
      <c r="Z324" s="385"/>
      <c r="AA324" s="766"/>
      <c r="AB324" s="269"/>
      <c r="AC324" s="200"/>
      <c r="AD324" s="187"/>
      <c r="AE324" s="187"/>
      <c r="AF324" s="187"/>
      <c r="AG324" s="187"/>
      <c r="AH324" s="187"/>
      <c r="AI324" s="187"/>
    </row>
    <row r="325" spans="1:35" ht="21" customHeight="1" thickBot="1" x14ac:dyDescent="0.35">
      <c r="A325" s="187"/>
      <c r="B325" s="381"/>
      <c r="C325" s="381"/>
      <c r="D325" s="187"/>
      <c r="E325" s="569"/>
      <c r="F325" s="569"/>
      <c r="G325" s="381"/>
      <c r="H325" s="381"/>
      <c r="I325" s="381"/>
      <c r="J325" s="381"/>
      <c r="K325" s="381"/>
      <c r="L325" s="381"/>
      <c r="M325" s="381"/>
      <c r="N325" s="381"/>
      <c r="O325" s="381"/>
      <c r="P325" s="381"/>
      <c r="Q325" s="381"/>
      <c r="R325" s="381"/>
      <c r="S325" s="381"/>
      <c r="T325" s="381"/>
      <c r="U325" s="381"/>
      <c r="V325" s="381"/>
      <c r="W325" s="381"/>
      <c r="X325" s="381"/>
      <c r="Y325" s="385"/>
      <c r="Z325" s="385"/>
      <c r="AA325" s="766"/>
      <c r="AB325" s="269"/>
      <c r="AC325" s="200"/>
      <c r="AD325" s="187"/>
      <c r="AE325" s="187"/>
      <c r="AF325" s="187"/>
      <c r="AG325" s="187"/>
      <c r="AH325" s="187"/>
      <c r="AI325" s="187"/>
    </row>
    <row r="326" spans="1:35" ht="21" customHeight="1" thickBot="1" x14ac:dyDescent="0.35">
      <c r="A326" s="187"/>
      <c r="B326" s="381"/>
      <c r="C326" s="381"/>
      <c r="D326" s="187"/>
      <c r="E326" s="569"/>
      <c r="F326" s="569"/>
      <c r="G326" s="381"/>
      <c r="H326" s="381"/>
      <c r="I326" s="381"/>
      <c r="J326" s="381"/>
      <c r="K326" s="381"/>
      <c r="L326" s="381"/>
      <c r="M326" s="381"/>
      <c r="N326" s="381"/>
      <c r="O326" s="381"/>
      <c r="P326" s="381"/>
      <c r="Q326" s="381"/>
      <c r="R326" s="381"/>
      <c r="S326" s="381"/>
      <c r="T326" s="381"/>
      <c r="U326" s="381"/>
      <c r="V326" s="381"/>
      <c r="W326" s="381"/>
      <c r="X326" s="381"/>
      <c r="Y326" s="385"/>
      <c r="Z326" s="385"/>
      <c r="AA326" s="766"/>
      <c r="AB326" s="269"/>
      <c r="AC326" s="200"/>
      <c r="AD326" s="187"/>
      <c r="AE326" s="187"/>
      <c r="AF326" s="187"/>
      <c r="AG326" s="187"/>
      <c r="AH326" s="187"/>
      <c r="AI326" s="187"/>
    </row>
    <row r="327" spans="1:35" ht="21" customHeight="1" thickBot="1" x14ac:dyDescent="0.35">
      <c r="A327" s="187"/>
      <c r="B327" s="381"/>
      <c r="C327" s="381"/>
      <c r="D327" s="187"/>
      <c r="E327" s="569"/>
      <c r="F327" s="569"/>
      <c r="G327" s="381"/>
      <c r="H327" s="381"/>
      <c r="I327" s="381"/>
      <c r="J327" s="381"/>
      <c r="K327" s="381"/>
      <c r="L327" s="381"/>
      <c r="M327" s="381"/>
      <c r="N327" s="381"/>
      <c r="O327" s="381"/>
      <c r="P327" s="381"/>
      <c r="Q327" s="381"/>
      <c r="R327" s="381"/>
      <c r="S327" s="381"/>
      <c r="T327" s="381"/>
      <c r="U327" s="381"/>
      <c r="V327" s="381"/>
      <c r="W327" s="381"/>
      <c r="X327" s="381"/>
      <c r="Y327" s="385"/>
      <c r="Z327" s="385"/>
      <c r="AA327" s="766"/>
      <c r="AB327" s="269"/>
      <c r="AC327" s="200"/>
      <c r="AD327" s="187"/>
      <c r="AE327" s="187"/>
      <c r="AF327" s="187"/>
      <c r="AG327" s="187"/>
      <c r="AH327" s="187"/>
      <c r="AI327" s="187"/>
    </row>
    <row r="328" spans="1:35" ht="21" customHeight="1" thickBot="1" x14ac:dyDescent="0.35">
      <c r="A328" s="187"/>
      <c r="B328" s="381"/>
      <c r="C328" s="381"/>
      <c r="D328" s="187"/>
      <c r="E328" s="569"/>
      <c r="F328" s="569"/>
      <c r="G328" s="381"/>
      <c r="H328" s="381"/>
      <c r="I328" s="381"/>
      <c r="J328" s="381"/>
      <c r="K328" s="381"/>
      <c r="L328" s="381"/>
      <c r="M328" s="381"/>
      <c r="N328" s="381"/>
      <c r="O328" s="381"/>
      <c r="P328" s="381"/>
      <c r="Q328" s="381"/>
      <c r="R328" s="381"/>
      <c r="S328" s="381"/>
      <c r="T328" s="381"/>
      <c r="U328" s="381"/>
      <c r="V328" s="381"/>
      <c r="W328" s="381"/>
      <c r="X328" s="381"/>
      <c r="Y328" s="385"/>
      <c r="Z328" s="385"/>
      <c r="AA328" s="766"/>
      <c r="AB328" s="269"/>
      <c r="AC328" s="200"/>
      <c r="AD328" s="187"/>
      <c r="AE328" s="187"/>
      <c r="AF328" s="187"/>
      <c r="AG328" s="187"/>
      <c r="AH328" s="187"/>
      <c r="AI328" s="187"/>
    </row>
    <row r="329" spans="1:35" ht="21" customHeight="1" thickBot="1" x14ac:dyDescent="0.35">
      <c r="A329" s="187"/>
      <c r="B329" s="381"/>
      <c r="C329" s="381"/>
      <c r="D329" s="187"/>
      <c r="E329" s="569"/>
      <c r="F329" s="569"/>
      <c r="G329" s="381"/>
      <c r="H329" s="381"/>
      <c r="I329" s="381"/>
      <c r="J329" s="381"/>
      <c r="K329" s="381"/>
      <c r="L329" s="381"/>
      <c r="M329" s="381"/>
      <c r="N329" s="381"/>
      <c r="O329" s="381"/>
      <c r="P329" s="381"/>
      <c r="Q329" s="381"/>
      <c r="R329" s="381"/>
      <c r="S329" s="381"/>
      <c r="T329" s="381"/>
      <c r="U329" s="381"/>
      <c r="V329" s="381"/>
      <c r="W329" s="381"/>
      <c r="X329" s="381"/>
      <c r="Y329" s="385"/>
      <c r="Z329" s="385"/>
      <c r="AA329" s="766"/>
      <c r="AB329" s="269"/>
      <c r="AC329" s="200"/>
      <c r="AD329" s="187"/>
      <c r="AE329" s="187"/>
      <c r="AF329" s="187"/>
      <c r="AG329" s="187"/>
      <c r="AH329" s="187"/>
      <c r="AI329" s="187"/>
    </row>
    <row r="330" spans="1:35" ht="21" customHeight="1" thickBot="1" x14ac:dyDescent="0.35">
      <c r="A330" s="187"/>
      <c r="B330" s="381"/>
      <c r="C330" s="381"/>
      <c r="D330" s="187"/>
      <c r="E330" s="569"/>
      <c r="F330" s="569"/>
      <c r="G330" s="381"/>
      <c r="H330" s="381"/>
      <c r="I330" s="381"/>
      <c r="J330" s="381"/>
      <c r="K330" s="381"/>
      <c r="L330" s="381"/>
      <c r="M330" s="381"/>
      <c r="N330" s="381"/>
      <c r="O330" s="381"/>
      <c r="P330" s="381"/>
      <c r="Q330" s="381"/>
      <c r="R330" s="381"/>
      <c r="S330" s="381"/>
      <c r="T330" s="381"/>
      <c r="U330" s="381"/>
      <c r="V330" s="381"/>
      <c r="W330" s="381"/>
      <c r="X330" s="381"/>
      <c r="Y330" s="385"/>
      <c r="Z330" s="385"/>
      <c r="AA330" s="766"/>
      <c r="AB330" s="269"/>
      <c r="AC330" s="200"/>
      <c r="AD330" s="187"/>
      <c r="AE330" s="187"/>
      <c r="AF330" s="187"/>
      <c r="AG330" s="187"/>
      <c r="AH330" s="187"/>
      <c r="AI330" s="187"/>
    </row>
    <row r="331" spans="1:35" ht="21" customHeight="1" thickBot="1" x14ac:dyDescent="0.35">
      <c r="A331" s="187"/>
      <c r="B331" s="381"/>
      <c r="C331" s="381"/>
      <c r="D331" s="187"/>
      <c r="E331" s="569"/>
      <c r="F331" s="569"/>
      <c r="G331" s="381"/>
      <c r="H331" s="381"/>
      <c r="I331" s="381"/>
      <c r="J331" s="381"/>
      <c r="K331" s="381"/>
      <c r="L331" s="381"/>
      <c r="M331" s="381"/>
      <c r="N331" s="381"/>
      <c r="O331" s="381"/>
      <c r="P331" s="381"/>
      <c r="Q331" s="381"/>
      <c r="R331" s="381"/>
      <c r="S331" s="381"/>
      <c r="T331" s="381"/>
      <c r="U331" s="381"/>
      <c r="V331" s="381"/>
      <c r="W331" s="381"/>
      <c r="X331" s="381"/>
      <c r="Y331" s="385"/>
      <c r="Z331" s="385"/>
      <c r="AA331" s="766"/>
      <c r="AB331" s="269"/>
      <c r="AC331" s="200"/>
      <c r="AD331" s="187"/>
      <c r="AE331" s="187"/>
      <c r="AF331" s="187"/>
      <c r="AG331" s="187"/>
      <c r="AH331" s="187"/>
      <c r="AI331" s="187"/>
    </row>
    <row r="332" spans="1:35" ht="21" customHeight="1" thickBot="1" x14ac:dyDescent="0.35">
      <c r="A332" s="187"/>
      <c r="B332" s="381"/>
      <c r="C332" s="381"/>
      <c r="D332" s="187"/>
      <c r="E332" s="569"/>
      <c r="F332" s="569"/>
      <c r="G332" s="381"/>
      <c r="H332" s="381"/>
      <c r="I332" s="381"/>
      <c r="J332" s="381"/>
      <c r="K332" s="381"/>
      <c r="L332" s="381"/>
      <c r="M332" s="381"/>
      <c r="N332" s="381"/>
      <c r="O332" s="381"/>
      <c r="P332" s="381"/>
      <c r="Q332" s="381"/>
      <c r="R332" s="381"/>
      <c r="S332" s="381"/>
      <c r="T332" s="381"/>
      <c r="U332" s="381"/>
      <c r="V332" s="381"/>
      <c r="W332" s="381"/>
      <c r="X332" s="381"/>
      <c r="Y332" s="385"/>
      <c r="Z332" s="385"/>
      <c r="AA332" s="766"/>
      <c r="AB332" s="269"/>
      <c r="AC332" s="200"/>
      <c r="AD332" s="187"/>
      <c r="AE332" s="187"/>
      <c r="AF332" s="187"/>
      <c r="AG332" s="187"/>
      <c r="AH332" s="187"/>
      <c r="AI332" s="187"/>
    </row>
    <row r="333" spans="1:35" ht="21" customHeight="1" thickBot="1" x14ac:dyDescent="0.35">
      <c r="A333" s="187"/>
      <c r="B333" s="381"/>
      <c r="C333" s="381"/>
      <c r="D333" s="187"/>
      <c r="E333" s="569"/>
      <c r="F333" s="569"/>
      <c r="G333" s="381"/>
      <c r="H333" s="381"/>
      <c r="I333" s="381"/>
      <c r="J333" s="381"/>
      <c r="K333" s="381"/>
      <c r="L333" s="381"/>
      <c r="M333" s="381"/>
      <c r="N333" s="381"/>
      <c r="O333" s="381"/>
      <c r="P333" s="381"/>
      <c r="Q333" s="381"/>
      <c r="R333" s="381"/>
      <c r="S333" s="381"/>
      <c r="T333" s="381"/>
      <c r="U333" s="381"/>
      <c r="V333" s="381"/>
      <c r="W333" s="381"/>
      <c r="X333" s="381"/>
      <c r="Y333" s="385"/>
      <c r="Z333" s="385"/>
      <c r="AA333" s="766"/>
      <c r="AB333" s="269"/>
      <c r="AC333" s="200"/>
      <c r="AD333" s="187"/>
      <c r="AE333" s="187"/>
      <c r="AF333" s="187"/>
      <c r="AG333" s="187"/>
      <c r="AH333" s="187"/>
      <c r="AI333" s="187"/>
    </row>
    <row r="334" spans="1:35" ht="21" customHeight="1" thickBot="1" x14ac:dyDescent="0.35">
      <c r="A334" s="187"/>
      <c r="B334" s="381"/>
      <c r="C334" s="381"/>
      <c r="D334" s="187"/>
      <c r="E334" s="569"/>
      <c r="F334" s="569"/>
      <c r="G334" s="381"/>
      <c r="H334" s="381"/>
      <c r="I334" s="381"/>
      <c r="J334" s="381"/>
      <c r="K334" s="381"/>
      <c r="L334" s="381"/>
      <c r="M334" s="381"/>
      <c r="N334" s="381"/>
      <c r="O334" s="381"/>
      <c r="P334" s="381"/>
      <c r="Q334" s="381"/>
      <c r="R334" s="381"/>
      <c r="S334" s="381"/>
      <c r="T334" s="381"/>
      <c r="U334" s="381"/>
      <c r="V334" s="381"/>
      <c r="W334" s="381"/>
      <c r="X334" s="381"/>
      <c r="Y334" s="385"/>
      <c r="Z334" s="385"/>
      <c r="AA334" s="766"/>
      <c r="AB334" s="269"/>
      <c r="AC334" s="200"/>
      <c r="AD334" s="187"/>
      <c r="AE334" s="187"/>
      <c r="AF334" s="187"/>
      <c r="AG334" s="187"/>
      <c r="AH334" s="187"/>
      <c r="AI334" s="187"/>
    </row>
    <row r="335" spans="1:35" ht="21" customHeight="1" thickBot="1" x14ac:dyDescent="0.35">
      <c r="A335" s="187"/>
      <c r="B335" s="381"/>
      <c r="C335" s="381"/>
      <c r="D335" s="187"/>
      <c r="E335" s="569"/>
      <c r="F335" s="569"/>
      <c r="G335" s="381"/>
      <c r="H335" s="381"/>
      <c r="I335" s="381"/>
      <c r="J335" s="381"/>
      <c r="K335" s="381"/>
      <c r="L335" s="381"/>
      <c r="M335" s="381"/>
      <c r="N335" s="381"/>
      <c r="O335" s="381"/>
      <c r="P335" s="381"/>
      <c r="Q335" s="381"/>
      <c r="R335" s="381"/>
      <c r="S335" s="381"/>
      <c r="T335" s="381"/>
      <c r="U335" s="381"/>
      <c r="V335" s="381"/>
      <c r="W335" s="381"/>
      <c r="X335" s="381"/>
      <c r="Y335" s="385"/>
      <c r="Z335" s="385"/>
      <c r="AA335" s="766"/>
      <c r="AB335" s="269"/>
      <c r="AC335" s="200"/>
      <c r="AD335" s="187"/>
      <c r="AE335" s="187"/>
      <c r="AF335" s="187"/>
      <c r="AG335" s="187"/>
      <c r="AH335" s="187"/>
      <c r="AI335" s="187"/>
    </row>
    <row r="336" spans="1:35" ht="21" customHeight="1" thickBot="1" x14ac:dyDescent="0.35">
      <c r="A336" s="187"/>
      <c r="B336" s="381"/>
      <c r="C336" s="381"/>
      <c r="D336" s="187"/>
      <c r="E336" s="569"/>
      <c r="F336" s="569"/>
      <c r="G336" s="381"/>
      <c r="H336" s="381"/>
      <c r="I336" s="381"/>
      <c r="J336" s="381"/>
      <c r="K336" s="381"/>
      <c r="L336" s="381"/>
      <c r="M336" s="381"/>
      <c r="N336" s="381"/>
      <c r="O336" s="381"/>
      <c r="P336" s="381"/>
      <c r="Q336" s="381"/>
      <c r="R336" s="381"/>
      <c r="S336" s="381"/>
      <c r="T336" s="381"/>
      <c r="U336" s="381"/>
      <c r="V336" s="381"/>
      <c r="W336" s="381"/>
      <c r="X336" s="381"/>
      <c r="Y336" s="385"/>
      <c r="Z336" s="385"/>
      <c r="AA336" s="766"/>
      <c r="AB336" s="269"/>
      <c r="AC336" s="200"/>
      <c r="AD336" s="187"/>
      <c r="AE336" s="187"/>
      <c r="AF336" s="187"/>
      <c r="AG336" s="187"/>
      <c r="AH336" s="187"/>
      <c r="AI336" s="187"/>
    </row>
    <row r="337" spans="1:35" ht="21" customHeight="1" thickBot="1" x14ac:dyDescent="0.35">
      <c r="A337" s="187"/>
      <c r="B337" s="381"/>
      <c r="C337" s="381"/>
      <c r="D337" s="187"/>
      <c r="E337" s="569"/>
      <c r="F337" s="569"/>
      <c r="G337" s="381"/>
      <c r="H337" s="381"/>
      <c r="I337" s="381"/>
      <c r="J337" s="381"/>
      <c r="K337" s="381"/>
      <c r="L337" s="381"/>
      <c r="M337" s="381"/>
      <c r="N337" s="381"/>
      <c r="O337" s="381"/>
      <c r="P337" s="381"/>
      <c r="Q337" s="381"/>
      <c r="R337" s="381"/>
      <c r="S337" s="381"/>
      <c r="T337" s="381"/>
      <c r="U337" s="381"/>
      <c r="V337" s="381"/>
      <c r="W337" s="381"/>
      <c r="X337" s="381"/>
      <c r="Y337" s="385"/>
      <c r="Z337" s="385"/>
      <c r="AA337" s="766"/>
      <c r="AB337" s="269"/>
      <c r="AC337" s="200"/>
      <c r="AD337" s="187"/>
      <c r="AE337" s="187"/>
      <c r="AF337" s="187"/>
      <c r="AG337" s="187"/>
      <c r="AH337" s="187"/>
      <c r="AI337" s="187"/>
    </row>
    <row r="338" spans="1:35" ht="21" customHeight="1" thickBot="1" x14ac:dyDescent="0.35">
      <c r="A338" s="187"/>
      <c r="B338" s="381"/>
      <c r="C338" s="381"/>
      <c r="D338" s="187"/>
      <c r="E338" s="569"/>
      <c r="F338" s="569"/>
      <c r="G338" s="381"/>
      <c r="H338" s="381"/>
      <c r="I338" s="381"/>
      <c r="J338" s="381"/>
      <c r="K338" s="381"/>
      <c r="L338" s="381"/>
      <c r="M338" s="381"/>
      <c r="N338" s="381"/>
      <c r="O338" s="381"/>
      <c r="P338" s="381"/>
      <c r="Q338" s="381"/>
      <c r="R338" s="381"/>
      <c r="S338" s="381"/>
      <c r="T338" s="381"/>
      <c r="U338" s="381"/>
      <c r="V338" s="381"/>
      <c r="W338" s="381"/>
      <c r="X338" s="381"/>
      <c r="Y338" s="385"/>
      <c r="Z338" s="385"/>
      <c r="AA338" s="766"/>
      <c r="AB338" s="269"/>
      <c r="AC338" s="200"/>
      <c r="AD338" s="187"/>
      <c r="AE338" s="187"/>
      <c r="AF338" s="187"/>
      <c r="AG338" s="187"/>
      <c r="AH338" s="187"/>
      <c r="AI338" s="187"/>
    </row>
    <row r="339" spans="1:35" ht="21" customHeight="1" thickBot="1" x14ac:dyDescent="0.35">
      <c r="A339" s="187"/>
      <c r="B339" s="381"/>
      <c r="C339" s="381"/>
      <c r="D339" s="187"/>
      <c r="E339" s="569"/>
      <c r="F339" s="569"/>
      <c r="G339" s="381"/>
      <c r="H339" s="381"/>
      <c r="I339" s="381"/>
      <c r="J339" s="381"/>
      <c r="K339" s="381"/>
      <c r="L339" s="381"/>
      <c r="M339" s="381"/>
      <c r="N339" s="381"/>
      <c r="O339" s="381"/>
      <c r="P339" s="381"/>
      <c r="Q339" s="381"/>
      <c r="R339" s="381"/>
      <c r="S339" s="381"/>
      <c r="T339" s="381"/>
      <c r="U339" s="381"/>
      <c r="V339" s="381"/>
      <c r="W339" s="381"/>
      <c r="X339" s="381"/>
      <c r="Y339" s="385"/>
      <c r="Z339" s="385"/>
      <c r="AA339" s="766"/>
      <c r="AB339" s="269"/>
      <c r="AC339" s="200"/>
      <c r="AD339" s="187"/>
      <c r="AE339" s="187"/>
      <c r="AF339" s="187"/>
      <c r="AG339" s="187"/>
      <c r="AH339" s="187"/>
      <c r="AI339" s="187"/>
    </row>
    <row r="340" spans="1:35" ht="21" customHeight="1" thickBot="1" x14ac:dyDescent="0.35">
      <c r="A340" s="187"/>
      <c r="B340" s="381"/>
      <c r="C340" s="381"/>
      <c r="D340" s="187"/>
      <c r="E340" s="569"/>
      <c r="F340" s="569"/>
      <c r="G340" s="381"/>
      <c r="H340" s="381"/>
      <c r="I340" s="381"/>
      <c r="J340" s="381"/>
      <c r="K340" s="381"/>
      <c r="L340" s="381"/>
      <c r="M340" s="381"/>
      <c r="N340" s="381"/>
      <c r="O340" s="381"/>
      <c r="P340" s="381"/>
      <c r="Q340" s="381"/>
      <c r="R340" s="381"/>
      <c r="S340" s="381"/>
      <c r="T340" s="381"/>
      <c r="U340" s="381"/>
      <c r="V340" s="381"/>
      <c r="W340" s="381"/>
      <c r="X340" s="381"/>
      <c r="Y340" s="385"/>
      <c r="Z340" s="385"/>
      <c r="AA340" s="766"/>
      <c r="AB340" s="269"/>
      <c r="AC340" s="200"/>
      <c r="AD340" s="187"/>
      <c r="AE340" s="187"/>
      <c r="AF340" s="187"/>
      <c r="AG340" s="187"/>
      <c r="AH340" s="187"/>
      <c r="AI340" s="187"/>
    </row>
    <row r="341" spans="1:35" ht="21" customHeight="1" thickBot="1" x14ac:dyDescent="0.35">
      <c r="A341" s="187"/>
      <c r="B341" s="381"/>
      <c r="C341" s="381"/>
      <c r="D341" s="187"/>
      <c r="E341" s="569"/>
      <c r="F341" s="569"/>
      <c r="G341" s="381"/>
      <c r="H341" s="381"/>
      <c r="I341" s="381"/>
      <c r="J341" s="381"/>
      <c r="K341" s="381"/>
      <c r="L341" s="381"/>
      <c r="M341" s="381"/>
      <c r="N341" s="381"/>
      <c r="O341" s="381"/>
      <c r="P341" s="381"/>
      <c r="Q341" s="381"/>
      <c r="R341" s="381"/>
      <c r="S341" s="381"/>
      <c r="T341" s="381"/>
      <c r="U341" s="381"/>
      <c r="V341" s="381"/>
      <c r="W341" s="381"/>
      <c r="X341" s="381"/>
      <c r="Y341" s="385"/>
      <c r="Z341" s="385"/>
      <c r="AA341" s="766"/>
      <c r="AB341" s="269"/>
      <c r="AC341" s="200"/>
      <c r="AD341" s="187"/>
      <c r="AE341" s="187"/>
      <c r="AF341" s="187"/>
      <c r="AG341" s="187"/>
      <c r="AH341" s="187"/>
      <c r="AI341" s="187"/>
    </row>
    <row r="342" spans="1:35" ht="21" customHeight="1" thickBot="1" x14ac:dyDescent="0.35">
      <c r="A342" s="187"/>
      <c r="B342" s="381"/>
      <c r="C342" s="381"/>
      <c r="D342" s="187"/>
      <c r="E342" s="569"/>
      <c r="F342" s="569"/>
      <c r="G342" s="381"/>
      <c r="H342" s="381"/>
      <c r="I342" s="381"/>
      <c r="J342" s="381"/>
      <c r="K342" s="381"/>
      <c r="L342" s="381"/>
      <c r="M342" s="381"/>
      <c r="N342" s="381"/>
      <c r="O342" s="381"/>
      <c r="P342" s="381"/>
      <c r="Q342" s="381"/>
      <c r="R342" s="381"/>
      <c r="S342" s="381"/>
      <c r="T342" s="381"/>
      <c r="U342" s="381"/>
      <c r="V342" s="381"/>
      <c r="W342" s="381"/>
      <c r="X342" s="381"/>
      <c r="Y342" s="385"/>
      <c r="Z342" s="385"/>
      <c r="AA342" s="766"/>
      <c r="AB342" s="269"/>
      <c r="AC342" s="200"/>
      <c r="AD342" s="187"/>
      <c r="AE342" s="187"/>
      <c r="AF342" s="187"/>
      <c r="AG342" s="187"/>
      <c r="AH342" s="187"/>
      <c r="AI342" s="187"/>
    </row>
    <row r="343" spans="1:35" ht="21" customHeight="1" thickBot="1" x14ac:dyDescent="0.35">
      <c r="A343" s="187"/>
      <c r="B343" s="381"/>
      <c r="C343" s="381"/>
      <c r="D343" s="187"/>
      <c r="E343" s="569"/>
      <c r="F343" s="569"/>
      <c r="G343" s="381"/>
      <c r="H343" s="381"/>
      <c r="I343" s="381"/>
      <c r="J343" s="381"/>
      <c r="K343" s="381"/>
      <c r="L343" s="381"/>
      <c r="M343" s="381"/>
      <c r="N343" s="381"/>
      <c r="O343" s="381"/>
      <c r="P343" s="381"/>
      <c r="Q343" s="381"/>
      <c r="R343" s="381"/>
      <c r="S343" s="381"/>
      <c r="T343" s="381"/>
      <c r="U343" s="381"/>
      <c r="V343" s="381"/>
      <c r="W343" s="381"/>
      <c r="X343" s="381"/>
      <c r="Y343" s="385"/>
      <c r="Z343" s="385"/>
      <c r="AA343" s="766"/>
      <c r="AB343" s="269"/>
      <c r="AC343" s="200"/>
      <c r="AD343" s="187"/>
      <c r="AE343" s="187"/>
      <c r="AF343" s="187"/>
      <c r="AG343" s="187"/>
      <c r="AH343" s="187"/>
      <c r="AI343" s="187"/>
    </row>
    <row r="344" spans="1:35" ht="21" customHeight="1" thickBot="1" x14ac:dyDescent="0.35">
      <c r="A344" s="187"/>
      <c r="B344" s="381"/>
      <c r="C344" s="381"/>
      <c r="D344" s="187"/>
      <c r="E344" s="569"/>
      <c r="F344" s="569"/>
      <c r="G344" s="381"/>
      <c r="H344" s="381"/>
      <c r="I344" s="381"/>
      <c r="J344" s="381"/>
      <c r="K344" s="381"/>
      <c r="L344" s="381"/>
      <c r="M344" s="381"/>
      <c r="N344" s="381"/>
      <c r="O344" s="381"/>
      <c r="P344" s="381"/>
      <c r="Q344" s="381"/>
      <c r="R344" s="381"/>
      <c r="S344" s="381"/>
      <c r="T344" s="381"/>
      <c r="U344" s="381"/>
      <c r="V344" s="381"/>
      <c r="W344" s="381"/>
      <c r="X344" s="381"/>
      <c r="Y344" s="385"/>
      <c r="Z344" s="385"/>
      <c r="AA344" s="766"/>
      <c r="AB344" s="269"/>
      <c r="AC344" s="200"/>
      <c r="AD344" s="187"/>
      <c r="AE344" s="187"/>
      <c r="AF344" s="187"/>
      <c r="AG344" s="187"/>
      <c r="AH344" s="187"/>
      <c r="AI344" s="187"/>
    </row>
    <row r="345" spans="1:35" ht="21" customHeight="1" thickBot="1" x14ac:dyDescent="0.35">
      <c r="A345" s="187"/>
      <c r="B345" s="381"/>
      <c r="C345" s="381"/>
      <c r="D345" s="187"/>
      <c r="E345" s="569"/>
      <c r="F345" s="569"/>
      <c r="G345" s="381"/>
      <c r="H345" s="381"/>
      <c r="I345" s="381"/>
      <c r="J345" s="381"/>
      <c r="K345" s="381"/>
      <c r="L345" s="381"/>
      <c r="M345" s="381"/>
      <c r="N345" s="381"/>
      <c r="O345" s="381"/>
      <c r="P345" s="381"/>
      <c r="Q345" s="381"/>
      <c r="R345" s="381"/>
      <c r="S345" s="381"/>
      <c r="T345" s="381"/>
      <c r="U345" s="381"/>
      <c r="V345" s="381"/>
      <c r="W345" s="381"/>
      <c r="X345" s="381"/>
      <c r="Y345" s="385"/>
      <c r="Z345" s="385"/>
      <c r="AA345" s="766"/>
      <c r="AB345" s="269"/>
      <c r="AC345" s="200"/>
      <c r="AD345" s="187"/>
      <c r="AE345" s="187"/>
      <c r="AF345" s="187"/>
      <c r="AG345" s="187"/>
      <c r="AH345" s="187"/>
      <c r="AI345" s="187"/>
    </row>
    <row r="346" spans="1:35" ht="21" customHeight="1" thickBot="1" x14ac:dyDescent="0.35">
      <c r="A346" s="187"/>
      <c r="B346" s="381"/>
      <c r="C346" s="381"/>
      <c r="D346" s="187"/>
      <c r="E346" s="569"/>
      <c r="F346" s="569"/>
      <c r="G346" s="381"/>
      <c r="H346" s="381"/>
      <c r="I346" s="381"/>
      <c r="J346" s="381"/>
      <c r="K346" s="381"/>
      <c r="L346" s="381"/>
      <c r="M346" s="381"/>
      <c r="N346" s="381"/>
      <c r="O346" s="381"/>
      <c r="P346" s="381"/>
      <c r="Q346" s="381"/>
      <c r="R346" s="381"/>
      <c r="S346" s="381"/>
      <c r="T346" s="381"/>
      <c r="U346" s="381"/>
      <c r="V346" s="381"/>
      <c r="W346" s="381"/>
      <c r="X346" s="381"/>
      <c r="Y346" s="385"/>
      <c r="Z346" s="385"/>
      <c r="AA346" s="766"/>
      <c r="AB346" s="269"/>
      <c r="AC346" s="200"/>
      <c r="AD346" s="187"/>
      <c r="AE346" s="187"/>
      <c r="AF346" s="187"/>
      <c r="AG346" s="187"/>
      <c r="AH346" s="187"/>
      <c r="AI346" s="187"/>
    </row>
    <row r="347" spans="1:35" ht="21" customHeight="1" thickBot="1" x14ac:dyDescent="0.35">
      <c r="A347" s="187"/>
      <c r="B347" s="381"/>
      <c r="C347" s="381"/>
      <c r="D347" s="187"/>
      <c r="E347" s="569"/>
      <c r="F347" s="569"/>
      <c r="G347" s="381"/>
      <c r="H347" s="381"/>
      <c r="I347" s="381"/>
      <c r="J347" s="381"/>
      <c r="K347" s="381"/>
      <c r="L347" s="381"/>
      <c r="M347" s="381"/>
      <c r="N347" s="381"/>
      <c r="O347" s="381"/>
      <c r="P347" s="381"/>
      <c r="Q347" s="381"/>
      <c r="R347" s="381"/>
      <c r="S347" s="381"/>
      <c r="T347" s="381"/>
      <c r="U347" s="381"/>
      <c r="V347" s="381"/>
      <c r="W347" s="381"/>
      <c r="X347" s="381"/>
      <c r="Y347" s="385"/>
      <c r="Z347" s="385"/>
      <c r="AA347" s="766"/>
      <c r="AB347" s="269"/>
      <c r="AC347" s="200"/>
      <c r="AD347" s="187"/>
      <c r="AE347" s="187"/>
      <c r="AF347" s="187"/>
      <c r="AG347" s="187"/>
      <c r="AH347" s="187"/>
      <c r="AI347" s="187"/>
    </row>
    <row r="348" spans="1:35" ht="21" customHeight="1" thickBot="1" x14ac:dyDescent="0.35">
      <c r="A348" s="187"/>
      <c r="B348" s="381"/>
      <c r="C348" s="381"/>
      <c r="D348" s="187"/>
      <c r="E348" s="569"/>
      <c r="F348" s="569"/>
      <c r="G348" s="381"/>
      <c r="H348" s="381"/>
      <c r="I348" s="381"/>
      <c r="J348" s="381"/>
      <c r="K348" s="381"/>
      <c r="L348" s="381"/>
      <c r="M348" s="381"/>
      <c r="N348" s="381"/>
      <c r="O348" s="381"/>
      <c r="P348" s="381"/>
      <c r="Q348" s="381"/>
      <c r="R348" s="381"/>
      <c r="S348" s="381"/>
      <c r="T348" s="381"/>
      <c r="U348" s="381"/>
      <c r="V348" s="381"/>
      <c r="W348" s="381"/>
      <c r="X348" s="381"/>
      <c r="Y348" s="385"/>
      <c r="Z348" s="385"/>
      <c r="AA348" s="766"/>
      <c r="AB348" s="269"/>
      <c r="AC348" s="200"/>
      <c r="AD348" s="187"/>
      <c r="AE348" s="187"/>
      <c r="AF348" s="187"/>
      <c r="AG348" s="187"/>
      <c r="AH348" s="187"/>
      <c r="AI348" s="187"/>
    </row>
    <row r="349" spans="1:35" ht="21" customHeight="1" thickBot="1" x14ac:dyDescent="0.35">
      <c r="A349" s="187"/>
      <c r="B349" s="381"/>
      <c r="C349" s="381"/>
      <c r="D349" s="187"/>
      <c r="E349" s="569"/>
      <c r="F349" s="569"/>
      <c r="G349" s="381"/>
      <c r="H349" s="381"/>
      <c r="I349" s="381"/>
      <c r="J349" s="381"/>
      <c r="K349" s="381"/>
      <c r="L349" s="381"/>
      <c r="M349" s="381"/>
      <c r="N349" s="381"/>
      <c r="O349" s="381"/>
      <c r="P349" s="381"/>
      <c r="Q349" s="381"/>
      <c r="R349" s="381"/>
      <c r="S349" s="381"/>
      <c r="T349" s="381"/>
      <c r="U349" s="381"/>
      <c r="V349" s="381"/>
      <c r="W349" s="381"/>
      <c r="X349" s="381"/>
      <c r="Y349" s="385"/>
      <c r="Z349" s="385"/>
      <c r="AA349" s="766"/>
      <c r="AB349" s="269"/>
      <c r="AC349" s="200"/>
      <c r="AD349" s="187"/>
      <c r="AE349" s="187"/>
      <c r="AF349" s="187"/>
      <c r="AG349" s="187"/>
      <c r="AH349" s="187"/>
      <c r="AI349" s="187"/>
    </row>
    <row r="350" spans="1:35" ht="21" customHeight="1" thickBot="1" x14ac:dyDescent="0.35">
      <c r="A350" s="187"/>
      <c r="B350" s="381"/>
      <c r="C350" s="381"/>
      <c r="D350" s="187"/>
      <c r="E350" s="569"/>
      <c r="F350" s="569"/>
      <c r="G350" s="381"/>
      <c r="H350" s="381"/>
      <c r="I350" s="381"/>
      <c r="J350" s="381"/>
      <c r="K350" s="381"/>
      <c r="L350" s="381"/>
      <c r="M350" s="381"/>
      <c r="N350" s="381"/>
      <c r="O350" s="381"/>
      <c r="P350" s="381"/>
      <c r="Q350" s="381"/>
      <c r="R350" s="381"/>
      <c r="S350" s="381"/>
      <c r="T350" s="381"/>
      <c r="U350" s="381"/>
      <c r="V350" s="381"/>
      <c r="W350" s="381"/>
      <c r="X350" s="381"/>
      <c r="Y350" s="385"/>
      <c r="Z350" s="385"/>
      <c r="AA350" s="766"/>
      <c r="AB350" s="269"/>
      <c r="AC350" s="200"/>
      <c r="AD350" s="187"/>
      <c r="AE350" s="187"/>
      <c r="AF350" s="187"/>
      <c r="AG350" s="187"/>
      <c r="AH350" s="187"/>
      <c r="AI350" s="187"/>
    </row>
    <row r="351" spans="1:35" ht="21" customHeight="1" thickBot="1" x14ac:dyDescent="0.35">
      <c r="A351" s="187"/>
      <c r="B351" s="381"/>
      <c r="C351" s="381"/>
      <c r="D351" s="187"/>
      <c r="E351" s="569"/>
      <c r="F351" s="569"/>
      <c r="G351" s="381"/>
      <c r="H351" s="381"/>
      <c r="I351" s="381"/>
      <c r="J351" s="381"/>
      <c r="K351" s="381"/>
      <c r="L351" s="381"/>
      <c r="M351" s="381"/>
      <c r="N351" s="381"/>
      <c r="O351" s="381"/>
      <c r="P351" s="381"/>
      <c r="Q351" s="381"/>
      <c r="R351" s="381"/>
      <c r="S351" s="381"/>
      <c r="T351" s="381"/>
      <c r="U351" s="381"/>
      <c r="V351" s="381"/>
      <c r="W351" s="381"/>
      <c r="X351" s="381"/>
      <c r="Y351" s="385"/>
      <c r="Z351" s="385"/>
      <c r="AA351" s="766"/>
      <c r="AB351" s="269"/>
      <c r="AC351" s="200"/>
      <c r="AD351" s="187"/>
      <c r="AE351" s="187"/>
      <c r="AF351" s="187"/>
      <c r="AG351" s="187"/>
      <c r="AH351" s="187"/>
      <c r="AI351" s="187"/>
    </row>
    <row r="352" spans="1:35" ht="21" customHeight="1" thickBot="1" x14ac:dyDescent="0.35">
      <c r="A352" s="187"/>
      <c r="B352" s="381"/>
      <c r="C352" s="381"/>
      <c r="D352" s="187"/>
      <c r="E352" s="569"/>
      <c r="F352" s="569"/>
      <c r="G352" s="381"/>
      <c r="H352" s="381"/>
      <c r="I352" s="381"/>
      <c r="J352" s="381"/>
      <c r="K352" s="381"/>
      <c r="L352" s="381"/>
      <c r="M352" s="381"/>
      <c r="N352" s="381"/>
      <c r="O352" s="381"/>
      <c r="P352" s="381"/>
      <c r="Q352" s="381"/>
      <c r="R352" s="381"/>
      <c r="S352" s="381"/>
      <c r="T352" s="381"/>
      <c r="U352" s="381"/>
      <c r="V352" s="381"/>
      <c r="W352" s="381"/>
      <c r="X352" s="381"/>
      <c r="Y352" s="385"/>
      <c r="Z352" s="385"/>
      <c r="AA352" s="766"/>
      <c r="AB352" s="269"/>
      <c r="AC352" s="200"/>
      <c r="AD352" s="187"/>
      <c r="AE352" s="187"/>
      <c r="AF352" s="187"/>
      <c r="AG352" s="187"/>
      <c r="AH352" s="187"/>
      <c r="AI352" s="187"/>
    </row>
    <row r="353" spans="1:35" ht="21" customHeight="1" thickBot="1" x14ac:dyDescent="0.35">
      <c r="A353" s="187"/>
      <c r="B353" s="381"/>
      <c r="C353" s="381"/>
      <c r="D353" s="187"/>
      <c r="E353" s="569"/>
      <c r="F353" s="569"/>
      <c r="G353" s="381"/>
      <c r="H353" s="381"/>
      <c r="I353" s="381"/>
      <c r="J353" s="381"/>
      <c r="K353" s="381"/>
      <c r="L353" s="381"/>
      <c r="M353" s="381"/>
      <c r="N353" s="381"/>
      <c r="O353" s="381"/>
      <c r="P353" s="381"/>
      <c r="Q353" s="381"/>
      <c r="R353" s="381"/>
      <c r="S353" s="381"/>
      <c r="T353" s="381"/>
      <c r="U353" s="381"/>
      <c r="V353" s="381"/>
      <c r="W353" s="381"/>
      <c r="X353" s="381"/>
      <c r="Y353" s="385"/>
      <c r="Z353" s="385"/>
      <c r="AA353" s="766"/>
      <c r="AB353" s="269"/>
      <c r="AC353" s="200"/>
      <c r="AD353" s="187"/>
      <c r="AE353" s="187"/>
      <c r="AF353" s="187"/>
      <c r="AG353" s="187"/>
      <c r="AH353" s="187"/>
      <c r="AI353" s="187"/>
    </row>
    <row r="354" spans="1:35" ht="21" customHeight="1" thickBot="1" x14ac:dyDescent="0.35">
      <c r="A354" s="187"/>
      <c r="B354" s="381"/>
      <c r="C354" s="381"/>
      <c r="D354" s="187"/>
      <c r="E354" s="569"/>
      <c r="F354" s="569"/>
      <c r="G354" s="381"/>
      <c r="H354" s="381"/>
      <c r="I354" s="381"/>
      <c r="J354" s="381"/>
      <c r="K354" s="381"/>
      <c r="L354" s="381"/>
      <c r="M354" s="381"/>
      <c r="N354" s="381"/>
      <c r="O354" s="381"/>
      <c r="P354" s="381"/>
      <c r="Q354" s="381"/>
      <c r="R354" s="381"/>
      <c r="S354" s="381"/>
      <c r="T354" s="381"/>
      <c r="U354" s="381"/>
      <c r="V354" s="381"/>
      <c r="W354" s="381"/>
      <c r="X354" s="381"/>
      <c r="Y354" s="385"/>
      <c r="Z354" s="385"/>
      <c r="AA354" s="766"/>
      <c r="AB354" s="269"/>
      <c r="AC354" s="200"/>
      <c r="AD354" s="187"/>
      <c r="AE354" s="187"/>
      <c r="AF354" s="187"/>
      <c r="AG354" s="187"/>
      <c r="AH354" s="187"/>
      <c r="AI354" s="187"/>
    </row>
    <row r="355" spans="1:35" ht="21" customHeight="1" thickBot="1" x14ac:dyDescent="0.35">
      <c r="A355" s="187"/>
      <c r="B355" s="381"/>
      <c r="C355" s="381"/>
      <c r="D355" s="187"/>
      <c r="E355" s="569"/>
      <c r="F355" s="569"/>
      <c r="G355" s="381"/>
      <c r="H355" s="381"/>
      <c r="I355" s="381"/>
      <c r="J355" s="381"/>
      <c r="K355" s="381"/>
      <c r="L355" s="381"/>
      <c r="M355" s="381"/>
      <c r="N355" s="381"/>
      <c r="O355" s="381"/>
      <c r="P355" s="381"/>
      <c r="Q355" s="381"/>
      <c r="R355" s="381"/>
      <c r="S355" s="381"/>
      <c r="T355" s="381"/>
      <c r="U355" s="381"/>
      <c r="V355" s="381"/>
      <c r="W355" s="381"/>
      <c r="X355" s="381"/>
      <c r="Y355" s="385"/>
      <c r="Z355" s="385"/>
      <c r="AA355" s="766"/>
      <c r="AB355" s="269"/>
      <c r="AC355" s="200"/>
      <c r="AD355" s="187"/>
      <c r="AE355" s="187"/>
      <c r="AF355" s="187"/>
      <c r="AG355" s="187"/>
      <c r="AH355" s="187"/>
      <c r="AI355" s="187"/>
    </row>
    <row r="356" spans="1:35" ht="21" customHeight="1" thickBot="1" x14ac:dyDescent="0.35">
      <c r="A356" s="187"/>
      <c r="B356" s="381"/>
      <c r="C356" s="381"/>
      <c r="D356" s="187"/>
      <c r="E356" s="569"/>
      <c r="F356" s="569"/>
      <c r="G356" s="381"/>
      <c r="H356" s="381"/>
      <c r="I356" s="381"/>
      <c r="J356" s="381"/>
      <c r="K356" s="381"/>
      <c r="L356" s="381"/>
      <c r="M356" s="381"/>
      <c r="N356" s="381"/>
      <c r="O356" s="381"/>
      <c r="P356" s="381"/>
      <c r="Q356" s="381"/>
      <c r="R356" s="381"/>
      <c r="S356" s="381"/>
      <c r="T356" s="381"/>
      <c r="U356" s="381"/>
      <c r="V356" s="381"/>
      <c r="W356" s="381"/>
      <c r="X356" s="381"/>
      <c r="Y356" s="385"/>
      <c r="Z356" s="385"/>
      <c r="AA356" s="766"/>
      <c r="AB356" s="269"/>
      <c r="AC356" s="200"/>
      <c r="AD356" s="187"/>
      <c r="AE356" s="187"/>
      <c r="AF356" s="187"/>
      <c r="AG356" s="187"/>
      <c r="AH356" s="187"/>
      <c r="AI356" s="187"/>
    </row>
    <row r="357" spans="1:35" ht="21" customHeight="1" thickBot="1" x14ac:dyDescent="0.35">
      <c r="A357" s="187"/>
      <c r="B357" s="381"/>
      <c r="C357" s="381"/>
      <c r="D357" s="187"/>
      <c r="E357" s="569"/>
      <c r="F357" s="569"/>
      <c r="G357" s="381"/>
      <c r="H357" s="381"/>
      <c r="I357" s="381"/>
      <c r="J357" s="381"/>
      <c r="K357" s="381"/>
      <c r="L357" s="381"/>
      <c r="M357" s="381"/>
      <c r="N357" s="381"/>
      <c r="O357" s="381"/>
      <c r="P357" s="381"/>
      <c r="Q357" s="381"/>
      <c r="R357" s="381"/>
      <c r="S357" s="381"/>
      <c r="T357" s="381"/>
      <c r="U357" s="381"/>
      <c r="V357" s="381"/>
      <c r="W357" s="381"/>
      <c r="X357" s="381"/>
      <c r="Y357" s="385"/>
      <c r="Z357" s="385"/>
      <c r="AA357" s="766"/>
      <c r="AB357" s="269"/>
      <c r="AC357" s="200"/>
      <c r="AD357" s="187"/>
      <c r="AE357" s="187"/>
      <c r="AF357" s="187"/>
      <c r="AG357" s="187"/>
      <c r="AH357" s="187"/>
      <c r="AI357" s="187"/>
    </row>
    <row r="358" spans="1:35" ht="21" customHeight="1" thickBot="1" x14ac:dyDescent="0.35">
      <c r="A358" s="187"/>
      <c r="B358" s="381"/>
      <c r="C358" s="381"/>
      <c r="D358" s="187"/>
      <c r="E358" s="569"/>
      <c r="F358" s="569"/>
      <c r="G358" s="381"/>
      <c r="H358" s="381"/>
      <c r="I358" s="381"/>
      <c r="J358" s="381"/>
      <c r="K358" s="381"/>
      <c r="L358" s="381"/>
      <c r="M358" s="381"/>
      <c r="N358" s="381"/>
      <c r="O358" s="381"/>
      <c r="P358" s="381"/>
      <c r="Q358" s="381"/>
      <c r="R358" s="381"/>
      <c r="S358" s="381"/>
      <c r="T358" s="381"/>
      <c r="U358" s="381"/>
      <c r="V358" s="381"/>
      <c r="W358" s="381"/>
      <c r="X358" s="381"/>
      <c r="Y358" s="385"/>
      <c r="Z358" s="385"/>
      <c r="AA358" s="766"/>
      <c r="AB358" s="269"/>
      <c r="AC358" s="200"/>
      <c r="AD358" s="187"/>
      <c r="AE358" s="187"/>
      <c r="AF358" s="187"/>
      <c r="AG358" s="187"/>
      <c r="AH358" s="187"/>
      <c r="AI358" s="187"/>
    </row>
    <row r="359" spans="1:35" ht="21" customHeight="1" thickBot="1" x14ac:dyDescent="0.35">
      <c r="A359" s="187"/>
      <c r="B359" s="381"/>
      <c r="C359" s="381"/>
      <c r="D359" s="187"/>
      <c r="E359" s="569"/>
      <c r="F359" s="569"/>
      <c r="G359" s="381"/>
      <c r="H359" s="381"/>
      <c r="I359" s="381"/>
      <c r="J359" s="381"/>
      <c r="K359" s="381"/>
      <c r="L359" s="381"/>
      <c r="M359" s="381"/>
      <c r="N359" s="381"/>
      <c r="O359" s="381"/>
      <c r="P359" s="381"/>
      <c r="Q359" s="381"/>
      <c r="R359" s="381"/>
      <c r="S359" s="381"/>
      <c r="T359" s="381"/>
      <c r="U359" s="381"/>
      <c r="V359" s="381"/>
      <c r="W359" s="381"/>
      <c r="X359" s="381"/>
      <c r="Y359" s="385"/>
      <c r="Z359" s="385"/>
      <c r="AA359" s="766"/>
      <c r="AB359" s="269"/>
      <c r="AC359" s="200"/>
      <c r="AD359" s="187"/>
      <c r="AE359" s="187"/>
      <c r="AF359" s="187"/>
      <c r="AG359" s="187"/>
      <c r="AH359" s="187"/>
      <c r="AI359" s="187"/>
    </row>
    <row r="360" spans="1:35" ht="21" customHeight="1" thickBot="1" x14ac:dyDescent="0.35">
      <c r="A360" s="187"/>
      <c r="B360" s="381"/>
      <c r="C360" s="381"/>
      <c r="D360" s="187"/>
      <c r="E360" s="569"/>
      <c r="F360" s="569"/>
      <c r="G360" s="381"/>
      <c r="H360" s="381"/>
      <c r="I360" s="381"/>
      <c r="J360" s="381"/>
      <c r="K360" s="381"/>
      <c r="L360" s="381"/>
      <c r="M360" s="381"/>
      <c r="N360" s="381"/>
      <c r="O360" s="381"/>
      <c r="P360" s="381"/>
      <c r="Q360" s="381"/>
      <c r="R360" s="381"/>
      <c r="S360" s="381"/>
      <c r="T360" s="381"/>
      <c r="U360" s="381"/>
      <c r="V360" s="381"/>
      <c r="W360" s="381"/>
      <c r="X360" s="381"/>
      <c r="Y360" s="385"/>
      <c r="Z360" s="385"/>
      <c r="AA360" s="766"/>
      <c r="AB360" s="269"/>
      <c r="AC360" s="200"/>
      <c r="AD360" s="187"/>
      <c r="AE360" s="187"/>
      <c r="AF360" s="187"/>
      <c r="AG360" s="187"/>
      <c r="AH360" s="187"/>
      <c r="AI360" s="187"/>
    </row>
    <row r="361" spans="1:35" ht="21" customHeight="1" thickBot="1" x14ac:dyDescent="0.35">
      <c r="A361" s="187"/>
      <c r="B361" s="381"/>
      <c r="C361" s="381"/>
      <c r="D361" s="187"/>
      <c r="E361" s="569"/>
      <c r="F361" s="569"/>
      <c r="G361" s="381"/>
      <c r="H361" s="381"/>
      <c r="I361" s="381"/>
      <c r="J361" s="381"/>
      <c r="K361" s="381"/>
      <c r="L361" s="381"/>
      <c r="M361" s="381"/>
      <c r="N361" s="381"/>
      <c r="O361" s="381"/>
      <c r="P361" s="381"/>
      <c r="Q361" s="381"/>
      <c r="R361" s="381"/>
      <c r="S361" s="381"/>
      <c r="T361" s="381"/>
      <c r="U361" s="381"/>
      <c r="V361" s="381"/>
      <c r="W361" s="381"/>
      <c r="X361" s="381"/>
      <c r="Y361" s="385"/>
      <c r="Z361" s="385"/>
      <c r="AA361" s="766"/>
      <c r="AB361" s="269"/>
      <c r="AC361" s="200"/>
      <c r="AD361" s="187"/>
      <c r="AE361" s="187"/>
      <c r="AF361" s="187"/>
      <c r="AG361" s="187"/>
      <c r="AH361" s="187"/>
      <c r="AI361" s="187"/>
    </row>
    <row r="362" spans="1:35" ht="21" customHeight="1" thickBot="1" x14ac:dyDescent="0.35">
      <c r="A362" s="187"/>
      <c r="B362" s="381"/>
      <c r="C362" s="381"/>
      <c r="D362" s="187"/>
      <c r="E362" s="569"/>
      <c r="F362" s="569"/>
      <c r="G362" s="381"/>
      <c r="H362" s="381"/>
      <c r="I362" s="381"/>
      <c r="J362" s="381"/>
      <c r="K362" s="381"/>
      <c r="L362" s="381"/>
      <c r="M362" s="381"/>
      <c r="N362" s="381"/>
      <c r="O362" s="381"/>
      <c r="P362" s="381"/>
      <c r="Q362" s="381"/>
      <c r="R362" s="381"/>
      <c r="S362" s="381"/>
      <c r="T362" s="381"/>
      <c r="U362" s="381"/>
      <c r="V362" s="381"/>
      <c r="W362" s="381"/>
      <c r="X362" s="381"/>
      <c r="Y362" s="385"/>
      <c r="Z362" s="385"/>
      <c r="AA362" s="766"/>
      <c r="AB362" s="269"/>
      <c r="AC362" s="200"/>
      <c r="AD362" s="187"/>
      <c r="AE362" s="187"/>
      <c r="AF362" s="187"/>
      <c r="AG362" s="187"/>
      <c r="AH362" s="187"/>
      <c r="AI362" s="187"/>
    </row>
    <row r="363" spans="1:35" ht="21" customHeight="1" thickBot="1" x14ac:dyDescent="0.35">
      <c r="A363" s="187"/>
      <c r="B363" s="381"/>
      <c r="C363" s="381"/>
      <c r="D363" s="187"/>
      <c r="E363" s="569"/>
      <c r="F363" s="569"/>
      <c r="G363" s="381"/>
      <c r="H363" s="381"/>
      <c r="I363" s="381"/>
      <c r="J363" s="381"/>
      <c r="K363" s="381"/>
      <c r="L363" s="381"/>
      <c r="M363" s="381"/>
      <c r="N363" s="381"/>
      <c r="O363" s="381"/>
      <c r="P363" s="381"/>
      <c r="Q363" s="381"/>
      <c r="R363" s="381"/>
      <c r="S363" s="381"/>
      <c r="T363" s="381"/>
      <c r="U363" s="381"/>
      <c r="V363" s="381"/>
      <c r="W363" s="381"/>
      <c r="X363" s="381"/>
      <c r="Y363" s="385"/>
      <c r="Z363" s="385"/>
      <c r="AA363" s="766"/>
      <c r="AB363" s="269"/>
      <c r="AC363" s="200"/>
      <c r="AD363" s="187"/>
      <c r="AE363" s="187"/>
      <c r="AF363" s="187"/>
      <c r="AG363" s="187"/>
      <c r="AH363" s="187"/>
      <c r="AI363" s="187"/>
    </row>
    <row r="364" spans="1:35" ht="21" customHeight="1" thickBot="1" x14ac:dyDescent="0.35">
      <c r="A364" s="187"/>
      <c r="B364" s="381"/>
      <c r="C364" s="381"/>
      <c r="D364" s="187"/>
      <c r="E364" s="569"/>
      <c r="F364" s="569"/>
      <c r="G364" s="381"/>
      <c r="H364" s="381"/>
      <c r="I364" s="381"/>
      <c r="J364" s="381"/>
      <c r="K364" s="381"/>
      <c r="L364" s="381"/>
      <c r="M364" s="381"/>
      <c r="N364" s="381"/>
      <c r="O364" s="381"/>
      <c r="P364" s="381"/>
      <c r="Q364" s="381"/>
      <c r="R364" s="381"/>
      <c r="S364" s="381"/>
      <c r="T364" s="381"/>
      <c r="U364" s="381"/>
      <c r="V364" s="381"/>
      <c r="W364" s="381"/>
      <c r="X364" s="381"/>
      <c r="Y364" s="385"/>
      <c r="Z364" s="385"/>
      <c r="AA364" s="766"/>
      <c r="AB364" s="269"/>
      <c r="AC364" s="200"/>
      <c r="AD364" s="187"/>
      <c r="AE364" s="187"/>
      <c r="AF364" s="187"/>
      <c r="AG364" s="187"/>
      <c r="AH364" s="187"/>
      <c r="AI364" s="187"/>
    </row>
    <row r="365" spans="1:35" ht="21" customHeight="1" thickBot="1" x14ac:dyDescent="0.35">
      <c r="A365" s="187"/>
      <c r="B365" s="381"/>
      <c r="C365" s="381"/>
      <c r="D365" s="187"/>
      <c r="E365" s="569"/>
      <c r="F365" s="569"/>
      <c r="G365" s="381"/>
      <c r="H365" s="381"/>
      <c r="I365" s="381"/>
      <c r="J365" s="381"/>
      <c r="K365" s="381"/>
      <c r="L365" s="381"/>
      <c r="M365" s="381"/>
      <c r="N365" s="381"/>
      <c r="O365" s="381"/>
      <c r="P365" s="381"/>
      <c r="Q365" s="381"/>
      <c r="R365" s="381"/>
      <c r="S365" s="381"/>
      <c r="T365" s="381"/>
      <c r="U365" s="381"/>
      <c r="V365" s="381"/>
      <c r="W365" s="381"/>
      <c r="X365" s="381"/>
      <c r="Y365" s="385"/>
      <c r="Z365" s="385"/>
      <c r="AA365" s="766"/>
      <c r="AB365" s="269"/>
      <c r="AC365" s="200"/>
      <c r="AD365" s="187"/>
      <c r="AE365" s="187"/>
      <c r="AF365" s="187"/>
      <c r="AG365" s="187"/>
      <c r="AH365" s="187"/>
      <c r="AI365" s="187"/>
    </row>
    <row r="366" spans="1:35" ht="21" customHeight="1" thickBot="1" x14ac:dyDescent="0.35">
      <c r="A366" s="187"/>
      <c r="B366" s="381"/>
      <c r="C366" s="381"/>
      <c r="D366" s="187"/>
      <c r="E366" s="569"/>
      <c r="F366" s="569"/>
      <c r="G366" s="381"/>
      <c r="H366" s="381"/>
      <c r="I366" s="381"/>
      <c r="J366" s="381"/>
      <c r="K366" s="381"/>
      <c r="L366" s="381"/>
      <c r="M366" s="381"/>
      <c r="N366" s="381"/>
      <c r="O366" s="381"/>
      <c r="P366" s="381"/>
      <c r="Q366" s="381"/>
      <c r="R366" s="381"/>
      <c r="S366" s="381"/>
      <c r="T366" s="381"/>
      <c r="U366" s="381"/>
      <c r="V366" s="381"/>
      <c r="W366" s="381"/>
      <c r="X366" s="381"/>
      <c r="Y366" s="385"/>
      <c r="Z366" s="385"/>
      <c r="AA366" s="766"/>
      <c r="AB366" s="269"/>
      <c r="AC366" s="200"/>
      <c r="AD366" s="187"/>
      <c r="AE366" s="187"/>
      <c r="AF366" s="187"/>
      <c r="AG366" s="187"/>
      <c r="AH366" s="187"/>
      <c r="AI366" s="187"/>
    </row>
    <row r="367" spans="1:35" ht="21" customHeight="1" thickBot="1" x14ac:dyDescent="0.35">
      <c r="A367" s="187"/>
      <c r="B367" s="381"/>
      <c r="C367" s="381"/>
      <c r="D367" s="187"/>
      <c r="E367" s="569"/>
      <c r="F367" s="569"/>
      <c r="G367" s="381"/>
      <c r="H367" s="381"/>
      <c r="I367" s="381"/>
      <c r="J367" s="381"/>
      <c r="K367" s="381"/>
      <c r="L367" s="381"/>
      <c r="M367" s="381"/>
      <c r="N367" s="381"/>
      <c r="O367" s="381"/>
      <c r="P367" s="381"/>
      <c r="Q367" s="381"/>
      <c r="R367" s="381"/>
      <c r="S367" s="381"/>
      <c r="T367" s="381"/>
      <c r="U367" s="381"/>
      <c r="V367" s="381"/>
      <c r="W367" s="381"/>
      <c r="X367" s="381"/>
      <c r="Y367" s="385"/>
      <c r="Z367" s="385"/>
      <c r="AA367" s="766"/>
      <c r="AB367" s="269"/>
      <c r="AC367" s="200"/>
      <c r="AD367" s="187"/>
      <c r="AE367" s="187"/>
      <c r="AF367" s="187"/>
      <c r="AG367" s="187"/>
      <c r="AH367" s="187"/>
      <c r="AI367" s="187"/>
    </row>
    <row r="368" spans="1:35" ht="21" customHeight="1" thickBot="1" x14ac:dyDescent="0.35">
      <c r="A368" s="187"/>
      <c r="B368" s="381"/>
      <c r="C368" s="381"/>
      <c r="D368" s="187"/>
      <c r="E368" s="569"/>
      <c r="F368" s="569"/>
      <c r="G368" s="381"/>
      <c r="H368" s="381"/>
      <c r="I368" s="381"/>
      <c r="J368" s="381"/>
      <c r="K368" s="381"/>
      <c r="L368" s="381"/>
      <c r="M368" s="381"/>
      <c r="N368" s="381"/>
      <c r="O368" s="381"/>
      <c r="P368" s="381"/>
      <c r="Q368" s="381"/>
      <c r="R368" s="381"/>
      <c r="S368" s="381"/>
      <c r="T368" s="381"/>
      <c r="U368" s="381"/>
      <c r="V368" s="381"/>
      <c r="W368" s="381"/>
      <c r="X368" s="381"/>
      <c r="Y368" s="385"/>
      <c r="Z368" s="385"/>
      <c r="AA368" s="766"/>
      <c r="AB368" s="269"/>
      <c r="AC368" s="200"/>
      <c r="AD368" s="187"/>
      <c r="AE368" s="187"/>
      <c r="AF368" s="187"/>
      <c r="AG368" s="187"/>
      <c r="AH368" s="187"/>
      <c r="AI368" s="187"/>
    </row>
    <row r="369" spans="1:35" ht="21" customHeight="1" thickBot="1" x14ac:dyDescent="0.35">
      <c r="A369" s="187"/>
      <c r="B369" s="381"/>
      <c r="C369" s="381"/>
      <c r="D369" s="187"/>
      <c r="E369" s="569"/>
      <c r="F369" s="569"/>
      <c r="G369" s="381"/>
      <c r="H369" s="381"/>
      <c r="I369" s="381"/>
      <c r="J369" s="381"/>
      <c r="K369" s="381"/>
      <c r="L369" s="381"/>
      <c r="M369" s="381"/>
      <c r="N369" s="381"/>
      <c r="O369" s="381"/>
      <c r="P369" s="381"/>
      <c r="Q369" s="381"/>
      <c r="R369" s="381"/>
      <c r="S369" s="381"/>
      <c r="T369" s="381"/>
      <c r="U369" s="381"/>
      <c r="V369" s="381"/>
      <c r="W369" s="381"/>
      <c r="X369" s="381"/>
      <c r="Y369" s="385"/>
      <c r="Z369" s="385"/>
      <c r="AA369" s="766"/>
      <c r="AB369" s="269"/>
      <c r="AC369" s="200"/>
      <c r="AD369" s="187"/>
      <c r="AE369" s="187"/>
      <c r="AF369" s="187"/>
      <c r="AG369" s="187"/>
      <c r="AH369" s="187"/>
      <c r="AI369" s="187"/>
    </row>
    <row r="370" spans="1:35" ht="21" customHeight="1" thickBot="1" x14ac:dyDescent="0.35">
      <c r="A370" s="187"/>
      <c r="B370" s="381"/>
      <c r="C370" s="381"/>
      <c r="D370" s="187"/>
      <c r="E370" s="569"/>
      <c r="F370" s="569"/>
      <c r="G370" s="381"/>
      <c r="H370" s="381"/>
      <c r="I370" s="381"/>
      <c r="J370" s="381"/>
      <c r="K370" s="381"/>
      <c r="L370" s="381"/>
      <c r="M370" s="381"/>
      <c r="N370" s="381"/>
      <c r="O370" s="381"/>
      <c r="P370" s="381"/>
      <c r="Q370" s="381"/>
      <c r="R370" s="381"/>
      <c r="S370" s="381"/>
      <c r="T370" s="381"/>
      <c r="U370" s="381"/>
      <c r="V370" s="381"/>
      <c r="W370" s="381"/>
      <c r="X370" s="381"/>
      <c r="Y370" s="385"/>
      <c r="Z370" s="385"/>
      <c r="AA370" s="766"/>
      <c r="AB370" s="269"/>
      <c r="AC370" s="200"/>
      <c r="AD370" s="187"/>
      <c r="AE370" s="187"/>
      <c r="AF370" s="187"/>
      <c r="AG370" s="187"/>
      <c r="AH370" s="187"/>
      <c r="AI370" s="187"/>
    </row>
    <row r="371" spans="1:35" ht="21" customHeight="1" thickBot="1" x14ac:dyDescent="0.35">
      <c r="A371" s="187"/>
      <c r="B371" s="381"/>
      <c r="C371" s="381"/>
      <c r="D371" s="187"/>
      <c r="E371" s="569"/>
      <c r="F371" s="569"/>
      <c r="G371" s="381"/>
      <c r="H371" s="381"/>
      <c r="I371" s="381"/>
      <c r="J371" s="381"/>
      <c r="K371" s="381"/>
      <c r="L371" s="381"/>
      <c r="M371" s="381"/>
      <c r="N371" s="381"/>
      <c r="O371" s="381"/>
      <c r="P371" s="381"/>
      <c r="Q371" s="381"/>
      <c r="R371" s="381"/>
      <c r="S371" s="381"/>
      <c r="T371" s="381"/>
      <c r="U371" s="381"/>
      <c r="V371" s="381"/>
      <c r="W371" s="381"/>
      <c r="X371" s="381"/>
      <c r="Y371" s="385"/>
      <c r="Z371" s="385"/>
      <c r="AA371" s="766"/>
      <c r="AB371" s="269"/>
      <c r="AC371" s="200"/>
      <c r="AD371" s="187"/>
      <c r="AE371" s="187"/>
      <c r="AF371" s="187"/>
      <c r="AG371" s="187"/>
      <c r="AH371" s="187"/>
      <c r="AI371" s="187"/>
    </row>
    <row r="372" spans="1:35" ht="21" customHeight="1" thickBot="1" x14ac:dyDescent="0.35">
      <c r="A372" s="187"/>
      <c r="B372" s="381"/>
      <c r="C372" s="381"/>
      <c r="D372" s="187"/>
      <c r="E372" s="569"/>
      <c r="F372" s="569"/>
      <c r="G372" s="381"/>
      <c r="H372" s="381"/>
      <c r="I372" s="381"/>
      <c r="J372" s="381"/>
      <c r="K372" s="381"/>
      <c r="L372" s="381"/>
      <c r="M372" s="381"/>
      <c r="N372" s="381"/>
      <c r="O372" s="381"/>
      <c r="P372" s="381"/>
      <c r="Q372" s="381"/>
      <c r="R372" s="381"/>
      <c r="S372" s="381"/>
      <c r="T372" s="381"/>
      <c r="U372" s="381"/>
      <c r="V372" s="381"/>
      <c r="W372" s="381"/>
      <c r="X372" s="381"/>
      <c r="Y372" s="385"/>
      <c r="Z372" s="385"/>
      <c r="AA372" s="766"/>
      <c r="AB372" s="269"/>
      <c r="AC372" s="200"/>
      <c r="AD372" s="187"/>
      <c r="AE372" s="187"/>
      <c r="AF372" s="187"/>
      <c r="AG372" s="187"/>
      <c r="AH372" s="187"/>
      <c r="AI372" s="187"/>
    </row>
    <row r="373" spans="1:35" ht="21" customHeight="1" thickBot="1" x14ac:dyDescent="0.35">
      <c r="A373" s="187"/>
      <c r="B373" s="381"/>
      <c r="C373" s="381"/>
      <c r="D373" s="187"/>
      <c r="E373" s="569"/>
      <c r="F373" s="569"/>
      <c r="G373" s="381"/>
      <c r="H373" s="381"/>
      <c r="I373" s="381"/>
      <c r="J373" s="381"/>
      <c r="K373" s="381"/>
      <c r="L373" s="381"/>
      <c r="M373" s="381"/>
      <c r="N373" s="381"/>
      <c r="O373" s="381"/>
      <c r="P373" s="381"/>
      <c r="Q373" s="381"/>
      <c r="R373" s="381"/>
      <c r="S373" s="381"/>
      <c r="T373" s="381"/>
      <c r="U373" s="381"/>
      <c r="V373" s="381"/>
      <c r="W373" s="381"/>
      <c r="X373" s="381"/>
      <c r="Y373" s="385"/>
      <c r="Z373" s="385"/>
      <c r="AA373" s="766"/>
      <c r="AB373" s="269"/>
      <c r="AC373" s="200"/>
      <c r="AD373" s="187"/>
      <c r="AE373" s="187"/>
      <c r="AF373" s="187"/>
      <c r="AG373" s="187"/>
      <c r="AH373" s="187"/>
      <c r="AI373" s="187"/>
    </row>
    <row r="374" spans="1:35" ht="21" customHeight="1" thickBot="1" x14ac:dyDescent="0.35">
      <c r="A374" s="187"/>
      <c r="B374" s="381"/>
      <c r="C374" s="381"/>
      <c r="D374" s="187"/>
      <c r="E374" s="569"/>
      <c r="F374" s="569"/>
      <c r="G374" s="381"/>
      <c r="H374" s="381"/>
      <c r="I374" s="381"/>
      <c r="J374" s="381"/>
      <c r="K374" s="381"/>
      <c r="L374" s="381"/>
      <c r="M374" s="381"/>
      <c r="N374" s="381"/>
      <c r="O374" s="381"/>
      <c r="P374" s="381"/>
      <c r="Q374" s="381"/>
      <c r="R374" s="381"/>
      <c r="S374" s="381"/>
      <c r="T374" s="381"/>
      <c r="U374" s="381"/>
      <c r="V374" s="381"/>
      <c r="W374" s="381"/>
      <c r="X374" s="381"/>
      <c r="Y374" s="385"/>
      <c r="Z374" s="385"/>
      <c r="AA374" s="766"/>
      <c r="AB374" s="269"/>
      <c r="AC374" s="200"/>
      <c r="AD374" s="187"/>
      <c r="AE374" s="187"/>
      <c r="AF374" s="187"/>
      <c r="AG374" s="187"/>
      <c r="AH374" s="187"/>
      <c r="AI374" s="187"/>
    </row>
    <row r="375" spans="1:35" ht="21" customHeight="1" thickBot="1" x14ac:dyDescent="0.35">
      <c r="A375" s="187"/>
      <c r="B375" s="381"/>
      <c r="C375" s="381"/>
      <c r="D375" s="187"/>
      <c r="E375" s="569"/>
      <c r="F375" s="569"/>
      <c r="G375" s="381"/>
      <c r="H375" s="381"/>
      <c r="I375" s="381"/>
      <c r="J375" s="381"/>
      <c r="K375" s="381"/>
      <c r="L375" s="381"/>
      <c r="M375" s="381"/>
      <c r="N375" s="381"/>
      <c r="O375" s="381"/>
      <c r="P375" s="381"/>
      <c r="Q375" s="381"/>
      <c r="R375" s="381"/>
      <c r="S375" s="381"/>
      <c r="T375" s="381"/>
      <c r="U375" s="381"/>
      <c r="V375" s="381"/>
      <c r="W375" s="381"/>
      <c r="X375" s="381"/>
      <c r="Y375" s="385"/>
      <c r="Z375" s="385"/>
      <c r="AA375" s="766"/>
      <c r="AB375" s="269"/>
      <c r="AC375" s="200"/>
      <c r="AD375" s="187"/>
      <c r="AE375" s="187"/>
      <c r="AF375" s="187"/>
      <c r="AG375" s="187"/>
      <c r="AH375" s="187"/>
      <c r="AI375" s="187"/>
    </row>
    <row r="376" spans="1:35" ht="21" customHeight="1" thickBot="1" x14ac:dyDescent="0.35">
      <c r="A376" s="187"/>
      <c r="B376" s="381"/>
      <c r="C376" s="381"/>
      <c r="D376" s="187"/>
      <c r="E376" s="569"/>
      <c r="F376" s="569"/>
      <c r="G376" s="381"/>
      <c r="H376" s="381"/>
      <c r="I376" s="381"/>
      <c r="J376" s="381"/>
      <c r="K376" s="381"/>
      <c r="L376" s="381"/>
      <c r="M376" s="381"/>
      <c r="N376" s="381"/>
      <c r="O376" s="381"/>
      <c r="P376" s="381"/>
      <c r="Q376" s="381"/>
      <c r="R376" s="381"/>
      <c r="S376" s="381"/>
      <c r="T376" s="381"/>
      <c r="U376" s="381"/>
      <c r="V376" s="381"/>
      <c r="W376" s="381"/>
      <c r="X376" s="381"/>
      <c r="Y376" s="385"/>
      <c r="Z376" s="385"/>
      <c r="AA376" s="766"/>
      <c r="AB376" s="269"/>
      <c r="AC376" s="200"/>
      <c r="AD376" s="187"/>
      <c r="AE376" s="187"/>
      <c r="AF376" s="187"/>
      <c r="AG376" s="187"/>
      <c r="AH376" s="187"/>
      <c r="AI376" s="187"/>
    </row>
    <row r="377" spans="1:35" ht="21" customHeight="1" thickBot="1" x14ac:dyDescent="0.35">
      <c r="A377" s="187"/>
      <c r="B377" s="381"/>
      <c r="C377" s="381"/>
      <c r="D377" s="187"/>
      <c r="E377" s="569"/>
      <c r="F377" s="569"/>
      <c r="G377" s="381"/>
      <c r="H377" s="381"/>
      <c r="I377" s="381"/>
      <c r="J377" s="381"/>
      <c r="K377" s="381"/>
      <c r="L377" s="381"/>
      <c r="M377" s="381"/>
      <c r="N377" s="381"/>
      <c r="O377" s="381"/>
      <c r="P377" s="381"/>
      <c r="Q377" s="381"/>
      <c r="R377" s="381"/>
      <c r="S377" s="381"/>
      <c r="T377" s="381"/>
      <c r="U377" s="381"/>
      <c r="V377" s="381"/>
      <c r="W377" s="381"/>
      <c r="X377" s="381"/>
      <c r="Y377" s="385"/>
      <c r="Z377" s="385"/>
      <c r="AA377" s="766"/>
      <c r="AB377" s="269"/>
      <c r="AC377" s="200"/>
      <c r="AD377" s="187"/>
      <c r="AE377" s="187"/>
      <c r="AF377" s="187"/>
      <c r="AG377" s="187"/>
      <c r="AH377" s="187"/>
      <c r="AI377" s="187"/>
    </row>
    <row r="378" spans="1:35" ht="21" customHeight="1" thickBot="1" x14ac:dyDescent="0.35">
      <c r="A378" s="187"/>
      <c r="B378" s="381"/>
      <c r="C378" s="381"/>
      <c r="D378" s="187"/>
      <c r="E378" s="569"/>
      <c r="F378" s="569"/>
      <c r="G378" s="381"/>
      <c r="H378" s="381"/>
      <c r="I378" s="381"/>
      <c r="J378" s="381"/>
      <c r="K378" s="381"/>
      <c r="L378" s="381"/>
      <c r="M378" s="381"/>
      <c r="N378" s="381"/>
      <c r="O378" s="381"/>
      <c r="P378" s="381"/>
      <c r="Q378" s="381"/>
      <c r="R378" s="381"/>
      <c r="S378" s="381"/>
      <c r="T378" s="381"/>
      <c r="U378" s="381"/>
      <c r="V378" s="381"/>
      <c r="W378" s="381"/>
      <c r="X378" s="381"/>
      <c r="Y378" s="385"/>
      <c r="Z378" s="385"/>
      <c r="AA378" s="766"/>
      <c r="AB378" s="269"/>
      <c r="AC378" s="200"/>
      <c r="AD378" s="187"/>
      <c r="AE378" s="187"/>
      <c r="AF378" s="187"/>
      <c r="AG378" s="187"/>
      <c r="AH378" s="187"/>
      <c r="AI378" s="187"/>
    </row>
    <row r="379" spans="1:35" ht="21" customHeight="1" thickBot="1" x14ac:dyDescent="0.35">
      <c r="A379" s="187"/>
      <c r="B379" s="381"/>
      <c r="C379" s="381"/>
      <c r="D379" s="187"/>
      <c r="E379" s="569"/>
      <c r="F379" s="569"/>
      <c r="G379" s="381"/>
      <c r="H379" s="381"/>
      <c r="I379" s="381"/>
      <c r="J379" s="381"/>
      <c r="K379" s="381"/>
      <c r="L379" s="381"/>
      <c r="M379" s="381"/>
      <c r="N379" s="381"/>
      <c r="O379" s="381"/>
      <c r="P379" s="381"/>
      <c r="Q379" s="381"/>
      <c r="R379" s="381"/>
      <c r="S379" s="381"/>
      <c r="T379" s="381"/>
      <c r="U379" s="381"/>
      <c r="V379" s="381"/>
      <c r="W379" s="381"/>
      <c r="X379" s="381"/>
      <c r="Y379" s="385"/>
      <c r="Z379" s="385"/>
      <c r="AA379" s="766"/>
      <c r="AB379" s="269"/>
      <c r="AC379" s="200"/>
      <c r="AD379" s="187"/>
      <c r="AE379" s="187"/>
      <c r="AF379" s="187"/>
      <c r="AG379" s="187"/>
      <c r="AH379" s="187"/>
      <c r="AI379" s="187"/>
    </row>
    <row r="380" spans="1:35" ht="21" customHeight="1" thickBot="1" x14ac:dyDescent="0.35">
      <c r="A380" s="187"/>
      <c r="B380" s="381"/>
      <c r="C380" s="381"/>
      <c r="D380" s="187"/>
      <c r="E380" s="569"/>
      <c r="F380" s="569"/>
      <c r="G380" s="381"/>
      <c r="H380" s="381"/>
      <c r="I380" s="381"/>
      <c r="J380" s="381"/>
      <c r="K380" s="381"/>
      <c r="L380" s="381"/>
      <c r="M380" s="381"/>
      <c r="N380" s="381"/>
      <c r="O380" s="381"/>
      <c r="P380" s="381"/>
      <c r="Q380" s="381"/>
      <c r="R380" s="381"/>
      <c r="S380" s="381"/>
      <c r="T380" s="381"/>
      <c r="U380" s="381"/>
      <c r="V380" s="381"/>
      <c r="W380" s="381"/>
      <c r="X380" s="381"/>
      <c r="Y380" s="385"/>
      <c r="Z380" s="385"/>
      <c r="AA380" s="766"/>
      <c r="AB380" s="269"/>
      <c r="AC380" s="200"/>
      <c r="AD380" s="187"/>
      <c r="AE380" s="187"/>
      <c r="AF380" s="187"/>
      <c r="AG380" s="187"/>
      <c r="AH380" s="187"/>
      <c r="AI380" s="187"/>
    </row>
    <row r="381" spans="1:35" ht="21" customHeight="1" thickBot="1" x14ac:dyDescent="0.35">
      <c r="A381" s="187"/>
      <c r="B381" s="381"/>
      <c r="C381" s="381"/>
      <c r="D381" s="187"/>
      <c r="E381" s="569"/>
      <c r="F381" s="569"/>
      <c r="G381" s="381"/>
      <c r="H381" s="381"/>
      <c r="I381" s="381"/>
      <c r="J381" s="381"/>
      <c r="K381" s="381"/>
      <c r="L381" s="381"/>
      <c r="M381" s="381"/>
      <c r="N381" s="381"/>
      <c r="O381" s="381"/>
      <c r="P381" s="381"/>
      <c r="Q381" s="381"/>
      <c r="R381" s="381"/>
      <c r="S381" s="381"/>
      <c r="T381" s="381"/>
      <c r="U381" s="381"/>
      <c r="V381" s="381"/>
      <c r="W381" s="381"/>
      <c r="X381" s="381"/>
      <c r="Y381" s="385"/>
      <c r="Z381" s="385"/>
      <c r="AA381" s="766"/>
      <c r="AB381" s="269"/>
      <c r="AC381" s="200"/>
      <c r="AD381" s="187"/>
      <c r="AE381" s="187"/>
      <c r="AF381" s="187"/>
      <c r="AG381" s="187"/>
      <c r="AH381" s="187"/>
      <c r="AI381" s="187"/>
    </row>
    <row r="382" spans="1:35" ht="21" customHeight="1" thickBot="1" x14ac:dyDescent="0.35">
      <c r="A382" s="187"/>
      <c r="B382" s="381"/>
      <c r="C382" s="381"/>
      <c r="D382" s="187"/>
      <c r="E382" s="569"/>
      <c r="F382" s="569"/>
      <c r="G382" s="381"/>
      <c r="H382" s="381"/>
      <c r="I382" s="381"/>
      <c r="J382" s="381"/>
      <c r="K382" s="381"/>
      <c r="L382" s="381"/>
      <c r="M382" s="381"/>
      <c r="N382" s="381"/>
      <c r="O382" s="381"/>
      <c r="P382" s="381"/>
      <c r="Q382" s="381"/>
      <c r="R382" s="381"/>
      <c r="S382" s="381"/>
      <c r="T382" s="381"/>
      <c r="U382" s="381"/>
      <c r="V382" s="381"/>
      <c r="W382" s="381"/>
      <c r="X382" s="381"/>
      <c r="Y382" s="385"/>
      <c r="Z382" s="385"/>
      <c r="AA382" s="766"/>
      <c r="AB382" s="269"/>
      <c r="AC382" s="200"/>
      <c r="AD382" s="187"/>
      <c r="AE382" s="187"/>
      <c r="AF382" s="187"/>
      <c r="AG382" s="187"/>
      <c r="AH382" s="187"/>
      <c r="AI382" s="187"/>
    </row>
    <row r="383" spans="1:35" ht="21" customHeight="1" thickBot="1" x14ac:dyDescent="0.35">
      <c r="A383" s="187"/>
      <c r="B383" s="381"/>
      <c r="C383" s="381"/>
      <c r="D383" s="187"/>
      <c r="E383" s="569"/>
      <c r="F383" s="569"/>
      <c r="G383" s="381"/>
      <c r="H383" s="381"/>
      <c r="I383" s="381"/>
      <c r="J383" s="381"/>
      <c r="K383" s="381"/>
      <c r="L383" s="381"/>
      <c r="M383" s="381"/>
      <c r="N383" s="381"/>
      <c r="O383" s="381"/>
      <c r="P383" s="381"/>
      <c r="Q383" s="381"/>
      <c r="R383" s="381"/>
      <c r="S383" s="381"/>
      <c r="T383" s="381"/>
      <c r="U383" s="381"/>
      <c r="V383" s="381"/>
      <c r="W383" s="381"/>
      <c r="X383" s="381"/>
      <c r="Y383" s="385"/>
      <c r="Z383" s="385"/>
      <c r="AA383" s="766"/>
      <c r="AB383" s="269"/>
      <c r="AC383" s="200"/>
      <c r="AD383" s="187"/>
      <c r="AE383" s="187"/>
      <c r="AF383" s="187"/>
      <c r="AG383" s="187"/>
      <c r="AH383" s="187"/>
      <c r="AI383" s="187"/>
    </row>
    <row r="384" spans="1:35" ht="21" customHeight="1" thickBot="1" x14ac:dyDescent="0.35">
      <c r="A384" s="187"/>
      <c r="B384" s="381"/>
      <c r="C384" s="381"/>
      <c r="D384" s="187"/>
      <c r="E384" s="569"/>
      <c r="F384" s="569"/>
      <c r="G384" s="381"/>
      <c r="H384" s="381"/>
      <c r="I384" s="381"/>
      <c r="J384" s="381"/>
      <c r="K384" s="381"/>
      <c r="L384" s="381"/>
      <c r="M384" s="381"/>
      <c r="N384" s="381"/>
      <c r="O384" s="381"/>
      <c r="P384" s="381"/>
      <c r="Q384" s="381"/>
      <c r="R384" s="381"/>
      <c r="S384" s="381"/>
      <c r="T384" s="381"/>
      <c r="U384" s="381"/>
      <c r="V384" s="381"/>
      <c r="W384" s="381"/>
      <c r="X384" s="381"/>
      <c r="Y384" s="385"/>
      <c r="Z384" s="385"/>
      <c r="AA384" s="766"/>
      <c r="AB384" s="269"/>
      <c r="AC384" s="200"/>
      <c r="AD384" s="187"/>
      <c r="AE384" s="187"/>
      <c r="AF384" s="187"/>
      <c r="AG384" s="187"/>
      <c r="AH384" s="187"/>
      <c r="AI384" s="187"/>
    </row>
    <row r="385" spans="1:35" ht="21" customHeight="1" thickBot="1" x14ac:dyDescent="0.35">
      <c r="A385" s="187"/>
      <c r="B385" s="381"/>
      <c r="C385" s="381"/>
      <c r="D385" s="187"/>
      <c r="E385" s="569"/>
      <c r="F385" s="569"/>
      <c r="G385" s="381"/>
      <c r="H385" s="381"/>
      <c r="I385" s="381"/>
      <c r="J385" s="381"/>
      <c r="K385" s="381"/>
      <c r="L385" s="381"/>
      <c r="M385" s="381"/>
      <c r="N385" s="381"/>
      <c r="O385" s="381"/>
      <c r="P385" s="381"/>
      <c r="Q385" s="381"/>
      <c r="R385" s="381"/>
      <c r="S385" s="381"/>
      <c r="T385" s="381"/>
      <c r="U385" s="381"/>
      <c r="V385" s="381"/>
      <c r="W385" s="381"/>
      <c r="X385" s="381"/>
      <c r="Y385" s="385"/>
      <c r="Z385" s="385"/>
      <c r="AA385" s="766"/>
      <c r="AB385" s="269"/>
      <c r="AC385" s="200"/>
      <c r="AD385" s="187"/>
      <c r="AE385" s="187"/>
      <c r="AF385" s="187"/>
      <c r="AG385" s="187"/>
      <c r="AH385" s="187"/>
      <c r="AI385" s="187"/>
    </row>
    <row r="386" spans="1:35" ht="21" customHeight="1" thickBot="1" x14ac:dyDescent="0.35">
      <c r="A386" s="187"/>
      <c r="B386" s="381"/>
      <c r="C386" s="381"/>
      <c r="D386" s="187"/>
      <c r="E386" s="569"/>
      <c r="F386" s="569"/>
      <c r="G386" s="381"/>
      <c r="H386" s="381"/>
      <c r="I386" s="381"/>
      <c r="J386" s="381"/>
      <c r="K386" s="381"/>
      <c r="L386" s="381"/>
      <c r="M386" s="381"/>
      <c r="N386" s="381"/>
      <c r="O386" s="381"/>
      <c r="P386" s="381"/>
      <c r="Q386" s="381"/>
      <c r="R386" s="381"/>
      <c r="S386" s="381"/>
      <c r="T386" s="381"/>
      <c r="U386" s="381"/>
      <c r="V386" s="381"/>
      <c r="W386" s="381"/>
      <c r="X386" s="381"/>
      <c r="Y386" s="385"/>
      <c r="Z386" s="385"/>
      <c r="AA386" s="766"/>
      <c r="AB386" s="269"/>
      <c r="AC386" s="200"/>
      <c r="AD386" s="187"/>
      <c r="AE386" s="187"/>
      <c r="AF386" s="187"/>
      <c r="AG386" s="187"/>
      <c r="AH386" s="187"/>
      <c r="AI386" s="187"/>
    </row>
    <row r="387" spans="1:35" ht="21" customHeight="1" thickBot="1" x14ac:dyDescent="0.35">
      <c r="A387" s="187"/>
      <c r="B387" s="381"/>
      <c r="C387" s="381"/>
      <c r="D387" s="187"/>
      <c r="E387" s="569"/>
      <c r="F387" s="569"/>
      <c r="G387" s="381"/>
      <c r="H387" s="381"/>
      <c r="I387" s="381"/>
      <c r="J387" s="381"/>
      <c r="K387" s="381"/>
      <c r="L387" s="381"/>
      <c r="M387" s="381"/>
      <c r="N387" s="381"/>
      <c r="O387" s="381"/>
      <c r="P387" s="381"/>
      <c r="Q387" s="381"/>
      <c r="R387" s="381"/>
      <c r="S387" s="381"/>
      <c r="T387" s="381"/>
      <c r="U387" s="381"/>
      <c r="V387" s="381"/>
      <c r="W387" s="381"/>
      <c r="X387" s="381"/>
      <c r="Y387" s="385"/>
      <c r="Z387" s="385"/>
      <c r="AA387" s="766"/>
      <c r="AB387" s="269"/>
      <c r="AC387" s="200"/>
      <c r="AD387" s="187"/>
      <c r="AE387" s="187"/>
      <c r="AF387" s="187"/>
      <c r="AG387" s="187"/>
      <c r="AH387" s="187"/>
      <c r="AI387" s="187"/>
    </row>
    <row r="388" spans="1:35" ht="21" customHeight="1" thickBot="1" x14ac:dyDescent="0.35">
      <c r="A388" s="187"/>
      <c r="B388" s="381"/>
      <c r="C388" s="381"/>
      <c r="D388" s="187"/>
      <c r="E388" s="569"/>
      <c r="F388" s="569"/>
      <c r="G388" s="381"/>
      <c r="H388" s="381"/>
      <c r="I388" s="381"/>
      <c r="J388" s="381"/>
      <c r="K388" s="381"/>
      <c r="L388" s="381"/>
      <c r="M388" s="381"/>
      <c r="N388" s="381"/>
      <c r="O388" s="381"/>
      <c r="P388" s="381"/>
      <c r="Q388" s="381"/>
      <c r="R388" s="381"/>
      <c r="S388" s="381"/>
      <c r="T388" s="381"/>
      <c r="U388" s="381"/>
      <c r="V388" s="381"/>
      <c r="W388" s="381"/>
      <c r="X388" s="381"/>
      <c r="Y388" s="385"/>
      <c r="Z388" s="385"/>
      <c r="AA388" s="766"/>
      <c r="AB388" s="269"/>
      <c r="AC388" s="200"/>
      <c r="AD388" s="187"/>
      <c r="AE388" s="187"/>
      <c r="AF388" s="187"/>
      <c r="AG388" s="187"/>
      <c r="AH388" s="187"/>
      <c r="AI388" s="187"/>
    </row>
    <row r="389" spans="1:35" ht="21" customHeight="1" thickBot="1" x14ac:dyDescent="0.35">
      <c r="A389" s="187"/>
      <c r="B389" s="381"/>
      <c r="C389" s="381"/>
      <c r="D389" s="187"/>
      <c r="E389" s="569"/>
      <c r="F389" s="569"/>
      <c r="G389" s="381"/>
      <c r="H389" s="381"/>
      <c r="I389" s="381"/>
      <c r="J389" s="381"/>
      <c r="K389" s="381"/>
      <c r="L389" s="381"/>
      <c r="M389" s="381"/>
      <c r="N389" s="381"/>
      <c r="O389" s="381"/>
      <c r="P389" s="381"/>
      <c r="Q389" s="381"/>
      <c r="R389" s="381"/>
      <c r="S389" s="381"/>
      <c r="T389" s="381"/>
      <c r="U389" s="381"/>
      <c r="V389" s="381"/>
      <c r="W389" s="381"/>
      <c r="X389" s="381"/>
      <c r="Y389" s="385"/>
      <c r="Z389" s="385"/>
      <c r="AA389" s="766"/>
      <c r="AB389" s="269"/>
      <c r="AC389" s="200"/>
      <c r="AD389" s="187"/>
      <c r="AE389" s="187"/>
      <c r="AF389" s="187"/>
      <c r="AG389" s="187"/>
      <c r="AH389" s="187"/>
      <c r="AI389" s="187"/>
    </row>
    <row r="390" spans="1:35" ht="21" customHeight="1" thickBot="1" x14ac:dyDescent="0.35">
      <c r="A390" s="187"/>
      <c r="B390" s="381"/>
      <c r="C390" s="381"/>
      <c r="D390" s="187"/>
      <c r="E390" s="569"/>
      <c r="F390" s="569"/>
      <c r="G390" s="381"/>
      <c r="H390" s="381"/>
      <c r="I390" s="381"/>
      <c r="J390" s="381"/>
      <c r="K390" s="381"/>
      <c r="L390" s="381"/>
      <c r="M390" s="381"/>
      <c r="N390" s="381"/>
      <c r="O390" s="381"/>
      <c r="P390" s="381"/>
      <c r="Q390" s="381"/>
      <c r="R390" s="381"/>
      <c r="S390" s="381"/>
      <c r="T390" s="381"/>
      <c r="U390" s="381"/>
      <c r="V390" s="381"/>
      <c r="W390" s="381"/>
      <c r="X390" s="381"/>
      <c r="Y390" s="385"/>
      <c r="Z390" s="385"/>
      <c r="AA390" s="766"/>
      <c r="AB390" s="269"/>
      <c r="AC390" s="200"/>
      <c r="AD390" s="187"/>
      <c r="AE390" s="187"/>
      <c r="AF390" s="187"/>
      <c r="AG390" s="187"/>
      <c r="AH390" s="187"/>
      <c r="AI390" s="187"/>
    </row>
    <row r="391" spans="1:35" ht="21" customHeight="1" thickBot="1" x14ac:dyDescent="0.35">
      <c r="A391" s="187"/>
      <c r="B391" s="381"/>
      <c r="C391" s="381"/>
      <c r="D391" s="187"/>
      <c r="E391" s="569"/>
      <c r="F391" s="569"/>
      <c r="G391" s="381"/>
      <c r="H391" s="381"/>
      <c r="I391" s="381"/>
      <c r="J391" s="381"/>
      <c r="K391" s="381"/>
      <c r="L391" s="381"/>
      <c r="M391" s="381"/>
      <c r="N391" s="381"/>
      <c r="O391" s="381"/>
      <c r="P391" s="381"/>
      <c r="Q391" s="381"/>
      <c r="R391" s="381"/>
      <c r="S391" s="381"/>
      <c r="T391" s="381"/>
      <c r="U391" s="381"/>
      <c r="V391" s="381"/>
      <c r="W391" s="381"/>
      <c r="X391" s="381"/>
      <c r="Y391" s="385"/>
      <c r="Z391" s="385"/>
      <c r="AA391" s="766"/>
      <c r="AB391" s="269"/>
      <c r="AC391" s="200"/>
      <c r="AD391" s="187"/>
      <c r="AE391" s="187"/>
      <c r="AF391" s="187"/>
      <c r="AG391" s="187"/>
      <c r="AH391" s="187"/>
      <c r="AI391" s="187"/>
    </row>
    <row r="392" spans="1:35" ht="21" customHeight="1" thickBot="1" x14ac:dyDescent="0.35">
      <c r="A392" s="187"/>
      <c r="B392" s="381"/>
      <c r="C392" s="381"/>
      <c r="D392" s="187"/>
      <c r="E392" s="569"/>
      <c r="F392" s="569"/>
      <c r="G392" s="381"/>
      <c r="H392" s="381"/>
      <c r="I392" s="381"/>
      <c r="J392" s="381"/>
      <c r="K392" s="381"/>
      <c r="L392" s="381"/>
      <c r="M392" s="381"/>
      <c r="N392" s="381"/>
      <c r="O392" s="381"/>
      <c r="P392" s="381"/>
      <c r="Q392" s="381"/>
      <c r="R392" s="381"/>
      <c r="S392" s="381"/>
      <c r="T392" s="381"/>
      <c r="U392" s="381"/>
      <c r="V392" s="381"/>
      <c r="W392" s="381"/>
      <c r="X392" s="381"/>
      <c r="Y392" s="385"/>
      <c r="Z392" s="385"/>
      <c r="AA392" s="766"/>
      <c r="AB392" s="269"/>
      <c r="AC392" s="200"/>
      <c r="AD392" s="187"/>
      <c r="AE392" s="187"/>
      <c r="AF392" s="187"/>
      <c r="AG392" s="187"/>
      <c r="AH392" s="187"/>
      <c r="AI392" s="187"/>
    </row>
    <row r="393" spans="1:35" ht="21" customHeight="1" thickBot="1" x14ac:dyDescent="0.35">
      <c r="A393" s="187"/>
      <c r="B393" s="381"/>
      <c r="C393" s="381"/>
      <c r="D393" s="187"/>
      <c r="E393" s="569"/>
      <c r="F393" s="569"/>
      <c r="G393" s="381"/>
      <c r="H393" s="381"/>
      <c r="I393" s="381"/>
      <c r="J393" s="381"/>
      <c r="K393" s="381"/>
      <c r="L393" s="381"/>
      <c r="M393" s="381"/>
      <c r="N393" s="381"/>
      <c r="O393" s="381"/>
      <c r="P393" s="381"/>
      <c r="Q393" s="381"/>
      <c r="R393" s="381"/>
      <c r="S393" s="381"/>
      <c r="T393" s="381"/>
      <c r="U393" s="381"/>
      <c r="V393" s="381"/>
      <c r="W393" s="381"/>
      <c r="X393" s="381"/>
      <c r="Y393" s="385"/>
      <c r="Z393" s="385"/>
      <c r="AA393" s="766"/>
      <c r="AB393" s="269"/>
      <c r="AC393" s="200"/>
      <c r="AD393" s="187"/>
      <c r="AE393" s="187"/>
      <c r="AF393" s="187"/>
      <c r="AG393" s="187"/>
      <c r="AH393" s="187"/>
      <c r="AI393" s="187"/>
    </row>
    <row r="394" spans="1:35" ht="21" customHeight="1" thickBot="1" x14ac:dyDescent="0.35">
      <c r="A394" s="187"/>
      <c r="B394" s="381"/>
      <c r="C394" s="381"/>
      <c r="D394" s="187"/>
      <c r="E394" s="569"/>
      <c r="F394" s="569"/>
      <c r="G394" s="381"/>
      <c r="H394" s="381"/>
      <c r="I394" s="381"/>
      <c r="J394" s="381"/>
      <c r="K394" s="381"/>
      <c r="L394" s="381"/>
      <c r="M394" s="381"/>
      <c r="N394" s="381"/>
      <c r="O394" s="381"/>
      <c r="P394" s="381"/>
      <c r="Q394" s="381"/>
      <c r="R394" s="381"/>
      <c r="S394" s="381"/>
      <c r="T394" s="381"/>
      <c r="U394" s="381"/>
      <c r="V394" s="381"/>
      <c r="W394" s="381"/>
      <c r="X394" s="381"/>
      <c r="Y394" s="385"/>
      <c r="Z394" s="385"/>
      <c r="AA394" s="766"/>
      <c r="AB394" s="269"/>
      <c r="AC394" s="200"/>
      <c r="AD394" s="187"/>
      <c r="AE394" s="187"/>
      <c r="AF394" s="187"/>
      <c r="AG394" s="187"/>
      <c r="AH394" s="187"/>
      <c r="AI394" s="187"/>
    </row>
    <row r="395" spans="1:35" ht="21" customHeight="1" thickBot="1" x14ac:dyDescent="0.35">
      <c r="A395" s="187"/>
      <c r="B395" s="381"/>
      <c r="C395" s="381"/>
      <c r="D395" s="187"/>
      <c r="E395" s="569"/>
      <c r="F395" s="569"/>
      <c r="G395" s="381"/>
      <c r="H395" s="381"/>
      <c r="I395" s="381"/>
      <c r="J395" s="381"/>
      <c r="K395" s="381"/>
      <c r="L395" s="381"/>
      <c r="M395" s="381"/>
      <c r="N395" s="381"/>
      <c r="O395" s="381"/>
      <c r="P395" s="381"/>
      <c r="Q395" s="381"/>
      <c r="R395" s="381"/>
      <c r="S395" s="381"/>
      <c r="T395" s="381"/>
      <c r="U395" s="381"/>
      <c r="V395" s="381"/>
      <c r="W395" s="381"/>
      <c r="X395" s="381"/>
      <c r="Y395" s="385"/>
      <c r="Z395" s="385"/>
      <c r="AA395" s="766"/>
      <c r="AB395" s="269"/>
      <c r="AC395" s="200"/>
      <c r="AD395" s="187"/>
      <c r="AE395" s="187"/>
      <c r="AF395" s="187"/>
      <c r="AG395" s="187"/>
      <c r="AH395" s="187"/>
      <c r="AI395" s="187"/>
    </row>
    <row r="396" spans="1:35" ht="21" customHeight="1" thickBot="1" x14ac:dyDescent="0.35">
      <c r="A396" s="187"/>
      <c r="B396" s="381"/>
      <c r="C396" s="381"/>
      <c r="D396" s="187"/>
      <c r="E396" s="569"/>
      <c r="F396" s="569"/>
      <c r="G396" s="381"/>
      <c r="H396" s="381"/>
      <c r="I396" s="381"/>
      <c r="J396" s="381"/>
      <c r="K396" s="381"/>
      <c r="L396" s="381"/>
      <c r="M396" s="381"/>
      <c r="N396" s="381"/>
      <c r="O396" s="381"/>
      <c r="P396" s="381"/>
      <c r="Q396" s="381"/>
      <c r="R396" s="381"/>
      <c r="S396" s="381"/>
      <c r="T396" s="381"/>
      <c r="U396" s="381"/>
      <c r="V396" s="381"/>
      <c r="W396" s="381"/>
      <c r="X396" s="381"/>
      <c r="Y396" s="385"/>
      <c r="Z396" s="385"/>
      <c r="AA396" s="766"/>
      <c r="AB396" s="269"/>
      <c r="AC396" s="200"/>
      <c r="AD396" s="187"/>
      <c r="AE396" s="187"/>
      <c r="AF396" s="187"/>
      <c r="AG396" s="187"/>
      <c r="AH396" s="187"/>
      <c r="AI396" s="187"/>
    </row>
    <row r="397" spans="1:35" ht="21" customHeight="1" thickBot="1" x14ac:dyDescent="0.35">
      <c r="A397" s="187"/>
      <c r="B397" s="381"/>
      <c r="C397" s="381"/>
      <c r="D397" s="187"/>
      <c r="E397" s="569"/>
      <c r="F397" s="569"/>
      <c r="G397" s="381"/>
      <c r="H397" s="381"/>
      <c r="I397" s="381"/>
      <c r="J397" s="381"/>
      <c r="K397" s="381"/>
      <c r="L397" s="381"/>
      <c r="M397" s="381"/>
      <c r="N397" s="381"/>
      <c r="O397" s="381"/>
      <c r="P397" s="381"/>
      <c r="Q397" s="381"/>
      <c r="R397" s="381"/>
      <c r="S397" s="381"/>
      <c r="T397" s="381"/>
      <c r="U397" s="381"/>
      <c r="V397" s="381"/>
      <c r="W397" s="381"/>
      <c r="X397" s="381"/>
      <c r="Y397" s="385"/>
      <c r="Z397" s="385"/>
      <c r="AA397" s="766"/>
      <c r="AB397" s="269"/>
      <c r="AC397" s="200"/>
      <c r="AD397" s="187"/>
      <c r="AE397" s="187"/>
      <c r="AF397" s="187"/>
      <c r="AG397" s="187"/>
      <c r="AH397" s="187"/>
      <c r="AI397" s="187"/>
    </row>
    <row r="398" spans="1:35" ht="21" customHeight="1" thickBot="1" x14ac:dyDescent="0.35">
      <c r="A398" s="187"/>
      <c r="B398" s="381"/>
      <c r="C398" s="381"/>
      <c r="D398" s="187"/>
      <c r="E398" s="569"/>
      <c r="F398" s="569"/>
      <c r="G398" s="381"/>
      <c r="H398" s="381"/>
      <c r="I398" s="381"/>
      <c r="J398" s="381"/>
      <c r="K398" s="381"/>
      <c r="L398" s="381"/>
      <c r="M398" s="381"/>
      <c r="N398" s="381"/>
      <c r="O398" s="381"/>
      <c r="P398" s="381"/>
      <c r="Q398" s="381"/>
      <c r="R398" s="381"/>
      <c r="S398" s="381"/>
      <c r="T398" s="381"/>
      <c r="U398" s="381"/>
      <c r="V398" s="381"/>
      <c r="W398" s="381"/>
      <c r="X398" s="381"/>
      <c r="Y398" s="385"/>
      <c r="Z398" s="385"/>
      <c r="AA398" s="766"/>
      <c r="AB398" s="269"/>
      <c r="AC398" s="200"/>
      <c r="AD398" s="187"/>
      <c r="AE398" s="187"/>
      <c r="AF398" s="187"/>
      <c r="AG398" s="187"/>
      <c r="AH398" s="187"/>
      <c r="AI398" s="187"/>
    </row>
    <row r="399" spans="1:35" ht="21" customHeight="1" thickBot="1" x14ac:dyDescent="0.35">
      <c r="A399" s="187"/>
      <c r="B399" s="381"/>
      <c r="C399" s="381"/>
      <c r="D399" s="187"/>
      <c r="E399" s="569"/>
      <c r="F399" s="569"/>
      <c r="G399" s="381"/>
      <c r="H399" s="381"/>
      <c r="I399" s="381"/>
      <c r="J399" s="381"/>
      <c r="K399" s="381"/>
      <c r="L399" s="381"/>
      <c r="M399" s="381"/>
      <c r="N399" s="381"/>
      <c r="O399" s="381"/>
      <c r="P399" s="381"/>
      <c r="Q399" s="381"/>
      <c r="R399" s="381"/>
      <c r="S399" s="381"/>
      <c r="T399" s="381"/>
      <c r="U399" s="381"/>
      <c r="V399" s="381"/>
      <c r="W399" s="381"/>
      <c r="X399" s="381"/>
      <c r="Y399" s="385"/>
      <c r="Z399" s="385"/>
      <c r="AA399" s="766"/>
      <c r="AB399" s="269"/>
      <c r="AC399" s="200"/>
      <c r="AD399" s="187"/>
      <c r="AE399" s="187"/>
      <c r="AF399" s="187"/>
      <c r="AG399" s="187"/>
      <c r="AH399" s="187"/>
      <c r="AI399" s="187"/>
    </row>
    <row r="400" spans="1:35" ht="21" customHeight="1" thickBot="1" x14ac:dyDescent="0.35">
      <c r="A400" s="187"/>
      <c r="B400" s="381"/>
      <c r="C400" s="381"/>
      <c r="D400" s="187"/>
      <c r="E400" s="569"/>
      <c r="F400" s="569"/>
      <c r="G400" s="381"/>
      <c r="H400" s="381"/>
      <c r="I400" s="381"/>
      <c r="J400" s="381"/>
      <c r="K400" s="381"/>
      <c r="L400" s="381"/>
      <c r="M400" s="381"/>
      <c r="N400" s="381"/>
      <c r="O400" s="381"/>
      <c r="P400" s="381"/>
      <c r="Q400" s="381"/>
      <c r="R400" s="381"/>
      <c r="S400" s="381"/>
      <c r="T400" s="381"/>
      <c r="U400" s="381"/>
      <c r="V400" s="381"/>
      <c r="W400" s="381"/>
      <c r="X400" s="381"/>
      <c r="Y400" s="385"/>
      <c r="Z400" s="385"/>
      <c r="AA400" s="766"/>
      <c r="AB400" s="269"/>
      <c r="AC400" s="200"/>
      <c r="AD400" s="187"/>
      <c r="AE400" s="187"/>
      <c r="AF400" s="187"/>
      <c r="AG400" s="187"/>
      <c r="AH400" s="187"/>
      <c r="AI400" s="187"/>
    </row>
    <row r="401" spans="1:35" ht="21" customHeight="1" thickBot="1" x14ac:dyDescent="0.35">
      <c r="A401" s="187"/>
      <c r="B401" s="381"/>
      <c r="C401" s="381"/>
      <c r="D401" s="187"/>
      <c r="E401" s="569"/>
      <c r="F401" s="569"/>
      <c r="G401" s="381"/>
      <c r="H401" s="381"/>
      <c r="I401" s="381"/>
      <c r="J401" s="381"/>
      <c r="K401" s="381"/>
      <c r="L401" s="381"/>
      <c r="M401" s="381"/>
      <c r="N401" s="381"/>
      <c r="O401" s="381"/>
      <c r="P401" s="381"/>
      <c r="Q401" s="381"/>
      <c r="R401" s="381"/>
      <c r="S401" s="381"/>
      <c r="T401" s="381"/>
      <c r="U401" s="381"/>
      <c r="V401" s="381"/>
      <c r="W401" s="381"/>
      <c r="X401" s="381"/>
      <c r="Y401" s="385"/>
      <c r="Z401" s="385"/>
      <c r="AA401" s="766"/>
      <c r="AB401" s="269"/>
      <c r="AC401" s="200"/>
      <c r="AD401" s="187"/>
      <c r="AE401" s="187"/>
      <c r="AF401" s="187"/>
      <c r="AG401" s="187"/>
      <c r="AH401" s="187"/>
      <c r="AI401" s="187"/>
    </row>
    <row r="402" spans="1:35" ht="21" customHeight="1" thickBot="1" x14ac:dyDescent="0.35">
      <c r="A402" s="187"/>
      <c r="B402" s="381"/>
      <c r="C402" s="381"/>
      <c r="D402" s="187"/>
      <c r="E402" s="569"/>
      <c r="F402" s="569"/>
      <c r="G402" s="381"/>
      <c r="H402" s="381"/>
      <c r="I402" s="381"/>
      <c r="J402" s="381"/>
      <c r="K402" s="381"/>
      <c r="L402" s="381"/>
      <c r="M402" s="381"/>
      <c r="N402" s="381"/>
      <c r="O402" s="381"/>
      <c r="P402" s="381"/>
      <c r="Q402" s="381"/>
      <c r="R402" s="381"/>
      <c r="S402" s="381"/>
      <c r="T402" s="381"/>
      <c r="U402" s="381"/>
      <c r="V402" s="381"/>
      <c r="W402" s="381"/>
      <c r="X402" s="381"/>
      <c r="Y402" s="385"/>
      <c r="Z402" s="385"/>
      <c r="AA402" s="766"/>
      <c r="AB402" s="269"/>
      <c r="AC402" s="200"/>
      <c r="AD402" s="187"/>
      <c r="AE402" s="187"/>
      <c r="AF402" s="187"/>
      <c r="AG402" s="187"/>
      <c r="AH402" s="187"/>
      <c r="AI402" s="187"/>
    </row>
    <row r="403" spans="1:35" ht="21" customHeight="1" thickBot="1" x14ac:dyDescent="0.35">
      <c r="A403" s="187"/>
      <c r="B403" s="381"/>
      <c r="C403" s="381"/>
      <c r="D403" s="187"/>
      <c r="E403" s="569"/>
      <c r="F403" s="569"/>
      <c r="G403" s="381"/>
      <c r="H403" s="381"/>
      <c r="I403" s="381"/>
      <c r="J403" s="381"/>
      <c r="K403" s="381"/>
      <c r="L403" s="381"/>
      <c r="M403" s="381"/>
      <c r="N403" s="381"/>
      <c r="O403" s="381"/>
      <c r="P403" s="381"/>
      <c r="Q403" s="381"/>
      <c r="R403" s="381"/>
      <c r="S403" s="381"/>
      <c r="T403" s="381"/>
      <c r="U403" s="381"/>
      <c r="V403" s="381"/>
      <c r="W403" s="381"/>
      <c r="X403" s="381"/>
      <c r="Y403" s="385"/>
      <c r="Z403" s="385"/>
      <c r="AA403" s="766"/>
      <c r="AB403" s="269"/>
      <c r="AC403" s="200"/>
      <c r="AD403" s="187"/>
      <c r="AE403" s="187"/>
      <c r="AF403" s="187"/>
      <c r="AG403" s="187"/>
      <c r="AH403" s="187"/>
      <c r="AI403" s="187"/>
    </row>
    <row r="404" spans="1:35" ht="21" customHeight="1" thickBot="1" x14ac:dyDescent="0.35">
      <c r="A404" s="187"/>
      <c r="B404" s="381"/>
      <c r="C404" s="381"/>
      <c r="D404" s="187"/>
      <c r="E404" s="569"/>
      <c r="F404" s="569"/>
      <c r="G404" s="381"/>
      <c r="H404" s="381"/>
      <c r="I404" s="381"/>
      <c r="J404" s="381"/>
      <c r="K404" s="381"/>
      <c r="L404" s="381"/>
      <c r="M404" s="381"/>
      <c r="N404" s="381"/>
      <c r="O404" s="381"/>
      <c r="P404" s="381"/>
      <c r="Q404" s="381"/>
      <c r="R404" s="381"/>
      <c r="S404" s="381"/>
      <c r="T404" s="381"/>
      <c r="U404" s="381"/>
      <c r="V404" s="381"/>
      <c r="W404" s="381"/>
      <c r="X404" s="381"/>
      <c r="Y404" s="385"/>
      <c r="Z404" s="385"/>
      <c r="AA404" s="766"/>
      <c r="AB404" s="269"/>
      <c r="AC404" s="200"/>
      <c r="AD404" s="187"/>
      <c r="AE404" s="187"/>
      <c r="AF404" s="187"/>
      <c r="AG404" s="187"/>
      <c r="AH404" s="187"/>
      <c r="AI404" s="187"/>
    </row>
    <row r="405" spans="1:35" ht="21" customHeight="1" thickBot="1" x14ac:dyDescent="0.35">
      <c r="A405" s="187"/>
      <c r="B405" s="381"/>
      <c r="C405" s="381"/>
      <c r="D405" s="187"/>
      <c r="E405" s="569"/>
      <c r="F405" s="569"/>
      <c r="G405" s="381"/>
      <c r="H405" s="381"/>
      <c r="I405" s="381"/>
      <c r="J405" s="381"/>
      <c r="K405" s="381"/>
      <c r="L405" s="381"/>
      <c r="M405" s="381"/>
      <c r="N405" s="381"/>
      <c r="O405" s="381"/>
      <c r="P405" s="381"/>
      <c r="Q405" s="381"/>
      <c r="R405" s="381"/>
      <c r="S405" s="381"/>
      <c r="T405" s="381"/>
      <c r="U405" s="381"/>
      <c r="V405" s="381"/>
      <c r="W405" s="381"/>
      <c r="X405" s="381"/>
      <c r="Y405" s="385"/>
      <c r="Z405" s="385"/>
      <c r="AA405" s="766"/>
      <c r="AB405" s="269"/>
      <c r="AC405" s="200"/>
      <c r="AD405" s="187"/>
      <c r="AE405" s="187"/>
      <c r="AF405" s="187"/>
      <c r="AG405" s="187"/>
      <c r="AH405" s="187"/>
      <c r="AI405" s="187"/>
    </row>
    <row r="406" spans="1:35" ht="21" customHeight="1" thickBot="1" x14ac:dyDescent="0.35">
      <c r="A406" s="187"/>
      <c r="B406" s="381"/>
      <c r="C406" s="381"/>
      <c r="D406" s="187"/>
      <c r="E406" s="569"/>
      <c r="F406" s="569"/>
      <c r="G406" s="381"/>
      <c r="H406" s="381"/>
      <c r="I406" s="381"/>
      <c r="J406" s="381"/>
      <c r="K406" s="381"/>
      <c r="L406" s="381"/>
      <c r="M406" s="381"/>
      <c r="N406" s="381"/>
      <c r="O406" s="381"/>
      <c r="P406" s="381"/>
      <c r="Q406" s="381"/>
      <c r="R406" s="381"/>
      <c r="S406" s="381"/>
      <c r="T406" s="381"/>
      <c r="U406" s="381"/>
      <c r="V406" s="381"/>
      <c r="W406" s="381"/>
      <c r="X406" s="381"/>
      <c r="Y406" s="385"/>
      <c r="Z406" s="385"/>
      <c r="AA406" s="766"/>
      <c r="AB406" s="269"/>
      <c r="AC406" s="200"/>
      <c r="AD406" s="187"/>
      <c r="AE406" s="187"/>
      <c r="AF406" s="187"/>
      <c r="AG406" s="187"/>
      <c r="AH406" s="187"/>
      <c r="AI406" s="187"/>
    </row>
    <row r="407" spans="1:35" ht="21" customHeight="1" thickBot="1" x14ac:dyDescent="0.35">
      <c r="A407" s="187"/>
      <c r="B407" s="381"/>
      <c r="C407" s="381"/>
      <c r="D407" s="187"/>
      <c r="E407" s="569"/>
      <c r="F407" s="569"/>
      <c r="G407" s="381"/>
      <c r="H407" s="381"/>
      <c r="I407" s="381"/>
      <c r="J407" s="381"/>
      <c r="K407" s="381"/>
      <c r="L407" s="381"/>
      <c r="M407" s="381"/>
      <c r="N407" s="381"/>
      <c r="O407" s="381"/>
      <c r="P407" s="381"/>
      <c r="Q407" s="381"/>
      <c r="R407" s="381"/>
      <c r="S407" s="381"/>
      <c r="T407" s="381"/>
      <c r="U407" s="381"/>
      <c r="V407" s="381"/>
      <c r="W407" s="381"/>
      <c r="X407" s="381"/>
      <c r="Y407" s="385"/>
      <c r="Z407" s="385"/>
      <c r="AA407" s="766"/>
      <c r="AB407" s="269"/>
      <c r="AC407" s="200"/>
      <c r="AD407" s="187"/>
      <c r="AE407" s="187"/>
      <c r="AF407" s="187"/>
      <c r="AG407" s="187"/>
      <c r="AH407" s="187"/>
      <c r="AI407" s="187"/>
    </row>
    <row r="408" spans="1:35" ht="21" customHeight="1" thickBot="1" x14ac:dyDescent="0.35">
      <c r="A408" s="187"/>
      <c r="B408" s="381"/>
      <c r="C408" s="381"/>
      <c r="D408" s="187"/>
      <c r="E408" s="569"/>
      <c r="F408" s="569"/>
      <c r="G408" s="381"/>
      <c r="H408" s="381"/>
      <c r="I408" s="381"/>
      <c r="J408" s="381"/>
      <c r="K408" s="381"/>
      <c r="L408" s="381"/>
      <c r="M408" s="381"/>
      <c r="N408" s="381"/>
      <c r="O408" s="381"/>
      <c r="P408" s="381"/>
      <c r="Q408" s="381"/>
      <c r="R408" s="381"/>
      <c r="S408" s="381"/>
      <c r="T408" s="381"/>
      <c r="U408" s="381"/>
      <c r="V408" s="381"/>
      <c r="W408" s="381"/>
      <c r="X408" s="381"/>
      <c r="Y408" s="385"/>
      <c r="Z408" s="385"/>
      <c r="AA408" s="766"/>
      <c r="AB408" s="269"/>
      <c r="AC408" s="200"/>
      <c r="AD408" s="187"/>
      <c r="AE408" s="187"/>
      <c r="AF408" s="187"/>
      <c r="AG408" s="187"/>
      <c r="AH408" s="187"/>
      <c r="AI408" s="187"/>
    </row>
    <row r="409" spans="1:35" ht="21" customHeight="1" thickBot="1" x14ac:dyDescent="0.35">
      <c r="A409" s="187"/>
      <c r="B409" s="381"/>
      <c r="C409" s="381"/>
      <c r="D409" s="187"/>
      <c r="E409" s="569"/>
      <c r="F409" s="569"/>
      <c r="G409" s="381"/>
      <c r="H409" s="381"/>
      <c r="I409" s="381"/>
      <c r="J409" s="381"/>
      <c r="K409" s="381"/>
      <c r="L409" s="381"/>
      <c r="M409" s="381"/>
      <c r="N409" s="381"/>
      <c r="O409" s="381"/>
      <c r="P409" s="381"/>
      <c r="Q409" s="381"/>
      <c r="R409" s="381"/>
      <c r="S409" s="381"/>
      <c r="T409" s="381"/>
      <c r="U409" s="381"/>
      <c r="V409" s="381"/>
      <c r="W409" s="381"/>
      <c r="X409" s="381"/>
      <c r="Y409" s="385"/>
      <c r="Z409" s="385"/>
      <c r="AA409" s="766"/>
      <c r="AB409" s="269"/>
      <c r="AC409" s="200"/>
      <c r="AD409" s="187"/>
      <c r="AE409" s="187"/>
      <c r="AF409" s="187"/>
      <c r="AG409" s="187"/>
      <c r="AH409" s="187"/>
      <c r="AI409" s="187"/>
    </row>
    <row r="410" spans="1:35" ht="21" customHeight="1" thickBot="1" x14ac:dyDescent="0.35">
      <c r="A410" s="187"/>
      <c r="B410" s="381"/>
      <c r="C410" s="381"/>
      <c r="D410" s="187"/>
      <c r="E410" s="569"/>
      <c r="F410" s="569"/>
      <c r="G410" s="381"/>
      <c r="H410" s="381"/>
      <c r="I410" s="381"/>
      <c r="J410" s="381"/>
      <c r="K410" s="381"/>
      <c r="L410" s="381"/>
      <c r="M410" s="381"/>
      <c r="N410" s="381"/>
      <c r="O410" s="381"/>
      <c r="P410" s="381"/>
      <c r="Q410" s="381"/>
      <c r="R410" s="381"/>
      <c r="S410" s="381"/>
      <c r="T410" s="381"/>
      <c r="U410" s="381"/>
      <c r="V410" s="381"/>
      <c r="W410" s="381"/>
      <c r="X410" s="381"/>
      <c r="Y410" s="385"/>
      <c r="Z410" s="385"/>
      <c r="AA410" s="766"/>
      <c r="AB410" s="269"/>
      <c r="AC410" s="200"/>
      <c r="AD410" s="187"/>
      <c r="AE410" s="187"/>
      <c r="AF410" s="187"/>
      <c r="AG410" s="187"/>
      <c r="AH410" s="187"/>
      <c r="AI410" s="187"/>
    </row>
    <row r="411" spans="1:35" ht="21" customHeight="1" thickBot="1" x14ac:dyDescent="0.35">
      <c r="A411" s="187"/>
      <c r="B411" s="381"/>
      <c r="C411" s="381"/>
      <c r="D411" s="187"/>
      <c r="E411" s="569"/>
      <c r="F411" s="569"/>
      <c r="G411" s="381"/>
      <c r="H411" s="381"/>
      <c r="I411" s="381"/>
      <c r="J411" s="381"/>
      <c r="K411" s="381"/>
      <c r="L411" s="381"/>
      <c r="M411" s="381"/>
      <c r="N411" s="381"/>
      <c r="O411" s="381"/>
      <c r="P411" s="381"/>
      <c r="Q411" s="381"/>
      <c r="R411" s="381"/>
      <c r="S411" s="381"/>
      <c r="T411" s="381"/>
      <c r="U411" s="381"/>
      <c r="V411" s="381"/>
      <c r="W411" s="381"/>
      <c r="X411" s="381"/>
      <c r="Y411" s="385"/>
      <c r="Z411" s="385"/>
      <c r="AA411" s="766"/>
      <c r="AB411" s="269"/>
      <c r="AC411" s="200"/>
      <c r="AD411" s="187"/>
      <c r="AE411" s="187"/>
      <c r="AF411" s="187"/>
      <c r="AG411" s="187"/>
      <c r="AH411" s="187"/>
      <c r="AI411" s="187"/>
    </row>
    <row r="412" spans="1:35" ht="21" customHeight="1" x14ac:dyDescent="0.3">
      <c r="E412" s="570"/>
      <c r="F412" s="570"/>
    </row>
    <row r="413" spans="1:35" ht="21" customHeight="1" x14ac:dyDescent="0.3">
      <c r="E413" s="570"/>
      <c r="F413" s="570"/>
    </row>
    <row r="414" spans="1:35" ht="21" customHeight="1" x14ac:dyDescent="0.3">
      <c r="E414" s="570"/>
      <c r="F414" s="570"/>
    </row>
    <row r="415" spans="1:35" ht="21" customHeight="1" x14ac:dyDescent="0.3">
      <c r="E415" s="570"/>
      <c r="F415" s="570"/>
    </row>
    <row r="416" spans="1:35" ht="21" customHeight="1" x14ac:dyDescent="0.3">
      <c r="E416" s="570"/>
      <c r="F416" s="570"/>
    </row>
    <row r="417" spans="5:6" ht="21" customHeight="1" x14ac:dyDescent="0.3">
      <c r="E417" s="570"/>
      <c r="F417" s="570"/>
    </row>
    <row r="418" spans="5:6" ht="21" customHeight="1" x14ac:dyDescent="0.3">
      <c r="E418" s="570"/>
      <c r="F418" s="570"/>
    </row>
    <row r="419" spans="5:6" ht="21" customHeight="1" x14ac:dyDescent="0.3">
      <c r="E419" s="570"/>
      <c r="F419" s="570"/>
    </row>
    <row r="420" spans="5:6" ht="21" customHeight="1" x14ac:dyDescent="0.3">
      <c r="E420" s="570"/>
      <c r="F420" s="570"/>
    </row>
    <row r="421" spans="5:6" ht="21" customHeight="1" x14ac:dyDescent="0.3">
      <c r="E421" s="570"/>
      <c r="F421" s="570"/>
    </row>
    <row r="422" spans="5:6" ht="21" customHeight="1" x14ac:dyDescent="0.3">
      <c r="E422" s="570"/>
      <c r="F422" s="570"/>
    </row>
    <row r="423" spans="5:6" ht="21" customHeight="1" x14ac:dyDescent="0.3">
      <c r="E423" s="570"/>
      <c r="F423" s="570"/>
    </row>
    <row r="424" spans="5:6" ht="21" customHeight="1" x14ac:dyDescent="0.3">
      <c r="E424" s="570"/>
      <c r="F424" s="570"/>
    </row>
    <row r="425" spans="5:6" ht="21" customHeight="1" x14ac:dyDescent="0.3">
      <c r="E425" s="570"/>
      <c r="F425" s="570"/>
    </row>
    <row r="426" spans="5:6" ht="21" customHeight="1" x14ac:dyDescent="0.3">
      <c r="E426" s="570"/>
      <c r="F426" s="570"/>
    </row>
    <row r="427" spans="5:6" ht="21" customHeight="1" x14ac:dyDescent="0.3">
      <c r="E427" s="570"/>
      <c r="F427" s="570"/>
    </row>
    <row r="428" spans="5:6" ht="21" customHeight="1" x14ac:dyDescent="0.3">
      <c r="E428" s="570"/>
      <c r="F428" s="570"/>
    </row>
    <row r="429" spans="5:6" ht="21" customHeight="1" x14ac:dyDescent="0.3">
      <c r="E429" s="570"/>
      <c r="F429" s="570"/>
    </row>
    <row r="430" spans="5:6" ht="21" customHeight="1" x14ac:dyDescent="0.3">
      <c r="E430" s="570"/>
      <c r="F430" s="570"/>
    </row>
    <row r="431" spans="5:6" ht="21" customHeight="1" x14ac:dyDescent="0.3">
      <c r="E431" s="570"/>
      <c r="F431" s="570"/>
    </row>
    <row r="432" spans="5:6" ht="21" customHeight="1" x14ac:dyDescent="0.3">
      <c r="E432" s="570"/>
      <c r="F432" s="570"/>
    </row>
    <row r="433" spans="5:6" ht="21" customHeight="1" x14ac:dyDescent="0.3">
      <c r="E433" s="570"/>
      <c r="F433" s="570"/>
    </row>
    <row r="434" spans="5:6" ht="21" customHeight="1" x14ac:dyDescent="0.3">
      <c r="E434" s="570"/>
      <c r="F434" s="570"/>
    </row>
    <row r="435" spans="5:6" ht="21" customHeight="1" x14ac:dyDescent="0.3">
      <c r="E435" s="570"/>
      <c r="F435" s="570"/>
    </row>
    <row r="436" spans="5:6" ht="21" customHeight="1" x14ac:dyDescent="0.3">
      <c r="E436" s="570"/>
      <c r="F436" s="570"/>
    </row>
    <row r="437" spans="5:6" ht="21" customHeight="1" x14ac:dyDescent="0.3">
      <c r="E437" s="570"/>
      <c r="F437" s="570"/>
    </row>
    <row r="438" spans="5:6" ht="21" customHeight="1" x14ac:dyDescent="0.3">
      <c r="E438" s="570"/>
      <c r="F438" s="570"/>
    </row>
    <row r="439" spans="5:6" ht="21" customHeight="1" x14ac:dyDescent="0.3">
      <c r="E439" s="570"/>
      <c r="F439" s="570"/>
    </row>
    <row r="440" spans="5:6" ht="21" customHeight="1" x14ac:dyDescent="0.3">
      <c r="E440" s="570"/>
      <c r="F440" s="570"/>
    </row>
    <row r="441" spans="5:6" ht="21" customHeight="1" x14ac:dyDescent="0.3">
      <c r="E441" s="570"/>
      <c r="F441" s="570"/>
    </row>
    <row r="442" spans="5:6" ht="21" customHeight="1" x14ac:dyDescent="0.3">
      <c r="E442" s="570"/>
      <c r="F442" s="570"/>
    </row>
    <row r="443" spans="5:6" ht="21" customHeight="1" x14ac:dyDescent="0.3">
      <c r="E443" s="570"/>
      <c r="F443" s="570"/>
    </row>
    <row r="444" spans="5:6" ht="21" customHeight="1" x14ac:dyDescent="0.3">
      <c r="E444" s="570"/>
      <c r="F444" s="570"/>
    </row>
    <row r="445" spans="5:6" ht="21" customHeight="1" x14ac:dyDescent="0.3">
      <c r="E445" s="570"/>
      <c r="F445" s="570"/>
    </row>
    <row r="446" spans="5:6" ht="21" customHeight="1" x14ac:dyDescent="0.3">
      <c r="E446" s="570"/>
      <c r="F446" s="570"/>
    </row>
    <row r="447" spans="5:6" ht="21" customHeight="1" x14ac:dyDescent="0.3">
      <c r="E447" s="570"/>
      <c r="F447" s="570"/>
    </row>
    <row r="448" spans="5:6" ht="21" customHeight="1" x14ac:dyDescent="0.3">
      <c r="E448" s="570"/>
      <c r="F448" s="570"/>
    </row>
    <row r="449" spans="5:6" ht="21" customHeight="1" x14ac:dyDescent="0.3">
      <c r="E449" s="570"/>
      <c r="F449" s="570"/>
    </row>
    <row r="450" spans="5:6" ht="21" customHeight="1" x14ac:dyDescent="0.3">
      <c r="E450" s="570"/>
      <c r="F450" s="570"/>
    </row>
    <row r="451" spans="5:6" ht="21" customHeight="1" x14ac:dyDescent="0.3">
      <c r="E451" s="570"/>
      <c r="F451" s="570"/>
    </row>
    <row r="452" spans="5:6" ht="21" customHeight="1" x14ac:dyDescent="0.3">
      <c r="E452" s="570"/>
      <c r="F452" s="570"/>
    </row>
    <row r="453" spans="5:6" ht="21" customHeight="1" x14ac:dyDescent="0.3">
      <c r="E453" s="570"/>
      <c r="F453" s="570"/>
    </row>
    <row r="454" spans="5:6" ht="21" customHeight="1" x14ac:dyDescent="0.3">
      <c r="E454" s="570"/>
      <c r="F454" s="570"/>
    </row>
    <row r="455" spans="5:6" ht="21" customHeight="1" x14ac:dyDescent="0.3">
      <c r="E455" s="570"/>
      <c r="F455" s="570"/>
    </row>
    <row r="456" spans="5:6" ht="21" customHeight="1" x14ac:dyDescent="0.3">
      <c r="E456" s="570"/>
      <c r="F456" s="570"/>
    </row>
    <row r="457" spans="5:6" ht="21" customHeight="1" x14ac:dyDescent="0.3">
      <c r="E457" s="570"/>
      <c r="F457" s="570"/>
    </row>
    <row r="458" spans="5:6" ht="21" customHeight="1" x14ac:dyDescent="0.3">
      <c r="E458" s="570"/>
      <c r="F458" s="570"/>
    </row>
    <row r="459" spans="5:6" ht="21" customHeight="1" x14ac:dyDescent="0.3">
      <c r="E459" s="570"/>
      <c r="F459" s="570"/>
    </row>
    <row r="460" spans="5:6" ht="21" customHeight="1" x14ac:dyDescent="0.3">
      <c r="E460" s="570"/>
      <c r="F460" s="570"/>
    </row>
    <row r="461" spans="5:6" ht="21" customHeight="1" x14ac:dyDescent="0.3">
      <c r="E461" s="570"/>
      <c r="F461" s="570"/>
    </row>
    <row r="462" spans="5:6" ht="21" customHeight="1" x14ac:dyDescent="0.3">
      <c r="E462" s="570"/>
      <c r="F462" s="570"/>
    </row>
    <row r="463" spans="5:6" ht="21" customHeight="1" x14ac:dyDescent="0.3">
      <c r="E463" s="570"/>
      <c r="F463" s="570"/>
    </row>
    <row r="464" spans="5:6" ht="21" customHeight="1" x14ac:dyDescent="0.3">
      <c r="E464" s="570"/>
      <c r="F464" s="570"/>
    </row>
    <row r="465" spans="5:6" ht="21" customHeight="1" x14ac:dyDescent="0.3">
      <c r="E465" s="570"/>
      <c r="F465" s="570"/>
    </row>
    <row r="466" spans="5:6" ht="21" customHeight="1" x14ac:dyDescent="0.3">
      <c r="E466" s="570"/>
      <c r="F466" s="570"/>
    </row>
    <row r="467" spans="5:6" ht="21" customHeight="1" x14ac:dyDescent="0.3">
      <c r="E467" s="570"/>
      <c r="F467" s="570"/>
    </row>
    <row r="468" spans="5:6" ht="21" customHeight="1" x14ac:dyDescent="0.3">
      <c r="E468" s="570"/>
      <c r="F468" s="570"/>
    </row>
    <row r="469" spans="5:6" ht="21" customHeight="1" x14ac:dyDescent="0.3">
      <c r="E469" s="570"/>
      <c r="F469" s="570"/>
    </row>
    <row r="470" spans="5:6" ht="21" customHeight="1" x14ac:dyDescent="0.3">
      <c r="E470" s="570"/>
      <c r="F470" s="570"/>
    </row>
    <row r="471" spans="5:6" ht="21" customHeight="1" x14ac:dyDescent="0.3">
      <c r="E471" s="570"/>
      <c r="F471" s="570"/>
    </row>
    <row r="472" spans="5:6" ht="21" customHeight="1" x14ac:dyDescent="0.3">
      <c r="E472" s="570"/>
      <c r="F472" s="570"/>
    </row>
    <row r="473" spans="5:6" ht="21" customHeight="1" x14ac:dyDescent="0.3">
      <c r="E473" s="570"/>
      <c r="F473" s="570"/>
    </row>
    <row r="474" spans="5:6" ht="21" customHeight="1" x14ac:dyDescent="0.3">
      <c r="E474" s="570"/>
      <c r="F474" s="570"/>
    </row>
    <row r="475" spans="5:6" ht="21" customHeight="1" x14ac:dyDescent="0.3">
      <c r="E475" s="570"/>
      <c r="F475" s="570"/>
    </row>
    <row r="476" spans="5:6" ht="21" customHeight="1" x14ac:dyDescent="0.3">
      <c r="E476" s="570"/>
      <c r="F476" s="570"/>
    </row>
    <row r="477" spans="5:6" ht="21" customHeight="1" x14ac:dyDescent="0.3">
      <c r="E477" s="570"/>
      <c r="F477" s="570"/>
    </row>
    <row r="478" spans="5:6" ht="21" customHeight="1" x14ac:dyDescent="0.3">
      <c r="E478" s="570"/>
      <c r="F478" s="570"/>
    </row>
    <row r="479" spans="5:6" ht="21" customHeight="1" x14ac:dyDescent="0.3">
      <c r="E479" s="570"/>
      <c r="F479" s="570"/>
    </row>
    <row r="480" spans="5:6" ht="21" customHeight="1" x14ac:dyDescent="0.3">
      <c r="E480" s="570"/>
      <c r="F480" s="570"/>
    </row>
    <row r="481" spans="5:6" ht="21" customHeight="1" x14ac:dyDescent="0.3">
      <c r="E481" s="570"/>
      <c r="F481" s="570"/>
    </row>
    <row r="482" spans="5:6" ht="21" customHeight="1" x14ac:dyDescent="0.3">
      <c r="E482" s="570"/>
      <c r="F482" s="570"/>
    </row>
    <row r="483" spans="5:6" ht="21" customHeight="1" x14ac:dyDescent="0.3">
      <c r="E483" s="570"/>
      <c r="F483" s="570"/>
    </row>
    <row r="484" spans="5:6" ht="21" customHeight="1" x14ac:dyDescent="0.3">
      <c r="E484" s="570"/>
      <c r="F484" s="570"/>
    </row>
    <row r="485" spans="5:6" ht="21" customHeight="1" x14ac:dyDescent="0.3">
      <c r="E485" s="570"/>
      <c r="F485" s="570"/>
    </row>
    <row r="486" spans="5:6" ht="21" customHeight="1" x14ac:dyDescent="0.3">
      <c r="E486" s="570"/>
      <c r="F486" s="570"/>
    </row>
    <row r="487" spans="5:6" ht="21" customHeight="1" x14ac:dyDescent="0.3">
      <c r="E487" s="570"/>
      <c r="F487" s="570"/>
    </row>
    <row r="488" spans="5:6" ht="21" customHeight="1" x14ac:dyDescent="0.3">
      <c r="E488" s="570"/>
      <c r="F488" s="570"/>
    </row>
    <row r="489" spans="5:6" ht="21" customHeight="1" x14ac:dyDescent="0.3">
      <c r="E489" s="570"/>
      <c r="F489" s="570"/>
    </row>
    <row r="490" spans="5:6" ht="21" customHeight="1" x14ac:dyDescent="0.3">
      <c r="E490" s="570"/>
      <c r="F490" s="570"/>
    </row>
    <row r="491" spans="5:6" ht="21" customHeight="1" x14ac:dyDescent="0.3">
      <c r="E491" s="570"/>
      <c r="F491" s="570"/>
    </row>
    <row r="492" spans="5:6" ht="21" customHeight="1" x14ac:dyDescent="0.3">
      <c r="E492" s="570"/>
      <c r="F492" s="570"/>
    </row>
    <row r="493" spans="5:6" ht="21" customHeight="1" x14ac:dyDescent="0.3">
      <c r="E493" s="570"/>
      <c r="F493" s="570"/>
    </row>
    <row r="494" spans="5:6" ht="21" customHeight="1" x14ac:dyDescent="0.3">
      <c r="E494" s="570"/>
      <c r="F494" s="570"/>
    </row>
    <row r="495" spans="5:6" ht="21" customHeight="1" x14ac:dyDescent="0.3">
      <c r="E495" s="570"/>
      <c r="F495" s="570"/>
    </row>
    <row r="496" spans="5:6" ht="21" customHeight="1" x14ac:dyDescent="0.3">
      <c r="E496" s="570"/>
      <c r="F496" s="570"/>
    </row>
    <row r="497" spans="5:6" ht="21" customHeight="1" x14ac:dyDescent="0.3">
      <c r="E497" s="570"/>
      <c r="F497" s="570"/>
    </row>
    <row r="498" spans="5:6" ht="21" customHeight="1" x14ac:dyDescent="0.3">
      <c r="E498" s="570"/>
      <c r="F498" s="570"/>
    </row>
    <row r="499" spans="5:6" ht="21" customHeight="1" x14ac:dyDescent="0.3">
      <c r="E499" s="570"/>
      <c r="F499" s="570"/>
    </row>
    <row r="500" spans="5:6" ht="21" customHeight="1" x14ac:dyDescent="0.3">
      <c r="E500" s="570"/>
      <c r="F500" s="570"/>
    </row>
    <row r="501" spans="5:6" ht="21" customHeight="1" x14ac:dyDescent="0.3">
      <c r="E501" s="570"/>
      <c r="F501" s="570"/>
    </row>
    <row r="502" spans="5:6" ht="21" customHeight="1" x14ac:dyDescent="0.3">
      <c r="E502" s="570"/>
      <c r="F502" s="570"/>
    </row>
    <row r="503" spans="5:6" ht="21" customHeight="1" x14ac:dyDescent="0.3">
      <c r="E503" s="570"/>
      <c r="F503" s="570"/>
    </row>
    <row r="504" spans="5:6" ht="21" customHeight="1" x14ac:dyDescent="0.3">
      <c r="E504" s="570"/>
      <c r="F504" s="570"/>
    </row>
    <row r="505" spans="5:6" ht="21" customHeight="1" x14ac:dyDescent="0.3">
      <c r="E505" s="570"/>
      <c r="F505" s="570"/>
    </row>
    <row r="506" spans="5:6" ht="21" customHeight="1" x14ac:dyDescent="0.3">
      <c r="E506" s="570"/>
      <c r="F506" s="570"/>
    </row>
    <row r="507" spans="5:6" ht="21" customHeight="1" x14ac:dyDescent="0.3">
      <c r="E507" s="570"/>
      <c r="F507" s="570"/>
    </row>
    <row r="508" spans="5:6" ht="21" customHeight="1" x14ac:dyDescent="0.3">
      <c r="E508" s="570"/>
      <c r="F508" s="570"/>
    </row>
    <row r="509" spans="5:6" ht="21" customHeight="1" x14ac:dyDescent="0.3">
      <c r="E509" s="570"/>
      <c r="F509" s="570"/>
    </row>
    <row r="510" spans="5:6" ht="21" customHeight="1" x14ac:dyDescent="0.3">
      <c r="E510" s="570"/>
      <c r="F510" s="570"/>
    </row>
    <row r="511" spans="5:6" ht="21" customHeight="1" x14ac:dyDescent="0.3">
      <c r="E511" s="570"/>
      <c r="F511" s="570"/>
    </row>
    <row r="512" spans="5:6" ht="21" customHeight="1" x14ac:dyDescent="0.3">
      <c r="E512" s="570"/>
      <c r="F512" s="570"/>
    </row>
    <row r="513" spans="5:6" ht="21" customHeight="1" x14ac:dyDescent="0.3">
      <c r="E513" s="570"/>
      <c r="F513" s="570"/>
    </row>
    <row r="514" spans="5:6" ht="21" customHeight="1" x14ac:dyDescent="0.3">
      <c r="E514" s="570"/>
      <c r="F514" s="570"/>
    </row>
    <row r="515" spans="5:6" ht="21" customHeight="1" x14ac:dyDescent="0.3">
      <c r="E515" s="570"/>
      <c r="F515" s="570"/>
    </row>
    <row r="516" spans="5:6" ht="21" customHeight="1" x14ac:dyDescent="0.3">
      <c r="E516" s="570"/>
      <c r="F516" s="570"/>
    </row>
    <row r="517" spans="5:6" ht="21" customHeight="1" x14ac:dyDescent="0.3">
      <c r="E517" s="570"/>
      <c r="F517" s="570"/>
    </row>
    <row r="518" spans="5:6" ht="21" customHeight="1" x14ac:dyDescent="0.3">
      <c r="E518" s="570"/>
      <c r="F518" s="570"/>
    </row>
    <row r="519" spans="5:6" ht="21" customHeight="1" x14ac:dyDescent="0.3">
      <c r="E519" s="570"/>
      <c r="F519" s="570"/>
    </row>
    <row r="520" spans="5:6" ht="21" customHeight="1" x14ac:dyDescent="0.3">
      <c r="E520" s="570"/>
      <c r="F520" s="570"/>
    </row>
    <row r="521" spans="5:6" ht="21" customHeight="1" x14ac:dyDescent="0.3">
      <c r="E521" s="570"/>
      <c r="F521" s="570"/>
    </row>
    <row r="522" spans="5:6" ht="21" customHeight="1" x14ac:dyDescent="0.3">
      <c r="E522" s="570"/>
      <c r="F522" s="570"/>
    </row>
    <row r="523" spans="5:6" ht="21" customHeight="1" x14ac:dyDescent="0.3">
      <c r="E523" s="570"/>
      <c r="F523" s="570"/>
    </row>
    <row r="524" spans="5:6" ht="21" customHeight="1" x14ac:dyDescent="0.3">
      <c r="E524" s="570"/>
      <c r="F524" s="570"/>
    </row>
    <row r="525" spans="5:6" ht="21" customHeight="1" x14ac:dyDescent="0.3">
      <c r="E525" s="570"/>
      <c r="F525" s="570"/>
    </row>
    <row r="526" spans="5:6" ht="21" customHeight="1" x14ac:dyDescent="0.3">
      <c r="E526" s="570"/>
      <c r="F526" s="570"/>
    </row>
    <row r="527" spans="5:6" ht="21" customHeight="1" x14ac:dyDescent="0.3">
      <c r="E527" s="570"/>
      <c r="F527" s="570"/>
    </row>
    <row r="528" spans="5:6" ht="21" customHeight="1" x14ac:dyDescent="0.3">
      <c r="E528" s="570"/>
      <c r="F528" s="570"/>
    </row>
    <row r="529" spans="5:6" ht="21" customHeight="1" x14ac:dyDescent="0.3">
      <c r="E529" s="570"/>
      <c r="F529" s="570"/>
    </row>
    <row r="530" spans="5:6" ht="21" customHeight="1" x14ac:dyDescent="0.3">
      <c r="E530" s="570"/>
      <c r="F530" s="570"/>
    </row>
    <row r="531" spans="5:6" ht="21" customHeight="1" x14ac:dyDescent="0.3">
      <c r="E531" s="570"/>
      <c r="F531" s="570"/>
    </row>
    <row r="532" spans="5:6" ht="21" customHeight="1" x14ac:dyDescent="0.3">
      <c r="E532" s="570"/>
      <c r="F532" s="570"/>
    </row>
    <row r="533" spans="5:6" ht="21" customHeight="1" x14ac:dyDescent="0.3">
      <c r="E533" s="570"/>
      <c r="F533" s="570"/>
    </row>
    <row r="534" spans="5:6" ht="21" customHeight="1" x14ac:dyDescent="0.3">
      <c r="E534" s="570"/>
      <c r="F534" s="570"/>
    </row>
    <row r="535" spans="5:6" ht="21" customHeight="1" x14ac:dyDescent="0.3">
      <c r="E535" s="570"/>
      <c r="F535" s="570"/>
    </row>
    <row r="536" spans="5:6" ht="21" customHeight="1" x14ac:dyDescent="0.3">
      <c r="E536" s="570"/>
      <c r="F536" s="570"/>
    </row>
    <row r="537" spans="5:6" ht="21" customHeight="1" x14ac:dyDescent="0.3">
      <c r="E537" s="570"/>
      <c r="F537" s="570"/>
    </row>
    <row r="538" spans="5:6" ht="21" customHeight="1" x14ac:dyDescent="0.3">
      <c r="E538" s="570"/>
      <c r="F538" s="570"/>
    </row>
    <row r="539" spans="5:6" ht="21" customHeight="1" x14ac:dyDescent="0.3">
      <c r="E539" s="570"/>
      <c r="F539" s="570"/>
    </row>
    <row r="540" spans="5:6" ht="21" customHeight="1" x14ac:dyDescent="0.3">
      <c r="E540" s="570"/>
      <c r="F540" s="570"/>
    </row>
    <row r="541" spans="5:6" ht="21" customHeight="1" x14ac:dyDescent="0.3">
      <c r="E541" s="570"/>
      <c r="F541" s="570"/>
    </row>
    <row r="542" spans="5:6" ht="21" customHeight="1" x14ac:dyDescent="0.3">
      <c r="E542" s="570"/>
      <c r="F542" s="570"/>
    </row>
    <row r="543" spans="5:6" ht="21" customHeight="1" x14ac:dyDescent="0.3">
      <c r="E543" s="570"/>
      <c r="F543" s="570"/>
    </row>
    <row r="544" spans="5:6" ht="21" customHeight="1" x14ac:dyDescent="0.3">
      <c r="E544" s="570"/>
      <c r="F544" s="570"/>
    </row>
    <row r="545" spans="5:6" ht="21" customHeight="1" x14ac:dyDescent="0.3">
      <c r="E545" s="570"/>
      <c r="F545" s="570"/>
    </row>
    <row r="546" spans="5:6" ht="21" customHeight="1" x14ac:dyDescent="0.3">
      <c r="E546" s="570"/>
      <c r="F546" s="570"/>
    </row>
    <row r="547" spans="5:6" ht="21" customHeight="1" x14ac:dyDescent="0.3">
      <c r="E547" s="570"/>
      <c r="F547" s="570"/>
    </row>
    <row r="548" spans="5:6" ht="21" customHeight="1" x14ac:dyDescent="0.3">
      <c r="E548" s="570"/>
      <c r="F548" s="570"/>
    </row>
    <row r="549" spans="5:6" ht="21" customHeight="1" x14ac:dyDescent="0.3">
      <c r="E549" s="570"/>
      <c r="F549" s="570"/>
    </row>
    <row r="550" spans="5:6" ht="21" customHeight="1" x14ac:dyDescent="0.3">
      <c r="E550" s="570"/>
      <c r="F550" s="570"/>
    </row>
    <row r="551" spans="5:6" ht="21" customHeight="1" x14ac:dyDescent="0.3">
      <c r="E551" s="570"/>
      <c r="F551" s="570"/>
    </row>
    <row r="552" spans="5:6" ht="21" customHeight="1" x14ac:dyDescent="0.3">
      <c r="E552" s="570"/>
      <c r="F552" s="570"/>
    </row>
    <row r="553" spans="5:6" ht="21" customHeight="1" x14ac:dyDescent="0.3">
      <c r="E553" s="570"/>
      <c r="F553" s="570"/>
    </row>
    <row r="554" spans="5:6" ht="21" customHeight="1" x14ac:dyDescent="0.3">
      <c r="E554" s="570"/>
      <c r="F554" s="570"/>
    </row>
    <row r="555" spans="5:6" ht="21" customHeight="1" x14ac:dyDescent="0.3">
      <c r="E555" s="570"/>
      <c r="F555" s="570"/>
    </row>
    <row r="556" spans="5:6" ht="21" customHeight="1" x14ac:dyDescent="0.3">
      <c r="E556" s="570"/>
      <c r="F556" s="570"/>
    </row>
    <row r="557" spans="5:6" ht="21" customHeight="1" x14ac:dyDescent="0.3">
      <c r="E557" s="570"/>
      <c r="F557" s="570"/>
    </row>
    <row r="558" spans="5:6" ht="21" customHeight="1" x14ac:dyDescent="0.3">
      <c r="E558" s="570"/>
      <c r="F558" s="570"/>
    </row>
    <row r="559" spans="5:6" ht="21" customHeight="1" x14ac:dyDescent="0.3">
      <c r="E559" s="570"/>
      <c r="F559" s="570"/>
    </row>
    <row r="560" spans="5:6" ht="21" customHeight="1" x14ac:dyDescent="0.3">
      <c r="E560" s="570"/>
      <c r="F560" s="570"/>
    </row>
    <row r="561" spans="5:6" ht="21" customHeight="1" x14ac:dyDescent="0.3">
      <c r="E561" s="570"/>
      <c r="F561" s="570"/>
    </row>
    <row r="562" spans="5:6" ht="21" customHeight="1" x14ac:dyDescent="0.3">
      <c r="E562" s="570"/>
      <c r="F562" s="570"/>
    </row>
    <row r="563" spans="5:6" ht="21" customHeight="1" x14ac:dyDescent="0.3">
      <c r="E563" s="570"/>
      <c r="F563" s="570"/>
    </row>
    <row r="564" spans="5:6" ht="21" customHeight="1" x14ac:dyDescent="0.3">
      <c r="E564" s="570"/>
      <c r="F564" s="570"/>
    </row>
    <row r="565" spans="5:6" ht="21" customHeight="1" x14ac:dyDescent="0.3">
      <c r="E565" s="570"/>
      <c r="F565" s="570"/>
    </row>
    <row r="566" spans="5:6" ht="21" customHeight="1" x14ac:dyDescent="0.3">
      <c r="E566" s="570"/>
      <c r="F566" s="570"/>
    </row>
    <row r="567" spans="5:6" ht="21" customHeight="1" x14ac:dyDescent="0.3">
      <c r="E567" s="570"/>
      <c r="F567" s="570"/>
    </row>
    <row r="568" spans="5:6" ht="21" customHeight="1" x14ac:dyDescent="0.3">
      <c r="E568" s="570"/>
      <c r="F568" s="570"/>
    </row>
    <row r="569" spans="5:6" ht="21" customHeight="1" x14ac:dyDescent="0.3">
      <c r="E569" s="570"/>
      <c r="F569" s="570"/>
    </row>
    <row r="570" spans="5:6" ht="21" customHeight="1" x14ac:dyDescent="0.3">
      <c r="E570" s="570"/>
      <c r="F570" s="570"/>
    </row>
    <row r="571" spans="5:6" ht="21" customHeight="1" x14ac:dyDescent="0.3">
      <c r="E571" s="570"/>
      <c r="F571" s="570"/>
    </row>
    <row r="572" spans="5:6" ht="21" customHeight="1" x14ac:dyDescent="0.3">
      <c r="E572" s="570"/>
      <c r="F572" s="570"/>
    </row>
    <row r="573" spans="5:6" ht="21" customHeight="1" x14ac:dyDescent="0.3">
      <c r="E573" s="570"/>
      <c r="F573" s="570"/>
    </row>
    <row r="574" spans="5:6" ht="21" customHeight="1" x14ac:dyDescent="0.3">
      <c r="E574" s="570"/>
      <c r="F574" s="570"/>
    </row>
    <row r="575" spans="5:6" ht="21" customHeight="1" x14ac:dyDescent="0.3">
      <c r="E575" s="570"/>
      <c r="F575" s="570"/>
    </row>
    <row r="576" spans="5:6" ht="21" customHeight="1" x14ac:dyDescent="0.3">
      <c r="E576" s="570"/>
      <c r="F576" s="570"/>
    </row>
    <row r="577" spans="5:6" ht="21" customHeight="1" x14ac:dyDescent="0.3">
      <c r="E577" s="570"/>
      <c r="F577" s="570"/>
    </row>
    <row r="578" spans="5:6" ht="21" customHeight="1" x14ac:dyDescent="0.3">
      <c r="E578" s="570"/>
      <c r="F578" s="570"/>
    </row>
    <row r="579" spans="5:6" ht="21" customHeight="1" x14ac:dyDescent="0.3">
      <c r="E579" s="570"/>
      <c r="F579" s="570"/>
    </row>
    <row r="580" spans="5:6" ht="21" customHeight="1" x14ac:dyDescent="0.3">
      <c r="E580" s="570"/>
      <c r="F580" s="570"/>
    </row>
    <row r="581" spans="5:6" ht="21" customHeight="1" x14ac:dyDescent="0.3">
      <c r="E581" s="570"/>
      <c r="F581" s="570"/>
    </row>
    <row r="582" spans="5:6" ht="21" customHeight="1" x14ac:dyDescent="0.3">
      <c r="E582" s="570"/>
      <c r="F582" s="570"/>
    </row>
    <row r="583" spans="5:6" ht="21" customHeight="1" x14ac:dyDescent="0.3">
      <c r="E583" s="570"/>
      <c r="F583" s="570"/>
    </row>
    <row r="584" spans="5:6" ht="21" customHeight="1" x14ac:dyDescent="0.3">
      <c r="E584" s="570"/>
      <c r="F584" s="570"/>
    </row>
    <row r="585" spans="5:6" ht="21" customHeight="1" x14ac:dyDescent="0.3">
      <c r="E585" s="570"/>
      <c r="F585" s="570"/>
    </row>
    <row r="586" spans="5:6" ht="21" customHeight="1" x14ac:dyDescent="0.3">
      <c r="E586" s="570"/>
      <c r="F586" s="570"/>
    </row>
    <row r="587" spans="5:6" ht="21" customHeight="1" x14ac:dyDescent="0.3">
      <c r="E587" s="570"/>
      <c r="F587" s="570"/>
    </row>
    <row r="588" spans="5:6" ht="21" customHeight="1" x14ac:dyDescent="0.3">
      <c r="E588" s="570"/>
      <c r="F588" s="570"/>
    </row>
    <row r="589" spans="5:6" ht="21" customHeight="1" x14ac:dyDescent="0.3">
      <c r="E589" s="570"/>
      <c r="F589" s="570"/>
    </row>
    <row r="590" spans="5:6" ht="21" customHeight="1" x14ac:dyDescent="0.3">
      <c r="E590" s="570"/>
      <c r="F590" s="570"/>
    </row>
    <row r="591" spans="5:6" ht="21" customHeight="1" x14ac:dyDescent="0.3">
      <c r="E591" s="570"/>
      <c r="F591" s="570"/>
    </row>
    <row r="592" spans="5:6" ht="21" customHeight="1" x14ac:dyDescent="0.3">
      <c r="E592" s="570"/>
      <c r="F592" s="570"/>
    </row>
    <row r="593" spans="5:6" ht="21" customHeight="1" x14ac:dyDescent="0.3">
      <c r="E593" s="570"/>
      <c r="F593" s="570"/>
    </row>
    <row r="594" spans="5:6" ht="21" customHeight="1" x14ac:dyDescent="0.3">
      <c r="E594" s="570"/>
      <c r="F594" s="570"/>
    </row>
    <row r="595" spans="5:6" ht="21" customHeight="1" x14ac:dyDescent="0.3">
      <c r="E595" s="570"/>
      <c r="F595" s="570"/>
    </row>
    <row r="596" spans="5:6" ht="21" customHeight="1" x14ac:dyDescent="0.3">
      <c r="E596" s="570"/>
      <c r="F596" s="570"/>
    </row>
    <row r="597" spans="5:6" ht="21" customHeight="1" x14ac:dyDescent="0.3">
      <c r="E597" s="570"/>
      <c r="F597" s="570"/>
    </row>
    <row r="598" spans="5:6" ht="21" customHeight="1" x14ac:dyDescent="0.3">
      <c r="E598" s="570"/>
      <c r="F598" s="570"/>
    </row>
    <row r="599" spans="5:6" ht="21" customHeight="1" x14ac:dyDescent="0.3">
      <c r="E599" s="570"/>
      <c r="F599" s="570"/>
    </row>
    <row r="600" spans="5:6" ht="21" customHeight="1" x14ac:dyDescent="0.3">
      <c r="E600" s="570"/>
      <c r="F600" s="570"/>
    </row>
    <row r="601" spans="5:6" ht="21" customHeight="1" x14ac:dyDescent="0.3">
      <c r="E601" s="570"/>
      <c r="F601" s="570"/>
    </row>
    <row r="602" spans="5:6" ht="21" customHeight="1" x14ac:dyDescent="0.3">
      <c r="E602" s="570"/>
      <c r="F602" s="570"/>
    </row>
    <row r="603" spans="5:6" ht="21" customHeight="1" x14ac:dyDescent="0.3">
      <c r="E603" s="570"/>
      <c r="F603" s="570"/>
    </row>
    <row r="604" spans="5:6" ht="21" customHeight="1" x14ac:dyDescent="0.3">
      <c r="E604" s="570"/>
      <c r="F604" s="570"/>
    </row>
    <row r="605" spans="5:6" ht="21" customHeight="1" x14ac:dyDescent="0.3">
      <c r="E605" s="570"/>
      <c r="F605" s="570"/>
    </row>
    <row r="606" spans="5:6" ht="21" customHeight="1" x14ac:dyDescent="0.3">
      <c r="E606" s="570"/>
      <c r="F606" s="570"/>
    </row>
    <row r="607" spans="5:6" ht="21" customHeight="1" x14ac:dyDescent="0.3">
      <c r="E607" s="570"/>
      <c r="F607" s="570"/>
    </row>
    <row r="608" spans="5:6" ht="21" customHeight="1" x14ac:dyDescent="0.3">
      <c r="E608" s="570"/>
      <c r="F608" s="570"/>
    </row>
    <row r="609" spans="5:6" ht="21" customHeight="1" x14ac:dyDescent="0.3">
      <c r="E609" s="570"/>
      <c r="F609" s="570"/>
    </row>
    <row r="610" spans="5:6" ht="21" customHeight="1" x14ac:dyDescent="0.3">
      <c r="E610" s="570"/>
      <c r="F610" s="570"/>
    </row>
    <row r="611" spans="5:6" ht="21" customHeight="1" x14ac:dyDescent="0.3">
      <c r="E611" s="570"/>
      <c r="F611" s="570"/>
    </row>
    <row r="612" spans="5:6" ht="21" customHeight="1" x14ac:dyDescent="0.3">
      <c r="E612" s="570"/>
      <c r="F612" s="570"/>
    </row>
    <row r="613" spans="5:6" ht="21" customHeight="1" x14ac:dyDescent="0.3">
      <c r="E613" s="570"/>
      <c r="F613" s="570"/>
    </row>
    <row r="614" spans="5:6" ht="21" customHeight="1" x14ac:dyDescent="0.3">
      <c r="E614" s="570"/>
      <c r="F614" s="570"/>
    </row>
    <row r="615" spans="5:6" ht="21" customHeight="1" x14ac:dyDescent="0.3">
      <c r="E615" s="570"/>
      <c r="F615" s="570"/>
    </row>
    <row r="616" spans="5:6" ht="21" customHeight="1" x14ac:dyDescent="0.3">
      <c r="E616" s="570"/>
      <c r="F616" s="570"/>
    </row>
    <row r="617" spans="5:6" ht="21" customHeight="1" x14ac:dyDescent="0.3">
      <c r="E617" s="570"/>
      <c r="F617" s="570"/>
    </row>
    <row r="618" spans="5:6" ht="21" customHeight="1" x14ac:dyDescent="0.3">
      <c r="E618" s="570"/>
      <c r="F618" s="570"/>
    </row>
    <row r="619" spans="5:6" ht="21" customHeight="1" x14ac:dyDescent="0.3">
      <c r="E619" s="570"/>
      <c r="F619" s="570"/>
    </row>
    <row r="620" spans="5:6" ht="21" customHeight="1" x14ac:dyDescent="0.3">
      <c r="E620" s="570"/>
      <c r="F620" s="570"/>
    </row>
    <row r="621" spans="5:6" ht="21" customHeight="1" x14ac:dyDescent="0.3">
      <c r="E621" s="570"/>
      <c r="F621" s="570"/>
    </row>
    <row r="622" spans="5:6" ht="21" customHeight="1" x14ac:dyDescent="0.3">
      <c r="E622" s="570"/>
      <c r="F622" s="570"/>
    </row>
    <row r="623" spans="5:6" ht="21" customHeight="1" x14ac:dyDescent="0.3">
      <c r="E623" s="570"/>
      <c r="F623" s="570"/>
    </row>
    <row r="624" spans="5:6" ht="21" customHeight="1" x14ac:dyDescent="0.3">
      <c r="E624" s="570"/>
      <c r="F624" s="570"/>
    </row>
    <row r="625" spans="5:6" ht="21" customHeight="1" x14ac:dyDescent="0.3">
      <c r="E625" s="570"/>
      <c r="F625" s="570"/>
    </row>
    <row r="626" spans="5:6" ht="21" customHeight="1" x14ac:dyDescent="0.3">
      <c r="E626" s="570"/>
      <c r="F626" s="570"/>
    </row>
    <row r="627" spans="5:6" ht="21" customHeight="1" x14ac:dyDescent="0.3">
      <c r="E627" s="570"/>
      <c r="F627" s="570"/>
    </row>
    <row r="628" spans="5:6" ht="21" customHeight="1" x14ac:dyDescent="0.3">
      <c r="E628" s="570"/>
      <c r="F628" s="570"/>
    </row>
    <row r="629" spans="5:6" ht="21" customHeight="1" x14ac:dyDescent="0.3">
      <c r="E629" s="570"/>
      <c r="F629" s="570"/>
    </row>
    <row r="630" spans="5:6" ht="21" customHeight="1" x14ac:dyDescent="0.3">
      <c r="E630" s="570"/>
      <c r="F630" s="570"/>
    </row>
    <row r="631" spans="5:6" ht="21" customHeight="1" x14ac:dyDescent="0.3">
      <c r="E631" s="570"/>
      <c r="F631" s="570"/>
    </row>
    <row r="632" spans="5:6" ht="21" customHeight="1" x14ac:dyDescent="0.3">
      <c r="E632" s="570"/>
      <c r="F632" s="570"/>
    </row>
    <row r="633" spans="5:6" ht="21" customHeight="1" x14ac:dyDescent="0.3">
      <c r="E633" s="570"/>
      <c r="F633" s="570"/>
    </row>
    <row r="634" spans="5:6" ht="21" customHeight="1" x14ac:dyDescent="0.3">
      <c r="E634" s="570"/>
      <c r="F634" s="570"/>
    </row>
    <row r="635" spans="5:6" ht="21" customHeight="1" x14ac:dyDescent="0.3">
      <c r="E635" s="570"/>
      <c r="F635" s="570"/>
    </row>
    <row r="636" spans="5:6" ht="21" customHeight="1" x14ac:dyDescent="0.3">
      <c r="E636" s="570"/>
      <c r="F636" s="570"/>
    </row>
    <row r="637" spans="5:6" ht="21" customHeight="1" x14ac:dyDescent="0.3">
      <c r="E637" s="570"/>
      <c r="F637" s="570"/>
    </row>
    <row r="638" spans="5:6" ht="21" customHeight="1" x14ac:dyDescent="0.3">
      <c r="E638" s="570"/>
      <c r="F638" s="570"/>
    </row>
    <row r="639" spans="5:6" ht="21" customHeight="1" x14ac:dyDescent="0.3">
      <c r="E639" s="570"/>
      <c r="F639" s="570"/>
    </row>
    <row r="640" spans="5:6" ht="21" customHeight="1" x14ac:dyDescent="0.3">
      <c r="E640" s="570"/>
      <c r="F640" s="570"/>
    </row>
    <row r="641" spans="5:6" ht="21" customHeight="1" x14ac:dyDescent="0.3">
      <c r="E641" s="570"/>
      <c r="F641" s="570"/>
    </row>
    <row r="642" spans="5:6" ht="21" customHeight="1" x14ac:dyDescent="0.3">
      <c r="E642" s="570"/>
      <c r="F642" s="570"/>
    </row>
    <row r="643" spans="5:6" ht="21" customHeight="1" x14ac:dyDescent="0.3">
      <c r="E643" s="570"/>
      <c r="F643" s="570"/>
    </row>
    <row r="644" spans="5:6" ht="21" customHeight="1" x14ac:dyDescent="0.3">
      <c r="E644" s="570"/>
      <c r="F644" s="570"/>
    </row>
    <row r="645" spans="5:6" ht="21" customHeight="1" x14ac:dyDescent="0.3">
      <c r="E645" s="570"/>
      <c r="F645" s="570"/>
    </row>
    <row r="646" spans="5:6" ht="21" customHeight="1" x14ac:dyDescent="0.3">
      <c r="E646" s="570"/>
      <c r="F646" s="570"/>
    </row>
    <row r="647" spans="5:6" ht="21" customHeight="1" x14ac:dyDescent="0.3">
      <c r="E647" s="570"/>
      <c r="F647" s="570"/>
    </row>
    <row r="648" spans="5:6" ht="21" customHeight="1" x14ac:dyDescent="0.3">
      <c r="E648" s="570"/>
      <c r="F648" s="570"/>
    </row>
    <row r="649" spans="5:6" ht="21" customHeight="1" x14ac:dyDescent="0.3">
      <c r="E649" s="570"/>
      <c r="F649" s="570"/>
    </row>
    <row r="650" spans="5:6" ht="21" customHeight="1" x14ac:dyDescent="0.3">
      <c r="E650" s="570"/>
      <c r="F650" s="570"/>
    </row>
    <row r="651" spans="5:6" ht="21" customHeight="1" x14ac:dyDescent="0.3">
      <c r="E651" s="570"/>
      <c r="F651" s="570"/>
    </row>
    <row r="652" spans="5:6" ht="21" customHeight="1" x14ac:dyDescent="0.3">
      <c r="E652" s="570"/>
      <c r="F652" s="570"/>
    </row>
    <row r="653" spans="5:6" ht="21" customHeight="1" x14ac:dyDescent="0.3">
      <c r="E653" s="570"/>
      <c r="F653" s="570"/>
    </row>
    <row r="654" spans="5:6" ht="21" customHeight="1" x14ac:dyDescent="0.3">
      <c r="E654" s="570"/>
      <c r="F654" s="570"/>
    </row>
    <row r="655" spans="5:6" ht="21" customHeight="1" x14ac:dyDescent="0.3">
      <c r="E655" s="570"/>
      <c r="F655" s="570"/>
    </row>
    <row r="656" spans="5:6" ht="21" customHeight="1" x14ac:dyDescent="0.3">
      <c r="E656" s="570"/>
      <c r="F656" s="570"/>
    </row>
    <row r="657" spans="5:6" ht="21" customHeight="1" x14ac:dyDescent="0.3">
      <c r="E657" s="570"/>
      <c r="F657" s="570"/>
    </row>
    <row r="658" spans="5:6" ht="21" customHeight="1" x14ac:dyDescent="0.3">
      <c r="E658" s="570"/>
      <c r="F658" s="570"/>
    </row>
    <row r="659" spans="5:6" ht="21" customHeight="1" x14ac:dyDescent="0.3">
      <c r="E659" s="570"/>
      <c r="F659" s="570"/>
    </row>
    <row r="660" spans="5:6" ht="21" customHeight="1" x14ac:dyDescent="0.3">
      <c r="E660" s="570"/>
      <c r="F660" s="570"/>
    </row>
    <row r="661" spans="5:6" ht="21" customHeight="1" x14ac:dyDescent="0.3">
      <c r="E661" s="570"/>
      <c r="F661" s="570"/>
    </row>
    <row r="662" spans="5:6" ht="21" customHeight="1" x14ac:dyDescent="0.3">
      <c r="E662" s="570"/>
      <c r="F662" s="570"/>
    </row>
    <row r="663" spans="5:6" ht="21" customHeight="1" x14ac:dyDescent="0.3">
      <c r="E663" s="570"/>
      <c r="F663" s="570"/>
    </row>
    <row r="664" spans="5:6" ht="21" customHeight="1" x14ac:dyDescent="0.3">
      <c r="E664" s="570"/>
      <c r="F664" s="570"/>
    </row>
    <row r="665" spans="5:6" ht="21" customHeight="1" x14ac:dyDescent="0.3">
      <c r="E665" s="570"/>
      <c r="F665" s="570"/>
    </row>
    <row r="666" spans="5:6" ht="21" customHeight="1" x14ac:dyDescent="0.3">
      <c r="E666" s="570"/>
      <c r="F666" s="570"/>
    </row>
    <row r="667" spans="5:6" ht="21" customHeight="1" x14ac:dyDescent="0.3">
      <c r="E667" s="570"/>
      <c r="F667" s="570"/>
    </row>
    <row r="668" spans="5:6" ht="21" customHeight="1" x14ac:dyDescent="0.3">
      <c r="E668" s="570"/>
      <c r="F668" s="570"/>
    </row>
    <row r="669" spans="5:6" ht="21" customHeight="1" x14ac:dyDescent="0.3">
      <c r="E669" s="570"/>
      <c r="F669" s="570"/>
    </row>
    <row r="670" spans="5:6" ht="21" customHeight="1" x14ac:dyDescent="0.3">
      <c r="E670" s="570"/>
      <c r="F670" s="570"/>
    </row>
    <row r="671" spans="5:6" ht="21" customHeight="1" x14ac:dyDescent="0.3">
      <c r="E671" s="570"/>
      <c r="F671" s="570"/>
    </row>
    <row r="672" spans="5:6" ht="21" customHeight="1" x14ac:dyDescent="0.3">
      <c r="E672" s="570"/>
      <c r="F672" s="570"/>
    </row>
    <row r="673" spans="5:6" ht="21" customHeight="1" x14ac:dyDescent="0.3">
      <c r="E673" s="570"/>
      <c r="F673" s="570"/>
    </row>
    <row r="674" spans="5:6" ht="21" customHeight="1" x14ac:dyDescent="0.3">
      <c r="E674" s="570"/>
      <c r="F674" s="570"/>
    </row>
    <row r="675" spans="5:6" ht="21" customHeight="1" x14ac:dyDescent="0.3">
      <c r="E675" s="570"/>
      <c r="F675" s="570"/>
    </row>
    <row r="676" spans="5:6" ht="21" customHeight="1" x14ac:dyDescent="0.3">
      <c r="E676" s="570"/>
      <c r="F676" s="570"/>
    </row>
    <row r="677" spans="5:6" ht="21" customHeight="1" x14ac:dyDescent="0.3">
      <c r="E677" s="570"/>
      <c r="F677" s="570"/>
    </row>
    <row r="678" spans="5:6" ht="21" customHeight="1" x14ac:dyDescent="0.3">
      <c r="E678" s="570"/>
      <c r="F678" s="570"/>
    </row>
    <row r="679" spans="5:6" ht="21" customHeight="1" x14ac:dyDescent="0.3">
      <c r="E679" s="570"/>
      <c r="F679" s="570"/>
    </row>
    <row r="680" spans="5:6" ht="21" customHeight="1" x14ac:dyDescent="0.3">
      <c r="E680" s="570"/>
      <c r="F680" s="570"/>
    </row>
    <row r="681" spans="5:6" ht="21" customHeight="1" x14ac:dyDescent="0.3">
      <c r="E681" s="570"/>
      <c r="F681" s="570"/>
    </row>
    <row r="682" spans="5:6" ht="21" customHeight="1" x14ac:dyDescent="0.3">
      <c r="E682" s="570"/>
      <c r="F682" s="570"/>
    </row>
    <row r="683" spans="5:6" ht="21" customHeight="1" x14ac:dyDescent="0.3">
      <c r="E683" s="570"/>
      <c r="F683" s="570"/>
    </row>
    <row r="684" spans="5:6" ht="21" customHeight="1" x14ac:dyDescent="0.3">
      <c r="E684" s="570"/>
      <c r="F684" s="570"/>
    </row>
    <row r="685" spans="5:6" ht="21" customHeight="1" x14ac:dyDescent="0.3">
      <c r="E685" s="570"/>
      <c r="F685" s="570"/>
    </row>
    <row r="686" spans="5:6" ht="21" customHeight="1" x14ac:dyDescent="0.3">
      <c r="E686" s="570"/>
      <c r="F686" s="570"/>
    </row>
    <row r="687" spans="5:6" ht="21" customHeight="1" x14ac:dyDescent="0.3">
      <c r="E687" s="570"/>
      <c r="F687" s="570"/>
    </row>
    <row r="688" spans="5:6" ht="21" customHeight="1" x14ac:dyDescent="0.3">
      <c r="E688" s="570"/>
      <c r="F688" s="570"/>
    </row>
    <row r="689" spans="5:6" ht="21" customHeight="1" x14ac:dyDescent="0.3">
      <c r="E689" s="570"/>
      <c r="F689" s="570"/>
    </row>
    <row r="690" spans="5:6" ht="21" customHeight="1" x14ac:dyDescent="0.3">
      <c r="E690" s="570"/>
      <c r="F690" s="570"/>
    </row>
    <row r="691" spans="5:6" ht="21" customHeight="1" x14ac:dyDescent="0.3">
      <c r="E691" s="570"/>
      <c r="F691" s="570"/>
    </row>
    <row r="692" spans="5:6" ht="21" customHeight="1" x14ac:dyDescent="0.3">
      <c r="E692" s="570"/>
      <c r="F692" s="570"/>
    </row>
    <row r="693" spans="5:6" ht="21" customHeight="1" x14ac:dyDescent="0.3">
      <c r="E693" s="570"/>
      <c r="F693" s="570"/>
    </row>
    <row r="694" spans="5:6" ht="21" customHeight="1" x14ac:dyDescent="0.3">
      <c r="E694" s="570"/>
      <c r="F694" s="570"/>
    </row>
    <row r="695" spans="5:6" ht="21" customHeight="1" x14ac:dyDescent="0.3">
      <c r="E695" s="570"/>
      <c r="F695" s="570"/>
    </row>
    <row r="696" spans="5:6" ht="21" customHeight="1" x14ac:dyDescent="0.3">
      <c r="E696" s="570"/>
      <c r="F696" s="570"/>
    </row>
    <row r="697" spans="5:6" ht="21" customHeight="1" x14ac:dyDescent="0.3">
      <c r="E697" s="570"/>
      <c r="F697" s="570"/>
    </row>
    <row r="698" spans="5:6" ht="21" customHeight="1" x14ac:dyDescent="0.3">
      <c r="E698" s="570"/>
      <c r="F698" s="570"/>
    </row>
    <row r="699" spans="5:6" ht="21" customHeight="1" x14ac:dyDescent="0.3">
      <c r="E699" s="570"/>
      <c r="F699" s="570"/>
    </row>
    <row r="700" spans="5:6" ht="21" customHeight="1" x14ac:dyDescent="0.3">
      <c r="E700" s="570"/>
      <c r="F700" s="570"/>
    </row>
    <row r="701" spans="5:6" ht="21" customHeight="1" x14ac:dyDescent="0.3">
      <c r="E701" s="570"/>
      <c r="F701" s="570"/>
    </row>
    <row r="702" spans="5:6" ht="21" customHeight="1" x14ac:dyDescent="0.3">
      <c r="E702" s="570"/>
      <c r="F702" s="570"/>
    </row>
    <row r="703" spans="5:6" ht="21" customHeight="1" x14ac:dyDescent="0.3">
      <c r="E703" s="570"/>
      <c r="F703" s="570"/>
    </row>
    <row r="704" spans="5:6" ht="21" customHeight="1" x14ac:dyDescent="0.3">
      <c r="E704" s="570"/>
      <c r="F704" s="570"/>
    </row>
    <row r="705" spans="5:6" ht="21" customHeight="1" x14ac:dyDescent="0.3">
      <c r="E705" s="570"/>
      <c r="F705" s="570"/>
    </row>
    <row r="706" spans="5:6" ht="21" customHeight="1" x14ac:dyDescent="0.3">
      <c r="E706" s="570"/>
      <c r="F706" s="570"/>
    </row>
    <row r="707" spans="5:6" ht="21" customHeight="1" x14ac:dyDescent="0.3">
      <c r="E707" s="570"/>
      <c r="F707" s="570"/>
    </row>
    <row r="708" spans="5:6" ht="21" customHeight="1" x14ac:dyDescent="0.3">
      <c r="E708" s="570"/>
      <c r="F708" s="570"/>
    </row>
    <row r="709" spans="5:6" ht="21" customHeight="1" x14ac:dyDescent="0.3">
      <c r="E709" s="570"/>
      <c r="F709" s="570"/>
    </row>
    <row r="710" spans="5:6" ht="21" customHeight="1" x14ac:dyDescent="0.3">
      <c r="E710" s="570"/>
      <c r="F710" s="570"/>
    </row>
    <row r="711" spans="5:6" ht="21" customHeight="1" x14ac:dyDescent="0.3">
      <c r="E711" s="570"/>
      <c r="F711" s="570"/>
    </row>
    <row r="712" spans="5:6" ht="21" customHeight="1" x14ac:dyDescent="0.3">
      <c r="E712" s="570"/>
      <c r="F712" s="570"/>
    </row>
    <row r="713" spans="5:6" ht="21" customHeight="1" x14ac:dyDescent="0.3">
      <c r="E713" s="570"/>
      <c r="F713" s="570"/>
    </row>
    <row r="714" spans="5:6" ht="21" customHeight="1" x14ac:dyDescent="0.3">
      <c r="E714" s="570"/>
      <c r="F714" s="570"/>
    </row>
    <row r="715" spans="5:6" ht="21" customHeight="1" x14ac:dyDescent="0.3">
      <c r="E715" s="570"/>
      <c r="F715" s="570"/>
    </row>
    <row r="716" spans="5:6" ht="21" customHeight="1" x14ac:dyDescent="0.3">
      <c r="E716" s="570"/>
      <c r="F716" s="570"/>
    </row>
    <row r="717" spans="5:6" ht="21" customHeight="1" x14ac:dyDescent="0.3">
      <c r="E717" s="570"/>
      <c r="F717" s="570"/>
    </row>
    <row r="718" spans="5:6" ht="21" customHeight="1" x14ac:dyDescent="0.3">
      <c r="E718" s="570"/>
      <c r="F718" s="570"/>
    </row>
    <row r="719" spans="5:6" ht="21" customHeight="1" x14ac:dyDescent="0.3">
      <c r="E719" s="570"/>
      <c r="F719" s="570"/>
    </row>
    <row r="720" spans="5:6" ht="21" customHeight="1" x14ac:dyDescent="0.3">
      <c r="E720" s="570"/>
      <c r="F720" s="570"/>
    </row>
    <row r="721" spans="5:6" ht="21" customHeight="1" x14ac:dyDescent="0.3">
      <c r="E721" s="570"/>
      <c r="F721" s="570"/>
    </row>
    <row r="722" spans="5:6" ht="21" customHeight="1" x14ac:dyDescent="0.3">
      <c r="E722" s="570"/>
      <c r="F722" s="570"/>
    </row>
    <row r="723" spans="5:6" ht="21" customHeight="1" x14ac:dyDescent="0.3">
      <c r="E723" s="570"/>
      <c r="F723" s="570"/>
    </row>
    <row r="724" spans="5:6" ht="21" customHeight="1" x14ac:dyDescent="0.3">
      <c r="E724" s="570"/>
      <c r="F724" s="570"/>
    </row>
    <row r="725" spans="5:6" ht="21" customHeight="1" x14ac:dyDescent="0.3">
      <c r="E725" s="570"/>
      <c r="F725" s="570"/>
    </row>
    <row r="726" spans="5:6" ht="21" customHeight="1" x14ac:dyDescent="0.3">
      <c r="E726" s="570"/>
      <c r="F726" s="570"/>
    </row>
    <row r="727" spans="5:6" ht="21" customHeight="1" x14ac:dyDescent="0.3">
      <c r="E727" s="570"/>
      <c r="F727" s="570"/>
    </row>
    <row r="728" spans="5:6" ht="21" customHeight="1" x14ac:dyDescent="0.3">
      <c r="E728" s="570"/>
      <c r="F728" s="570"/>
    </row>
    <row r="729" spans="5:6" ht="21" customHeight="1" x14ac:dyDescent="0.3">
      <c r="E729" s="570"/>
      <c r="F729" s="570"/>
    </row>
    <row r="730" spans="5:6" ht="21" customHeight="1" x14ac:dyDescent="0.3">
      <c r="E730" s="570"/>
      <c r="F730" s="570"/>
    </row>
    <row r="731" spans="5:6" ht="21" customHeight="1" x14ac:dyDescent="0.3">
      <c r="E731" s="570"/>
      <c r="F731" s="570"/>
    </row>
    <row r="732" spans="5:6" ht="21" customHeight="1" x14ac:dyDescent="0.3">
      <c r="E732" s="570"/>
      <c r="F732" s="570"/>
    </row>
    <row r="733" spans="5:6" ht="21" customHeight="1" x14ac:dyDescent="0.3">
      <c r="E733" s="570"/>
      <c r="F733" s="570"/>
    </row>
    <row r="734" spans="5:6" ht="21" customHeight="1" x14ac:dyDescent="0.3">
      <c r="E734" s="570"/>
      <c r="F734" s="570"/>
    </row>
    <row r="735" spans="5:6" ht="21" customHeight="1" x14ac:dyDescent="0.3">
      <c r="E735" s="570"/>
      <c r="F735" s="570"/>
    </row>
    <row r="736" spans="5:6" ht="21" customHeight="1" x14ac:dyDescent="0.3">
      <c r="E736" s="570"/>
      <c r="F736" s="570"/>
    </row>
    <row r="737" spans="5:6" ht="21" customHeight="1" x14ac:dyDescent="0.3">
      <c r="E737" s="570"/>
      <c r="F737" s="570"/>
    </row>
    <row r="738" spans="5:6" ht="21" customHeight="1" x14ac:dyDescent="0.3">
      <c r="E738" s="570"/>
      <c r="F738" s="570"/>
    </row>
    <row r="739" spans="5:6" ht="21" customHeight="1" x14ac:dyDescent="0.3">
      <c r="E739" s="570"/>
      <c r="F739" s="570"/>
    </row>
    <row r="740" spans="5:6" ht="21" customHeight="1" x14ac:dyDescent="0.3">
      <c r="E740" s="570"/>
      <c r="F740" s="570"/>
    </row>
    <row r="741" spans="5:6" ht="21" customHeight="1" x14ac:dyDescent="0.3">
      <c r="E741" s="570"/>
      <c r="F741" s="570"/>
    </row>
    <row r="742" spans="5:6" ht="21" customHeight="1" x14ac:dyDescent="0.3">
      <c r="E742" s="570"/>
      <c r="F742" s="570"/>
    </row>
    <row r="743" spans="5:6" ht="21" customHeight="1" x14ac:dyDescent="0.3">
      <c r="E743" s="570"/>
      <c r="F743" s="570"/>
    </row>
    <row r="744" spans="5:6" ht="21" customHeight="1" x14ac:dyDescent="0.3">
      <c r="E744" s="570"/>
      <c r="F744" s="570"/>
    </row>
    <row r="745" spans="5:6" ht="21" customHeight="1" x14ac:dyDescent="0.3">
      <c r="E745" s="570"/>
      <c r="F745" s="570"/>
    </row>
    <row r="746" spans="5:6" ht="21" customHeight="1" x14ac:dyDescent="0.3">
      <c r="E746" s="570"/>
      <c r="F746" s="570"/>
    </row>
    <row r="747" spans="5:6" ht="21" customHeight="1" x14ac:dyDescent="0.3">
      <c r="E747" s="570"/>
      <c r="F747" s="570"/>
    </row>
    <row r="748" spans="5:6" ht="21" customHeight="1" x14ac:dyDescent="0.3">
      <c r="E748" s="570"/>
      <c r="F748" s="570"/>
    </row>
    <row r="749" spans="5:6" ht="21" customHeight="1" x14ac:dyDescent="0.3">
      <c r="E749" s="570"/>
      <c r="F749" s="570"/>
    </row>
    <row r="750" spans="5:6" ht="21" customHeight="1" x14ac:dyDescent="0.3">
      <c r="E750" s="570"/>
      <c r="F750" s="570"/>
    </row>
    <row r="751" spans="5:6" ht="21" customHeight="1" x14ac:dyDescent="0.3">
      <c r="E751" s="570"/>
      <c r="F751" s="570"/>
    </row>
    <row r="752" spans="5:6" ht="21" customHeight="1" x14ac:dyDescent="0.3">
      <c r="E752" s="570"/>
      <c r="F752" s="570"/>
    </row>
    <row r="753" spans="5:6" ht="21" customHeight="1" x14ac:dyDescent="0.3">
      <c r="E753" s="570"/>
      <c r="F753" s="570"/>
    </row>
    <row r="754" spans="5:6" ht="21" customHeight="1" x14ac:dyDescent="0.3">
      <c r="E754" s="570"/>
      <c r="F754" s="570"/>
    </row>
    <row r="755" spans="5:6" ht="21" customHeight="1" x14ac:dyDescent="0.3">
      <c r="E755" s="570"/>
      <c r="F755" s="570"/>
    </row>
    <row r="756" spans="5:6" ht="21" customHeight="1" x14ac:dyDescent="0.3">
      <c r="E756" s="570"/>
      <c r="F756" s="570"/>
    </row>
    <row r="757" spans="5:6" ht="21" customHeight="1" x14ac:dyDescent="0.3">
      <c r="E757" s="570"/>
      <c r="F757" s="570"/>
    </row>
    <row r="758" spans="5:6" ht="21" customHeight="1" x14ac:dyDescent="0.3">
      <c r="E758" s="570"/>
      <c r="F758" s="570"/>
    </row>
    <row r="759" spans="5:6" ht="21" customHeight="1" x14ac:dyDescent="0.3">
      <c r="E759" s="570"/>
      <c r="F759" s="570"/>
    </row>
    <row r="760" spans="5:6" ht="21" customHeight="1" x14ac:dyDescent="0.3">
      <c r="E760" s="570"/>
      <c r="F760" s="570"/>
    </row>
    <row r="761" spans="5:6" ht="21" customHeight="1" x14ac:dyDescent="0.3">
      <c r="E761" s="570"/>
      <c r="F761" s="570"/>
    </row>
    <row r="762" spans="5:6" ht="21" customHeight="1" x14ac:dyDescent="0.3">
      <c r="E762" s="570"/>
      <c r="F762" s="570"/>
    </row>
    <row r="763" spans="5:6" ht="21" customHeight="1" x14ac:dyDescent="0.3">
      <c r="E763" s="570"/>
      <c r="F763" s="570"/>
    </row>
    <row r="764" spans="5:6" ht="21" customHeight="1" x14ac:dyDescent="0.3">
      <c r="E764" s="570"/>
      <c r="F764" s="570"/>
    </row>
    <row r="765" spans="5:6" ht="21" customHeight="1" x14ac:dyDescent="0.3">
      <c r="E765" s="570"/>
      <c r="F765" s="570"/>
    </row>
    <row r="766" spans="5:6" ht="21" customHeight="1" x14ac:dyDescent="0.3">
      <c r="E766" s="570"/>
      <c r="F766" s="570"/>
    </row>
    <row r="767" spans="5:6" ht="21" customHeight="1" x14ac:dyDescent="0.3">
      <c r="E767" s="570"/>
      <c r="F767" s="570"/>
    </row>
    <row r="768" spans="5:6" ht="21" customHeight="1" x14ac:dyDescent="0.3">
      <c r="E768" s="570"/>
      <c r="F768" s="570"/>
    </row>
    <row r="769" spans="5:6" ht="21" customHeight="1" x14ac:dyDescent="0.3">
      <c r="E769" s="570"/>
      <c r="F769" s="570"/>
    </row>
    <row r="770" spans="5:6" ht="21" customHeight="1" x14ac:dyDescent="0.3">
      <c r="E770" s="570"/>
      <c r="F770" s="570"/>
    </row>
    <row r="771" spans="5:6" ht="21" customHeight="1" x14ac:dyDescent="0.3">
      <c r="E771" s="570"/>
      <c r="F771" s="570"/>
    </row>
    <row r="772" spans="5:6" ht="21" customHeight="1" x14ac:dyDescent="0.3">
      <c r="E772" s="570"/>
      <c r="F772" s="570"/>
    </row>
    <row r="773" spans="5:6" ht="21" customHeight="1" x14ac:dyDescent="0.3">
      <c r="E773" s="570"/>
      <c r="F773" s="570"/>
    </row>
    <row r="774" spans="5:6" ht="21" customHeight="1" x14ac:dyDescent="0.3">
      <c r="E774" s="570"/>
      <c r="F774" s="570"/>
    </row>
    <row r="775" spans="5:6" ht="21" customHeight="1" x14ac:dyDescent="0.3">
      <c r="E775" s="570"/>
      <c r="F775" s="570"/>
    </row>
    <row r="776" spans="5:6" ht="21" customHeight="1" x14ac:dyDescent="0.3">
      <c r="E776" s="570"/>
      <c r="F776" s="570"/>
    </row>
    <row r="777" spans="5:6" ht="21" customHeight="1" x14ac:dyDescent="0.3">
      <c r="E777" s="570"/>
      <c r="F777" s="570"/>
    </row>
    <row r="778" spans="5:6" ht="21" customHeight="1" x14ac:dyDescent="0.3">
      <c r="E778" s="570"/>
      <c r="F778" s="570"/>
    </row>
    <row r="779" spans="5:6" ht="21" customHeight="1" x14ac:dyDescent="0.3">
      <c r="E779" s="570"/>
      <c r="F779" s="570"/>
    </row>
    <row r="780" spans="5:6" ht="21" customHeight="1" x14ac:dyDescent="0.3">
      <c r="E780" s="570"/>
      <c r="F780" s="570"/>
    </row>
    <row r="781" spans="5:6" ht="21" customHeight="1" x14ac:dyDescent="0.3">
      <c r="E781" s="570"/>
      <c r="F781" s="570"/>
    </row>
    <row r="782" spans="5:6" ht="21" customHeight="1" x14ac:dyDescent="0.3">
      <c r="E782" s="570"/>
      <c r="F782" s="570"/>
    </row>
    <row r="783" spans="5:6" ht="21" customHeight="1" x14ac:dyDescent="0.3">
      <c r="E783" s="570"/>
      <c r="F783" s="570"/>
    </row>
    <row r="784" spans="5:6" ht="21" customHeight="1" x14ac:dyDescent="0.3">
      <c r="E784" s="570"/>
      <c r="F784" s="570"/>
    </row>
    <row r="785" spans="5:6" ht="21" customHeight="1" x14ac:dyDescent="0.3">
      <c r="E785" s="570"/>
      <c r="F785" s="570"/>
    </row>
    <row r="786" spans="5:6" ht="21" customHeight="1" x14ac:dyDescent="0.3">
      <c r="E786" s="570"/>
      <c r="F786" s="570"/>
    </row>
    <row r="787" spans="5:6" ht="21" customHeight="1" x14ac:dyDescent="0.3">
      <c r="E787" s="570"/>
      <c r="F787" s="570"/>
    </row>
    <row r="788" spans="5:6" ht="21" customHeight="1" x14ac:dyDescent="0.3">
      <c r="E788" s="570"/>
      <c r="F788" s="570"/>
    </row>
    <row r="789" spans="5:6" ht="21" customHeight="1" x14ac:dyDescent="0.3">
      <c r="E789" s="570"/>
      <c r="F789" s="570"/>
    </row>
    <row r="790" spans="5:6" ht="21" customHeight="1" x14ac:dyDescent="0.3">
      <c r="E790" s="570"/>
      <c r="F790" s="570"/>
    </row>
    <row r="791" spans="5:6" ht="21" customHeight="1" x14ac:dyDescent="0.3">
      <c r="E791" s="570"/>
      <c r="F791" s="570"/>
    </row>
    <row r="792" spans="5:6" ht="21" customHeight="1" x14ac:dyDescent="0.3">
      <c r="E792" s="570"/>
      <c r="F792" s="570"/>
    </row>
    <row r="793" spans="5:6" ht="21" customHeight="1" x14ac:dyDescent="0.3">
      <c r="E793" s="570"/>
      <c r="F793" s="570"/>
    </row>
    <row r="794" spans="5:6" ht="21" customHeight="1" x14ac:dyDescent="0.3">
      <c r="E794" s="570"/>
      <c r="F794" s="570"/>
    </row>
    <row r="795" spans="5:6" ht="21" customHeight="1" x14ac:dyDescent="0.3">
      <c r="E795" s="570"/>
      <c r="F795" s="570"/>
    </row>
    <row r="796" spans="5:6" ht="21" customHeight="1" x14ac:dyDescent="0.3">
      <c r="E796" s="570"/>
      <c r="F796" s="570"/>
    </row>
    <row r="797" spans="5:6" ht="21" customHeight="1" x14ac:dyDescent="0.3">
      <c r="E797" s="570"/>
      <c r="F797" s="570"/>
    </row>
    <row r="798" spans="5:6" ht="21" customHeight="1" x14ac:dyDescent="0.3">
      <c r="E798" s="570"/>
      <c r="F798" s="570"/>
    </row>
    <row r="799" spans="5:6" ht="21" customHeight="1" x14ac:dyDescent="0.3">
      <c r="E799" s="570"/>
      <c r="F799" s="570"/>
    </row>
    <row r="800" spans="5:6" ht="21" customHeight="1" x14ac:dyDescent="0.3">
      <c r="E800" s="570"/>
      <c r="F800" s="570"/>
    </row>
    <row r="801" spans="5:6" ht="21" customHeight="1" x14ac:dyDescent="0.3">
      <c r="E801" s="570"/>
      <c r="F801" s="570"/>
    </row>
    <row r="802" spans="5:6" ht="21" customHeight="1" x14ac:dyDescent="0.3">
      <c r="E802" s="570"/>
      <c r="F802" s="570"/>
    </row>
    <row r="803" spans="5:6" ht="21" customHeight="1" x14ac:dyDescent="0.3">
      <c r="E803" s="570"/>
      <c r="F803" s="570"/>
    </row>
    <row r="804" spans="5:6" ht="21" customHeight="1" x14ac:dyDescent="0.3">
      <c r="E804" s="570"/>
      <c r="F804" s="570"/>
    </row>
    <row r="805" spans="5:6" ht="21" customHeight="1" x14ac:dyDescent="0.3">
      <c r="E805" s="570"/>
      <c r="F805" s="570"/>
    </row>
    <row r="806" spans="5:6" ht="21" customHeight="1" x14ac:dyDescent="0.3">
      <c r="E806" s="570"/>
      <c r="F806" s="570"/>
    </row>
    <row r="807" spans="5:6" ht="21" customHeight="1" x14ac:dyDescent="0.3">
      <c r="E807" s="570"/>
      <c r="F807" s="570"/>
    </row>
    <row r="808" spans="5:6" ht="21" customHeight="1" x14ac:dyDescent="0.3">
      <c r="E808" s="570"/>
      <c r="F808" s="570"/>
    </row>
    <row r="809" spans="5:6" ht="21" customHeight="1" x14ac:dyDescent="0.3">
      <c r="E809" s="570"/>
      <c r="F809" s="570"/>
    </row>
    <row r="810" spans="5:6" ht="21" customHeight="1" x14ac:dyDescent="0.3">
      <c r="E810" s="570"/>
      <c r="F810" s="570"/>
    </row>
    <row r="811" spans="5:6" ht="21" customHeight="1" x14ac:dyDescent="0.3">
      <c r="E811" s="570"/>
      <c r="F811" s="570"/>
    </row>
    <row r="812" spans="5:6" ht="21" customHeight="1" x14ac:dyDescent="0.3">
      <c r="E812" s="570"/>
      <c r="F812" s="570"/>
    </row>
    <row r="813" spans="5:6" ht="21" customHeight="1" x14ac:dyDescent="0.3">
      <c r="E813" s="570"/>
      <c r="F813" s="570"/>
    </row>
    <row r="814" spans="5:6" ht="21" customHeight="1" x14ac:dyDescent="0.3">
      <c r="E814" s="570"/>
      <c r="F814" s="570"/>
    </row>
    <row r="815" spans="5:6" ht="21" customHeight="1" x14ac:dyDescent="0.3">
      <c r="E815" s="570"/>
      <c r="F815" s="570"/>
    </row>
    <row r="816" spans="5:6" ht="21" customHeight="1" x14ac:dyDescent="0.3">
      <c r="E816" s="570"/>
      <c r="F816" s="570"/>
    </row>
    <row r="817" spans="5:6" ht="21" customHeight="1" x14ac:dyDescent="0.3">
      <c r="E817" s="570"/>
      <c r="F817" s="570"/>
    </row>
    <row r="818" spans="5:6" ht="21" customHeight="1" x14ac:dyDescent="0.3">
      <c r="E818" s="570"/>
      <c r="F818" s="570"/>
    </row>
    <row r="819" spans="5:6" ht="21" customHeight="1" x14ac:dyDescent="0.3">
      <c r="E819" s="570"/>
      <c r="F819" s="570"/>
    </row>
    <row r="820" spans="5:6" ht="21" customHeight="1" x14ac:dyDescent="0.3">
      <c r="E820" s="570"/>
      <c r="F820" s="570"/>
    </row>
    <row r="821" spans="5:6" ht="21" customHeight="1" x14ac:dyDescent="0.3">
      <c r="E821" s="570"/>
      <c r="F821" s="570"/>
    </row>
    <row r="822" spans="5:6" ht="21" customHeight="1" x14ac:dyDescent="0.3">
      <c r="E822" s="570"/>
      <c r="F822" s="570"/>
    </row>
    <row r="823" spans="5:6" ht="21" customHeight="1" x14ac:dyDescent="0.3">
      <c r="E823" s="570"/>
      <c r="F823" s="570"/>
    </row>
    <row r="824" spans="5:6" ht="21" customHeight="1" x14ac:dyDescent="0.3">
      <c r="E824" s="570"/>
      <c r="F824" s="570"/>
    </row>
    <row r="825" spans="5:6" ht="21" customHeight="1" x14ac:dyDescent="0.3">
      <c r="E825" s="570"/>
      <c r="F825" s="570"/>
    </row>
    <row r="826" spans="5:6" ht="21" customHeight="1" x14ac:dyDescent="0.3">
      <c r="E826" s="570"/>
      <c r="F826" s="570"/>
    </row>
    <row r="827" spans="5:6" ht="21" customHeight="1" x14ac:dyDescent="0.3">
      <c r="E827" s="570"/>
      <c r="F827" s="570"/>
    </row>
    <row r="828" spans="5:6" ht="21" customHeight="1" x14ac:dyDescent="0.3">
      <c r="E828" s="570"/>
      <c r="F828" s="570"/>
    </row>
    <row r="829" spans="5:6" ht="21" customHeight="1" x14ac:dyDescent="0.3">
      <c r="E829" s="570"/>
      <c r="F829" s="570"/>
    </row>
    <row r="830" spans="5:6" ht="21" customHeight="1" x14ac:dyDescent="0.3">
      <c r="E830" s="570"/>
      <c r="F830" s="570"/>
    </row>
    <row r="831" spans="5:6" ht="21" customHeight="1" x14ac:dyDescent="0.3">
      <c r="E831" s="570"/>
      <c r="F831" s="570"/>
    </row>
    <row r="832" spans="5:6" ht="21" customHeight="1" x14ac:dyDescent="0.3">
      <c r="E832" s="570"/>
      <c r="F832" s="570"/>
    </row>
    <row r="833" spans="5:6" ht="21" customHeight="1" x14ac:dyDescent="0.3">
      <c r="E833" s="570"/>
      <c r="F833" s="570"/>
    </row>
    <row r="834" spans="5:6" ht="21" customHeight="1" x14ac:dyDescent="0.3">
      <c r="E834" s="570"/>
      <c r="F834" s="570"/>
    </row>
    <row r="835" spans="5:6" ht="21" customHeight="1" x14ac:dyDescent="0.3">
      <c r="E835" s="570"/>
      <c r="F835" s="570"/>
    </row>
    <row r="836" spans="5:6" ht="21" customHeight="1" x14ac:dyDescent="0.3">
      <c r="E836" s="570"/>
      <c r="F836" s="570"/>
    </row>
    <row r="837" spans="5:6" ht="21" customHeight="1" x14ac:dyDescent="0.3">
      <c r="E837" s="570"/>
      <c r="F837" s="570"/>
    </row>
    <row r="838" spans="5:6" ht="21" customHeight="1" x14ac:dyDescent="0.3">
      <c r="E838" s="570"/>
      <c r="F838" s="570"/>
    </row>
    <row r="839" spans="5:6" ht="21" customHeight="1" x14ac:dyDescent="0.3">
      <c r="E839" s="570"/>
      <c r="F839" s="570"/>
    </row>
    <row r="840" spans="5:6" ht="21" customHeight="1" x14ac:dyDescent="0.3">
      <c r="E840" s="570"/>
      <c r="F840" s="570"/>
    </row>
    <row r="841" spans="5:6" ht="21" customHeight="1" x14ac:dyDescent="0.3">
      <c r="E841" s="570"/>
      <c r="F841" s="570"/>
    </row>
    <row r="842" spans="5:6" ht="21" customHeight="1" x14ac:dyDescent="0.3">
      <c r="E842" s="570"/>
      <c r="F842" s="570"/>
    </row>
    <row r="843" spans="5:6" ht="21" customHeight="1" x14ac:dyDescent="0.3">
      <c r="E843" s="570"/>
      <c r="F843" s="570"/>
    </row>
    <row r="844" spans="5:6" ht="21" customHeight="1" x14ac:dyDescent="0.3">
      <c r="E844" s="570"/>
      <c r="F844" s="570"/>
    </row>
    <row r="845" spans="5:6" ht="21" customHeight="1" x14ac:dyDescent="0.3">
      <c r="E845" s="570"/>
      <c r="F845" s="570"/>
    </row>
    <row r="846" spans="5:6" ht="21" customHeight="1" x14ac:dyDescent="0.3">
      <c r="E846" s="570"/>
      <c r="F846" s="570"/>
    </row>
    <row r="847" spans="5:6" ht="21" customHeight="1" x14ac:dyDescent="0.3">
      <c r="E847" s="570"/>
      <c r="F847" s="570"/>
    </row>
    <row r="848" spans="5:6" ht="21" customHeight="1" x14ac:dyDescent="0.3">
      <c r="E848" s="570"/>
      <c r="F848" s="570"/>
    </row>
    <row r="849" spans="5:6" ht="21" customHeight="1" x14ac:dyDescent="0.3">
      <c r="E849" s="570"/>
      <c r="F849" s="570"/>
    </row>
    <row r="850" spans="5:6" ht="21" customHeight="1" x14ac:dyDescent="0.3">
      <c r="E850" s="570"/>
      <c r="F850" s="570"/>
    </row>
    <row r="851" spans="5:6" ht="21" customHeight="1" x14ac:dyDescent="0.3">
      <c r="E851" s="570"/>
      <c r="F851" s="570"/>
    </row>
    <row r="852" spans="5:6" ht="21" customHeight="1" x14ac:dyDescent="0.3">
      <c r="E852" s="570"/>
      <c r="F852" s="570"/>
    </row>
    <row r="853" spans="5:6" ht="21" customHeight="1" x14ac:dyDescent="0.3">
      <c r="E853" s="570"/>
      <c r="F853" s="570"/>
    </row>
    <row r="854" spans="5:6" ht="21" customHeight="1" x14ac:dyDescent="0.3">
      <c r="E854" s="570"/>
      <c r="F854" s="570"/>
    </row>
    <row r="855" spans="5:6" ht="21" customHeight="1" x14ac:dyDescent="0.3">
      <c r="E855" s="570"/>
      <c r="F855" s="570"/>
    </row>
    <row r="856" spans="5:6" ht="21" customHeight="1" x14ac:dyDescent="0.3">
      <c r="E856" s="570"/>
      <c r="F856" s="570"/>
    </row>
    <row r="857" spans="5:6" ht="21" customHeight="1" x14ac:dyDescent="0.3">
      <c r="E857" s="570"/>
      <c r="F857" s="570"/>
    </row>
    <row r="858" spans="5:6" ht="21" customHeight="1" x14ac:dyDescent="0.3">
      <c r="E858" s="570"/>
      <c r="F858" s="570"/>
    </row>
    <row r="859" spans="5:6" ht="21" customHeight="1" x14ac:dyDescent="0.3">
      <c r="E859" s="570"/>
      <c r="F859" s="570"/>
    </row>
    <row r="860" spans="5:6" ht="21" customHeight="1" x14ac:dyDescent="0.3">
      <c r="E860" s="570"/>
      <c r="F860" s="570"/>
    </row>
    <row r="861" spans="5:6" ht="21" customHeight="1" x14ac:dyDescent="0.3">
      <c r="E861" s="570"/>
      <c r="F861" s="570"/>
    </row>
    <row r="862" spans="5:6" ht="21" customHeight="1" x14ac:dyDescent="0.3">
      <c r="E862" s="570"/>
      <c r="F862" s="570"/>
    </row>
    <row r="863" spans="5:6" ht="21" customHeight="1" x14ac:dyDescent="0.3">
      <c r="E863" s="570"/>
      <c r="F863" s="570"/>
    </row>
    <row r="864" spans="5:6" ht="21" customHeight="1" x14ac:dyDescent="0.3">
      <c r="E864" s="570"/>
      <c r="F864" s="570"/>
    </row>
    <row r="865" spans="5:6" ht="21" customHeight="1" x14ac:dyDescent="0.3">
      <c r="E865" s="570"/>
      <c r="F865" s="570"/>
    </row>
    <row r="866" spans="5:6" ht="21" customHeight="1" x14ac:dyDescent="0.3">
      <c r="E866" s="570"/>
      <c r="F866" s="570"/>
    </row>
    <row r="867" spans="5:6" ht="21" customHeight="1" x14ac:dyDescent="0.3">
      <c r="E867" s="570"/>
      <c r="F867" s="570"/>
    </row>
    <row r="868" spans="5:6" ht="21" customHeight="1" x14ac:dyDescent="0.3">
      <c r="E868" s="570"/>
      <c r="F868" s="570"/>
    </row>
    <row r="869" spans="5:6" ht="21" customHeight="1" x14ac:dyDescent="0.3">
      <c r="E869" s="570"/>
      <c r="F869" s="570"/>
    </row>
    <row r="870" spans="5:6" ht="21" customHeight="1" x14ac:dyDescent="0.3">
      <c r="E870" s="570"/>
      <c r="F870" s="570"/>
    </row>
    <row r="871" spans="5:6" ht="21" customHeight="1" x14ac:dyDescent="0.3">
      <c r="E871" s="570"/>
      <c r="F871" s="570"/>
    </row>
    <row r="872" spans="5:6" ht="21" customHeight="1" x14ac:dyDescent="0.3">
      <c r="E872" s="570"/>
      <c r="F872" s="570"/>
    </row>
    <row r="873" spans="5:6" ht="21" customHeight="1" x14ac:dyDescent="0.3">
      <c r="E873" s="570"/>
      <c r="F873" s="570"/>
    </row>
    <row r="874" spans="5:6" ht="21" customHeight="1" x14ac:dyDescent="0.3">
      <c r="E874" s="570"/>
      <c r="F874" s="570"/>
    </row>
    <row r="875" spans="5:6" ht="21" customHeight="1" x14ac:dyDescent="0.3">
      <c r="E875" s="570"/>
      <c r="F875" s="570"/>
    </row>
    <row r="876" spans="5:6" ht="21" customHeight="1" x14ac:dyDescent="0.3">
      <c r="E876" s="570"/>
      <c r="F876" s="570"/>
    </row>
    <row r="877" spans="5:6" ht="21" customHeight="1" x14ac:dyDescent="0.3">
      <c r="E877" s="570"/>
      <c r="F877" s="570"/>
    </row>
    <row r="878" spans="5:6" ht="21" customHeight="1" x14ac:dyDescent="0.3">
      <c r="E878" s="570"/>
      <c r="F878" s="570"/>
    </row>
    <row r="879" spans="5:6" ht="21" customHeight="1" x14ac:dyDescent="0.3">
      <c r="E879" s="570"/>
      <c r="F879" s="570"/>
    </row>
    <row r="880" spans="5:6" ht="21" customHeight="1" x14ac:dyDescent="0.3">
      <c r="E880" s="570"/>
      <c r="F880" s="570"/>
    </row>
    <row r="881" spans="5:6" ht="21" customHeight="1" x14ac:dyDescent="0.3">
      <c r="E881" s="570"/>
      <c r="F881" s="570"/>
    </row>
    <row r="882" spans="5:6" ht="21" customHeight="1" x14ac:dyDescent="0.3">
      <c r="E882" s="570"/>
      <c r="F882" s="570"/>
    </row>
    <row r="883" spans="5:6" ht="21" customHeight="1" x14ac:dyDescent="0.3">
      <c r="E883" s="570"/>
      <c r="F883" s="570"/>
    </row>
    <row r="884" spans="5:6" ht="21" customHeight="1" x14ac:dyDescent="0.3">
      <c r="E884" s="570"/>
      <c r="F884" s="570"/>
    </row>
    <row r="885" spans="5:6" ht="21" customHeight="1" x14ac:dyDescent="0.3">
      <c r="E885" s="570"/>
      <c r="F885" s="570"/>
    </row>
    <row r="886" spans="5:6" ht="21" customHeight="1" x14ac:dyDescent="0.3">
      <c r="E886" s="570"/>
      <c r="F886" s="570"/>
    </row>
    <row r="887" spans="5:6" ht="21" customHeight="1" x14ac:dyDescent="0.3">
      <c r="E887" s="570"/>
      <c r="F887" s="570"/>
    </row>
    <row r="888" spans="5:6" ht="21" customHeight="1" x14ac:dyDescent="0.3">
      <c r="E888" s="570"/>
      <c r="F888" s="570"/>
    </row>
    <row r="889" spans="5:6" ht="21" customHeight="1" x14ac:dyDescent="0.3">
      <c r="E889" s="570"/>
      <c r="F889" s="570"/>
    </row>
    <row r="890" spans="5:6" ht="21" customHeight="1" x14ac:dyDescent="0.3">
      <c r="E890" s="570"/>
      <c r="F890" s="570"/>
    </row>
    <row r="891" spans="5:6" ht="21" customHeight="1" x14ac:dyDescent="0.3">
      <c r="E891" s="570"/>
      <c r="F891" s="570"/>
    </row>
    <row r="892" spans="5:6" ht="21" customHeight="1" x14ac:dyDescent="0.3">
      <c r="E892" s="570"/>
      <c r="F892" s="570"/>
    </row>
    <row r="893" spans="5:6" ht="21" customHeight="1" x14ac:dyDescent="0.3">
      <c r="E893" s="570"/>
      <c r="F893" s="570"/>
    </row>
    <row r="894" spans="5:6" ht="21" customHeight="1" x14ac:dyDescent="0.3">
      <c r="E894" s="570"/>
      <c r="F894" s="570"/>
    </row>
    <row r="895" spans="5:6" ht="21" customHeight="1" x14ac:dyDescent="0.3">
      <c r="E895" s="570"/>
      <c r="F895" s="570"/>
    </row>
    <row r="896" spans="5:6" ht="21" customHeight="1" x14ac:dyDescent="0.3">
      <c r="E896" s="570"/>
      <c r="F896" s="570"/>
    </row>
    <row r="897" spans="5:6" ht="21" customHeight="1" x14ac:dyDescent="0.3">
      <c r="E897" s="570"/>
      <c r="F897" s="570"/>
    </row>
    <row r="898" spans="5:6" ht="21" customHeight="1" x14ac:dyDescent="0.3">
      <c r="E898" s="570"/>
      <c r="F898" s="570"/>
    </row>
    <row r="899" spans="5:6" ht="21" customHeight="1" x14ac:dyDescent="0.3">
      <c r="E899" s="570"/>
      <c r="F899" s="570"/>
    </row>
    <row r="900" spans="5:6" ht="21" customHeight="1" x14ac:dyDescent="0.3">
      <c r="E900" s="570"/>
      <c r="F900" s="570"/>
    </row>
    <row r="901" spans="5:6" ht="21" customHeight="1" x14ac:dyDescent="0.3">
      <c r="E901" s="570"/>
      <c r="F901" s="570"/>
    </row>
    <row r="902" spans="5:6" ht="21" customHeight="1" x14ac:dyDescent="0.3">
      <c r="E902" s="570"/>
      <c r="F902" s="570"/>
    </row>
    <row r="903" spans="5:6" ht="21" customHeight="1" x14ac:dyDescent="0.3">
      <c r="E903" s="570"/>
      <c r="F903" s="570"/>
    </row>
    <row r="904" spans="5:6" ht="21" customHeight="1" x14ac:dyDescent="0.3">
      <c r="E904" s="570"/>
      <c r="F904" s="570"/>
    </row>
    <row r="905" spans="5:6" ht="21" customHeight="1" x14ac:dyDescent="0.3">
      <c r="E905" s="570"/>
      <c r="F905" s="570"/>
    </row>
    <row r="906" spans="5:6" ht="21" customHeight="1" x14ac:dyDescent="0.3">
      <c r="E906" s="570"/>
      <c r="F906" s="570"/>
    </row>
    <row r="907" spans="5:6" ht="21" customHeight="1" x14ac:dyDescent="0.3">
      <c r="E907" s="570"/>
      <c r="F907" s="570"/>
    </row>
    <row r="908" spans="5:6" ht="21" customHeight="1" x14ac:dyDescent="0.3">
      <c r="E908" s="570"/>
      <c r="F908" s="570"/>
    </row>
    <row r="909" spans="5:6" ht="21" customHeight="1" x14ac:dyDescent="0.3">
      <c r="E909" s="570"/>
      <c r="F909" s="570"/>
    </row>
    <row r="910" spans="5:6" ht="21" customHeight="1" x14ac:dyDescent="0.3">
      <c r="E910" s="570"/>
      <c r="F910" s="570"/>
    </row>
    <row r="911" spans="5:6" ht="21" customHeight="1" x14ac:dyDescent="0.3">
      <c r="E911" s="570"/>
      <c r="F911" s="570"/>
    </row>
    <row r="912" spans="5:6" ht="21" customHeight="1" x14ac:dyDescent="0.3">
      <c r="E912" s="570"/>
      <c r="F912" s="570"/>
    </row>
    <row r="913" spans="5:6" ht="21" customHeight="1" x14ac:dyDescent="0.3">
      <c r="E913" s="570"/>
      <c r="F913" s="570"/>
    </row>
    <row r="914" spans="5:6" ht="21" customHeight="1" x14ac:dyDescent="0.3">
      <c r="E914" s="570"/>
      <c r="F914" s="570"/>
    </row>
    <row r="915" spans="5:6" ht="21" customHeight="1" x14ac:dyDescent="0.3">
      <c r="E915" s="570"/>
      <c r="F915" s="570"/>
    </row>
    <row r="916" spans="5:6" ht="21" customHeight="1" x14ac:dyDescent="0.3">
      <c r="E916" s="570"/>
      <c r="F916" s="570"/>
    </row>
    <row r="917" spans="5:6" ht="21" customHeight="1" x14ac:dyDescent="0.3">
      <c r="E917" s="570"/>
      <c r="F917" s="570"/>
    </row>
    <row r="918" spans="5:6" ht="21" customHeight="1" x14ac:dyDescent="0.3">
      <c r="E918" s="570"/>
      <c r="F918" s="570"/>
    </row>
    <row r="919" spans="5:6" ht="21" customHeight="1" x14ac:dyDescent="0.3">
      <c r="E919" s="570"/>
      <c r="F919" s="570"/>
    </row>
    <row r="920" spans="5:6" ht="21" customHeight="1" x14ac:dyDescent="0.3">
      <c r="E920" s="570"/>
      <c r="F920" s="570"/>
    </row>
    <row r="921" spans="5:6" ht="21" customHeight="1" x14ac:dyDescent="0.3">
      <c r="E921" s="570"/>
      <c r="F921" s="570"/>
    </row>
    <row r="922" spans="5:6" ht="21" customHeight="1" x14ac:dyDescent="0.3">
      <c r="E922" s="570"/>
      <c r="F922" s="570"/>
    </row>
    <row r="923" spans="5:6" ht="21" customHeight="1" x14ac:dyDescent="0.3">
      <c r="E923" s="570"/>
      <c r="F923" s="570"/>
    </row>
    <row r="924" spans="5:6" ht="21" customHeight="1" x14ac:dyDescent="0.3">
      <c r="E924" s="570"/>
      <c r="F924" s="570"/>
    </row>
    <row r="925" spans="5:6" ht="21" customHeight="1" x14ac:dyDescent="0.3">
      <c r="E925" s="570"/>
      <c r="F925" s="570"/>
    </row>
    <row r="926" spans="5:6" ht="21" customHeight="1" x14ac:dyDescent="0.3">
      <c r="E926" s="570"/>
      <c r="F926" s="570"/>
    </row>
    <row r="927" spans="5:6" ht="21" customHeight="1" x14ac:dyDescent="0.3">
      <c r="E927" s="570"/>
      <c r="F927" s="570"/>
    </row>
    <row r="928" spans="5:6" ht="21" customHeight="1" x14ac:dyDescent="0.3">
      <c r="E928" s="570"/>
      <c r="F928" s="570"/>
    </row>
    <row r="929" spans="5:6" ht="21" customHeight="1" x14ac:dyDescent="0.3">
      <c r="E929" s="570"/>
      <c r="F929" s="570"/>
    </row>
    <row r="930" spans="5:6" ht="21" customHeight="1" x14ac:dyDescent="0.3">
      <c r="E930" s="570"/>
      <c r="F930" s="570"/>
    </row>
    <row r="931" spans="5:6" ht="21" customHeight="1" x14ac:dyDescent="0.3">
      <c r="E931" s="570"/>
      <c r="F931" s="570"/>
    </row>
    <row r="932" spans="5:6" ht="21" customHeight="1" x14ac:dyDescent="0.3">
      <c r="E932" s="570"/>
      <c r="F932" s="570"/>
    </row>
    <row r="933" spans="5:6" ht="21" customHeight="1" x14ac:dyDescent="0.3">
      <c r="E933" s="570"/>
      <c r="F933" s="570"/>
    </row>
    <row r="934" spans="5:6" ht="21" customHeight="1" x14ac:dyDescent="0.3">
      <c r="E934" s="570"/>
      <c r="F934" s="570"/>
    </row>
    <row r="935" spans="5:6" ht="21" customHeight="1" x14ac:dyDescent="0.3">
      <c r="E935" s="570"/>
      <c r="F935" s="570"/>
    </row>
    <row r="936" spans="5:6" ht="21" customHeight="1" x14ac:dyDescent="0.3">
      <c r="E936" s="570"/>
      <c r="F936" s="570"/>
    </row>
    <row r="937" spans="5:6" ht="21" customHeight="1" x14ac:dyDescent="0.3">
      <c r="E937" s="570"/>
      <c r="F937" s="570"/>
    </row>
    <row r="938" spans="5:6" ht="21" customHeight="1" x14ac:dyDescent="0.3">
      <c r="E938" s="570"/>
      <c r="F938" s="570"/>
    </row>
    <row r="939" spans="5:6" ht="21" customHeight="1" x14ac:dyDescent="0.3">
      <c r="E939" s="570"/>
      <c r="F939" s="570"/>
    </row>
    <row r="940" spans="5:6" ht="21" customHeight="1" x14ac:dyDescent="0.3">
      <c r="E940" s="570"/>
      <c r="F940" s="570"/>
    </row>
    <row r="941" spans="5:6" ht="21" customHeight="1" x14ac:dyDescent="0.3">
      <c r="E941" s="570"/>
      <c r="F941" s="570"/>
    </row>
    <row r="942" spans="5:6" ht="21" customHeight="1" x14ac:dyDescent="0.3">
      <c r="E942" s="570"/>
      <c r="F942" s="570"/>
    </row>
    <row r="943" spans="5:6" ht="21" customHeight="1" x14ac:dyDescent="0.3">
      <c r="E943" s="570"/>
      <c r="F943" s="570"/>
    </row>
    <row r="944" spans="5:6" ht="21" customHeight="1" x14ac:dyDescent="0.3">
      <c r="E944" s="570"/>
      <c r="F944" s="570"/>
    </row>
    <row r="945" spans="5:6" ht="21" customHeight="1" x14ac:dyDescent="0.3">
      <c r="E945" s="570"/>
      <c r="F945" s="570"/>
    </row>
    <row r="946" spans="5:6" ht="21" customHeight="1" x14ac:dyDescent="0.3">
      <c r="E946" s="570"/>
      <c r="F946" s="570"/>
    </row>
    <row r="947" spans="5:6" ht="21" customHeight="1" x14ac:dyDescent="0.3">
      <c r="E947" s="570"/>
      <c r="F947" s="570"/>
    </row>
    <row r="948" spans="5:6" ht="21" customHeight="1" x14ac:dyDescent="0.3">
      <c r="E948" s="570"/>
      <c r="F948" s="570"/>
    </row>
    <row r="949" spans="5:6" ht="21" customHeight="1" x14ac:dyDescent="0.3">
      <c r="E949" s="570"/>
      <c r="F949" s="570"/>
    </row>
    <row r="950" spans="5:6" ht="21" customHeight="1" x14ac:dyDescent="0.3">
      <c r="E950" s="570"/>
      <c r="F950" s="570"/>
    </row>
    <row r="951" spans="5:6" ht="21" customHeight="1" x14ac:dyDescent="0.3">
      <c r="E951" s="570"/>
      <c r="F951" s="570"/>
    </row>
    <row r="952" spans="5:6" ht="21" customHeight="1" x14ac:dyDescent="0.3">
      <c r="E952" s="570"/>
      <c r="F952" s="570"/>
    </row>
    <row r="953" spans="5:6" ht="21" customHeight="1" x14ac:dyDescent="0.3">
      <c r="E953" s="570"/>
      <c r="F953" s="570"/>
    </row>
    <row r="954" spans="5:6" ht="21" customHeight="1" x14ac:dyDescent="0.3">
      <c r="E954" s="570"/>
      <c r="F954" s="570"/>
    </row>
    <row r="955" spans="5:6" ht="21" customHeight="1" x14ac:dyDescent="0.3">
      <c r="E955" s="570"/>
      <c r="F955" s="570"/>
    </row>
    <row r="956" spans="5:6" ht="21" customHeight="1" x14ac:dyDescent="0.3">
      <c r="E956" s="570"/>
      <c r="F956" s="570"/>
    </row>
    <row r="957" spans="5:6" ht="21" customHeight="1" x14ac:dyDescent="0.3">
      <c r="E957" s="570"/>
      <c r="F957" s="570"/>
    </row>
    <row r="958" spans="5:6" ht="21" customHeight="1" x14ac:dyDescent="0.3">
      <c r="E958" s="570"/>
      <c r="F958" s="570"/>
    </row>
    <row r="959" spans="5:6" ht="21" customHeight="1" x14ac:dyDescent="0.3">
      <c r="E959" s="570"/>
      <c r="F959" s="570"/>
    </row>
    <row r="960" spans="5:6" ht="21" customHeight="1" x14ac:dyDescent="0.3">
      <c r="E960" s="570"/>
      <c r="F960" s="570"/>
    </row>
    <row r="961" spans="5:6" ht="21" customHeight="1" x14ac:dyDescent="0.3">
      <c r="E961" s="570"/>
      <c r="F961" s="570"/>
    </row>
    <row r="962" spans="5:6" ht="21" customHeight="1" x14ac:dyDescent="0.3">
      <c r="E962" s="570"/>
      <c r="F962" s="570"/>
    </row>
    <row r="963" spans="5:6" ht="21" customHeight="1" x14ac:dyDescent="0.3">
      <c r="E963" s="570"/>
      <c r="F963" s="570"/>
    </row>
    <row r="964" spans="5:6" ht="21" customHeight="1" x14ac:dyDescent="0.3">
      <c r="E964" s="570"/>
      <c r="F964" s="570"/>
    </row>
    <row r="965" spans="5:6" ht="21" customHeight="1" x14ac:dyDescent="0.3">
      <c r="E965" s="570"/>
      <c r="F965" s="570"/>
    </row>
    <row r="966" spans="5:6" ht="21" customHeight="1" x14ac:dyDescent="0.3">
      <c r="E966" s="570"/>
      <c r="F966" s="570"/>
    </row>
    <row r="967" spans="5:6" ht="21" customHeight="1" x14ac:dyDescent="0.3">
      <c r="E967" s="570"/>
      <c r="F967" s="570"/>
    </row>
    <row r="968" spans="5:6" ht="21" customHeight="1" x14ac:dyDescent="0.3">
      <c r="E968" s="570"/>
      <c r="F968" s="570"/>
    </row>
    <row r="969" spans="5:6" ht="21" customHeight="1" x14ac:dyDescent="0.3">
      <c r="E969" s="570"/>
      <c r="F969" s="570"/>
    </row>
    <row r="970" spans="5:6" ht="21" customHeight="1" x14ac:dyDescent="0.3">
      <c r="E970" s="570"/>
      <c r="F970" s="570"/>
    </row>
    <row r="971" spans="5:6" ht="21" customHeight="1" x14ac:dyDescent="0.3">
      <c r="E971" s="570"/>
      <c r="F971" s="570"/>
    </row>
    <row r="972" spans="5:6" ht="21" customHeight="1" x14ac:dyDescent="0.3">
      <c r="E972" s="570"/>
      <c r="F972" s="570"/>
    </row>
    <row r="973" spans="5:6" ht="21" customHeight="1" x14ac:dyDescent="0.3">
      <c r="E973" s="570"/>
      <c r="F973" s="570"/>
    </row>
    <row r="974" spans="5:6" ht="21" customHeight="1" x14ac:dyDescent="0.3">
      <c r="E974" s="570"/>
      <c r="F974" s="570"/>
    </row>
    <row r="975" spans="5:6" ht="21" customHeight="1" x14ac:dyDescent="0.3">
      <c r="E975" s="570"/>
      <c r="F975" s="570"/>
    </row>
    <row r="976" spans="5:6" ht="21" customHeight="1" x14ac:dyDescent="0.3">
      <c r="E976" s="570"/>
      <c r="F976" s="570"/>
    </row>
    <row r="977" spans="5:6" ht="21" customHeight="1" x14ac:dyDescent="0.3">
      <c r="E977" s="570"/>
      <c r="F977" s="570"/>
    </row>
    <row r="978" spans="5:6" ht="21" customHeight="1" x14ac:dyDescent="0.3">
      <c r="E978" s="570"/>
      <c r="F978" s="570"/>
    </row>
    <row r="979" spans="5:6" ht="21" customHeight="1" x14ac:dyDescent="0.3">
      <c r="E979" s="570"/>
      <c r="F979" s="570"/>
    </row>
    <row r="980" spans="5:6" ht="21" customHeight="1" x14ac:dyDescent="0.3">
      <c r="E980" s="570"/>
      <c r="F980" s="570"/>
    </row>
    <row r="981" spans="5:6" ht="21" customHeight="1" x14ac:dyDescent="0.3">
      <c r="E981" s="570"/>
      <c r="F981" s="570"/>
    </row>
    <row r="982" spans="5:6" ht="21" customHeight="1" x14ac:dyDescent="0.3">
      <c r="E982" s="570"/>
      <c r="F982" s="570"/>
    </row>
    <row r="983" spans="5:6" ht="21" customHeight="1" x14ac:dyDescent="0.3">
      <c r="E983" s="570"/>
      <c r="F983" s="570"/>
    </row>
    <row r="984" spans="5:6" ht="21" customHeight="1" x14ac:dyDescent="0.3">
      <c r="E984" s="570"/>
      <c r="F984" s="570"/>
    </row>
    <row r="985" spans="5:6" ht="21" customHeight="1" x14ac:dyDescent="0.3">
      <c r="E985" s="570"/>
      <c r="F985" s="570"/>
    </row>
    <row r="986" spans="5:6" ht="21" customHeight="1" x14ac:dyDescent="0.3">
      <c r="E986" s="570"/>
      <c r="F986" s="570"/>
    </row>
    <row r="987" spans="5:6" ht="21" customHeight="1" x14ac:dyDescent="0.3">
      <c r="E987" s="570"/>
      <c r="F987" s="570"/>
    </row>
    <row r="988" spans="5:6" ht="21" customHeight="1" x14ac:dyDescent="0.3">
      <c r="E988" s="570"/>
      <c r="F988" s="570"/>
    </row>
    <row r="989" spans="5:6" ht="21" customHeight="1" x14ac:dyDescent="0.3">
      <c r="E989" s="570"/>
      <c r="F989" s="570"/>
    </row>
    <row r="990" spans="5:6" ht="21" customHeight="1" x14ac:dyDescent="0.3">
      <c r="E990" s="570"/>
      <c r="F990" s="570"/>
    </row>
    <row r="991" spans="5:6" ht="21" customHeight="1" x14ac:dyDescent="0.3">
      <c r="E991" s="570"/>
      <c r="F991" s="570"/>
    </row>
    <row r="992" spans="5:6" ht="21" customHeight="1" x14ac:dyDescent="0.3">
      <c r="E992" s="570"/>
      <c r="F992" s="570"/>
    </row>
    <row r="993" spans="5:6" ht="21" customHeight="1" x14ac:dyDescent="0.3">
      <c r="E993" s="570"/>
      <c r="F993" s="570"/>
    </row>
    <row r="994" spans="5:6" ht="21" customHeight="1" x14ac:dyDescent="0.3">
      <c r="E994" s="570"/>
      <c r="F994" s="570"/>
    </row>
    <row r="995" spans="5:6" ht="21" customHeight="1" x14ac:dyDescent="0.3">
      <c r="E995" s="570"/>
      <c r="F995" s="570"/>
    </row>
    <row r="996" spans="5:6" ht="21" customHeight="1" x14ac:dyDescent="0.3">
      <c r="E996" s="570"/>
      <c r="F996" s="570"/>
    </row>
    <row r="997" spans="5:6" ht="21" customHeight="1" x14ac:dyDescent="0.3">
      <c r="E997" s="570"/>
      <c r="F997" s="570"/>
    </row>
    <row r="998" spans="5:6" ht="21" customHeight="1" x14ac:dyDescent="0.3">
      <c r="E998" s="570"/>
      <c r="F998" s="570"/>
    </row>
    <row r="999" spans="5:6" ht="21" customHeight="1" x14ac:dyDescent="0.3">
      <c r="E999" s="570"/>
      <c r="F999" s="570"/>
    </row>
    <row r="1000" spans="5:6" ht="21" customHeight="1" x14ac:dyDescent="0.3">
      <c r="E1000" s="570"/>
      <c r="F1000" s="570"/>
    </row>
    <row r="1001" spans="5:6" ht="21" customHeight="1" x14ac:dyDescent="0.3">
      <c r="E1001" s="570"/>
      <c r="F1001" s="570"/>
    </row>
  </sheetData>
  <autoFilter ref="A2:AP211" xr:uid="{00000000-0009-0000-0000-000000000000}"/>
  <mergeCells count="42">
    <mergeCell ref="B2:C2"/>
    <mergeCell ref="B3:C3"/>
    <mergeCell ref="B4:C4"/>
    <mergeCell ref="B12:C12"/>
    <mergeCell ref="B16:C16"/>
    <mergeCell ref="B23:C23"/>
    <mergeCell ref="B26:C26"/>
    <mergeCell ref="B31:C31"/>
    <mergeCell ref="B32:C32"/>
    <mergeCell ref="B36:C36"/>
    <mergeCell ref="B39:C39"/>
    <mergeCell ref="B44:C44"/>
    <mergeCell ref="B52:C52"/>
    <mergeCell ref="B57:C57"/>
    <mergeCell ref="B77:C77"/>
    <mergeCell ref="B87:C87"/>
    <mergeCell ref="B91:C91"/>
    <mergeCell ref="B92:C92"/>
    <mergeCell ref="B99:C99"/>
    <mergeCell ref="B102:C102"/>
    <mergeCell ref="B105:C105"/>
    <mergeCell ref="B125:C125"/>
    <mergeCell ref="B130:C130"/>
    <mergeCell ref="B131:C131"/>
    <mergeCell ref="B140:C140"/>
    <mergeCell ref="B143:C143"/>
    <mergeCell ref="B148:C148"/>
    <mergeCell ref="B153:C153"/>
    <mergeCell ref="B186:C186"/>
    <mergeCell ref="B192:C192"/>
    <mergeCell ref="B160:C160"/>
    <mergeCell ref="B166:C166"/>
    <mergeCell ref="B171:C171"/>
    <mergeCell ref="B172:C172"/>
    <mergeCell ref="B175:C175"/>
    <mergeCell ref="B179:C179"/>
    <mergeCell ref="B184:C184"/>
    <mergeCell ref="B195:C195"/>
    <mergeCell ref="B199:C199"/>
    <mergeCell ref="B203:C203"/>
    <mergeCell ref="B206:C206"/>
    <mergeCell ref="B209:C209"/>
  </mergeCells>
  <pageMargins left="0.7" right="0.7" top="0.75" bottom="0.75"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2:S138"/>
  <sheetViews>
    <sheetView topLeftCell="C1" zoomScale="50" zoomScaleNormal="50" workbookViewId="0">
      <selection activeCell="D99" sqref="D99"/>
    </sheetView>
  </sheetViews>
  <sheetFormatPr baseColWidth="10" defaultColWidth="11.42578125" defaultRowHeight="15" x14ac:dyDescent="0.25"/>
  <cols>
    <col min="3" max="3" width="58.7109375" customWidth="1"/>
    <col min="4" max="4" width="33" customWidth="1"/>
    <col min="5" max="5" width="51.28515625" style="100" customWidth="1"/>
    <col min="6" max="6" width="38.7109375" customWidth="1"/>
    <col min="7" max="9" width="51.28515625" customWidth="1"/>
    <col min="10" max="10" width="29.28515625" customWidth="1"/>
    <col min="11" max="11" width="42.7109375" customWidth="1"/>
    <col min="17" max="17" width="63.5703125" customWidth="1"/>
    <col min="18" max="18" width="38.5703125" customWidth="1"/>
    <col min="19" max="19" width="39.140625" customWidth="1"/>
  </cols>
  <sheetData>
    <row r="2" spans="3:19" ht="14.45" customHeight="1" x14ac:dyDescent="0.25">
      <c r="C2" s="1424" t="s">
        <v>2101</v>
      </c>
      <c r="D2" s="1424"/>
      <c r="E2" s="1424"/>
      <c r="F2" s="1424"/>
      <c r="Q2" s="1418" t="s">
        <v>2102</v>
      </c>
      <c r="R2" s="1419"/>
      <c r="S2" s="1420"/>
    </row>
    <row r="3" spans="3:19" ht="52.9" customHeight="1" x14ac:dyDescent="0.25">
      <c r="C3" s="1424"/>
      <c r="D3" s="1424"/>
      <c r="E3" s="1424"/>
      <c r="F3" s="1424"/>
      <c r="Q3" s="1421"/>
      <c r="R3" s="1422"/>
      <c r="S3" s="1423"/>
    </row>
    <row r="4" spans="3:19" ht="57.6" customHeight="1" x14ac:dyDescent="0.25">
      <c r="C4" s="79"/>
      <c r="D4" s="928" t="s">
        <v>2103</v>
      </c>
      <c r="E4" s="928" t="s">
        <v>2104</v>
      </c>
      <c r="F4" s="928" t="s">
        <v>2105</v>
      </c>
      <c r="Q4" s="79"/>
      <c r="R4" s="80" t="s">
        <v>2106</v>
      </c>
      <c r="S4" s="80" t="s">
        <v>2107</v>
      </c>
    </row>
    <row r="5" spans="3:19" ht="18.75" x14ac:dyDescent="0.3">
      <c r="C5" s="78" t="str">
        <f>+'PLAN DE DESARROLLO 2024 - 2027'!B4</f>
        <v xml:space="preserve"> SEGURIDAD HUMANA
</v>
      </c>
      <c r="D5" s="973">
        <f>+'PLAN DE DESARROLLO 2024 - 2027'!F4</f>
        <v>0.6123413604111696</v>
      </c>
      <c r="E5" s="117">
        <f>+'PLAN DE DESARROLLO 2024 - 2027'!K4</f>
        <v>0.34188930071628293</v>
      </c>
      <c r="F5" s="97">
        <v>0.25472941442069297</v>
      </c>
      <c r="Q5" s="78" t="str">
        <f t="shared" ref="Q5:Q10" si="0">+C5</f>
        <v xml:space="preserve"> SEGURIDAD HUMANA
</v>
      </c>
      <c r="R5" s="99">
        <f>+'PLAN DE DESARROLLO 2024 - 2027'!G4+'PLAN DE DESARROLLO 2024 - 2027'!H4</f>
        <v>0.44282981141552602</v>
      </c>
      <c r="S5" s="99">
        <f>+'PLAN DE DESARROLLO 2024 - 2027'!M4</f>
        <v>0.31656637577834912</v>
      </c>
    </row>
    <row r="6" spans="3:19" x14ac:dyDescent="0.25">
      <c r="C6" s="9" t="str">
        <f>+'PLAN DE DESARROLLO 2024 - 2027'!B5</f>
        <v xml:space="preserve"> Seguridad Ciudadana y Orden Público 
</v>
      </c>
      <c r="D6" s="974">
        <f>+'PLAN DE DESARROLLO 2024 - 2027'!F5</f>
        <v>0.85079477210897558</v>
      </c>
      <c r="E6" s="112">
        <f>+'PLAN DE DESARROLLO 2024 - 2027'!K5</f>
        <v>0.49461278874289327</v>
      </c>
      <c r="F6" s="97">
        <v>0.40033301822466277</v>
      </c>
      <c r="Q6" s="9" t="str">
        <f t="shared" si="0"/>
        <v xml:space="preserve"> Seguridad Ciudadana y Orden Público 
</v>
      </c>
      <c r="R6" s="97">
        <f>+'PLAN DE DESARROLLO 2024 - 2027'!G5+'PLAN DE DESARROLLO 2024 - 2027'!H5</f>
        <v>0.60014227861996505</v>
      </c>
      <c r="S6" s="97">
        <f>+'PLAN DE DESARROLLO 2024 - 2027'!M5</f>
        <v>0.41274628372019412</v>
      </c>
    </row>
    <row r="7" spans="3:19" x14ac:dyDescent="0.25">
      <c r="C7" s="9" t="str">
        <f>+'PLAN DE DESARROLLO 2024 - 2027'!B11</f>
        <v xml:space="preserve">Construccion de paz, Derechos Humanos y Convivencia
</v>
      </c>
      <c r="D7" s="974">
        <f>+'PLAN DE DESARROLLO 2024 - 2027'!F11</f>
        <v>0.57512473701403577</v>
      </c>
      <c r="E7" s="119">
        <f>+'PLAN DE DESARROLLO 2024 - 2027'!K11</f>
        <v>0.34966418650793651</v>
      </c>
      <c r="F7" s="97">
        <v>0.25041408617424243</v>
      </c>
      <c r="Q7" s="79" t="str">
        <f t="shared" si="0"/>
        <v xml:space="preserve">Construccion de paz, Derechos Humanos y Convivencia
</v>
      </c>
      <c r="R7" s="97">
        <f>+'PLAN DE DESARROLLO 2024 - 2027'!G11+'PLAN DE DESARROLLO 2024 - 2027'!H11</f>
        <v>0.43021109496124033</v>
      </c>
      <c r="S7" s="97">
        <f>+'PLAN DE DESARROLLO 2024 - 2027'!M11</f>
        <v>0.31228099999999998</v>
      </c>
    </row>
    <row r="8" spans="3:19" x14ac:dyDescent="0.25">
      <c r="C8" s="9" t="str">
        <f>+'PLAN DE DESARROLLO 2024 - 2027'!B20</f>
        <v xml:space="preserve"> Salud Pública y Aseguramiento
</v>
      </c>
      <c r="D8" s="974">
        <f>+'PLAN DE DESARROLLO 2024 - 2027'!F20</f>
        <v>0.54395347999674115</v>
      </c>
      <c r="E8" s="117">
        <f>+'PLAN DE DESARROLLO 2024 - 2027'!K20</f>
        <v>0.28721175892609924</v>
      </c>
      <c r="F8" s="97">
        <v>0.20515575037857808</v>
      </c>
      <c r="Q8" s="9" t="str">
        <f t="shared" si="0"/>
        <v xml:space="preserve"> Salud Pública y Aseguramiento
</v>
      </c>
      <c r="R8" s="97">
        <f>+'PLAN DE DESARROLLO 2024 - 2027'!G20+'PLAN DE DESARROLLO 2024 - 2027'!H20</f>
        <v>0.52883823529411766</v>
      </c>
      <c r="S8" s="97">
        <f>+'PLAN DE DESARROLLO 2024 - 2027'!M20</f>
        <v>0.28043974578809849</v>
      </c>
    </row>
    <row r="9" spans="3:19" x14ac:dyDescent="0.25">
      <c r="C9" s="9" t="str">
        <f>+'PLAN DE DESARROLLO 2024 - 2027'!B26</f>
        <v xml:space="preserve">Atención Integral a Grupos de Especial Protección
</v>
      </c>
      <c r="D9" s="974">
        <f>+'PLAN DE DESARROLLO 2024 - 2027'!F26</f>
        <v>0.59259900218694317</v>
      </c>
      <c r="E9" s="117">
        <f>+'PLAN DE DESARROLLO 2024 - 2027'!K26</f>
        <v>0.34606870713027416</v>
      </c>
      <c r="F9" s="97">
        <v>0.24621230380461609</v>
      </c>
      <c r="Q9" s="9" t="str">
        <f t="shared" si="0"/>
        <v xml:space="preserve">Atención Integral a Grupos de Especial Protección
</v>
      </c>
      <c r="R9" s="97">
        <f>+'PLAN DE DESARROLLO 2024 - 2027'!G26+'PLAN DE DESARROLLO 2024 - 2027'!H26</f>
        <v>0.49009351856437344</v>
      </c>
      <c r="S9" s="97">
        <f>+'PLAN DE DESARROLLO 2024 - 2027'!M26</f>
        <v>0.28079297278084014</v>
      </c>
    </row>
    <row r="10" spans="3:19" x14ac:dyDescent="0.25">
      <c r="C10" s="9" t="str">
        <f>+'PLAN DE DESARROLLO 2024 - 2027'!B34</f>
        <v xml:space="preserve">Superación de la pobreza extrema y soberanía alimentaria
</v>
      </c>
      <c r="D10" s="974">
        <f>+'PLAN DE DESARROLLO 2024 - 2027'!F34</f>
        <v>0.46951250879731499</v>
      </c>
      <c r="E10" s="117">
        <f>+'PLAN DE DESARROLLO 2024 - 2027'!K34</f>
        <v>0.28132744900710766</v>
      </c>
      <c r="F10" s="97">
        <v>0.17153191352136538</v>
      </c>
      <c r="Q10" s="9" t="str">
        <f t="shared" si="0"/>
        <v xml:space="preserve">Superación de la pobreza extrema y soberanía alimentaria
</v>
      </c>
      <c r="R10" s="97">
        <f>+'PLAN DE DESARROLLO 2024 - 2027'!G34+'PLAN DE DESARROLLO 2024 - 2027'!H34</f>
        <v>0.43445002459917403</v>
      </c>
      <c r="S10" s="97">
        <f>+'PLAN DE DESARROLLO 2024 - 2027'!M34</f>
        <v>0.2790745770380203</v>
      </c>
    </row>
    <row r="12" spans="3:19" x14ac:dyDescent="0.25">
      <c r="D12" s="100"/>
      <c r="F12" s="100"/>
    </row>
    <row r="13" spans="3:19" x14ac:dyDescent="0.25">
      <c r="D13" s="100"/>
      <c r="F13" s="100"/>
    </row>
    <row r="29" spans="3:9" x14ac:dyDescent="0.25">
      <c r="D29" s="100"/>
    </row>
    <row r="31" spans="3:9" ht="81.599999999999994" customHeight="1" x14ac:dyDescent="0.25">
      <c r="C31" s="9"/>
      <c r="D31" s="80" t="s">
        <v>2108</v>
      </c>
      <c r="E31" s="927" t="s">
        <v>2109</v>
      </c>
    </row>
    <row r="32" spans="3:9" ht="30.75" x14ac:dyDescent="0.3">
      <c r="C32" s="76" t="str">
        <f>+'PLAN DE DESARROLLO 2024 - 2027'!B5</f>
        <v xml:space="preserve"> Seguridad Ciudadana y Orden Público 
</v>
      </c>
      <c r="D32" s="1117">
        <f>+S6</f>
        <v>0.41274628372019412</v>
      </c>
      <c r="E32" s="1119">
        <f>+'PLAN DE DESARROLLO 2024 - 2027'!K5</f>
        <v>0.49461278874289327</v>
      </c>
      <c r="G32" s="1256" t="s">
        <v>2110</v>
      </c>
      <c r="H32" s="1275"/>
      <c r="I32" s="1275"/>
    </row>
    <row r="33" spans="3:6" ht="34.9" customHeight="1" x14ac:dyDescent="0.25">
      <c r="C33" s="82" t="str">
        <f>+'PLAN DE DESARROLLO 2024 - 2027'!B6</f>
        <v xml:space="preserve"> PLAN ESTRATÉGICO DE SEGURIDAD INTEGRAL TITAN 24</v>
      </c>
      <c r="D33" s="1118">
        <f>+'PLAN DE DESARROLLO 2024 - 2027'!M6</f>
        <v>0.34500000000000003</v>
      </c>
      <c r="E33" s="119">
        <f>+'PLAN DE DESARROLLO 2024 - 2027'!K6</f>
        <v>0.37</v>
      </c>
    </row>
    <row r="34" spans="3:6" ht="15" customHeight="1" x14ac:dyDescent="0.25">
      <c r="C34" s="82" t="str">
        <f>+'PLAN DE DESARROLLO 2024 - 2027'!B7</f>
        <v>EL CUERPO DE BOMBEROS AVANZA</v>
      </c>
      <c r="D34" s="1118">
        <f>+'PLAN DE DESARROLLO 2024 - 2027'!M7</f>
        <v>0.64999999999999991</v>
      </c>
      <c r="E34" s="112">
        <f>+'PLAN DE DESARROLLO 2024 - 2027'!K7</f>
        <v>0.66666666666666663</v>
      </c>
    </row>
    <row r="35" spans="3:6" ht="24.75" x14ac:dyDescent="0.25">
      <c r="C35" s="82" t="str">
        <f>+'PLAN DE DESARROLLO 2024 - 2027'!B8</f>
        <v>SEGURIDAD YA CON DOTACIÓN A LOS ORGANISMOS DE SEGURIDAD, SOCORRO, JUSTICIA Y CONVIVENCIA Y TECNOLOGÍA PARA LA PREVENCIÓN</v>
      </c>
      <c r="D35" s="1118">
        <f>+'PLAN DE DESARROLLO 2024 - 2027'!M8</f>
        <v>0.23201677906731377</v>
      </c>
      <c r="E35" s="117">
        <f>+'PLAN DE DESARROLLO 2024 - 2027'!K8</f>
        <v>0.33748477704780006</v>
      </c>
    </row>
    <row r="36" spans="3:6" ht="31.9" customHeight="1" x14ac:dyDescent="0.25">
      <c r="C36" s="82" t="str">
        <f>+'PLAN DE DESARROLLO 2024 - 2027'!B9</f>
        <v xml:space="preserve"> SEGURIDAD YA EN LAS PLAYAS DE CARTAGENA</v>
      </c>
      <c r="D36" s="1118">
        <f>+'PLAN DE DESARROLLO 2024 - 2027'!M9</f>
        <v>0.77499999999999991</v>
      </c>
      <c r="E36" s="112">
        <f>+'PLAN DE DESARROLLO 2024 - 2027'!K9</f>
        <v>0.625</v>
      </c>
    </row>
    <row r="37" spans="3:6" ht="38.450000000000003" customHeight="1" x14ac:dyDescent="0.25">
      <c r="C37" s="82" t="str">
        <f>+'PLAN DE DESARROLLO 2024 - 2027'!B10</f>
        <v xml:space="preserve"> EDUCACIÓN, CULTURA Y SEGURIDAD VIAL PARA AVANZAR</v>
      </c>
      <c r="D37" s="1118">
        <f>+'PLAN DE DESARROLLO 2024 - 2027'!M10</f>
        <v>0.47391249999999996</v>
      </c>
      <c r="E37" s="112">
        <f>+'PLAN DE DESARROLLO 2024 - 2027'!K10</f>
        <v>0.47391249999999996</v>
      </c>
    </row>
    <row r="47" spans="3:6" ht="76.150000000000006" customHeight="1" x14ac:dyDescent="0.25">
      <c r="C47" s="9"/>
      <c r="D47" s="80" t="s">
        <v>2108</v>
      </c>
      <c r="E47" s="927" t="s">
        <v>2111</v>
      </c>
      <c r="F47" s="1275" t="s">
        <v>2110</v>
      </c>
    </row>
    <row r="48" spans="3:6" ht="55.9" customHeight="1" x14ac:dyDescent="0.3">
      <c r="C48" s="116" t="str">
        <f>+Q7</f>
        <v xml:space="preserve">Construccion de paz, Derechos Humanos y Convivencia
</v>
      </c>
      <c r="D48" s="926">
        <f>+S7</f>
        <v>0.31228099999999998</v>
      </c>
      <c r="E48" s="117">
        <f>+'PLAN DE DESARROLLO 2024 - 2027'!K11</f>
        <v>0.34966418650793651</v>
      </c>
    </row>
    <row r="49" spans="3:5" x14ac:dyDescent="0.25">
      <c r="C49" s="81" t="str">
        <f>+'PLAN DE DESARROLLO 2024 - 2027'!B12</f>
        <v xml:space="preserve"> UNA VIDA LIBRE DE VIOLENCIA PARA LAS MUJERES</v>
      </c>
      <c r="D49" s="83">
        <f>+'PLAN DE DESARROLLO 2024 - 2027'!M12</f>
        <v>0.67142000000000002</v>
      </c>
      <c r="E49" s="112">
        <f>+'PLAN DE DESARROLLO 2024 - 2027'!K12</f>
        <v>0.55993333333333328</v>
      </c>
    </row>
    <row r="50" spans="3:5" x14ac:dyDescent="0.25">
      <c r="C50" s="81" t="str">
        <f>+'PLAN DE DESARROLLO 2024 - 2027'!B13</f>
        <v xml:space="preserve"> DERECHO A LA PAZ Y CONVIVENCIA CON EQUIDAD DE GÉNERO</v>
      </c>
      <c r="D50" s="83">
        <f>+'PLAN DE DESARROLLO 2024 - 2027'!M13</f>
        <v>0.38600000000000001</v>
      </c>
      <c r="E50" s="117">
        <f>+'PLAN DE DESARROLLO 2024 - 2027'!K13</f>
        <v>0.33499999999999996</v>
      </c>
    </row>
    <row r="51" spans="3:5" x14ac:dyDescent="0.25">
      <c r="C51" s="81" t="str">
        <f>+'PLAN DE DESARROLLO 2024 - 2027'!B14</f>
        <v>CARTAGENA AVANZA EN CONVIVENCIA</v>
      </c>
      <c r="D51" s="83">
        <f>+'PLAN DE DESARROLLO 2024 - 2027'!M14</f>
        <v>0.41249999999999998</v>
      </c>
      <c r="E51" s="119">
        <f>+'PLAN DE DESARROLLO 2024 - 2027'!K14</f>
        <v>0.4375</v>
      </c>
    </row>
    <row r="52" spans="3:5" ht="30" x14ac:dyDescent="0.25">
      <c r="C52" s="81" t="str">
        <f>+'PLAN DE DESARROLLO 2024 - 2027'!B15</f>
        <v xml:space="preserve"> AVANZANDO EN EL FORTALECIMIENTO DE CASAS DE JUSTICIA, COMISARÍAS DE FAMILIA E INSPECCIONES DE POLICÍA</v>
      </c>
      <c r="D52" s="83">
        <f>+'PLAN DE DESARROLLO 2024 - 2027'!M15</f>
        <v>5.3666666666666668E-2</v>
      </c>
      <c r="E52" s="122">
        <f>+'PLAN DE DESARROLLO 2024 - 2027'!K15</f>
        <v>0.12428571428571428</v>
      </c>
    </row>
    <row r="53" spans="3:5" ht="30" x14ac:dyDescent="0.25">
      <c r="C53" s="81" t="str">
        <f>+'PLAN DE DESARROLLO 2024 - 2027'!B16</f>
        <v xml:space="preserve"> ATENCIÓN INTEGRAL A JÓVENES EN SITUACIÓN DE RIESGO SOCIAL</v>
      </c>
      <c r="D53" s="83">
        <f>+'PLAN DE DESARROLLO 2024 - 2027'!M16</f>
        <v>0.2359</v>
      </c>
      <c r="E53" s="119">
        <f>+'PLAN DE DESARROLLO 2024 - 2027'!K16</f>
        <v>0.3669</v>
      </c>
    </row>
    <row r="54" spans="3:5" ht="30" x14ac:dyDescent="0.25">
      <c r="C54" s="81" t="str">
        <f>+'PLAN DE DESARROLLO 2024 - 2027'!B17</f>
        <v>ASISTENCIA, ATENCIÓN Y REPARACIÓN EFECTIVA E INTEGRAL A LAS VÍCTIMAS DEL CONFLICTO ARMADO</v>
      </c>
      <c r="D54" s="83">
        <f>+'PLAN DE DESARROLLO 2024 - 2027'!M17</f>
        <v>0.21375000000000002</v>
      </c>
      <c r="E54" s="119">
        <f>+'PLAN DE DESARROLLO 2024 - 2027'!K17</f>
        <v>0.36224999999999996</v>
      </c>
    </row>
    <row r="55" spans="3:5" x14ac:dyDescent="0.25">
      <c r="C55" s="81" t="str">
        <f>+'PLAN DE DESARROLLO 2024 - 2027'!B18</f>
        <v>DERECHOS HUMANOS PARA LA VIDA DIGNA</v>
      </c>
      <c r="D55" s="83">
        <f>+'PLAN DE DESARROLLO 2024 - 2027'!M18</f>
        <v>0.27533000000000002</v>
      </c>
      <c r="E55" s="117">
        <f>+'PLAN DE DESARROLLO 2024 - 2027'!K18</f>
        <v>0.27811111111111114</v>
      </c>
    </row>
    <row r="56" spans="3:5" ht="30" x14ac:dyDescent="0.25">
      <c r="C56" s="81" t="str">
        <f>+'PLAN DE DESARROLLO 2024 - 2027'!B19</f>
        <v>SISTEMA PENITENCIARIO Y CARCELARIO EN EL MARCO DE LOS DERECHOS HUMANOS</v>
      </c>
      <c r="D56" s="83">
        <f>+'PLAN DE DESARROLLO 2024 - 2027'!M19</f>
        <v>0.1875</v>
      </c>
      <c r="E56" s="117">
        <f>+'PLAN DE DESARROLLO 2024 - 2027'!K19</f>
        <v>0.33333333333333331</v>
      </c>
    </row>
    <row r="59" spans="3:5" ht="30" x14ac:dyDescent="0.25">
      <c r="C59" s="9"/>
      <c r="D59" s="80" t="s">
        <v>2108</v>
      </c>
      <c r="E59" s="927" t="s">
        <v>2112</v>
      </c>
    </row>
    <row r="60" spans="3:5" ht="37.5" x14ac:dyDescent="0.3">
      <c r="C60" s="84" t="str">
        <f>+Q8</f>
        <v xml:space="preserve"> Salud Pública y Aseguramiento
</v>
      </c>
      <c r="D60" s="926">
        <f>+S8</f>
        <v>0.28043974578809849</v>
      </c>
      <c r="E60" s="117">
        <f>+'PLAN DE DESARROLLO 2024 - 2027'!K20</f>
        <v>0.28721175892609924</v>
      </c>
    </row>
    <row r="61" spans="3:5" x14ac:dyDescent="0.25">
      <c r="C61" s="81" t="str">
        <f>+'PLAN DE DESARROLLO 2024 - 2027'!B21</f>
        <v xml:space="preserve"> SALUD CON COBERTURA, ACCESIBILIDAD, CALIDAD E INCLUSIÓN</v>
      </c>
      <c r="D61" s="97">
        <f>+'PLAN DE DESARROLLO 2024 - 2027'!M21</f>
        <v>0.25439207525236118</v>
      </c>
      <c r="E61" s="117">
        <f>+'PLAN DE DESARROLLO 2024 - 2027'!K21</f>
        <v>0.32766876343400347</v>
      </c>
    </row>
    <row r="62" spans="3:5" ht="24.6" customHeight="1" x14ac:dyDescent="0.25">
      <c r="C62" s="81" t="str">
        <f>+'PLAN DE DESARROLLO 2024 - 2027'!B22</f>
        <v xml:space="preserve"> DERECHOS EN SALUD Y PROMOCIÓN SOCIAL</v>
      </c>
      <c r="D62" s="97">
        <f>+'PLAN DE DESARROLLO 2024 - 2027'!M22</f>
        <v>0.24562</v>
      </c>
      <c r="E62" s="121">
        <f>+'PLAN DE DESARROLLO 2024 - 2027'!K22</f>
        <v>0.2276</v>
      </c>
    </row>
    <row r="63" spans="3:5" ht="45" x14ac:dyDescent="0.25">
      <c r="C63" s="81" t="str">
        <f>+'PLAN DE DESARROLLO 2024 - 2027'!B23</f>
        <v xml:space="preserve"> FORTALECIMIENTO DEL CENTRO REGULADOR DE URGENCIAS, EMERGENCIAS Y DESASTRES EN EL DISTRITO DE CARTAGENA - CRUED</v>
      </c>
      <c r="D63" s="97">
        <f>+'PLAN DE DESARROLLO 2024 - 2027'!M23</f>
        <v>9.3103448275862075E-2</v>
      </c>
      <c r="E63" s="121">
        <f>+'PLAN DE DESARROLLO 2024 - 2027'!K23</f>
        <v>0.23275862068965517</v>
      </c>
    </row>
    <row r="64" spans="3:5" x14ac:dyDescent="0.25">
      <c r="C64" s="81" t="str">
        <f>+'PLAN DE DESARROLLO 2024 - 2027'!B24</f>
        <v>SALUD PÚBLICA</v>
      </c>
      <c r="D64" s="97">
        <f>+'PLAN DE DESARROLLO 2024 - 2027'!M24</f>
        <v>0.36570043655546475</v>
      </c>
      <c r="E64" s="119">
        <f>+'PLAN DE DESARROLLO 2024 - 2027'!K24</f>
        <v>0.36678141050683744</v>
      </c>
    </row>
    <row r="65" spans="3:6" x14ac:dyDescent="0.25">
      <c r="C65" s="81" t="str">
        <f>+'PLAN DE DESARROLLO 2024 - 2027'!B25</f>
        <v>CEMENTERIOS</v>
      </c>
      <c r="D65" s="97">
        <f>+'PLAN DE DESARROLLO 2024 - 2027'!M25</f>
        <v>0.22499999999999998</v>
      </c>
      <c r="E65" s="117">
        <f>+'PLAN DE DESARROLLO 2024 - 2027'!K25</f>
        <v>0.28125</v>
      </c>
    </row>
    <row r="69" spans="3:6" ht="72" customHeight="1" x14ac:dyDescent="0.25">
      <c r="C69" s="9"/>
      <c r="D69" s="80" t="s">
        <v>2108</v>
      </c>
      <c r="E69" s="927" t="s">
        <v>2113</v>
      </c>
      <c r="F69" s="1275" t="s">
        <v>2110</v>
      </c>
    </row>
    <row r="70" spans="3:6" ht="37.5" x14ac:dyDescent="0.3">
      <c r="C70" s="84" t="str">
        <f>+Q9</f>
        <v xml:space="preserve">Atención Integral a Grupos de Especial Protección
</v>
      </c>
      <c r="D70" s="97">
        <f>+S9</f>
        <v>0.28079297278084014</v>
      </c>
      <c r="E70" s="117">
        <f>+'PLAN DE DESARROLLO 2024 - 2027'!K26</f>
        <v>0.34606870713027416</v>
      </c>
    </row>
    <row r="71" spans="3:6" ht="39.6" customHeight="1" x14ac:dyDescent="0.25">
      <c r="C71" s="81" t="str">
        <f>+'PLAN DE DESARROLLO 2024 - 2027'!B27</f>
        <v xml:space="preserve"> FORTALECIMIENTO A LA PROTECCIÓN DIGNA DE LAS PERSONAS MAYORES EN EL DISTRITO DE CARTAGENA</v>
      </c>
      <c r="D71" s="97">
        <f>+'PLAN DE DESARROLLO 2024 - 2027'!M27</f>
        <v>0.24358114655205626</v>
      </c>
      <c r="E71" s="117">
        <f>+'PLAN DE DESARROLLO 2024 - 2027'!K27</f>
        <v>0.33444201468746987</v>
      </c>
    </row>
    <row r="72" spans="3:6" ht="60" customHeight="1" x14ac:dyDescent="0.25">
      <c r="C72" s="81" t="str">
        <f>+'PLAN DE DESARROLLO 2024 - 2027'!B28</f>
        <v xml:space="preserve"> ASISTENCIA SOCIAL E INCLUYENTE A LAS PERSONAS CON DISCAPACIDAD Y/O SU FAMILIA O CUIDADORES PARA LA SEGURIDAD HUMANA Y BIENESTAR SOCIAL</v>
      </c>
      <c r="D72" s="97">
        <f>+'PLAN DE DESARROLLO 2024 - 2027'!M28</f>
        <v>0.33893395133256082</v>
      </c>
      <c r="E72" s="121">
        <f>+'PLAN DE DESARROLLO 2024 - 2027'!K28</f>
        <v>0.18829663962920046</v>
      </c>
    </row>
    <row r="73" spans="3:6" ht="30" x14ac:dyDescent="0.25">
      <c r="C73" s="81" t="str">
        <f>+'PLAN DE DESARROLLO 2024 - 2027'!B29</f>
        <v xml:space="preserve"> UNIDOS PARA LA INCLUSIÓN PRODUCTIVA DE LAS PERSONAS CON DISCAPACIDAD</v>
      </c>
      <c r="D73" s="97">
        <f>+'PLAN DE DESARROLLO 2024 - 2027'!M29</f>
        <v>0.26300000000000001</v>
      </c>
      <c r="E73" s="117">
        <f>+'PLAN DE DESARROLLO 2024 - 2027'!K29</f>
        <v>0.25708333333333333</v>
      </c>
    </row>
    <row r="74" spans="3:6" ht="38.450000000000003" customHeight="1" x14ac:dyDescent="0.25">
      <c r="C74" s="81" t="str">
        <f>+'PLAN DE DESARROLLO 2024 - 2027'!B30</f>
        <v xml:space="preserve"> CIUDADANOS HABITANTES DE CALLE CON PROTECCIÓN SOCIAL Y GARANTÍA DE DERECHOS</v>
      </c>
      <c r="D74" s="97">
        <f>+'PLAN DE DESARROLLO 2024 - 2027'!M30</f>
        <v>0.35625000000000001</v>
      </c>
      <c r="E74" s="112">
        <f>+'PLAN DE DESARROLLO 2024 - 2027'!K30</f>
        <v>0.46875</v>
      </c>
    </row>
    <row r="75" spans="3:6" ht="20.45" customHeight="1" x14ac:dyDescent="0.25">
      <c r="C75" s="81" t="str">
        <f>+'PLAN DE DESARROLLO 2024 - 2027'!B31</f>
        <v xml:space="preserve"> ATENCIÓN INTEGRAL AL MIGRANTE</v>
      </c>
      <c r="D75" s="97">
        <f>+'PLAN DE DESARROLLO 2024 - 2027'!M31</f>
        <v>0.1863990640783334</v>
      </c>
      <c r="E75" s="119">
        <f>+'PLAN DE DESARROLLO 2024 - 2027'!K31</f>
        <v>0.35094025513164118</v>
      </c>
    </row>
    <row r="76" spans="3:6" ht="24" customHeight="1" x14ac:dyDescent="0.25">
      <c r="C76" s="81" t="str">
        <f>+'PLAN DE DESARROLLO 2024 - 2027'!B32</f>
        <v xml:space="preserve"> CARTAGENA DIVERSA</v>
      </c>
      <c r="D76" s="97">
        <f>+'PLAN DE DESARROLLO 2024 - 2027'!M32</f>
        <v>0.25960000000000005</v>
      </c>
      <c r="E76" s="119">
        <f>+'PLAN DE DESARROLLO 2024 - 2027'!K32</f>
        <v>0.3644</v>
      </c>
    </row>
    <row r="81" spans="3:6" ht="76.150000000000006" customHeight="1" x14ac:dyDescent="0.25">
      <c r="C81" s="9"/>
      <c r="D81" s="80" t="s">
        <v>2108</v>
      </c>
      <c r="E81" s="927" t="s">
        <v>2114</v>
      </c>
      <c r="F81" s="1275" t="s">
        <v>2110</v>
      </c>
    </row>
    <row r="82" spans="3:6" ht="56.25" x14ac:dyDescent="0.3">
      <c r="C82" s="84" t="str">
        <f>+'PLAN DE DESARROLLO 2024 - 2027'!B34</f>
        <v xml:space="preserve">Superación de la pobreza extrema y soberanía alimentaria
</v>
      </c>
      <c r="D82" s="97">
        <f>+S10</f>
        <v>0.2790745770380203</v>
      </c>
      <c r="E82" s="117">
        <f>+'PLAN DE DESARROLLO 2024 - 2027'!K34</f>
        <v>0.28132744900710766</v>
      </c>
    </row>
    <row r="83" spans="3:6" ht="30" x14ac:dyDescent="0.25">
      <c r="C83" s="81" t="str">
        <f>+'PLAN DE DESARROLLO 2024 - 2027'!B35</f>
        <v xml:space="preserve"> IDENTIFICACIÓN PARA LA SUPERACIÓN DE LA POBREZA EXTREMA</v>
      </c>
      <c r="D83" s="97">
        <f>+'PLAN DE DESARROLLO 2024 - 2027'!M35</f>
        <v>0.22045113636363634</v>
      </c>
      <c r="E83" s="121">
        <f>+'PLAN DE DESARROLLO 2024 - 2027'!K35</f>
        <v>0.18733522727272728</v>
      </c>
    </row>
    <row r="84" spans="3:6" x14ac:dyDescent="0.25">
      <c r="C84" s="81" t="str">
        <f>+'PLAN DE DESARROLLO 2024 - 2027'!B36</f>
        <v xml:space="preserve"> SALUD PARA LA SUPERACIÓN DE LA POBREZA EXTREMA</v>
      </c>
      <c r="D84" s="97">
        <f>+'PLAN DE DESARROLLO 2024 - 2027'!M36</f>
        <v>0.69518000000000002</v>
      </c>
      <c r="E84" s="112">
        <f>+'PLAN DE DESARROLLO 2024 - 2027'!K36</f>
        <v>0.70928888888888897</v>
      </c>
    </row>
    <row r="85" spans="3:6" x14ac:dyDescent="0.25">
      <c r="C85" s="81" t="str">
        <f>+'PLAN DE DESARROLLO 2024 - 2027'!B37</f>
        <v xml:space="preserve"> EDUCACIÓN PARA LA SUPERACIÓN DE LA POBREZA EXTREMA</v>
      </c>
      <c r="D85" s="97">
        <f>+'PLAN DE DESARROLLO 2024 - 2027'!M37</f>
        <v>0.22222551126195619</v>
      </c>
      <c r="E85" s="121">
        <f>+'PLAN DE DESARROLLO 2024 - 2027'!K37</f>
        <v>0.20480867479173093</v>
      </c>
    </row>
    <row r="86" spans="3:6" x14ac:dyDescent="0.25">
      <c r="C86" s="81" t="str">
        <f>+'PLAN DE DESARROLLO 2024 - 2027'!B38</f>
        <v xml:space="preserve"> HABITABILIDAD PARA LA SUPERACIÓN DE LA POBREZA EXTREMA</v>
      </c>
      <c r="D86" s="97">
        <f>+'PLAN DE DESARROLLO 2024 - 2027'!M38</f>
        <v>6.3399999999999998E-2</v>
      </c>
      <c r="E86" s="122">
        <f>+'PLAN DE DESARROLLO 2024 - 2027'!K38</f>
        <v>6.3399999999999998E-2</v>
      </c>
    </row>
    <row r="87" spans="3:6" ht="30" x14ac:dyDescent="0.25">
      <c r="C87" s="81" t="str">
        <f>+'PLAN DE DESARROLLO 2024 - 2027'!B39</f>
        <v xml:space="preserve"> INGRESO Y TRABAJO PARA LA SUPERACIÓN DE LA POBREZA EXTREMA</v>
      </c>
      <c r="D87" s="97">
        <f>+'PLAN DE DESARROLLO 2024 - 2027'!M39</f>
        <v>0.19356046052631579</v>
      </c>
      <c r="E87" s="121">
        <f>+'PLAN DE DESARROLLO 2024 - 2027'!K39</f>
        <v>0.19610328947368422</v>
      </c>
    </row>
    <row r="88" spans="3:6" ht="30" x14ac:dyDescent="0.25">
      <c r="C88" s="81" t="str">
        <f>+'PLAN DE DESARROLLO 2024 - 2027'!B40</f>
        <v xml:space="preserve"> BANCARIZACIÓN PARA LA SUPERACIÓN DE LA POBREZA EXTREMA</v>
      </c>
      <c r="D88" s="97">
        <f>+'PLAN DE DESARROLLO 2024 - 2027'!M40</f>
        <v>1.2E-2</v>
      </c>
      <c r="E88" s="122">
        <f>+'PLAN DE DESARROLLO 2024 - 2027'!K40</f>
        <v>0.02</v>
      </c>
    </row>
    <row r="89" spans="3:6" ht="30" x14ac:dyDescent="0.25">
      <c r="C89" s="81" t="str">
        <f>+'PLAN DE DESARROLLO 2024 - 2027'!B41</f>
        <v xml:space="preserve"> DINÁMICA FAMILIAR PARA LA SUPERACIÓN DE LA POBREZA EXTREMA</v>
      </c>
      <c r="D89" s="97">
        <f>+'PLAN DE DESARROLLO 2024 - 2027'!M41</f>
        <v>0.3579194139194139</v>
      </c>
      <c r="E89" s="117">
        <f>+'PLAN DE DESARROLLO 2024 - 2027'!K41</f>
        <v>0.34927960927960927</v>
      </c>
    </row>
    <row r="90" spans="3:6" ht="30" x14ac:dyDescent="0.25">
      <c r="C90" s="81" t="str">
        <f>+'PLAN DE DESARROLLO 2024 - 2027'!B42</f>
        <v xml:space="preserve"> SEGURIDAD ALIMENTARIA Y NUTRICIÓN PARA LA SUPERACIÓN DE LA POBREZA EXTREMA</v>
      </c>
      <c r="D90" s="97">
        <f>+'PLAN DE DESARROLLO 2024 - 2027'!M42</f>
        <v>0.15861666666666666</v>
      </c>
      <c r="E90" s="117">
        <f>+'PLAN DE DESARROLLO 2024 - 2027'!K42</f>
        <v>0.27825</v>
      </c>
    </row>
    <row r="91" spans="3:6" ht="30" x14ac:dyDescent="0.25">
      <c r="C91" s="81" t="str">
        <f>+'PLAN DE DESARROLLO 2024 - 2027'!B43</f>
        <v xml:space="preserve"> ACCESO A LA JUSTICIA PARA LA SUPERACIÓN DE LA POBREZA EXTREMA</v>
      </c>
      <c r="D91" s="97">
        <f>+'PLAN DE DESARROLLO 2024 - 2027'!M43</f>
        <v>0.59558823529411775</v>
      </c>
      <c r="E91" s="112">
        <f>+'PLAN DE DESARROLLO 2024 - 2027'!K43</f>
        <v>0.57352941176470584</v>
      </c>
    </row>
    <row r="92" spans="3:6" ht="30" x14ac:dyDescent="0.25">
      <c r="C92" s="81" t="str">
        <f>+'PLAN DE DESARROLLO 2024 - 2027'!B44</f>
        <v xml:space="preserve"> FORTALECIMIENTO INSTITUCIONAL PARA LA SUPERACIÓN DE LA POBREZA EXTREMA</v>
      </c>
      <c r="D92" s="97">
        <f>+'PLAN DE DESARROLLO 2024 - 2027'!M44</f>
        <v>0.27944444444444444</v>
      </c>
      <c r="E92" s="117">
        <f>+'PLAN DE DESARROLLO 2024 - 2027'!K44</f>
        <v>0.27222222222222225</v>
      </c>
    </row>
    <row r="93" spans="3:6" ht="45" x14ac:dyDescent="0.25">
      <c r="C93" s="81" t="str">
        <f>+'PLAN DE DESARROLLO 2024 - 2027'!B45</f>
        <v xml:space="preserve"> FORTALECIMIENTO INSTITUCIONAL DE RENTA CIUDADANA, RENTA JOVEN Y COLOMBIA MAYOR PARA LA SUPERACIÓN DE LA POBREZA EXTREMA</v>
      </c>
      <c r="D93" s="97">
        <f>+'PLAN DE DESARROLLO 2024 - 2027'!M45</f>
        <v>0.24230769230769231</v>
      </c>
      <c r="E93" s="121">
        <f>+'PLAN DE DESARROLLO 2024 - 2027'!K45</f>
        <v>0.24038461538461539</v>
      </c>
    </row>
    <row r="95" spans="3:6" x14ac:dyDescent="0.25">
      <c r="E95"/>
    </row>
    <row r="96" spans="3:6" ht="75.599999999999994" customHeight="1" x14ac:dyDescent="0.25">
      <c r="C96" s="9"/>
      <c r="D96" s="927" t="s">
        <v>2115</v>
      </c>
      <c r="E96"/>
    </row>
    <row r="97" spans="3:5" ht="37.5" x14ac:dyDescent="0.3">
      <c r="C97" s="84" t="str">
        <f t="shared" ref="C97:C102" si="1">+C5</f>
        <v xml:space="preserve"> SEGURIDAD HUMANA
</v>
      </c>
      <c r="D97" s="929">
        <f>+'PLAN DE DESARROLLO 2024 - 2027'!I4</f>
        <v>0.36948496991755925</v>
      </c>
      <c r="E97"/>
    </row>
    <row r="98" spans="3:5" x14ac:dyDescent="0.25">
      <c r="C98" s="9" t="str">
        <f t="shared" si="1"/>
        <v xml:space="preserve"> Seguridad Ciudadana y Orden Público 
</v>
      </c>
      <c r="D98" s="120">
        <f>+'PLAN DE DESARROLLO 2024 - 2027'!I5</f>
        <v>0.27357736692477463</v>
      </c>
      <c r="E98"/>
    </row>
    <row r="99" spans="3:5" x14ac:dyDescent="0.25">
      <c r="C99" s="9" t="str">
        <f t="shared" si="1"/>
        <v xml:space="preserve">Construccion de paz, Derechos Humanos y Convivencia
</v>
      </c>
      <c r="D99" s="118">
        <f>+'PLAN DE DESARROLLO 2024 - 2027'!I11</f>
        <v>0.40853792240693437</v>
      </c>
      <c r="E99"/>
    </row>
    <row r="100" spans="3:5" x14ac:dyDescent="0.25">
      <c r="C100" s="9" t="str">
        <f t="shared" si="1"/>
        <v xml:space="preserve"> Salud Pública y Aseguramiento
</v>
      </c>
      <c r="D100" s="118">
        <f>+'PLAN DE DESARROLLO 2024 - 2027'!I20</f>
        <v>0.39703208372568849</v>
      </c>
      <c r="E100"/>
    </row>
    <row r="101" spans="3:5" x14ac:dyDescent="0.25">
      <c r="C101" s="9" t="str">
        <f t="shared" si="1"/>
        <v xml:space="preserve">Atención Integral a Grupos de Especial Protección
</v>
      </c>
      <c r="D101" s="118">
        <f>+'PLAN DE DESARROLLO 2024 - 2027'!I26</f>
        <v>0.38626405715864992</v>
      </c>
      <c r="E101"/>
    </row>
    <row r="102" spans="3:5" x14ac:dyDescent="0.25">
      <c r="C102" s="9" t="str">
        <f t="shared" si="1"/>
        <v xml:space="preserve">Superación de la pobreza extrema y soberanía alimentaria
</v>
      </c>
      <c r="D102" s="118">
        <f>+'PLAN DE DESARROLLO 2024 - 2027'!I34</f>
        <v>0.38201341937174882</v>
      </c>
      <c r="E102"/>
    </row>
    <row r="103" spans="3:5" x14ac:dyDescent="0.25">
      <c r="E103"/>
    </row>
    <row r="104" spans="3:5" x14ac:dyDescent="0.25">
      <c r="E104"/>
    </row>
    <row r="110" spans="3:5" x14ac:dyDescent="0.25">
      <c r="E110"/>
    </row>
    <row r="111" spans="3:5" x14ac:dyDescent="0.25">
      <c r="E111"/>
    </row>
    <row r="112" spans="3:5" x14ac:dyDescent="0.25">
      <c r="E112"/>
    </row>
    <row r="113" spans="3:5" x14ac:dyDescent="0.25">
      <c r="E113"/>
    </row>
    <row r="114" spans="3:5" x14ac:dyDescent="0.25">
      <c r="E114"/>
    </row>
    <row r="115" spans="3:5" x14ac:dyDescent="0.25">
      <c r="E115"/>
    </row>
    <row r="116" spans="3:5" x14ac:dyDescent="0.25">
      <c r="E116"/>
    </row>
    <row r="117" spans="3:5" x14ac:dyDescent="0.25">
      <c r="E117"/>
    </row>
    <row r="118" spans="3:5" x14ac:dyDescent="0.25">
      <c r="E118"/>
    </row>
    <row r="119" spans="3:5" x14ac:dyDescent="0.25">
      <c r="E119"/>
    </row>
    <row r="120" spans="3:5" x14ac:dyDescent="0.25">
      <c r="E120"/>
    </row>
    <row r="121" spans="3:5" ht="32.450000000000003" customHeight="1" x14ac:dyDescent="0.25">
      <c r="E121"/>
    </row>
    <row r="122" spans="3:5" ht="32.450000000000003" customHeight="1" x14ac:dyDescent="0.25">
      <c r="E122"/>
    </row>
    <row r="123" spans="3:5" ht="29.45" customHeight="1" x14ac:dyDescent="0.25">
      <c r="E123"/>
    </row>
    <row r="124" spans="3:5" x14ac:dyDescent="0.25">
      <c r="C124" s="1425" t="s">
        <v>2116</v>
      </c>
      <c r="D124" s="1425"/>
      <c r="E124" s="1425"/>
    </row>
    <row r="125" spans="3:5" x14ac:dyDescent="0.25">
      <c r="C125" s="1425"/>
      <c r="D125" s="1425"/>
      <c r="E125" s="1425"/>
    </row>
    <row r="126" spans="3:5" ht="30" x14ac:dyDescent="0.25">
      <c r="C126" s="115" t="s">
        <v>2117</v>
      </c>
      <c r="D126" s="85" t="s">
        <v>2118</v>
      </c>
      <c r="E126" s="114" t="s">
        <v>2119</v>
      </c>
    </row>
    <row r="127" spans="3:5" ht="52.9" customHeight="1" x14ac:dyDescent="0.25">
      <c r="C127" s="81" t="s">
        <v>122</v>
      </c>
      <c r="D127" s="122">
        <v>0.14214285714285713</v>
      </c>
      <c r="E127" s="1276" t="s">
        <v>2120</v>
      </c>
    </row>
    <row r="128" spans="3:5" ht="44.45" customHeight="1" x14ac:dyDescent="0.25">
      <c r="C128" s="81" t="s">
        <v>233</v>
      </c>
      <c r="D128" s="121">
        <v>0.2276</v>
      </c>
      <c r="E128" s="1276" t="s">
        <v>219</v>
      </c>
    </row>
    <row r="129" spans="3:5" ht="75.599999999999994" customHeight="1" x14ac:dyDescent="0.25">
      <c r="C129" s="81" t="s">
        <v>238</v>
      </c>
      <c r="D129" s="121">
        <v>0.23275862068965517</v>
      </c>
      <c r="E129" s="1276" t="s">
        <v>219</v>
      </c>
    </row>
    <row r="130" spans="3:5" ht="74.45" customHeight="1" x14ac:dyDescent="0.25">
      <c r="C130" s="81" t="s">
        <v>313</v>
      </c>
      <c r="D130" s="121">
        <v>0.18829663962920046</v>
      </c>
      <c r="E130" s="1276" t="s">
        <v>103</v>
      </c>
    </row>
    <row r="131" spans="3:5" ht="64.900000000000006" customHeight="1" x14ac:dyDescent="0.25">
      <c r="C131" s="81" t="s">
        <v>383</v>
      </c>
      <c r="D131" s="121">
        <v>0.18733522727272728</v>
      </c>
      <c r="E131" s="1276" t="s">
        <v>2121</v>
      </c>
    </row>
    <row r="132" spans="3:5" ht="46.9" customHeight="1" x14ac:dyDescent="0.25">
      <c r="C132" s="81" t="s">
        <v>1959</v>
      </c>
      <c r="D132" s="121">
        <v>0.20480867479173093</v>
      </c>
      <c r="E132" s="1276" t="s">
        <v>2121</v>
      </c>
    </row>
    <row r="133" spans="3:5" ht="36" customHeight="1" x14ac:dyDescent="0.25">
      <c r="C133" s="81" t="s">
        <v>1960</v>
      </c>
      <c r="D133" s="122">
        <v>6.3399999999999998E-2</v>
      </c>
      <c r="E133" s="1276" t="s">
        <v>2121</v>
      </c>
    </row>
    <row r="134" spans="3:5" ht="31.15" customHeight="1" x14ac:dyDescent="0.25">
      <c r="C134" s="81" t="s">
        <v>1961</v>
      </c>
      <c r="D134" s="121">
        <v>0.19610328947368422</v>
      </c>
      <c r="E134" s="1276" t="s">
        <v>2121</v>
      </c>
    </row>
    <row r="135" spans="3:5" ht="58.9" customHeight="1" x14ac:dyDescent="0.25">
      <c r="C135" s="81" t="s">
        <v>421</v>
      </c>
      <c r="D135" s="122">
        <v>0.02</v>
      </c>
      <c r="E135" s="1276" t="s">
        <v>2121</v>
      </c>
    </row>
    <row r="136" spans="3:5" ht="49.15" customHeight="1" x14ac:dyDescent="0.25">
      <c r="C136" s="81" t="s">
        <v>450</v>
      </c>
      <c r="D136" s="121">
        <v>0.24038461538461539</v>
      </c>
      <c r="E136" s="1276" t="s">
        <v>2121</v>
      </c>
    </row>
    <row r="137" spans="3:5" x14ac:dyDescent="0.25">
      <c r="E137"/>
    </row>
    <row r="138" spans="3:5" x14ac:dyDescent="0.25">
      <c r="E138"/>
    </row>
  </sheetData>
  <mergeCells count="3">
    <mergeCell ref="Q2:S3"/>
    <mergeCell ref="C2:F3"/>
    <mergeCell ref="C124:E12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C2:O160"/>
  <sheetViews>
    <sheetView topLeftCell="A121" zoomScale="50" zoomScaleNormal="50" workbookViewId="0">
      <selection activeCell="D147" sqref="D147"/>
    </sheetView>
  </sheetViews>
  <sheetFormatPr baseColWidth="10" defaultColWidth="11.42578125" defaultRowHeight="15" x14ac:dyDescent="0.25"/>
  <cols>
    <col min="3" max="3" width="58.7109375" customWidth="1"/>
    <col min="4" max="4" width="44.85546875" customWidth="1"/>
    <col min="5" max="5" width="56.28515625" customWidth="1"/>
    <col min="6" max="6" width="43.140625" customWidth="1"/>
    <col min="7" max="7" width="60" customWidth="1"/>
    <col min="8" max="8" width="29.28515625" customWidth="1"/>
    <col min="9" max="9" width="42.7109375" customWidth="1"/>
    <col min="13" max="13" width="41.5703125" customWidth="1"/>
    <col min="14" max="14" width="40.28515625" customWidth="1"/>
    <col min="15" max="15" width="40" customWidth="1"/>
  </cols>
  <sheetData>
    <row r="2" spans="3:15" ht="14.45" customHeight="1" x14ac:dyDescent="0.25">
      <c r="C2" s="1424" t="s">
        <v>2122</v>
      </c>
      <c r="D2" s="1424"/>
      <c r="E2" s="1424"/>
      <c r="F2" s="1424"/>
    </row>
    <row r="3" spans="3:15" ht="51.6" customHeight="1" x14ac:dyDescent="0.25">
      <c r="C3" s="1424"/>
      <c r="D3" s="1424"/>
      <c r="E3" s="1424"/>
      <c r="F3" s="1424"/>
      <c r="M3" s="1426" t="s">
        <v>2123</v>
      </c>
      <c r="N3" s="1427"/>
      <c r="O3" s="1428"/>
    </row>
    <row r="4" spans="3:15" ht="57.6" customHeight="1" x14ac:dyDescent="0.25">
      <c r="C4" s="79"/>
      <c r="D4" s="928" t="s">
        <v>2103</v>
      </c>
      <c r="E4" s="928" t="s">
        <v>2124</v>
      </c>
      <c r="F4" s="928" t="s">
        <v>2105</v>
      </c>
      <c r="M4" s="1429"/>
      <c r="N4" s="1430"/>
      <c r="O4" s="1431"/>
    </row>
    <row r="5" spans="3:15" ht="55.9" customHeight="1" x14ac:dyDescent="0.3">
      <c r="C5" s="78" t="str">
        <f>+'PLAN DE DESARROLLO 2024 - 2027'!B46</f>
        <v xml:space="preserve"> VIDA DIGNA
</v>
      </c>
      <c r="D5" s="111">
        <f>+'PLAN DE DESARROLLO 2024 - 2027'!F46</f>
        <v>0.53896320341939341</v>
      </c>
      <c r="E5" s="119">
        <f>+'PLAN DE DESARROLLO 2024 - 2027'!K46</f>
        <v>0.3533651236549824</v>
      </c>
      <c r="F5" s="124">
        <v>0.22389547133016827</v>
      </c>
      <c r="M5" s="79"/>
      <c r="N5" s="80" t="s">
        <v>2106</v>
      </c>
      <c r="O5" s="80" t="s">
        <v>2125</v>
      </c>
    </row>
    <row r="6" spans="3:15" ht="18.75" x14ac:dyDescent="0.3">
      <c r="C6" s="9" t="str">
        <f>+'PLAN DE DESARROLLO 2024 - 2027'!B47</f>
        <v xml:space="preserve"> Educación
</v>
      </c>
      <c r="D6" s="97">
        <f>+'PLAN DE DESARROLLO 2024 - 2027'!F47</f>
        <v>0.47305009896863803</v>
      </c>
      <c r="E6" s="107">
        <f>+'PLAN DE DESARROLLO 2024 - 2027'!K47</f>
        <v>0.36740543241296775</v>
      </c>
      <c r="F6" s="125">
        <v>0.21288627727196741</v>
      </c>
      <c r="M6" s="78" t="str">
        <f t="shared" ref="M6:M12" si="0">+C5</f>
        <v xml:space="preserve"> VIDA DIGNA
</v>
      </c>
      <c r="N6" s="111">
        <f>+'PLAN DE DESARROLLO 2024 - 2027'!G46+'PLAN DE DESARROLLO 2024 - 2027'!H46</f>
        <v>0.48374595371068446</v>
      </c>
      <c r="O6" s="111">
        <f>+'PLAN DE DESARROLLO 2024 - 2027'!M46</f>
        <v>0.34160632674734986</v>
      </c>
    </row>
    <row r="7" spans="3:15" x14ac:dyDescent="0.25">
      <c r="C7" s="9" t="str">
        <f>+'PLAN DE DESARROLLO 2024 - 2027'!B64</f>
        <v xml:space="preserve"> Acceso a Servicios Básicos
</v>
      </c>
      <c r="D7" s="97">
        <f>+'PLAN DE DESARROLLO 2024 - 2027'!F64</f>
        <v>0.48195707299092011</v>
      </c>
      <c r="E7" s="113">
        <f>+'PLAN DE DESARROLLO 2024 - 2027'!K64</f>
        <v>0.21972164484441217</v>
      </c>
      <c r="F7" s="125">
        <v>0.1332971286782689</v>
      </c>
      <c r="M7" s="9" t="str">
        <f t="shared" si="0"/>
        <v xml:space="preserve"> Educación
</v>
      </c>
      <c r="N7" s="97">
        <f>+'PLAN DE DESARROLLO 2024 - 2027'!G47+'PLAN DE DESARROLLO 2024 - 2027'!H47</f>
        <v>0.52231078202059211</v>
      </c>
      <c r="O7" s="97">
        <f>+'PLAN DE DESARROLLO 2024 - 2027'!M47</f>
        <v>0.33047590926273196</v>
      </c>
    </row>
    <row r="8" spans="3:15" x14ac:dyDescent="0.25">
      <c r="C8" s="9" t="str">
        <f>+'PLAN DE DESARROLLO 2024 - 2027'!B68</f>
        <v xml:space="preserve"> Vivienda Digna y Hábitat
</v>
      </c>
      <c r="D8" s="97">
        <f>+'PLAN DE DESARROLLO 2024 - 2027'!F68</f>
        <v>0.45039542483660128</v>
      </c>
      <c r="E8" s="113">
        <f>+'PLAN DE DESARROLLO 2024 - 2027'!K68</f>
        <v>0.19891486928104574</v>
      </c>
      <c r="F8" s="125">
        <v>0.14324852941176469</v>
      </c>
      <c r="M8" s="86" t="str">
        <f t="shared" si="0"/>
        <v xml:space="preserve"> Acceso a Servicios Básicos
</v>
      </c>
      <c r="N8" s="97">
        <f>+'PLAN DE DESARROLLO 2024 - 2027'!G64+'PLAN DE DESARROLLO 2024 - 2027'!H64</f>
        <v>0.34412251003370042</v>
      </c>
      <c r="O8" s="97">
        <f>+'PLAN DE DESARROLLO 2024 - 2027'!M64</f>
        <v>0.22911010583729266</v>
      </c>
    </row>
    <row r="9" spans="3:15" x14ac:dyDescent="0.25">
      <c r="C9" s="9" t="str">
        <f>+'PLAN DE DESARROLLO 2024 - 2027'!B73</f>
        <v xml:space="preserve">Artes, Cultura y Patrimonio
</v>
      </c>
      <c r="D9" s="97">
        <f>+'PLAN DE DESARROLLO 2024 - 2027'!F73</f>
        <v>0.6175572285863945</v>
      </c>
      <c r="E9" s="108">
        <f>+'PLAN DE DESARROLLO 2024 - 2027'!K73</f>
        <v>0.47593529817233005</v>
      </c>
      <c r="F9" s="125">
        <v>0.24864012602929381</v>
      </c>
      <c r="M9" s="9" t="str">
        <f t="shared" si="0"/>
        <v xml:space="preserve"> Vivienda Digna y Hábitat
</v>
      </c>
      <c r="N9" s="97">
        <f>+'PLAN DE DESARROLLO 2024 - 2027'!G68+'PLAN DE DESARROLLO 2024 - 2027'!H68</f>
        <v>0.47809068627450979</v>
      </c>
      <c r="O9" s="97">
        <f>+'PLAN DE DESARROLLO 2024 - 2027'!M68</f>
        <v>0.18983784313725491</v>
      </c>
    </row>
    <row r="10" spans="3:15" x14ac:dyDescent="0.25">
      <c r="C10" s="9" t="str">
        <f>+'PLAN DE DESARROLLO 2024 - 2027'!B80</f>
        <v xml:space="preserve">Deporte y Recreación
</v>
      </c>
      <c r="D10" s="97">
        <f>+'PLAN DE DESARROLLO 2024 - 2027'!F80</f>
        <v>0.5512547869858142</v>
      </c>
      <c r="E10" s="107">
        <f>+'PLAN DE DESARROLLO 2024 - 2027'!K80</f>
        <v>0.42056134495239916</v>
      </c>
      <c r="F10" s="125">
        <v>0.26532184592777297</v>
      </c>
      <c r="M10" s="9" t="str">
        <f t="shared" si="0"/>
        <v xml:space="preserve">Artes, Cultura y Patrimonio
</v>
      </c>
      <c r="N10" s="97">
        <f>+'PLAN DE DESARROLLO 2024 - 2027'!G73+'PLAN DE DESARROLLO 2024 - 2027'!H73</f>
        <v>0.66691442644710563</v>
      </c>
      <c r="O10" s="97">
        <f>+'PLAN DE DESARROLLO 2024 - 2027'!M73</f>
        <v>0.39505789945529213</v>
      </c>
    </row>
    <row r="11" spans="3:15" x14ac:dyDescent="0.25">
      <c r="C11" s="9" t="str">
        <f>+'PLAN DE DESARROLLO 2024 - 2027'!B88</f>
        <v xml:space="preserve"> Infancia, Adolescencia y Familia
</v>
      </c>
      <c r="D11" s="97">
        <f>+'PLAN DE DESARROLLO 2024 - 2027'!F88</f>
        <v>0.65956460814799245</v>
      </c>
      <c r="E11" s="107">
        <f>+'PLAN DE DESARROLLO 2024 - 2027'!K88</f>
        <v>0.43765215226673959</v>
      </c>
      <c r="F11" s="125">
        <v>0.33997892066194169</v>
      </c>
      <c r="M11" s="9" t="str">
        <f t="shared" si="0"/>
        <v xml:space="preserve">Deporte y Recreación
</v>
      </c>
      <c r="N11" s="97">
        <f>+'PLAN DE DESARROLLO 2024 - 2027'!G80+'PLAN DE DESARROLLO 2024 - 2027'!H80</f>
        <v>0.51072814095047869</v>
      </c>
      <c r="O11" s="97">
        <f>+'PLAN DE DESARROLLO 2024 - 2027'!M80</f>
        <v>0.36671416124027445</v>
      </c>
    </row>
    <row r="12" spans="3:15" x14ac:dyDescent="0.25">
      <c r="M12" s="9" t="str">
        <f t="shared" si="0"/>
        <v xml:space="preserve"> Infancia, Adolescencia y Familia
</v>
      </c>
      <c r="N12" s="97">
        <f>+'PLAN DE DESARROLLO 2024 - 2027'!G88+'PLAN DE DESARROLLO 2024 - 2027'!H88</f>
        <v>0.46651797413887564</v>
      </c>
      <c r="O12" s="97">
        <f>+'PLAN DE DESARROLLO 2024 - 2027'!M88</f>
        <v>0.45311494603151192</v>
      </c>
    </row>
    <row r="33" spans="3:7" x14ac:dyDescent="0.25">
      <c r="G33" t="s">
        <v>2110</v>
      </c>
    </row>
    <row r="34" spans="3:7" ht="34.9" customHeight="1" x14ac:dyDescent="0.25"/>
    <row r="36" spans="3:7" ht="50.45" customHeight="1" x14ac:dyDescent="0.25">
      <c r="C36" s="9"/>
      <c r="D36" s="80" t="s">
        <v>2126</v>
      </c>
      <c r="E36" s="927" t="s">
        <v>2127</v>
      </c>
    </row>
    <row r="37" spans="3:7" ht="18.75" x14ac:dyDescent="0.3">
      <c r="C37" s="76" t="str">
        <f>+M7</f>
        <v xml:space="preserve"> Educación
</v>
      </c>
      <c r="D37" s="930">
        <f>+O7</f>
        <v>0.33047590926273196</v>
      </c>
      <c r="E37" s="1120">
        <f>+'PLAN DE DESARROLLO 2024 - 2027'!K47</f>
        <v>0.36740543241296775</v>
      </c>
      <c r="F37" s="932"/>
    </row>
    <row r="38" spans="3:7" ht="28.9" customHeight="1" x14ac:dyDescent="0.25">
      <c r="C38" s="82" t="str">
        <f>+'PLAN DE DESARROLLO 2024 - 2027'!B48</f>
        <v xml:space="preserve"> MODERNIZACIÓN DE LA INFRAESTRUCTURA EDUCATIVA</v>
      </c>
      <c r="D38" s="101">
        <f>+'PLAN DE DESARROLLO 2024 - 2027'!M48</f>
        <v>0.20516666666666664</v>
      </c>
      <c r="E38" s="1277">
        <f>+'PLAN DE DESARROLLO 2024 - 2027'!K48</f>
        <v>0.18694444444444444</v>
      </c>
      <c r="F38" s="932"/>
    </row>
    <row r="39" spans="3:7" ht="15" customHeight="1" x14ac:dyDescent="0.25">
      <c r="C39" s="82" t="str">
        <f>+'PLAN DE DESARROLLO 2024 - 2027'!B49</f>
        <v xml:space="preserve"> AVANZANDO DESDE EL COMIENZO</v>
      </c>
      <c r="D39" s="101">
        <f>+'PLAN DE DESARROLLO 2024 - 2027'!M49</f>
        <v>0.51214285714285712</v>
      </c>
      <c r="E39" s="1278">
        <f>+'PLAN DE DESARROLLO 2024 - 2027'!K49</f>
        <v>0.48392857142857143</v>
      </c>
      <c r="F39" s="932"/>
    </row>
    <row r="40" spans="3:7" ht="15" customHeight="1" x14ac:dyDescent="0.25">
      <c r="C40" s="82" t="str">
        <f>+'PLAN DE DESARROLLO 2024 - 2027'!B50</f>
        <v xml:space="preserve"> ME QUEDO PORQUE ME QUEDO</v>
      </c>
      <c r="D40" s="101">
        <f>+'PLAN DE DESARROLLO 2024 - 2027'!M50</f>
        <v>0.33562484506455142</v>
      </c>
      <c r="E40" s="1279">
        <f>+'PLAN DE DESARROLLO 2024 - 2027'!K50</f>
        <v>0.27357506142116461</v>
      </c>
      <c r="F40" s="932"/>
    </row>
    <row r="41" spans="3:7" ht="15" customHeight="1" x14ac:dyDescent="0.25">
      <c r="C41" s="82" t="str">
        <f>+'PLAN DE DESARROLLO 2024 - 2027'!B51</f>
        <v xml:space="preserve"> YO CUENTO</v>
      </c>
      <c r="D41" s="101">
        <f>+'PLAN DE DESARROLLO 2024 - 2027'!M51</f>
        <v>0.54348507871983487</v>
      </c>
      <c r="E41" s="1278">
        <f>+'PLAN DE DESARROLLO 2024 - 2027'!K51</f>
        <v>0.52611377504931511</v>
      </c>
      <c r="F41" s="932"/>
    </row>
    <row r="42" spans="3:7" ht="27.6" customHeight="1" x14ac:dyDescent="0.25">
      <c r="C42" s="82" t="str">
        <f>+'PLAN DE DESARROLLO 2024 - 2027'!B52</f>
        <v xml:space="preserve"> ESCUELA HOGAR</v>
      </c>
      <c r="D42" s="101">
        <f>+'PLAN DE DESARROLLO 2024 - 2027'!M52</f>
        <v>0.60206320291462057</v>
      </c>
      <c r="E42" s="1278">
        <f>+'PLAN DE DESARROLLO 2024 - 2027'!K52</f>
        <v>0.600566291778869</v>
      </c>
      <c r="F42" s="932"/>
    </row>
    <row r="43" spans="3:7" ht="39" customHeight="1" x14ac:dyDescent="0.25">
      <c r="C43" s="82" t="str">
        <f>+'PLAN DE DESARROLLO 2024 - 2027'!B53</f>
        <v xml:space="preserve"> CARTAGENA TERRITORIO PLURILINGÜE</v>
      </c>
      <c r="D43" s="101">
        <f>+'PLAN DE DESARROLLO 2024 - 2027'!M53</f>
        <v>0.29430769230769233</v>
      </c>
      <c r="E43" s="1279">
        <f>+'PLAN DE DESARROLLO 2024 - 2027'!K53</f>
        <v>0.24288461538461539</v>
      </c>
      <c r="F43" s="932"/>
    </row>
    <row r="44" spans="3:7" ht="15" customHeight="1" x14ac:dyDescent="0.25">
      <c r="C44" s="82" t="str">
        <f>+'PLAN DE DESARROLLO 2024 - 2027'!B54</f>
        <v xml:space="preserve"> CARTAGENA MEJOR EDUCADA</v>
      </c>
      <c r="D44" s="101">
        <f>+'PLAN DE DESARROLLO 2024 - 2027'!M54</f>
        <v>0.56369565217391304</v>
      </c>
      <c r="E44" s="1278">
        <f>+'PLAN DE DESARROLLO 2024 - 2027'!K54</f>
        <v>0.70913043478260873</v>
      </c>
      <c r="F44" s="932"/>
    </row>
    <row r="45" spans="3:7" ht="33" customHeight="1" x14ac:dyDescent="0.25">
      <c r="C45" s="82" t="str">
        <f>+'PLAN DE DESARROLLO 2024 - 2027'!B55</f>
        <v xml:space="preserve"> LEVANTEMOS LA VOZ</v>
      </c>
      <c r="D45" s="101">
        <f>+'PLAN DE DESARROLLO 2024 - 2027'!M55</f>
        <v>0.36833333333333335</v>
      </c>
      <c r="E45" s="1280">
        <f>+'PLAN DE DESARROLLO 2024 - 2027'!K55</f>
        <v>0.43666666666666665</v>
      </c>
      <c r="F45" s="932"/>
    </row>
    <row r="46" spans="3:7" ht="33" customHeight="1" x14ac:dyDescent="0.25">
      <c r="C46" s="82" t="s">
        <v>2128</v>
      </c>
      <c r="D46" s="101">
        <f>+'PLAN DE DESARROLLO 2024 - 2027'!M56</f>
        <v>0</v>
      </c>
      <c r="E46" s="1281">
        <f>+'PLAN DE DESARROLLO 2024 - 2027'!K56</f>
        <v>0</v>
      </c>
      <c r="F46" s="932"/>
    </row>
    <row r="47" spans="3:7" ht="29.45" customHeight="1" x14ac:dyDescent="0.25">
      <c r="C47" s="82" t="str">
        <f>+'PLAN DE DESARROLLO 2024 - 2027'!B57</f>
        <v xml:space="preserve"> FORMACIÓN Y CUALIFICACIÓN DE DOCENTES Y DIRECTIVOS DOCENTES</v>
      </c>
      <c r="D47" s="101">
        <f>+'PLAN DE DESARROLLO 2024 - 2027'!M57</f>
        <v>0.60995560747663546</v>
      </c>
      <c r="E47" s="1278">
        <f>+'PLAN DE DESARROLLO 2024 - 2027'!K57</f>
        <v>0.55188629283489099</v>
      </c>
      <c r="F47" s="932"/>
    </row>
    <row r="48" spans="3:7" ht="28.9" customHeight="1" x14ac:dyDescent="0.25">
      <c r="C48" s="82" t="str">
        <f>+'PLAN DE DESARROLLO 2024 - 2027'!B58</f>
        <v xml:space="preserve"> FORTALECIMIENTO DE LA GESTIÓN ESCOLAR EN LAS INSTITUCIONES EDUCATIVAS OFICIALES</v>
      </c>
      <c r="D48" s="101">
        <f>+'PLAN DE DESARROLLO 2024 - 2027'!M58</f>
        <v>0.33214953271028042</v>
      </c>
      <c r="E48" s="1279">
        <f>+'PLAN DE DESARROLLO 2024 - 2027'!K58</f>
        <v>0.25809968847352027</v>
      </c>
      <c r="F48" s="932"/>
    </row>
    <row r="49" spans="3:6" ht="27" customHeight="1" x14ac:dyDescent="0.25">
      <c r="C49" s="82" t="str">
        <f>+'PLAN DE DESARROLLO 2024 - 2027'!B59</f>
        <v xml:space="preserve"> UNIDOS POR EL SUEÑO SUPERIOR</v>
      </c>
      <c r="D49" s="101">
        <f>+'PLAN DE DESARROLLO 2024 - 2027'!M59</f>
        <v>0.18992630718954248</v>
      </c>
      <c r="E49" s="1277">
        <f>+'PLAN DE DESARROLLO 2024 - 2027'!K59</f>
        <v>0.24628930905695609</v>
      </c>
      <c r="F49" s="932"/>
    </row>
    <row r="50" spans="3:6" ht="24.75" x14ac:dyDescent="0.25">
      <c r="C50" s="82" t="str">
        <f>+'PLAN DE DESARROLLO 2024 - 2027'!B60</f>
        <v xml:space="preserve"> AVANZAMOS EN EL FORTALECIMIENTO INSTITUCIONAL DE LA SECRETARÍA DE EDUCACIÓN</v>
      </c>
      <c r="D50" s="101">
        <f>+'PLAN DE DESARROLLO 2024 - 2027'!M60</f>
        <v>0.32815657894736844</v>
      </c>
      <c r="E50" s="1279">
        <f>+'PLAN DE DESARROLLO 2024 - 2027'!K60</f>
        <v>0.30759539473684211</v>
      </c>
      <c r="F50" s="932"/>
    </row>
    <row r="51" spans="3:6" x14ac:dyDescent="0.25">
      <c r="C51" s="82" t="str">
        <f>+'PLAN DE DESARROLLO 2024 - 2027'!B61</f>
        <v xml:space="preserve"> CARTAGENA, TERRITORIO DIGITAL</v>
      </c>
      <c r="D51" s="101">
        <f>+'PLAN DE DESARROLLO 2024 - 2027'!M61</f>
        <v>0.30058823529411766</v>
      </c>
      <c r="E51" s="1279">
        <f>+'PLAN DE DESARROLLO 2024 - 2027'!K61</f>
        <v>0.33398692810457514</v>
      </c>
      <c r="F51" s="932"/>
    </row>
    <row r="52" spans="3:6" x14ac:dyDescent="0.25">
      <c r="C52" s="82" t="str">
        <f>+'PLAN DE DESARROLLO 2024 - 2027'!B62</f>
        <v xml:space="preserve"> OFERTA ACADÉMICA SUPERIOR CON CALIDAD</v>
      </c>
      <c r="D52" s="101">
        <f>+'PLAN DE DESARROLLO 2024 - 2027'!M62</f>
        <v>0</v>
      </c>
      <c r="E52" s="1281">
        <f>+'PLAN DE DESARROLLO 2024 - 2027'!K62</f>
        <v>0</v>
      </c>
      <c r="F52" s="932"/>
    </row>
    <row r="53" spans="3:6" x14ac:dyDescent="0.25">
      <c r="C53" s="82" t="str">
        <f>+'PLAN DE DESARROLLO 2024 - 2027'!B63</f>
        <v xml:space="preserve"> FORMACIÓN TÉCNICA Y COMPLEMENTARIA EN OFICIOS</v>
      </c>
      <c r="D53" s="101">
        <f>+'PLAN DE DESARROLLO 2024 - 2027'!M63</f>
        <v>0.65644444444444439</v>
      </c>
      <c r="E53" s="1278">
        <f>+'PLAN DE DESARROLLO 2024 - 2027'!K63</f>
        <v>0.72081944444444446</v>
      </c>
      <c r="F53" s="1282"/>
    </row>
    <row r="54" spans="3:6" ht="54" customHeight="1" x14ac:dyDescent="0.25">
      <c r="F54" s="932"/>
    </row>
    <row r="56" spans="3:6" ht="46.9" customHeight="1" x14ac:dyDescent="0.25">
      <c r="C56" s="9"/>
      <c r="D56" s="80" t="s">
        <v>2126</v>
      </c>
      <c r="E56" s="927" t="s">
        <v>2129</v>
      </c>
    </row>
    <row r="57" spans="3:6" ht="37.5" x14ac:dyDescent="0.3">
      <c r="C57" s="84" t="str">
        <f>+'PLAN DE DESARROLLO 2024 - 2027'!B64</f>
        <v xml:space="preserve"> Acceso a Servicios Básicos
</v>
      </c>
      <c r="D57" s="926">
        <f>+O8</f>
        <v>0.22911010583729266</v>
      </c>
      <c r="E57" s="121">
        <f>+'PLAN DE DESARROLLO 2024 - 2027'!K64</f>
        <v>0.21972164484441217</v>
      </c>
    </row>
    <row r="58" spans="3:6" ht="36" customHeight="1" x14ac:dyDescent="0.25">
      <c r="C58" s="82" t="str">
        <f>+'PLAN DE DESARROLLO 2024 - 2027'!B65</f>
        <v xml:space="preserve"> ACCESO AL AGUA POTABLE Y SANEAMIENTO BÁSICO</v>
      </c>
      <c r="D58" s="97">
        <f>+'PLAN DE DESARROLLO 2024 - 2027'!M65</f>
        <v>0.40735030239226472</v>
      </c>
      <c r="E58" s="107">
        <f>+'PLAN DE DESARROLLO 2024 - 2027'!K65</f>
        <v>0.37070858532688733</v>
      </c>
    </row>
    <row r="59" spans="3:6" ht="28.9" customHeight="1" x14ac:dyDescent="0.25">
      <c r="C59" s="82" t="str">
        <f>+'PLAN DE DESARROLLO 2024 - 2027'!B66</f>
        <v xml:space="preserve"> AVANZAMOS POR UNA CARTAGENA ILUMINADA Y LA TRANSICIÓN ENERGÉTICA</v>
      </c>
      <c r="D59" s="97">
        <f>+'PLAN DE DESARROLLO 2024 - 2027'!M66</f>
        <v>0.11153571428571429</v>
      </c>
      <c r="E59" s="110">
        <f>+'PLAN DE DESARROLLO 2024 - 2027'!K66</f>
        <v>0.13151190476190477</v>
      </c>
    </row>
    <row r="60" spans="3:6" ht="30.6" customHeight="1" x14ac:dyDescent="0.25">
      <c r="C60" s="82" t="str">
        <f>+'PLAN DE DESARROLLO 2024 - 2027'!B67</f>
        <v xml:space="preserve"> UNIDOS POR LA GESTIÓN DE LOS RESIDUOS Y EL DESARROLLO SOSTENIBLE</v>
      </c>
      <c r="D60" s="97">
        <f>+'PLAN DE DESARROLLO 2024 - 2027'!M67</f>
        <v>0.15833333333333335</v>
      </c>
      <c r="E60" s="1277">
        <f>+'PLAN DE DESARROLLO 2024 - 2027'!K67</f>
        <v>0.15694444444444444</v>
      </c>
    </row>
    <row r="61" spans="3:6" x14ac:dyDescent="0.25">
      <c r="C61" s="87"/>
      <c r="D61" s="99"/>
      <c r="E61" s="99"/>
    </row>
    <row r="62" spans="3:6" x14ac:dyDescent="0.25">
      <c r="C62" s="87"/>
      <c r="D62" s="99"/>
      <c r="E62" s="99"/>
    </row>
    <row r="63" spans="3:6" x14ac:dyDescent="0.25">
      <c r="C63" s="87"/>
      <c r="D63" s="99"/>
      <c r="E63" s="99"/>
    </row>
    <row r="64" spans="3:6" x14ac:dyDescent="0.25">
      <c r="C64" s="87"/>
      <c r="D64" s="99"/>
      <c r="E64" s="99"/>
    </row>
    <row r="65" spans="3:6" x14ac:dyDescent="0.25">
      <c r="C65" s="87"/>
      <c r="D65" s="99"/>
      <c r="E65" s="99"/>
    </row>
    <row r="66" spans="3:6" x14ac:dyDescent="0.25">
      <c r="D66" s="99"/>
      <c r="E66" s="99"/>
    </row>
    <row r="71" spans="3:6" ht="55.15" customHeight="1" x14ac:dyDescent="0.25">
      <c r="C71" s="9"/>
      <c r="D71" s="80" t="s">
        <v>2126</v>
      </c>
      <c r="E71" s="927" t="s">
        <v>2130</v>
      </c>
    </row>
    <row r="72" spans="3:6" ht="69" customHeight="1" x14ac:dyDescent="0.3">
      <c r="C72" s="84" t="str">
        <f>+'PLAN DE DESARROLLO 2024 - 2027'!B68</f>
        <v xml:space="preserve"> Vivienda Digna y Hábitat
</v>
      </c>
      <c r="D72" s="926">
        <f>+O9</f>
        <v>0.18983784313725491</v>
      </c>
      <c r="E72" s="121">
        <f>+'PLAN DE DESARROLLO 2024 - 2027'!K68</f>
        <v>0.19891486928104574</v>
      </c>
    </row>
    <row r="73" spans="3:6" x14ac:dyDescent="0.25">
      <c r="C73" s="82" t="str">
        <f>+'PLAN DE DESARROLLO 2024 - 2027'!B69</f>
        <v xml:space="preserve"> UNIDOS POR UNA VIVIENDA PARA TI</v>
      </c>
      <c r="D73" s="97">
        <f>+'PLAN DE DESARROLLO 2024 - 2027'!M69</f>
        <v>5.5300000000000002E-2</v>
      </c>
      <c r="E73" s="110">
        <f>+'PLAN DE DESARROLLO 2024 - 2027'!K69</f>
        <v>5.5300000000000002E-2</v>
      </c>
    </row>
    <row r="74" spans="3:6" ht="24.6" customHeight="1" x14ac:dyDescent="0.25">
      <c r="C74" s="82" t="str">
        <f>+'PLAN DE DESARROLLO 2024 - 2027'!B70</f>
        <v xml:space="preserve"> MI CASA AVANZA</v>
      </c>
      <c r="D74" s="97">
        <f>+'PLAN DE DESARROLLO 2024 - 2027'!M70</f>
        <v>0.27380392156862743</v>
      </c>
      <c r="E74" s="109">
        <f>+'PLAN DE DESARROLLO 2024 - 2027'!K70</f>
        <v>0.27380392156862743</v>
      </c>
    </row>
    <row r="75" spans="3:6" x14ac:dyDescent="0.25">
      <c r="C75" s="82" t="str">
        <f>+'PLAN DE DESARROLLO 2024 - 2027'!B71</f>
        <v xml:space="preserve"> MI CASA CON PROPIEDAD</v>
      </c>
      <c r="D75" s="97">
        <f>+'PLAN DE DESARROLLO 2024 - 2027'!M71</f>
        <v>0.248</v>
      </c>
      <c r="E75" s="113">
        <f>+'PLAN DE DESARROLLO 2024 - 2027'!K71</f>
        <v>0.248</v>
      </c>
    </row>
    <row r="76" spans="3:6" x14ac:dyDescent="0.25">
      <c r="C76" s="82" t="str">
        <f>+'PLAN DE DESARROLLO 2024 - 2027'!B72</f>
        <v xml:space="preserve"> MI TERRITORIO EN ORDEN</v>
      </c>
      <c r="D76" s="97">
        <f>+'PLAN DE DESARROLLO 2024 - 2027'!M72</f>
        <v>0.20753333333333332</v>
      </c>
      <c r="E76" s="113">
        <f>+'PLAN DE DESARROLLO 2024 - 2027'!K72</f>
        <v>0.21855555555555553</v>
      </c>
    </row>
    <row r="80" spans="3:6" ht="58.9" customHeight="1" x14ac:dyDescent="0.25">
      <c r="C80" s="9"/>
      <c r="D80" s="80" t="s">
        <v>2126</v>
      </c>
      <c r="E80" s="927" t="s">
        <v>2131</v>
      </c>
      <c r="F80" s="1275" t="s">
        <v>2110</v>
      </c>
    </row>
    <row r="81" spans="3:6" ht="37.5" x14ac:dyDescent="0.3">
      <c r="C81" s="84" t="str">
        <f>+'PLAN DE DESARROLLO 2024 - 2027'!B73</f>
        <v xml:space="preserve">Artes, Cultura y Patrimonio
</v>
      </c>
      <c r="D81" s="931">
        <f>+O10</f>
        <v>0.39505789945529213</v>
      </c>
      <c r="E81" s="112">
        <f>+'PLAN DE DESARROLLO 2024 - 2027'!K73</f>
        <v>0.47593529817233005</v>
      </c>
    </row>
    <row r="82" spans="3:6" ht="33" customHeight="1" x14ac:dyDescent="0.25">
      <c r="C82" s="82" t="str">
        <f>+'PLAN DE DESARROLLO 2024 - 2027'!B74</f>
        <v xml:space="preserve"> ESCENARIOS CULTURALES VIVOS PARA TRANSFORMAR</v>
      </c>
      <c r="D82" s="77">
        <f>+'PLAN DE DESARROLLO 2024 - 2027'!M74</f>
        <v>0.35756799818430712</v>
      </c>
      <c r="E82" s="107">
        <f>+'PLAN DE DESARROLLO 2024 - 2027'!K74</f>
        <v>0.40725982419498352</v>
      </c>
    </row>
    <row r="83" spans="3:6" ht="40.15" customHeight="1" x14ac:dyDescent="0.25">
      <c r="C83" s="82" t="str">
        <f>+'PLAN DE DESARROLLO 2024 - 2027'!B75</f>
        <v xml:space="preserve"> DEMOCRATIZACIÓN DE LA CULTURA: ESTÍMULOS PARA EL FOMENTO Y DESARROLLO ARTÍSTICO, CULTURAL Y CREATIVO.</v>
      </c>
      <c r="D83" s="77">
        <f>+'PLAN DE DESARROLLO 2024 - 2027'!M75</f>
        <v>0.78400000000000003</v>
      </c>
      <c r="E83" s="108">
        <f>+'PLAN DE DESARROLLO 2024 - 2027'!K75</f>
        <v>0.7586666666666666</v>
      </c>
    </row>
    <row r="84" spans="3:6" ht="22.9" customHeight="1" x14ac:dyDescent="0.25">
      <c r="C84" s="82" t="str">
        <f>+'PLAN DE DESARROLLO 2024 - 2027'!B76</f>
        <v xml:space="preserve"> FORMACIÓN ARTÍSTICA Y CULTURAL</v>
      </c>
      <c r="D84" s="77">
        <f>+'PLAN DE DESARROLLO 2024 - 2027'!M76</f>
        <v>0.52137500000000003</v>
      </c>
      <c r="E84" s="107">
        <f>+'PLAN DE DESARROLLO 2024 - 2027'!K76</f>
        <v>0.47875000000000001</v>
      </c>
    </row>
    <row r="85" spans="3:6" ht="34.9" customHeight="1" x14ac:dyDescent="0.25">
      <c r="C85" s="82" t="str">
        <f>+'PLAN DE DESARROLLO 2024 - 2027'!B77</f>
        <v xml:space="preserve"> DERECHOS CULTURALES Y FORTALECIMIENTO INSTITUCIONAL PARA LA GOBERNANZA</v>
      </c>
      <c r="D85" s="77">
        <f>+'PLAN DE DESARROLLO 2024 - 2027'!M77</f>
        <v>0.45999999999999996</v>
      </c>
      <c r="E85" s="108">
        <f>+'PLAN DE DESARROLLO 2024 - 2027'!K77</f>
        <v>0.46000000000000008</v>
      </c>
    </row>
    <row r="86" spans="3:6" ht="30.6" customHeight="1" x14ac:dyDescent="0.25">
      <c r="C86" s="82" t="str">
        <f>+'PLAN DE DESARROLLO 2024 - 2027'!B78</f>
        <v xml:space="preserve"> CARTAGENA BRILLA CON SU CULTURA Y PATRIMONIO MATERIAL E INMATERIAL</v>
      </c>
      <c r="D86" s="77">
        <f>+'PLAN DE DESARROLLO 2024 - 2027'!M78</f>
        <v>0.44750000000000006</v>
      </c>
      <c r="E86" s="109">
        <f>+'PLAN DE DESARROLLO 2024 - 2027'!K78</f>
        <v>0.27500000000000002</v>
      </c>
    </row>
    <row r="91" spans="3:6" ht="82.9" customHeight="1" x14ac:dyDescent="0.25">
      <c r="C91" s="9"/>
      <c r="D91" s="80" t="s">
        <v>2126</v>
      </c>
      <c r="E91" s="927" t="s">
        <v>2132</v>
      </c>
      <c r="F91" s="1275" t="s">
        <v>2110</v>
      </c>
    </row>
    <row r="92" spans="3:6" ht="37.5" x14ac:dyDescent="0.3">
      <c r="C92" s="84" t="str">
        <f>+'PLAN DE DESARROLLO 2024 - 2027'!B80</f>
        <v xml:space="preserve">Deporte y Recreación
</v>
      </c>
      <c r="D92" s="926">
        <f>+O11</f>
        <v>0.36671416124027445</v>
      </c>
      <c r="E92" s="119">
        <f>+'PLAN DE DESARROLLO 2024 - 2027'!K80</f>
        <v>0.42056134495239916</v>
      </c>
    </row>
    <row r="93" spans="3:6" ht="34.9" customHeight="1" x14ac:dyDescent="0.25">
      <c r="C93" s="82" t="str">
        <f>+'PLAN DE DESARROLLO 2024 - 2027'!B81</f>
        <v xml:space="preserve"> FORTALECIMIENTO Y MANTENIMIENTO DE LA RED DE INFRAESTRUCTURA DEPORTIVA DEL DISTRITO</v>
      </c>
      <c r="D93" s="97">
        <f>+'PLAN DE DESARROLLO 2024 - 2027'!M81</f>
        <v>0.33520833333333333</v>
      </c>
      <c r="E93" s="109">
        <f>+'PLAN DE DESARROLLO 2024 - 2027'!K81</f>
        <v>0.33520833333333333</v>
      </c>
    </row>
    <row r="94" spans="3:6" ht="30.6" customHeight="1" x14ac:dyDescent="0.25">
      <c r="C94" s="82" t="str">
        <f>+'PLAN DE DESARROLLO 2024 - 2027'!B82</f>
        <v xml:space="preserve"> FOMENTO AL DEPORTE DE ALTO RENDIMIENTO</v>
      </c>
      <c r="D94" s="97">
        <f>+'PLAN DE DESARROLLO 2024 - 2027'!M82</f>
        <v>0.20069015017667843</v>
      </c>
      <c r="E94" s="113">
        <f>+'PLAN DE DESARROLLO 2024 - 2027'!K82</f>
        <v>0.20138582155477031</v>
      </c>
    </row>
    <row r="95" spans="3:6" ht="52.9" customHeight="1" x14ac:dyDescent="0.25">
      <c r="C95" s="82" t="str">
        <f>+'PLAN DE DESARROLLO 2024 - 2027'!B83</f>
        <v xml:space="preserve"> FORTALECIMIENTO DEL CAPITAL HUMANO A TRAVÉS DE LAS CIENCIAS APLICADAS AL DEPORTE Y LA RECREACIÓN.</v>
      </c>
      <c r="D95" s="97">
        <f>+'PLAN DE DESARROLLO 2024 - 2027'!M83</f>
        <v>0.43149999999999999</v>
      </c>
      <c r="E95" s="107">
        <f>+'PLAN DE DESARROLLO 2024 - 2027'!K83</f>
        <v>0.43916666666666665</v>
      </c>
    </row>
    <row r="96" spans="3:6" ht="36.6" customHeight="1" x14ac:dyDescent="0.25">
      <c r="C96" s="82" t="str">
        <f>+'PLAN DE DESARROLLO 2024 - 2027'!B84</f>
        <v xml:space="preserve"> FORTALECIMIENTO DEL DEPORTE FORMATIVO, ESTUDIANTIL Y LA EDUCACIÓN FÍSICA EXTRAESCOLAR</v>
      </c>
      <c r="D96" s="97">
        <f>+'PLAN DE DESARROLLO 2024 - 2027'!M84</f>
        <v>0.45982880241648899</v>
      </c>
      <c r="E96" s="108">
        <f>+'PLAN DE DESARROLLO 2024 - 2027'!K84</f>
        <v>0.47159459843638951</v>
      </c>
    </row>
    <row r="97" spans="3:5" ht="45" customHeight="1" x14ac:dyDescent="0.25">
      <c r="C97" s="82" t="str">
        <f>+'PLAN DE DESARROLLO 2024 - 2027'!B85</f>
        <v xml:space="preserve"> FORTALECIMIENTO DEL DEPORTE SOCIAL COMUNITARIO, AVANZAR EN NUESTRO TERRITORIO</v>
      </c>
      <c r="D97" s="97">
        <f>+'PLAN DE DESARROLLO 2024 - 2027'!M85</f>
        <v>0.34168852459016391</v>
      </c>
      <c r="E97" s="109">
        <f>+'PLAN DE DESARROLLO 2024 - 2027'!K85</f>
        <v>0.34168852459016391</v>
      </c>
    </row>
    <row r="98" spans="3:5" ht="36.75" x14ac:dyDescent="0.25">
      <c r="C98" s="82" t="str">
        <f>+'PLAN DE DESARROLLO 2024 - 2027'!B86</f>
        <v xml:space="preserve"> PROMOCIÓN DE HÁBITOS Y ESTILOS DE VIDA SALUDABLE, RECREACIÓN, ACTIVIDAD FÍSICA Y EL APROVECHAMIENTO DEL TIEMPO LIBRE EN EL DISTRITO DE CARTAGENA</v>
      </c>
      <c r="D98" s="97">
        <f>+'PLAN DE DESARROLLO 2024 - 2027'!M86</f>
        <v>0.50498597222222219</v>
      </c>
      <c r="E98" s="108">
        <f>+'PLAN DE DESARROLLO 2024 - 2027'!K86</f>
        <v>0.50426527777777774</v>
      </c>
    </row>
    <row r="99" spans="3:5" ht="34.15" customHeight="1" x14ac:dyDescent="0.25">
      <c r="C99" s="82" t="str">
        <f>+'PLAN DE DESARROLLO 2024 - 2027'!B87</f>
        <v xml:space="preserve"> CARTAGENA CIUDAD DESTINO DE TURISMO DEPORTIVO</v>
      </c>
      <c r="D99" s="97">
        <f>+'PLAN DE DESARROLLO 2024 - 2027'!M87</f>
        <v>0.70905769230769233</v>
      </c>
      <c r="E99" s="108">
        <f>+'PLAN DE DESARROLLO 2024 - 2027'!K87</f>
        <v>0.6506201923076923</v>
      </c>
    </row>
    <row r="100" spans="3:5" ht="18.75" x14ac:dyDescent="0.3">
      <c r="C100" s="88"/>
      <c r="D100" s="89"/>
    </row>
    <row r="101" spans="3:5" ht="18.75" x14ac:dyDescent="0.3">
      <c r="C101" s="88"/>
      <c r="D101" s="89"/>
    </row>
    <row r="102" spans="3:5" ht="44.45" customHeight="1" x14ac:dyDescent="0.25">
      <c r="C102" s="9"/>
      <c r="D102" s="80" t="s">
        <v>2126</v>
      </c>
      <c r="E102" s="927" t="s">
        <v>2133</v>
      </c>
    </row>
    <row r="103" spans="3:5" ht="37.5" x14ac:dyDescent="0.3">
      <c r="C103" s="84" t="str">
        <f>+'PLAN DE DESARROLLO 2024 - 2027'!B88</f>
        <v xml:space="preserve"> Infancia, Adolescencia y Familia
</v>
      </c>
      <c r="D103" s="926">
        <f>+O12</f>
        <v>0.45311494603151192</v>
      </c>
      <c r="E103" s="119">
        <f>+'PLAN DE DESARROLLO 2024 - 2027'!K88</f>
        <v>0.43765215226673959</v>
      </c>
    </row>
    <row r="104" spans="3:5" ht="25.9" customHeight="1" x14ac:dyDescent="0.25">
      <c r="C104" s="82" t="str">
        <f>+'PLAN DE DESARROLLO 2024 - 2027'!B89</f>
        <v xml:space="preserve"> ENTORNOS SEGUROS PARA LA PRIMERA INFANCIA</v>
      </c>
      <c r="D104" s="97">
        <f>+'PLAN DE DESARROLLO 2024 - 2027'!M89</f>
        <v>0.44977998048607415</v>
      </c>
      <c r="E104" s="107">
        <f>+'PLAN DE DESARROLLO 2024 - 2027'!K89</f>
        <v>0.38980660129642308</v>
      </c>
    </row>
    <row r="105" spans="3:5" ht="24.75" x14ac:dyDescent="0.25">
      <c r="C105" s="82" t="str">
        <f>+'PLAN DE DESARROLLO 2024 - 2027'!B90</f>
        <v xml:space="preserve"> AVANZANDO HACIA UNA INFANCIA Y ADOLESCENCIA PROTEGIDA Y SIN VIOLENCIAS</v>
      </c>
      <c r="D105" s="97">
        <f>+'PLAN DE DESARROLLO 2024 - 2027'!M90</f>
        <v>0.28462708333333336</v>
      </c>
      <c r="E105" s="109">
        <f>+'PLAN DE DESARROLLO 2024 - 2027'!K90</f>
        <v>0.32634895833333333</v>
      </c>
    </row>
    <row r="106" spans="3:5" ht="24.75" x14ac:dyDescent="0.25">
      <c r="C106" s="82" t="str">
        <f>+'PLAN DE DESARROLLO 2024 - 2027'!B91</f>
        <v xml:space="preserve"> JUGANDO Y PARTICIPANDO LOS DERECHOS DE LA NIÑEZ VAMOS IMPULSANDO</v>
      </c>
      <c r="D106" s="97">
        <f>+'PLAN DE DESARROLLO 2024 - 2027'!M91</f>
        <v>0.62827273982056597</v>
      </c>
      <c r="E106" s="108">
        <f>+'PLAN DE DESARROLLO 2024 - 2027'!K91</f>
        <v>0.59680089717046236</v>
      </c>
    </row>
    <row r="107" spans="3:5" ht="18.75" x14ac:dyDescent="0.3">
      <c r="C107" s="88"/>
      <c r="D107" s="89"/>
    </row>
    <row r="108" spans="3:5" ht="18.75" x14ac:dyDescent="0.3">
      <c r="C108" s="88"/>
      <c r="D108" s="89"/>
    </row>
    <row r="109" spans="3:5" ht="18.75" x14ac:dyDescent="0.3">
      <c r="C109" s="88"/>
      <c r="D109" s="89"/>
    </row>
    <row r="110" spans="3:5" ht="18.75" x14ac:dyDescent="0.3">
      <c r="C110" s="88"/>
      <c r="D110" s="89"/>
    </row>
    <row r="113" spans="3:4" ht="57.6" customHeight="1" x14ac:dyDescent="0.25">
      <c r="C113" s="9"/>
      <c r="D113" s="927" t="s">
        <v>2134</v>
      </c>
    </row>
    <row r="114" spans="3:4" ht="37.5" x14ac:dyDescent="0.3">
      <c r="C114" s="84" t="str">
        <f>+C5</f>
        <v xml:space="preserve"> VIDA DIGNA
</v>
      </c>
      <c r="D114" s="929">
        <f>+'PLAN DE DESARROLLO 2024 - 2027'!I46</f>
        <v>0.37010960104289231</v>
      </c>
    </row>
    <row r="115" spans="3:4" x14ac:dyDescent="0.25">
      <c r="C115" s="9" t="str">
        <f>+M7</f>
        <v xml:space="preserve"> Educación
</v>
      </c>
      <c r="D115" s="935">
        <f>+'PLAN DE DESARROLLO 2024 - 2027'!I47</f>
        <v>0.48666945748964718</v>
      </c>
    </row>
    <row r="116" spans="3:4" x14ac:dyDescent="0.25">
      <c r="C116" s="9" t="str">
        <f>+M8</f>
        <v xml:space="preserve"> Acceso a Servicios Básicos
</v>
      </c>
      <c r="D116" s="120">
        <f>+'PLAN DE DESARROLLO 2024 - 2027'!I64</f>
        <v>0.16826839826839826</v>
      </c>
    </row>
    <row r="117" spans="3:4" x14ac:dyDescent="0.25">
      <c r="C117" s="9" t="str">
        <f>+M9</f>
        <v xml:space="preserve"> Vivienda Digna y Hábitat
</v>
      </c>
      <c r="D117" s="120">
        <f>+'PLAN DE DESARROLLO 2024 - 2027'!I68</f>
        <v>0.18074231440029903</v>
      </c>
    </row>
    <row r="118" spans="3:4" x14ac:dyDescent="0.25">
      <c r="C118" s="9" t="str">
        <f>+M10</f>
        <v xml:space="preserve">Artes, Cultura y Patrimonio
</v>
      </c>
      <c r="D118" s="1121">
        <f>+'PLAN DE DESARROLLO 2024 - 2027'!I73</f>
        <v>0.52321879696766105</v>
      </c>
    </row>
    <row r="119" spans="3:4" x14ac:dyDescent="0.25">
      <c r="C119" s="9" t="str">
        <f>+M12</f>
        <v xml:space="preserve"> Infancia, Adolescencia y Familia
</v>
      </c>
      <c r="D119" s="118">
        <f>+'PLAN DE DESARROLLO 2024 - 2027'!I88</f>
        <v>0.48272505742844724</v>
      </c>
    </row>
    <row r="120" spans="3:4" x14ac:dyDescent="0.25">
      <c r="C120" s="9" t="str">
        <f>+M11</f>
        <v xml:space="preserve">Deporte y Recreación
</v>
      </c>
      <c r="D120" s="1121">
        <f>+'PLAN DE DESARROLLO 2024 - 2027'!I80</f>
        <v>0.54730197997129915</v>
      </c>
    </row>
    <row r="132" spans="3:10" ht="31.9" customHeight="1" x14ac:dyDescent="0.25"/>
    <row r="139" spans="3:10" ht="36.6" customHeight="1" x14ac:dyDescent="0.25"/>
    <row r="141" spans="3:10" ht="33" customHeight="1" x14ac:dyDescent="0.25">
      <c r="C141" s="1425" t="s">
        <v>2116</v>
      </c>
      <c r="D141" s="1425"/>
      <c r="E141" s="1425"/>
      <c r="J141" s="1283"/>
    </row>
    <row r="142" spans="3:10" x14ac:dyDescent="0.25">
      <c r="C142" s="1425"/>
      <c r="D142" s="1425"/>
      <c r="E142" s="1425"/>
      <c r="J142" s="1283"/>
    </row>
    <row r="143" spans="3:10" ht="38.450000000000003" customHeight="1" x14ac:dyDescent="0.25">
      <c r="C143" s="115" t="s">
        <v>2117</v>
      </c>
      <c r="D143" s="85" t="s">
        <v>2135</v>
      </c>
      <c r="E143" s="114" t="s">
        <v>2119</v>
      </c>
      <c r="J143" s="1283"/>
    </row>
    <row r="144" spans="3:10" ht="32.450000000000003" customHeight="1" thickBot="1" x14ac:dyDescent="0.3">
      <c r="C144" s="82" t="s">
        <v>1963</v>
      </c>
      <c r="D144" s="1277">
        <v>0.18694444444444444</v>
      </c>
      <c r="E144" s="1243" t="s">
        <v>467</v>
      </c>
      <c r="J144" s="1283"/>
    </row>
    <row r="145" spans="3:10" ht="25.9" customHeight="1" thickBot="1" x14ac:dyDescent="0.3">
      <c r="C145" s="82" t="s">
        <v>2128</v>
      </c>
      <c r="D145" s="1281">
        <v>0</v>
      </c>
      <c r="E145" s="1243" t="s">
        <v>467</v>
      </c>
      <c r="J145" s="1283"/>
    </row>
    <row r="146" spans="3:10" ht="47.45" customHeight="1" thickBot="1" x14ac:dyDescent="0.3">
      <c r="C146" s="82" t="s">
        <v>1966</v>
      </c>
      <c r="D146" s="1277">
        <v>0.24628930905695609</v>
      </c>
      <c r="E146" s="1243" t="s">
        <v>467</v>
      </c>
      <c r="J146" s="1283"/>
    </row>
    <row r="147" spans="3:10" ht="51.6" customHeight="1" thickBot="1" x14ac:dyDescent="0.3">
      <c r="C147" s="82" t="s">
        <v>1969</v>
      </c>
      <c r="D147" s="1281">
        <v>0</v>
      </c>
      <c r="E147" s="1243" t="s">
        <v>2136</v>
      </c>
      <c r="J147" s="1283"/>
    </row>
    <row r="148" spans="3:10" ht="27" customHeight="1" thickBot="1" x14ac:dyDescent="0.3">
      <c r="C148" s="82" t="s">
        <v>1972</v>
      </c>
      <c r="D148" s="110">
        <v>0.13151190476190477</v>
      </c>
      <c r="E148" s="1243" t="s">
        <v>658</v>
      </c>
      <c r="J148" s="1283"/>
    </row>
    <row r="149" spans="3:10" ht="27.6" customHeight="1" thickBot="1" x14ac:dyDescent="0.3">
      <c r="C149" s="82" t="s">
        <v>1973</v>
      </c>
      <c r="D149" s="1277">
        <v>0.15694444444444444</v>
      </c>
      <c r="E149" s="1243" t="s">
        <v>658</v>
      </c>
      <c r="J149" s="1283"/>
    </row>
    <row r="150" spans="3:10" ht="37.15" customHeight="1" thickBot="1" x14ac:dyDescent="0.3">
      <c r="C150" s="82" t="s">
        <v>701</v>
      </c>
      <c r="D150" s="110">
        <v>5.5300000000000002E-2</v>
      </c>
      <c r="E150" s="1243" t="s">
        <v>704</v>
      </c>
      <c r="J150" s="1283"/>
    </row>
    <row r="151" spans="3:10" ht="39.6" customHeight="1" thickBot="1" x14ac:dyDescent="0.3">
      <c r="C151" s="82" t="s">
        <v>1975</v>
      </c>
      <c r="D151" s="113">
        <v>0.248</v>
      </c>
      <c r="E151" s="1243" t="s">
        <v>704</v>
      </c>
      <c r="J151" s="1283"/>
    </row>
    <row r="152" spans="3:10" ht="19.149999999999999" customHeight="1" thickBot="1" x14ac:dyDescent="0.3">
      <c r="C152" s="82" t="s">
        <v>711</v>
      </c>
      <c r="D152" s="113">
        <v>0.21855555555555553</v>
      </c>
      <c r="E152" s="1243" t="s">
        <v>704</v>
      </c>
      <c r="J152" s="1283"/>
    </row>
    <row r="153" spans="3:10" ht="15.75" thickBot="1" x14ac:dyDescent="0.3">
      <c r="C153" s="82" t="s">
        <v>804</v>
      </c>
      <c r="D153" s="113">
        <v>0.20138582155477031</v>
      </c>
      <c r="E153" s="1243" t="s">
        <v>795</v>
      </c>
      <c r="J153" s="1283"/>
    </row>
    <row r="154" spans="3:10" x14ac:dyDescent="0.25">
      <c r="J154" s="1283"/>
    </row>
    <row r="155" spans="3:10" ht="31.15" customHeight="1" x14ac:dyDescent="0.25">
      <c r="J155" s="1283"/>
    </row>
    <row r="156" spans="3:10" ht="25.15" customHeight="1" x14ac:dyDescent="0.25">
      <c r="J156" s="1283"/>
    </row>
    <row r="157" spans="3:10" ht="32.450000000000003" customHeight="1" x14ac:dyDescent="0.25">
      <c r="J157" s="1283"/>
    </row>
    <row r="158" spans="3:10" ht="19.149999999999999" customHeight="1" x14ac:dyDescent="0.25">
      <c r="J158" s="1283"/>
    </row>
    <row r="159" spans="3:10" ht="30" customHeight="1" x14ac:dyDescent="0.25">
      <c r="J159" s="1283"/>
    </row>
    <row r="160" spans="3:10" ht="31.15" customHeight="1" x14ac:dyDescent="0.25"/>
  </sheetData>
  <mergeCells count="3">
    <mergeCell ref="M3:O4"/>
    <mergeCell ref="C2:F3"/>
    <mergeCell ref="C141:E14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2:O109"/>
  <sheetViews>
    <sheetView zoomScale="40" zoomScaleNormal="40" workbookViewId="0">
      <selection activeCell="G104" sqref="G104"/>
    </sheetView>
  </sheetViews>
  <sheetFormatPr baseColWidth="10" defaultColWidth="11.42578125" defaultRowHeight="15" x14ac:dyDescent="0.25"/>
  <cols>
    <col min="3" max="3" width="58.7109375" customWidth="1"/>
    <col min="4" max="4" width="38.7109375" customWidth="1"/>
    <col min="5" max="5" width="52.5703125" customWidth="1"/>
    <col min="6" max="6" width="65.28515625" customWidth="1"/>
    <col min="7" max="7" width="60" customWidth="1"/>
    <col min="8" max="8" width="29.28515625" customWidth="1"/>
    <col min="9" max="9" width="42.7109375" customWidth="1"/>
    <col min="13" max="13" width="37.28515625" customWidth="1"/>
    <col min="14" max="14" width="38.85546875" customWidth="1"/>
    <col min="15" max="15" width="53.7109375" customWidth="1"/>
  </cols>
  <sheetData>
    <row r="2" spans="3:15" ht="14.45" customHeight="1" x14ac:dyDescent="0.25">
      <c r="C2" s="1432" t="s">
        <v>2137</v>
      </c>
      <c r="D2" s="1432"/>
      <c r="E2" s="1432"/>
      <c r="F2" s="1432"/>
      <c r="M2" s="1418" t="s">
        <v>2138</v>
      </c>
      <c r="N2" s="1419"/>
      <c r="O2" s="1420"/>
    </row>
    <row r="3" spans="3:15" ht="22.9" customHeight="1" x14ac:dyDescent="0.25">
      <c r="C3" s="1432"/>
      <c r="D3" s="1432"/>
      <c r="E3" s="1432"/>
      <c r="F3" s="1432"/>
      <c r="M3" s="1421"/>
      <c r="N3" s="1422"/>
      <c r="O3" s="1423"/>
    </row>
    <row r="4" spans="3:15" ht="57.6" customHeight="1" x14ac:dyDescent="0.3">
      <c r="C4" s="1219"/>
      <c r="D4" s="1220" t="s">
        <v>2103</v>
      </c>
      <c r="E4" s="1220" t="s">
        <v>2124</v>
      </c>
      <c r="F4" s="1220" t="s">
        <v>2105</v>
      </c>
      <c r="M4" s="79"/>
      <c r="N4" s="80" t="s">
        <v>2106</v>
      </c>
      <c r="O4" s="80" t="s">
        <v>2125</v>
      </c>
    </row>
    <row r="5" spans="3:15" ht="55.9" customHeight="1" x14ac:dyDescent="0.3">
      <c r="C5" s="90" t="str">
        <f>+'PLAN DE DESARROLLO 2024 - 2027'!B92</f>
        <v xml:space="preserve"> DESARROLLO ECONÓMICO EQUITATIVO
</v>
      </c>
      <c r="D5" s="1221">
        <f>+'PLAN DE DESARROLLO 2024 - 2027'!F92</f>
        <v>0.57363332332876349</v>
      </c>
      <c r="E5" s="1222">
        <f>+'PLAN DE DESARROLLO 2024 - 2027'!K92</f>
        <v>0.33753168969468023</v>
      </c>
      <c r="F5" s="1223">
        <v>0.23537004965661618</v>
      </c>
      <c r="M5" s="90" t="str">
        <f t="shared" ref="M5:M12" si="0">+C5</f>
        <v xml:space="preserve"> DESARROLLO ECONÓMICO EQUITATIVO
</v>
      </c>
      <c r="N5" s="926">
        <f>+'PLAN DE DESARROLLO 2024 - 2027'!G92+'PLAN DE DESARROLLO 2024 - 2027'!H92</f>
        <v>0.51327448694157729</v>
      </c>
      <c r="O5" s="111">
        <f>+'PLAN DE DESARROLLO 2024 - 2027'!M92</f>
        <v>0.31478839985626073</v>
      </c>
    </row>
    <row r="6" spans="3:15" ht="54.6" customHeight="1" x14ac:dyDescent="0.3">
      <c r="C6" s="1224" t="str">
        <f>+'PLAN DE DESARROLLO 2024 - 2027'!B93</f>
        <v xml:space="preserve"> Competitividad e innovación
</v>
      </c>
      <c r="D6" s="1225">
        <f>+'PLAN DE DESARROLLO 2024 - 2027'!F93</f>
        <v>0.65333333333333332</v>
      </c>
      <c r="E6" s="1226">
        <f>+'PLAN DE DESARROLLO 2024 - 2027'!K93</f>
        <v>0.45624999999999993</v>
      </c>
      <c r="F6" s="1225">
        <v>0.37</v>
      </c>
      <c r="M6" s="81" t="str">
        <f t="shared" si="0"/>
        <v xml:space="preserve"> Competitividad e innovación
</v>
      </c>
      <c r="N6" s="99">
        <f>+'PLAN DE DESARROLLO 2024 - 2027'!G93+'PLAN DE DESARROLLO 2024 - 2027'!H93</f>
        <v>0.65625</v>
      </c>
      <c r="O6" s="97">
        <f>+'PLAN DE DESARROLLO 2024 - 2027'!M93</f>
        <v>0.42225000000000001</v>
      </c>
    </row>
    <row r="7" spans="3:15" ht="37.5" x14ac:dyDescent="0.3">
      <c r="C7" s="1224" t="str">
        <f>+'PLAN DE DESARROLLO 2024 - 2027'!B96</f>
        <v xml:space="preserve"> Diversificación Económica
</v>
      </c>
      <c r="D7" s="1225">
        <f>+'PLAN DE DESARROLLO 2024 - 2027'!F96</f>
        <v>0.57802777777777781</v>
      </c>
      <c r="E7" s="1226">
        <f>+'PLAN DE DESARROLLO 2024 - 2027'!K96</f>
        <v>0.46802194656488555</v>
      </c>
      <c r="F7" s="1225">
        <v>0.23097916666666671</v>
      </c>
      <c r="M7" s="86" t="str">
        <f t="shared" si="0"/>
        <v xml:space="preserve"> Diversificación Económica
</v>
      </c>
      <c r="N7" s="97">
        <f>+'PLAN DE DESARROLLO 2024 - 2027'!G96+'PLAN DE DESARROLLO 2024 - 2027'!H96</f>
        <v>0.53725000000000001</v>
      </c>
      <c r="O7" s="97">
        <f>+'PLAN DE DESARROLLO 2024 - 2027'!M96</f>
        <v>0.57243702290076337</v>
      </c>
    </row>
    <row r="8" spans="3:15" ht="45.75" x14ac:dyDescent="0.3">
      <c r="C8" s="1224" t="str">
        <f>+'PLAN DE DESARROLLO 2024 - 2027'!B101</f>
        <v xml:space="preserve"> Trabajo Decente y Cierre de Brechas Laborales
</v>
      </c>
      <c r="D8" s="1225">
        <f>+'PLAN DE DESARROLLO 2024 - 2027'!F101</f>
        <v>0.44333803418803419</v>
      </c>
      <c r="E8" s="1227">
        <f>+'PLAN DE DESARROLLO 2024 - 2027'!K101</f>
        <v>0.37620128205128206</v>
      </c>
      <c r="F8" s="1225">
        <v>0.28650042735042736</v>
      </c>
      <c r="M8" s="81" t="str">
        <f t="shared" si="0"/>
        <v xml:space="preserve"> Trabajo Decente y Cierre de Brechas Laborales
</v>
      </c>
      <c r="N8" s="97">
        <f>+'PLAN DE DESARROLLO 2024 - 2027'!G101+'PLAN DE DESARROLLO 2024 - 2027'!H101</f>
        <v>0.42369658119658121</v>
      </c>
      <c r="O8" s="97">
        <f>+'PLAN DE DESARROLLO 2024 - 2027'!M101</f>
        <v>0.29591846153846157</v>
      </c>
    </row>
    <row r="9" spans="3:15" ht="37.5" x14ac:dyDescent="0.3">
      <c r="C9" s="1224" t="str">
        <f>+'PLAN DE DESARROLLO 2024 - 2027'!B105</f>
        <v xml:space="preserve"> Economía Popular y Emprendimiento
</v>
      </c>
      <c r="D9" s="1225">
        <f>+'PLAN DE DESARROLLO 2024 - 2027'!F105</f>
        <v>0.51649999999999996</v>
      </c>
      <c r="E9" s="1228">
        <f>+'PLAN DE DESARROLLO 2024 - 2027'!K105</f>
        <v>0.17904687499999999</v>
      </c>
      <c r="F9" s="1225">
        <v>0.17056250000000003</v>
      </c>
      <c r="M9" s="81" t="str">
        <f t="shared" si="0"/>
        <v xml:space="preserve"> Economía Popular y Emprendimiento
</v>
      </c>
      <c r="N9" s="97">
        <f>+'PLAN DE DESARROLLO 2024 - 2027'!G105+'PLAN DE DESARROLLO 2024 - 2027'!H105</f>
        <v>0.53315277777777781</v>
      </c>
      <c r="O9" s="97">
        <f>+'PLAN DE DESARROLLO 2024 - 2027'!M105</f>
        <v>0.21015375</v>
      </c>
    </row>
    <row r="10" spans="3:15" ht="49.9" customHeight="1" x14ac:dyDescent="0.3">
      <c r="C10" s="1224" t="str">
        <f>+'PLAN DE DESARROLLO 2024 - 2027'!B110</f>
        <v xml:space="preserve">Turismo Sostenible y Responsable
</v>
      </c>
      <c r="D10" s="1225">
        <f>+'PLAN DE DESARROLLO 2024 - 2027'!F110</f>
        <v>0.6744342025757889</v>
      </c>
      <c r="E10" s="1229">
        <f>+'PLAN DE DESARROLLO 2024 - 2027'!K110</f>
        <v>0.26794331149437195</v>
      </c>
      <c r="F10" s="1225">
        <v>0.16850000000000001</v>
      </c>
      <c r="M10" s="81" t="str">
        <f t="shared" si="0"/>
        <v xml:space="preserve">Turismo Sostenible y Responsable
</v>
      </c>
      <c r="N10" s="97">
        <f>+'PLAN DE DESARROLLO 2024 - 2027'!G110+'PLAN DE DESARROLLO 2024 - 2027'!H110</f>
        <v>0.68279743197983567</v>
      </c>
      <c r="O10" s="97">
        <f>+'PLAN DE DESARROLLO 2024 - 2027'!M110</f>
        <v>0.22548041129324631</v>
      </c>
    </row>
    <row r="11" spans="3:15" ht="34.9" customHeight="1" x14ac:dyDescent="0.3">
      <c r="C11" s="1224" t="str">
        <f>+'PLAN DE DESARROLLO 2024 - 2027'!B116</f>
        <v xml:space="preserve"> Desarrollo Agropecuario 
</v>
      </c>
      <c r="D11" s="1225">
        <f>+'PLAN DE DESARROLLO 2024 - 2027'!F116</f>
        <v>0.58398769273582618</v>
      </c>
      <c r="E11" s="1229">
        <f>+'PLAN DE DESARROLLO 2024 - 2027'!K116</f>
        <v>0.28886778775222194</v>
      </c>
      <c r="F11" s="1225">
        <v>0.19428158691255218</v>
      </c>
      <c r="M11" s="9" t="str">
        <f t="shared" si="0"/>
        <v xml:space="preserve"> Desarrollo Agropecuario 
</v>
      </c>
      <c r="N11" s="97">
        <f>+'PLAN DE DESARROLLO 2024 - 2027'!G116+'PLAN DE DESARROLLO 2024 - 2027'!H116</f>
        <v>0.41627864506335271</v>
      </c>
      <c r="O11" s="97">
        <f>+'PLAN DE DESARROLLO 2024 - 2027'!M116</f>
        <v>0.27083786061052356</v>
      </c>
    </row>
    <row r="12" spans="3:15" ht="45.75" x14ac:dyDescent="0.3">
      <c r="C12" s="1224" t="str">
        <f>+'PLAN DE DESARROLLO 2024 - 2027'!B120</f>
        <v xml:space="preserve">Sistema Integral de Abastecimiento del Distrito
</v>
      </c>
      <c r="D12" s="1225">
        <f>+'PLAN DE DESARROLLO 2024 - 2027'!F120</f>
        <v>0.5658122226905844</v>
      </c>
      <c r="E12" s="1229">
        <f>+'PLAN DE DESARROLLO 2024 - 2027'!K120</f>
        <v>0.28374999999999995</v>
      </c>
      <c r="F12" s="1225">
        <v>0.22676666666666667</v>
      </c>
      <c r="M12" s="81" t="str">
        <f t="shared" si="0"/>
        <v xml:space="preserve">Sistema Integral de Abastecimiento del Distrito
</v>
      </c>
      <c r="N12" s="97">
        <f>+'PLAN DE DESARROLLO 2024 - 2027'!G120+'PLAN DE DESARROLLO 2024 - 2027'!H120</f>
        <v>0.47678416701793824</v>
      </c>
      <c r="O12" s="97">
        <f>+'PLAN DE DESARROLLO 2024 - 2027'!M120</f>
        <v>0.2532375</v>
      </c>
    </row>
    <row r="32" spans="3:5" ht="76.900000000000006" customHeight="1" x14ac:dyDescent="0.25">
      <c r="C32" s="9"/>
      <c r="D32" s="80" t="s">
        <v>2139</v>
      </c>
      <c r="E32" s="933" t="s">
        <v>2140</v>
      </c>
    </row>
    <row r="33" spans="3:7" ht="70.150000000000006" customHeight="1" x14ac:dyDescent="0.3">
      <c r="C33" s="84" t="str">
        <f>+'PLAN DE DESARROLLO 2024 - 2027'!B93</f>
        <v xml:space="preserve"> Competitividad e innovación
</v>
      </c>
      <c r="D33" s="930">
        <f>+O6</f>
        <v>0.42225000000000001</v>
      </c>
      <c r="E33" s="112">
        <f>+'PLAN DE DESARROLLO 2024 - 2027'!K93</f>
        <v>0.45624999999999993</v>
      </c>
      <c r="G33" t="s">
        <v>2110</v>
      </c>
    </row>
    <row r="34" spans="3:7" ht="34.9" customHeight="1" x14ac:dyDescent="0.25">
      <c r="C34" s="82" t="str">
        <f>+'PLAN DE DESARROLLO 2024 - 2027'!B94</f>
        <v xml:space="preserve"> UNIDOS POR UNA CARTAGENA COMPETITIVA E INNOVADORA</v>
      </c>
      <c r="D34" s="101">
        <f>+'PLAN DE DESARROLLO 2024 - 2027'!M94</f>
        <v>0.47812500000000002</v>
      </c>
      <c r="E34" s="108">
        <f>+'PLAN DE DESARROLLO 2024 - 2027'!K94</f>
        <v>0.52249999999999996</v>
      </c>
    </row>
    <row r="35" spans="3:7" ht="28.9" customHeight="1" x14ac:dyDescent="0.25">
      <c r="C35" s="82" t="str">
        <f>+'PLAN DE DESARROLLO 2024 - 2027'!B95</f>
        <v xml:space="preserve"> CARTAGENA GLOBAL</v>
      </c>
      <c r="D35" s="101">
        <f>+'PLAN DE DESARROLLO 2024 - 2027'!M95</f>
        <v>0.38500000000000001</v>
      </c>
      <c r="E35" s="107">
        <f>+'PLAN DE DESARROLLO 2024 - 2027'!K95</f>
        <v>0.38999999999999996</v>
      </c>
    </row>
    <row r="36" spans="3:7" ht="30" x14ac:dyDescent="0.25">
      <c r="G36" s="1275" t="s">
        <v>2110</v>
      </c>
    </row>
    <row r="37" spans="3:7" ht="54" customHeight="1" x14ac:dyDescent="0.25">
      <c r="C37" s="9"/>
      <c r="D37" s="80" t="s">
        <v>2139</v>
      </c>
      <c r="E37" s="933" t="s">
        <v>2141</v>
      </c>
      <c r="F37" s="1275" t="s">
        <v>2110</v>
      </c>
    </row>
    <row r="38" spans="3:7" ht="54" customHeight="1" x14ac:dyDescent="0.3">
      <c r="C38" s="84" t="str">
        <f>+'PLAN DE DESARROLLO 2024 - 2027'!B96</f>
        <v xml:space="preserve"> Diversificación Económica
</v>
      </c>
      <c r="D38" s="931">
        <f>+O7</f>
        <v>0.57243702290076337</v>
      </c>
      <c r="E38" s="112">
        <f>+'PLAN DE DESARROLLO 2024 - 2027'!K96</f>
        <v>0.46802194656488555</v>
      </c>
    </row>
    <row r="39" spans="3:7" ht="39" customHeight="1" x14ac:dyDescent="0.25">
      <c r="C39" s="82" t="str">
        <f>+'PLAN DE DESARROLLO 2024 - 2027'!B97</f>
        <v xml:space="preserve"> UNIDOS POR LA DIVERSIFICACIÓN ECONÓMICA Y EL DESARROLLO EMPRESARIAL</v>
      </c>
      <c r="D39" s="77">
        <f>+'PLAN DE DESARROLLO 2024 - 2027'!M97</f>
        <v>0.88500000000000001</v>
      </c>
      <c r="E39" s="108">
        <f>+'PLAN DE DESARROLLO 2024 - 2027'!K97</f>
        <v>0.71250000000000002</v>
      </c>
    </row>
    <row r="40" spans="3:7" ht="34.9" customHeight="1" x14ac:dyDescent="0.25">
      <c r="C40" s="82" t="str">
        <f>+'PLAN DE DESARROLLO 2024 - 2027'!B98</f>
        <v xml:space="preserve"> COOPERACIÓN PARA AVANZAR</v>
      </c>
      <c r="D40" s="77">
        <f>+'PLAN DE DESARROLLO 2024 - 2027'!M98</f>
        <v>0.43687022900763361</v>
      </c>
      <c r="E40" s="107">
        <f>+'PLAN DE DESARROLLO 2024 - 2027'!K98</f>
        <v>0.40858778625954201</v>
      </c>
    </row>
    <row r="41" spans="3:7" ht="32.450000000000003" customHeight="1" x14ac:dyDescent="0.25">
      <c r="C41" s="82" t="str">
        <f>+'PLAN DE DESARROLLO 2024 - 2027'!B99</f>
        <v xml:space="preserve"> ECONOMÍA CIRCULAR Y NEGOCIOS VERDES</v>
      </c>
      <c r="D41" s="77">
        <f>+'PLAN DE DESARROLLO 2024 - 2027'!M99</f>
        <v>0.29000000000000004</v>
      </c>
      <c r="E41" s="109">
        <f>+'PLAN DE DESARROLLO 2024 - 2027'!K99</f>
        <v>0.45100000000000001</v>
      </c>
    </row>
    <row r="42" spans="3:7" ht="42" customHeight="1" x14ac:dyDescent="0.25">
      <c r="C42" s="82" t="str">
        <f>+'PLAN DE DESARROLLO 2024 - 2027'!B100</f>
        <v xml:space="preserve"> TRANSFORMACIÓN PRODUCTIVA</v>
      </c>
      <c r="D42" s="77">
        <f>+'PLAN DE DESARROLLO 2024 - 2027'!M100</f>
        <v>0.63</v>
      </c>
      <c r="E42" s="109">
        <f>+'PLAN DE DESARROLLO 2024 - 2027'!K100</f>
        <v>0.3</v>
      </c>
    </row>
    <row r="44" spans="3:7" ht="63.6" customHeight="1" x14ac:dyDescent="0.25">
      <c r="C44" s="9"/>
      <c r="D44" s="80" t="s">
        <v>2139</v>
      </c>
      <c r="E44" s="933" t="s">
        <v>2142</v>
      </c>
    </row>
    <row r="45" spans="3:7" ht="69" customHeight="1" x14ac:dyDescent="0.3">
      <c r="C45" s="84" t="str">
        <f>+'PLAN DE DESARROLLO 2024 - 2027'!B101</f>
        <v xml:space="preserve"> Trabajo Decente y Cierre de Brechas Laborales
</v>
      </c>
      <c r="D45" s="931">
        <f>+O8</f>
        <v>0.29591846153846157</v>
      </c>
      <c r="E45" s="119">
        <f>+'PLAN DE DESARROLLO 2024 - 2027'!K101</f>
        <v>0.37620128205128206</v>
      </c>
    </row>
    <row r="46" spans="3:7" ht="59.45" customHeight="1" x14ac:dyDescent="0.25">
      <c r="C46" s="82" t="str">
        <f>+'PLAN DE DESARROLLO 2024 - 2027'!B102</f>
        <v xml:space="preserve"> EMPLEO Y CAPITAL HUMANO</v>
      </c>
      <c r="D46" s="77">
        <f>+'PLAN DE DESARROLLO 2024 - 2027'!M102</f>
        <v>0.10938500000000001</v>
      </c>
      <c r="E46" s="113">
        <f>+'PLAN DE DESARROLLO 2024 - 2027'!K102</f>
        <v>0.16369999999999998</v>
      </c>
    </row>
    <row r="47" spans="3:7" ht="24.6" customHeight="1" x14ac:dyDescent="0.25">
      <c r="C47" s="82" t="str">
        <f>+'PLAN DE DESARROLLO 2024 - 2027'!B103</f>
        <v xml:space="preserve"> MI PRIMERA CHAMBA</v>
      </c>
      <c r="D47" s="77">
        <f>+'PLAN DE DESARROLLO 2024 - 2027'!M103</f>
        <v>0.48875000000000002</v>
      </c>
      <c r="E47" s="108">
        <f>+'PLAN DE DESARROLLO 2024 - 2027'!K103</f>
        <v>0.48875000000000002</v>
      </c>
    </row>
    <row r="48" spans="3:7" ht="24.75" x14ac:dyDescent="0.25">
      <c r="C48" s="82" t="str">
        <f>+'PLAN DE DESARROLLO 2024 - 2027'!B104</f>
        <v xml:space="preserve"> DERECHO AL TRABAJO EN CONDICIONES DE IGUALDAD Y DIGNIDAD PARA LA MUJER</v>
      </c>
      <c r="D48" s="77">
        <f>+'PLAN DE DESARROLLO 2024 - 2027'!M104</f>
        <v>0.47615384615384615</v>
      </c>
      <c r="E48" s="108">
        <f>+'PLAN DE DESARROLLO 2024 - 2027'!K104</f>
        <v>0.47615384615384615</v>
      </c>
    </row>
    <row r="52" spans="3:6" ht="72" customHeight="1" x14ac:dyDescent="0.25">
      <c r="C52" s="9"/>
      <c r="D52" s="80" t="s">
        <v>2139</v>
      </c>
      <c r="E52" s="933" t="s">
        <v>2143</v>
      </c>
      <c r="F52" s="1275" t="s">
        <v>2110</v>
      </c>
    </row>
    <row r="53" spans="3:6" ht="37.5" x14ac:dyDescent="0.3">
      <c r="C53" s="84" t="str">
        <f>+'PLAN DE DESARROLLO 2024 - 2027'!B105</f>
        <v xml:space="preserve"> Economía Popular y Emprendimiento
</v>
      </c>
      <c r="D53" s="931">
        <f>+O9</f>
        <v>0.21015375</v>
      </c>
      <c r="E53" s="121">
        <f>+'PLAN DE DESARROLLO 2024 - 2027'!K105</f>
        <v>0.17904687499999999</v>
      </c>
    </row>
    <row r="54" spans="3:6" ht="33.6" customHeight="1" x14ac:dyDescent="0.25">
      <c r="C54" s="82" t="str">
        <f>+'PLAN DE DESARROLLO 2024 - 2027'!B106</f>
        <v xml:space="preserve"> AVANZAMOS CON CAPACIDADES EMPRENDEDORAS</v>
      </c>
      <c r="D54" s="77">
        <f>+'PLAN DE DESARROLLO 2024 - 2027'!M106</f>
        <v>0.25624999999999998</v>
      </c>
      <c r="E54" s="109">
        <f>+'PLAN DE DESARROLLO 2024 - 2027'!K106</f>
        <v>0.27250000000000002</v>
      </c>
    </row>
    <row r="55" spans="3:6" ht="41.45" customHeight="1" x14ac:dyDescent="0.25">
      <c r="C55" s="82" t="str">
        <f>+'PLAN DE DESARROLLO 2024 - 2027'!B107</f>
        <v xml:space="preserve"> AVANZAMOS PARA FORTALECER LA ECONOMÍA POPULAR Y GENERAR MEJORES INGRESOS PARA NUESTRAS FAMILIAS</v>
      </c>
      <c r="D55" s="77">
        <f>+'PLAN DE DESARROLLO 2024 - 2027'!M107</f>
        <v>0.22362499999999999</v>
      </c>
      <c r="E55" s="110">
        <f>+'PLAN DE DESARROLLO 2024 - 2027'!K107</f>
        <v>0.1118125</v>
      </c>
    </row>
    <row r="56" spans="3:6" ht="41.45" customHeight="1" x14ac:dyDescent="0.25">
      <c r="C56" s="82" t="s">
        <v>1981</v>
      </c>
      <c r="D56" s="77">
        <f>+'PLAN DE DESARROLLO 2024 - 2027'!M109</f>
        <v>0</v>
      </c>
      <c r="E56" s="110">
        <f>+'PLAN DE DESARROLLO 2024 - 2027'!K109</f>
        <v>0</v>
      </c>
    </row>
    <row r="57" spans="3:6" ht="40.9" customHeight="1" x14ac:dyDescent="0.25">
      <c r="C57" s="82" t="str">
        <f>+'PLAN DE DESARROLLO 2024 - 2027'!B108</f>
        <v xml:space="preserve"> CARTAGENA FOMENTA LA INCLUSIÓN PRODUCTIVA JUVENIL</v>
      </c>
      <c r="D57" s="77">
        <f>+'PLAN DE DESARROLLO 2024 - 2027'!M108</f>
        <v>0.22607500000000003</v>
      </c>
      <c r="E57" s="109">
        <f>+'PLAN DE DESARROLLO 2024 - 2027'!K108</f>
        <v>0.33187500000000003</v>
      </c>
    </row>
    <row r="60" spans="3:6" ht="49.15" customHeight="1" x14ac:dyDescent="0.25">
      <c r="C60" s="9"/>
      <c r="D60" s="80" t="s">
        <v>2139</v>
      </c>
      <c r="E60" s="933" t="s">
        <v>2144</v>
      </c>
      <c r="F60" s="1275" t="s">
        <v>2110</v>
      </c>
    </row>
    <row r="61" spans="3:6" ht="52.15" customHeight="1" x14ac:dyDescent="0.3">
      <c r="C61" s="84" t="str">
        <f>+'PLAN DE DESARROLLO 2024 - 2027'!B110</f>
        <v xml:space="preserve">Turismo Sostenible y Responsable
</v>
      </c>
      <c r="D61" s="931">
        <f>+O10</f>
        <v>0.22548041129324631</v>
      </c>
      <c r="E61" s="117">
        <f>+'PLAN DE DESARROLLO 2024 - 2027'!K110</f>
        <v>0.26794331149437195</v>
      </c>
    </row>
    <row r="62" spans="3:6" ht="30" customHeight="1" x14ac:dyDescent="0.25">
      <c r="C62" s="82" t="str">
        <f>+'PLAN DE DESARROLLO 2024 - 2027'!B113</f>
        <v xml:space="preserve"> PROMOCIÓN TURÍSTICA</v>
      </c>
      <c r="D62" s="77">
        <f>+'PLAN DE DESARROLLO 2024 - 2027'!M113</f>
        <v>0.625</v>
      </c>
      <c r="E62" s="108">
        <f>+'PLAN DE DESARROLLO 2024 - 2027'!K113</f>
        <v>0.6875</v>
      </c>
    </row>
    <row r="63" spans="3:6" ht="30" customHeight="1" x14ac:dyDescent="0.25">
      <c r="C63" s="82" t="str">
        <f>+'PLAN DE DESARROLLO 2024 - 2027'!B111</f>
        <v xml:space="preserve"> SEGURIDAD, VIGILANCIA Y CONTROL PARA UN TURISMO RESPONSABLE</v>
      </c>
      <c r="D63" s="77">
        <f>+'PLAN DE DESARROLLO 2024 - 2027'!M111</f>
        <v>9.5093749999999991E-2</v>
      </c>
      <c r="E63" s="110">
        <f>+'PLAN DE DESARROLLO 2024 - 2027'!K111</f>
        <v>9.5781249999999998E-2</v>
      </c>
    </row>
    <row r="64" spans="3:6" ht="30" customHeight="1" x14ac:dyDescent="0.25">
      <c r="C64" s="82" t="str">
        <f>+'PLAN DE DESARROLLO 2024 - 2027'!B112</f>
        <v xml:space="preserve"> TURISMO SOSTENIBLE E INCLUYENTE CON LAS COMUNIDADES</v>
      </c>
      <c r="D64" s="77">
        <f>+'PLAN DE DESARROLLO 2024 - 2027'!M112</f>
        <v>4.1743202299564949E-2</v>
      </c>
      <c r="E64" s="110">
        <f>+'PLAN DE DESARROLLO 2024 - 2027'!K112</f>
        <v>4.6296418582970789E-2</v>
      </c>
    </row>
    <row r="65" spans="3:5" ht="30" customHeight="1" x14ac:dyDescent="0.25">
      <c r="C65" s="82" t="str">
        <f>+'PLAN DE DESARROLLO 2024 - 2027'!B114</f>
        <v xml:space="preserve"> INFRAESTRUCTURA TURÍSTICA PARA EL DESARROLLO</v>
      </c>
      <c r="D65" s="77">
        <f>+'PLAN DE DESARROLLO 2024 - 2027'!M114</f>
        <v>2.6194444444444444E-2</v>
      </c>
      <c r="E65" s="110">
        <f>+'PLAN DE DESARROLLO 2024 - 2027'!K114</f>
        <v>4.3472222222222225E-2</v>
      </c>
    </row>
    <row r="66" spans="3:5" ht="43.9" customHeight="1" x14ac:dyDescent="0.25">
      <c r="C66" s="82" t="str">
        <f>+'PLAN DE DESARROLLO 2024 - 2027'!B115</f>
        <v xml:space="preserve"> GOBERNANZA Y FORTALECIMIENTO INSTITUCIONAL PARA UNA CIUDAD DE DERECHOS, RESPONSABLE Y COMPETITIVA</v>
      </c>
      <c r="D66" s="77">
        <f>+'PLAN DE DESARROLLO 2024 - 2027'!M115</f>
        <v>0.82000000000000006</v>
      </c>
      <c r="E66" s="108">
        <f>+'PLAN DE DESARROLLO 2024 - 2027'!K115</f>
        <v>0.46666666666666662</v>
      </c>
    </row>
    <row r="67" spans="3:5" ht="18.75" x14ac:dyDescent="0.3">
      <c r="C67" s="88"/>
      <c r="D67" s="89"/>
    </row>
    <row r="68" spans="3:5" ht="66" customHeight="1" x14ac:dyDescent="0.25">
      <c r="C68" s="9"/>
      <c r="D68" s="80" t="s">
        <v>2139</v>
      </c>
      <c r="E68" s="927" t="s">
        <v>2145</v>
      </c>
    </row>
    <row r="69" spans="3:5" ht="33" customHeight="1" x14ac:dyDescent="0.3">
      <c r="C69" s="84" t="str">
        <f>+'PLAN DE DESARROLLO 2024 - 2027'!B116</f>
        <v xml:space="preserve"> Desarrollo Agropecuario 
</v>
      </c>
      <c r="D69" s="931">
        <f>+O11</f>
        <v>0.27083786061052356</v>
      </c>
      <c r="E69" s="117">
        <f>+'PLAN DE DESARROLLO 2024 - 2027'!K116</f>
        <v>0.28886778775222194</v>
      </c>
    </row>
    <row r="70" spans="3:5" ht="41.45" customHeight="1" x14ac:dyDescent="0.25">
      <c r="C70" s="82" t="str">
        <f>+'PLAN DE DESARROLLO 2024 - 2027'!B117</f>
        <v xml:space="preserve"> INCLUSIÓN PRODUCTIVA Y SOCIAL DE LA AGRICULTURA CAMPESINA, FAMILIAR Y COMUNITARIA</v>
      </c>
      <c r="D70" s="77">
        <f>+'PLAN DE DESARROLLO 2024 - 2027'!M117</f>
        <v>0.40000565930956422</v>
      </c>
      <c r="E70" s="107">
        <f>+'PLAN DE DESARROLLO 2024 - 2027'!K117</f>
        <v>0.40000565930956428</v>
      </c>
    </row>
    <row r="71" spans="3:5" ht="59.45" customHeight="1" x14ac:dyDescent="0.25">
      <c r="C71" s="82" t="str">
        <f>+'PLAN DE DESARROLLO 2024 - 2027'!B118</f>
        <v xml:space="preserve"> EXTENSIÓN AGROPECUARIA, INFRAESTRUCTURA Y ACTIVOS PRODUCTIVOS PARA LA COMPETITIVIDAD AGROPECUARIA Y LA SOBERANÍA ALIMENTARIA</v>
      </c>
      <c r="D71" s="77">
        <f>+'PLAN DE DESARROLLO 2024 - 2027'!M118</f>
        <v>0.19213654618473897</v>
      </c>
      <c r="E71" s="113">
        <f>+'PLAN DE DESARROLLO 2024 - 2027'!K118</f>
        <v>0.21659770394710151</v>
      </c>
    </row>
    <row r="72" spans="3:5" ht="30" customHeight="1" x14ac:dyDescent="0.25">
      <c r="C72" s="82" t="str">
        <f>+'PLAN DE DESARROLLO 2024 - 2027'!B119</f>
        <v xml:space="preserve"> CARTAGENA CIUDAD DE PESCADORES</v>
      </c>
      <c r="D72" s="77">
        <f>+'PLAN DE DESARROLLO 2024 - 2027'!M119</f>
        <v>0.33749999999999997</v>
      </c>
      <c r="E72" s="109">
        <f>+'PLAN DE DESARROLLO 2024 - 2027'!K119</f>
        <v>0.25</v>
      </c>
    </row>
    <row r="73" spans="3:5" x14ac:dyDescent="0.25">
      <c r="D73" s="89"/>
    </row>
    <row r="74" spans="3:5" x14ac:dyDescent="0.25">
      <c r="D74" s="89"/>
    </row>
    <row r="75" spans="3:5" x14ac:dyDescent="0.25">
      <c r="D75" s="89"/>
    </row>
    <row r="76" spans="3:5" x14ac:dyDescent="0.25">
      <c r="C76" s="87"/>
      <c r="D76" s="89"/>
    </row>
    <row r="77" spans="3:5" ht="73.150000000000006" customHeight="1" x14ac:dyDescent="0.25">
      <c r="C77" s="9"/>
      <c r="D77" s="80" t="s">
        <v>2139</v>
      </c>
      <c r="E77" s="927" t="s">
        <v>2146</v>
      </c>
    </row>
    <row r="78" spans="3:5" ht="60" customHeight="1" x14ac:dyDescent="0.3">
      <c r="C78" s="84" t="str">
        <f>+'PLAN DE DESARROLLO 2024 - 2027'!B120</f>
        <v xml:space="preserve">Sistema Integral de Abastecimiento del Distrito
</v>
      </c>
      <c r="D78" s="931">
        <f>+O12</f>
        <v>0.2532375</v>
      </c>
      <c r="E78" s="117">
        <f>+'PLAN DE DESARROLLO 2024 - 2027'!K120</f>
        <v>0.28374999999999995</v>
      </c>
    </row>
    <row r="79" spans="3:5" ht="48" customHeight="1" x14ac:dyDescent="0.25">
      <c r="C79" s="82" t="str">
        <f>+'PLAN DE DESARROLLO 2024 - 2027'!B121</f>
        <v xml:space="preserve"> DESARROLLO DEL NUEVO SISTEMA DE MERCADOS DEL DISTRITO</v>
      </c>
      <c r="D79" s="77">
        <f>+'PLAN DE DESARROLLO 2024 - 2027'!M121</f>
        <v>0.23833333333333331</v>
      </c>
      <c r="E79" s="110">
        <f>+'PLAN DE DESARROLLO 2024 - 2027'!K121</f>
        <v>0.1573</v>
      </c>
    </row>
    <row r="80" spans="3:5" ht="28.9" customHeight="1" x14ac:dyDescent="0.25">
      <c r="C80" s="82" t="str">
        <f>+'PLAN DE DESARROLLO 2024 - 2027'!B122</f>
        <v xml:space="preserve"> GESTIÓN INTEGRAL DEL SISTEMA DE MERCADOS</v>
      </c>
      <c r="D80" s="77">
        <f>+'PLAN DE DESARROLLO 2024 - 2027'!M122</f>
        <v>0.29794999999999999</v>
      </c>
      <c r="E80" s="107">
        <f>+'PLAN DE DESARROLLO 2024 - 2027'!K122</f>
        <v>0.41019999999999995</v>
      </c>
    </row>
    <row r="81" spans="3:4" ht="18.75" x14ac:dyDescent="0.3">
      <c r="C81" s="88"/>
      <c r="D81" s="89"/>
    </row>
    <row r="82" spans="3:4" ht="18.75" x14ac:dyDescent="0.3">
      <c r="C82" s="88"/>
      <c r="D82" s="89"/>
    </row>
    <row r="87" spans="3:4" ht="55.9" customHeight="1" x14ac:dyDescent="0.25">
      <c r="C87" s="9"/>
      <c r="D87" s="927" t="s">
        <v>2134</v>
      </c>
    </row>
    <row r="88" spans="3:4" ht="67.900000000000006" customHeight="1" x14ac:dyDescent="0.3">
      <c r="C88" s="84" t="str">
        <f t="shared" ref="C88:C95" si="1">+M5</f>
        <v xml:space="preserve"> DESARROLLO ECONÓMICO EQUITATIVO
</v>
      </c>
      <c r="D88" s="981">
        <f>+'PLAN DE DESARROLLO 2024 - 2027'!I92</f>
        <v>0.34213119063906233</v>
      </c>
    </row>
    <row r="89" spans="3:4" ht="31.5" x14ac:dyDescent="0.25">
      <c r="C89" s="92" t="str">
        <f t="shared" si="1"/>
        <v xml:space="preserve"> Competitividad e innovación
</v>
      </c>
      <c r="D89" s="360">
        <f>+'PLAN DE DESARROLLO 2024 - 2027'!I93</f>
        <v>0.3208333333333333</v>
      </c>
    </row>
    <row r="90" spans="3:4" ht="60" customHeight="1" x14ac:dyDescent="0.25">
      <c r="C90" s="92" t="str">
        <f t="shared" si="1"/>
        <v xml:space="preserve"> Diversificación Económica
</v>
      </c>
      <c r="D90" s="1230">
        <f>+'PLAN DE DESARROLLO 2024 - 2027'!I96</f>
        <v>0.54458333333333331</v>
      </c>
    </row>
    <row r="91" spans="3:4" ht="61.15" customHeight="1" x14ac:dyDescent="0.25">
      <c r="C91" s="92" t="str">
        <f t="shared" si="1"/>
        <v xml:space="preserve"> Trabajo Decente y Cierre de Brechas Laborales
</v>
      </c>
      <c r="D91" s="937">
        <f>+'PLAN DE DESARROLLO 2024 - 2027'!I101</f>
        <v>0.38546365914786967</v>
      </c>
    </row>
    <row r="92" spans="3:4" ht="31.5" x14ac:dyDescent="0.25">
      <c r="C92" s="92" t="str">
        <f t="shared" si="1"/>
        <v xml:space="preserve"> Economía Popular y Emprendimiento
</v>
      </c>
      <c r="D92" s="360">
        <f>+'PLAN DE DESARROLLO 2024 - 2027'!I105</f>
        <v>0.25217032967032971</v>
      </c>
    </row>
    <row r="93" spans="3:4" ht="31.5" x14ac:dyDescent="0.25">
      <c r="C93" s="92" t="str">
        <f t="shared" si="1"/>
        <v xml:space="preserve">Turismo Sostenible y Responsable
</v>
      </c>
      <c r="D93" s="360">
        <f>+'PLAN DE DESARROLLO 2024 - 2027'!I110</f>
        <v>0.29987720959595959</v>
      </c>
    </row>
    <row r="94" spans="3:4" ht="15.75" x14ac:dyDescent="0.25">
      <c r="C94" s="92" t="str">
        <f t="shared" si="1"/>
        <v xml:space="preserve"> Desarrollo Agropecuario 
</v>
      </c>
      <c r="D94" s="937">
        <f>+'PLAN DE DESARROLLO 2024 - 2027'!I116</f>
        <v>0.43699046939261071</v>
      </c>
    </row>
    <row r="95" spans="3:4" ht="31.5" x14ac:dyDescent="0.25">
      <c r="C95" s="92" t="str">
        <f t="shared" si="1"/>
        <v xml:space="preserve">Sistema Integral de Abastecimiento del Distrito
</v>
      </c>
      <c r="D95" s="361">
        <f>+'PLAN DE DESARROLLO 2024 - 2027'!I120</f>
        <v>0.155</v>
      </c>
    </row>
    <row r="99" spans="3:5" x14ac:dyDescent="0.25">
      <c r="C99" s="1425" t="s">
        <v>2116</v>
      </c>
      <c r="D99" s="1425"/>
      <c r="E99" s="1425"/>
    </row>
    <row r="100" spans="3:5" x14ac:dyDescent="0.25">
      <c r="C100" s="1425"/>
      <c r="D100" s="1425"/>
      <c r="E100" s="1425"/>
    </row>
    <row r="101" spans="3:5" ht="45.6" customHeight="1" x14ac:dyDescent="0.25">
      <c r="C101" s="115" t="s">
        <v>2117</v>
      </c>
      <c r="D101" s="85" t="s">
        <v>2135</v>
      </c>
      <c r="E101" s="114" t="s">
        <v>2119</v>
      </c>
    </row>
    <row r="102" spans="3:5" ht="33.6" customHeight="1" x14ac:dyDescent="0.25">
      <c r="C102" s="82" t="s">
        <v>946</v>
      </c>
      <c r="D102" s="113">
        <v>0.16369999999999998</v>
      </c>
      <c r="E102" s="1256" t="s">
        <v>2147</v>
      </c>
    </row>
    <row r="103" spans="3:5" ht="45.6" customHeight="1" x14ac:dyDescent="0.25">
      <c r="C103" s="82" t="s">
        <v>1980</v>
      </c>
      <c r="D103" s="110">
        <v>0.1118125</v>
      </c>
      <c r="E103" s="1255" t="s">
        <v>2148</v>
      </c>
    </row>
    <row r="104" spans="3:5" ht="53.45" customHeight="1" x14ac:dyDescent="0.25">
      <c r="C104" s="82" t="s">
        <v>1981</v>
      </c>
      <c r="D104" s="110">
        <v>0</v>
      </c>
      <c r="E104" s="1256" t="s">
        <v>2149</v>
      </c>
    </row>
    <row r="105" spans="3:5" ht="35.450000000000003" customHeight="1" x14ac:dyDescent="0.25">
      <c r="C105" s="82" t="s">
        <v>1982</v>
      </c>
      <c r="D105" s="110">
        <v>9.5781249999999998E-2</v>
      </c>
      <c r="E105" s="1255" t="s">
        <v>2150</v>
      </c>
    </row>
    <row r="106" spans="3:5" ht="40.15" customHeight="1" x14ac:dyDescent="0.25">
      <c r="C106" s="82" t="s">
        <v>1983</v>
      </c>
      <c r="D106" s="110">
        <v>4.6296418582970789E-2</v>
      </c>
      <c r="E106" s="1255" t="s">
        <v>2150</v>
      </c>
    </row>
    <row r="107" spans="3:5" ht="45" customHeight="1" x14ac:dyDescent="0.25">
      <c r="C107" s="82" t="s">
        <v>1076</v>
      </c>
      <c r="D107" s="110">
        <v>4.3472222222222225E-2</v>
      </c>
      <c r="E107" s="1255" t="s">
        <v>2150</v>
      </c>
    </row>
    <row r="108" spans="3:5" ht="64.150000000000006" customHeight="1" x14ac:dyDescent="0.25">
      <c r="C108" s="82" t="s">
        <v>1109</v>
      </c>
      <c r="D108" s="113">
        <v>0.21659770394710151</v>
      </c>
      <c r="E108" s="1255" t="s">
        <v>2151</v>
      </c>
    </row>
    <row r="109" spans="3:5" ht="47.45" customHeight="1" x14ac:dyDescent="0.25">
      <c r="C109" s="82" t="s">
        <v>1147</v>
      </c>
      <c r="D109" s="110">
        <v>0.1573</v>
      </c>
      <c r="E109" s="1255" t="s">
        <v>2152</v>
      </c>
    </row>
  </sheetData>
  <mergeCells count="3">
    <mergeCell ref="M2:O3"/>
    <mergeCell ref="C99:E100"/>
    <mergeCell ref="C2:F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C2:P148"/>
  <sheetViews>
    <sheetView topLeftCell="A127" zoomScale="50" zoomScaleNormal="50" workbookViewId="0">
      <selection activeCell="F147" sqref="F147"/>
    </sheetView>
  </sheetViews>
  <sheetFormatPr baseColWidth="10" defaultColWidth="11.42578125" defaultRowHeight="15" x14ac:dyDescent="0.25"/>
  <cols>
    <col min="3" max="3" width="58.7109375" customWidth="1"/>
    <col min="4" max="4" width="45.28515625" customWidth="1"/>
    <col min="5" max="5" width="56.28515625" customWidth="1"/>
    <col min="6" max="6" width="36.28515625" customWidth="1"/>
    <col min="7" max="7" width="60" customWidth="1"/>
    <col min="8" max="8" width="29.28515625" customWidth="1"/>
    <col min="9" max="9" width="42.7109375" customWidth="1"/>
    <col min="14" max="14" width="39.7109375" customWidth="1"/>
    <col min="15" max="15" width="35.28515625" customWidth="1"/>
    <col min="16" max="16" width="40.42578125" customWidth="1"/>
  </cols>
  <sheetData>
    <row r="2" spans="3:16" ht="14.45" customHeight="1" x14ac:dyDescent="0.25">
      <c r="C2" s="1424" t="s">
        <v>2153</v>
      </c>
      <c r="D2" s="1424"/>
      <c r="E2" s="1424"/>
      <c r="F2" s="1424"/>
    </row>
    <row r="3" spans="3:16" ht="61.15" customHeight="1" x14ac:dyDescent="0.25">
      <c r="C3" s="1424"/>
      <c r="D3" s="1424"/>
      <c r="E3" s="1424"/>
      <c r="F3" s="1424"/>
      <c r="N3" s="1418" t="s">
        <v>2154</v>
      </c>
      <c r="O3" s="1419"/>
      <c r="P3" s="1420"/>
    </row>
    <row r="4" spans="3:16" ht="57.6" customHeight="1" x14ac:dyDescent="0.25">
      <c r="C4" s="79"/>
      <c r="D4" s="928" t="s">
        <v>2103</v>
      </c>
      <c r="E4" s="928" t="s">
        <v>2124</v>
      </c>
      <c r="F4" s="928" t="s">
        <v>2105</v>
      </c>
      <c r="N4" s="1421"/>
      <c r="O4" s="1422"/>
      <c r="P4" s="1423"/>
    </row>
    <row r="5" spans="3:16" ht="55.9" customHeight="1" x14ac:dyDescent="0.3">
      <c r="C5" s="90" t="str">
        <f>+'PLAN DE DESARROLLO 2024 - 2027'!B123</f>
        <v xml:space="preserve">CARTAGENA CIUDAD CONECTADA Y SOSTENIBLE
</v>
      </c>
      <c r="D5" s="926">
        <f>+'PLAN DE DESARROLLO 2024 - 2027'!F123</f>
        <v>0.45754092798427343</v>
      </c>
      <c r="E5" s="940">
        <f>+'PLAN DE DESARROLLO 2024 - 2027'!K123</f>
        <v>0.32826692545655778</v>
      </c>
      <c r="F5" s="938">
        <v>0.22160323916687383</v>
      </c>
      <c r="N5" s="79"/>
      <c r="O5" s="80" t="s">
        <v>2106</v>
      </c>
      <c r="P5" s="80" t="s">
        <v>2125</v>
      </c>
    </row>
    <row r="6" spans="3:16" ht="54.6" customHeight="1" x14ac:dyDescent="0.3">
      <c r="C6" s="81" t="str">
        <f>+'PLAN DE DESARROLLO 2024 - 2027'!B124</f>
        <v xml:space="preserve"> Ordenamiento del Territorio y espacio público.
</v>
      </c>
      <c r="D6" s="97">
        <f>+'PLAN DE DESARROLLO 2024 - 2027'!F124</f>
        <v>0.51809708353808359</v>
      </c>
      <c r="E6" s="109">
        <f>+'PLAN DE DESARROLLO 2024 - 2027'!K124</f>
        <v>0.32648150518018021</v>
      </c>
      <c r="F6" s="125">
        <v>0.23386643243243244</v>
      </c>
      <c r="N6" s="90" t="str">
        <f t="shared" ref="N6:N13" si="0">+C5</f>
        <v xml:space="preserve">CARTAGENA CIUDAD CONECTADA Y SOSTENIBLE
</v>
      </c>
      <c r="O6" s="99">
        <f>+'PLAN DE DESARROLLO 2024 - 2027'!H123+'PLAN DE DESARROLLO 2024 - 2027'!G123</f>
        <v>0.41864897769416992</v>
      </c>
      <c r="P6" s="97">
        <f>+'PLAN DE DESARROLLO 2024 - 2027'!M123</f>
        <v>0.25862483810064973</v>
      </c>
    </row>
    <row r="7" spans="3:16" ht="48" customHeight="1" x14ac:dyDescent="0.25">
      <c r="C7" s="81" t="str">
        <f>+'PLAN DE DESARROLLO 2024 - 2027'!B127</f>
        <v xml:space="preserve"> Control Urbanístico y Territorial
</v>
      </c>
      <c r="D7" s="97">
        <f>+'PLAN DE DESARROLLO 2024 - 2027'!F127</f>
        <v>0.28910714285714284</v>
      </c>
      <c r="E7" s="109">
        <f>+'PLAN DE DESARROLLO 2024 - 2027'!K127</f>
        <v>0.25995803571428572</v>
      </c>
      <c r="F7" s="125">
        <v>0.16672619047619047</v>
      </c>
      <c r="N7" s="81" t="str">
        <f t="shared" si="0"/>
        <v xml:space="preserve"> Ordenamiento del Territorio y espacio público.
</v>
      </c>
      <c r="O7" s="97">
        <f>+'PLAN DE DESARROLLO 2024 - 2027'!H124+'PLAN DE DESARROLLO 2024 - 2027'!G124</f>
        <v>0.49342221375921386</v>
      </c>
      <c r="P7" s="97">
        <f>+'PLAN DE DESARROLLO 2024 - 2027'!M124</f>
        <v>0.37895680491891892</v>
      </c>
    </row>
    <row r="8" spans="3:16" ht="30" x14ac:dyDescent="0.25">
      <c r="C8" s="81" t="str">
        <f>+'PLAN DE DESARROLLO 2024 - 2027'!B130</f>
        <v xml:space="preserve"> Cartagena Amigable con el Ambiente 
</v>
      </c>
      <c r="D8" s="97">
        <f>+'PLAN DE DESARROLLO 2024 - 2027'!F130</f>
        <v>0.42368055555555556</v>
      </c>
      <c r="E8" s="109">
        <f>+'PLAN DE DESARROLLO 2024 - 2027'!K130</f>
        <v>0.25526745502645498</v>
      </c>
      <c r="F8" s="125">
        <v>0.13760416666666669</v>
      </c>
      <c r="N8" s="93" t="str">
        <f t="shared" si="0"/>
        <v xml:space="preserve"> Control Urbanístico y Territorial
</v>
      </c>
      <c r="O8" s="97">
        <f>+'PLAN DE DESARROLLO 2024 - 2027'!H127+'PLAN DE DESARROLLO 2024 - 2027'!G127</f>
        <v>0.45153571428571426</v>
      </c>
      <c r="P8" s="97">
        <f>+'PLAN DE DESARROLLO 2024 - 2027'!M127</f>
        <v>0.37064732142857143</v>
      </c>
    </row>
    <row r="9" spans="3:16" ht="30" x14ac:dyDescent="0.25">
      <c r="C9" s="81" t="str">
        <f>+'PLAN DE DESARROLLO 2024 - 2027'!B136</f>
        <v xml:space="preserve"> Cartagena Adaptada al Clima y Resiliente a los Desastres
</v>
      </c>
      <c r="D9" s="97">
        <f>+'PLAN DE DESARROLLO 2024 - 2027'!F136</f>
        <v>0.59632768509323986</v>
      </c>
      <c r="E9" s="108">
        <f>+'PLAN DE DESARROLLO 2024 - 2027'!K136</f>
        <v>0.46996420327895211</v>
      </c>
      <c r="F9" s="125">
        <v>0.34751855340367338</v>
      </c>
      <c r="N9" s="81" t="str">
        <f t="shared" si="0"/>
        <v xml:space="preserve"> Cartagena Amigable con el Ambiente 
</v>
      </c>
      <c r="O9" s="97">
        <f>+'PLAN DE DESARROLLO 2024 - 2027'!H130+'PLAN DE DESARROLLO 2024 - 2027'!G130</f>
        <v>0.37425000000000003</v>
      </c>
      <c r="P9" s="97">
        <f>+'PLAN DE DESARROLLO 2024 - 2027'!M130</f>
        <v>0.1902765833333333</v>
      </c>
    </row>
    <row r="10" spans="3:16" ht="49.9" customHeight="1" x14ac:dyDescent="0.25">
      <c r="C10" s="81" t="str">
        <f>+'PLAN DE DESARROLLO 2024 - 2027'!B143</f>
        <v xml:space="preserve">Ciudad Histórica y Patrimonial
</v>
      </c>
      <c r="D10" s="97">
        <f>+'PLAN DE DESARROLLO 2024 - 2027'!F143</f>
        <v>0.42505793650793644</v>
      </c>
      <c r="E10" s="113">
        <f>+'PLAN DE DESARROLLO 2024 - 2027'!K143</f>
        <v>0.19436479591836733</v>
      </c>
      <c r="F10" s="125">
        <v>0.15124841269841269</v>
      </c>
      <c r="N10" s="81" t="str">
        <f t="shared" si="0"/>
        <v xml:space="preserve"> Cartagena Adaptada al Clima y Resiliente a los Desastres
</v>
      </c>
      <c r="O10" s="97">
        <f>+'PLAN DE DESARROLLO 2024 - 2027'!H136+'PLAN DE DESARROLLO 2024 - 2027'!G136</f>
        <v>0.478100100382709</v>
      </c>
      <c r="P10" s="97">
        <f>+'PLAN DE DESARROLLO 2024 - 2027'!M136</f>
        <v>0.42063963005510235</v>
      </c>
    </row>
    <row r="11" spans="3:16" ht="43.9" customHeight="1" x14ac:dyDescent="0.25">
      <c r="C11" s="81" t="str">
        <f>+'PLAN DE DESARROLLO 2024 - 2027'!B147</f>
        <v xml:space="preserve">Infraestructura, Movilidad Sostenible y Accesibilidad para Todos
</v>
      </c>
      <c r="D11" s="97">
        <f>+'PLAN DE DESARROLLO 2024 - 2027'!F147</f>
        <v>0.6214955271871011</v>
      </c>
      <c r="E11" s="108">
        <f>+'PLAN DE DESARROLLO 2024 - 2027'!K147</f>
        <v>0.52112490940263534</v>
      </c>
      <c r="F11" s="125">
        <v>0.28704669626851897</v>
      </c>
      <c r="N11" s="81" t="str">
        <f t="shared" si="0"/>
        <v xml:space="preserve">Ciudad Histórica y Patrimonial
</v>
      </c>
      <c r="O11" s="97">
        <f>+'PLAN DE DESARROLLO 2024 - 2027'!H143+'PLAN DE DESARROLLO 2024 - 2027'!G143</f>
        <v>0.4201388888888889</v>
      </c>
      <c r="P11" s="97">
        <f>+'PLAN DE DESARROLLO 2024 - 2027'!M143</f>
        <v>0.12696144642857143</v>
      </c>
    </row>
    <row r="12" spans="3:16" ht="45" x14ac:dyDescent="0.25">
      <c r="C12" s="81" t="str">
        <f>+'PLAN DE DESARROLLO 2024 - 2027'!B153</f>
        <v xml:space="preserve">Cartagena Ordenada Alrededor del Agua
</v>
      </c>
      <c r="D12" s="97">
        <f>+'PLAN DE DESARROLLO 2024 - 2027'!F153</f>
        <v>0.44129952380952381</v>
      </c>
      <c r="E12" s="109">
        <f>+'PLAN DE DESARROLLO 2024 - 2027'!K153</f>
        <v>0.34193255555555557</v>
      </c>
      <c r="F12" s="125">
        <v>0.22721222222222223</v>
      </c>
      <c r="N12" s="81" t="str">
        <f t="shared" si="0"/>
        <v xml:space="preserve">Infraestructura, Movilidad Sostenible y Accesibilidad para Todos
</v>
      </c>
      <c r="O12" s="97">
        <f>+'PLAN DE DESARROLLO 2024 - 2027'!H147+'PLAN DE DESARROLLO 2024 - 2027'!G147</f>
        <v>0.56564102039114827</v>
      </c>
      <c r="P12" s="97">
        <f>+'PLAN DE DESARROLLO 2024 - 2027'!M147</f>
        <v>0.1631294882215743</v>
      </c>
    </row>
    <row r="13" spans="3:16" ht="30" x14ac:dyDescent="0.25">
      <c r="C13" s="9" t="str">
        <f>+'PLAN DE DESARROLLO 2024 - 2027'!B159</f>
        <v xml:space="preserve"> Integración Regional y Metropolitana
</v>
      </c>
      <c r="D13" s="97">
        <v>0</v>
      </c>
      <c r="E13" s="939"/>
      <c r="F13" s="9"/>
      <c r="N13" s="81" t="str">
        <f t="shared" si="0"/>
        <v xml:space="preserve">Cartagena Ordenada Alrededor del Agua
</v>
      </c>
      <c r="O13" s="97">
        <f>+'PLAN DE DESARROLLO 2024 - 2027'!H153+'PLAN DE DESARROLLO 2024 - 2027'!G153</f>
        <v>0.41631250000000003</v>
      </c>
      <c r="P13" s="97">
        <f>+'PLAN DE DESARROLLO 2024 - 2027'!M153</f>
        <v>0.27291636750000003</v>
      </c>
    </row>
    <row r="46" spans="3:7" ht="65.45" customHeight="1" x14ac:dyDescent="0.25">
      <c r="C46" s="9"/>
      <c r="D46" s="80" t="s">
        <v>2139</v>
      </c>
      <c r="E46" s="927" t="s">
        <v>2155</v>
      </c>
      <c r="G46" s="1275" t="s">
        <v>2110</v>
      </c>
    </row>
    <row r="47" spans="3:7" ht="51" customHeight="1" x14ac:dyDescent="0.3">
      <c r="C47" s="84" t="str">
        <f>+'PLAN DE DESARROLLO 2024 - 2027'!B124</f>
        <v xml:space="preserve"> Ordenamiento del Territorio y espacio público.
</v>
      </c>
      <c r="D47" s="926">
        <f>+P7</f>
        <v>0.37895680491891892</v>
      </c>
      <c r="E47" s="117">
        <f>+'PLAN DE DESARROLLO 2024 - 2027'!K124</f>
        <v>0.32648150518018021</v>
      </c>
      <c r="G47" t="s">
        <v>2110</v>
      </c>
    </row>
    <row r="48" spans="3:7" ht="34.9" customHeight="1" x14ac:dyDescent="0.25">
      <c r="C48" s="82" t="str">
        <f>+'PLAN DE DESARROLLO 2024 - 2027'!B125</f>
        <v xml:space="preserve"> INSTRUMENTOS DE PLANIFICACIÓN TERRITORIAL</v>
      </c>
      <c r="D48" s="97">
        <f>+'PLAN DE DESARROLLO 2024 - 2027'!M125</f>
        <v>0.37706898000000005</v>
      </c>
      <c r="E48" s="109">
        <f>+'PLAN DE DESARROLLO 2024 - 2027'!K125</f>
        <v>0.27068958333333337</v>
      </c>
    </row>
    <row r="49" spans="3:7" ht="29.45" customHeight="1" x14ac:dyDescent="0.25">
      <c r="C49" s="82" t="str">
        <f>+'PLAN DE DESARROLLO 2024 - 2027'!B126</f>
        <v xml:space="preserve"> RECUPERACIÓN Y TRANSFORMACIÓN DEL ESPACIO PÚBLICO</v>
      </c>
      <c r="D49" s="97">
        <f>+'PLAN DE DESARROLLO 2024 - 2027'!M126</f>
        <v>0.38336172972972976</v>
      </c>
      <c r="E49" s="107">
        <f>+'PLAN DE DESARROLLO 2024 - 2027'!K126</f>
        <v>0.38227342702702705</v>
      </c>
    </row>
    <row r="50" spans="3:7" ht="29.45" customHeight="1" x14ac:dyDescent="0.25">
      <c r="C50" s="87"/>
      <c r="D50" s="95"/>
    </row>
    <row r="51" spans="3:7" ht="29.45" customHeight="1" x14ac:dyDescent="0.25">
      <c r="C51" s="87"/>
      <c r="D51" s="95"/>
    </row>
    <row r="52" spans="3:7" ht="30" x14ac:dyDescent="0.25">
      <c r="G52" s="1275" t="s">
        <v>2110</v>
      </c>
    </row>
    <row r="53" spans="3:7" x14ac:dyDescent="0.25">
      <c r="C53" s="1275"/>
      <c r="G53" s="1275"/>
    </row>
    <row r="54" spans="3:7" ht="51.6" customHeight="1" x14ac:dyDescent="0.25">
      <c r="C54" s="9"/>
      <c r="D54" s="80" t="s">
        <v>2139</v>
      </c>
      <c r="E54" s="927" t="s">
        <v>2156</v>
      </c>
      <c r="F54" s="1275" t="s">
        <v>2110</v>
      </c>
    </row>
    <row r="55" spans="3:7" ht="70.900000000000006" customHeight="1" x14ac:dyDescent="0.3">
      <c r="C55" s="84" t="str">
        <f>+'PLAN DE DESARROLLO 2024 - 2027'!B127</f>
        <v xml:space="preserve"> Control Urbanístico y Territorial
</v>
      </c>
      <c r="D55" s="926">
        <f>+P8</f>
        <v>0.37064732142857143</v>
      </c>
      <c r="E55" s="981">
        <f>+'PLAN DE DESARROLLO 2024 - 2027'!K127</f>
        <v>0.25995803571428572</v>
      </c>
    </row>
    <row r="56" spans="3:7" ht="43.9" customHeight="1" x14ac:dyDescent="0.25">
      <c r="C56" s="82" t="str">
        <f>+'PLAN DE DESARROLLO 2024 - 2027'!B129</f>
        <v xml:space="preserve"> CARTAGENA AVANZA EN EL FORTALECIMIENTO DEL PLAN DE NORMALIZACIÓN URBANÍSTICA</v>
      </c>
      <c r="D56" s="97">
        <f>+'PLAN DE DESARROLLO 2024 - 2027'!M129</f>
        <v>0.19258928571428571</v>
      </c>
      <c r="E56" s="360">
        <f>+'PLAN DE DESARROLLO 2024 - 2027'!K129</f>
        <v>0.24991607142857145</v>
      </c>
    </row>
    <row r="57" spans="3:7" ht="43.9" customHeight="1" x14ac:dyDescent="0.25">
      <c r="C57" s="82" t="str">
        <f>+'PLAN DE DESARROLLO 2024 - 2027'!B128</f>
        <v xml:space="preserve"> RECUPERANDO LA GOBERNANZA URBANÍSTICA, CARTAGENA VUELVE A BRILLAR</v>
      </c>
      <c r="D57" s="97">
        <f>+'PLAN DE DESARROLLO 2024 - 2027'!M128</f>
        <v>0.43</v>
      </c>
      <c r="E57" s="360">
        <f>+'PLAN DE DESARROLLO 2024 - 2027'!K128</f>
        <v>0.27</v>
      </c>
    </row>
    <row r="59" spans="3:7" ht="52.9" customHeight="1" x14ac:dyDescent="0.25">
      <c r="C59" s="9"/>
      <c r="D59" s="80" t="s">
        <v>2139</v>
      </c>
      <c r="E59" s="927" t="s">
        <v>2157</v>
      </c>
    </row>
    <row r="60" spans="3:7" ht="69" customHeight="1" x14ac:dyDescent="0.3">
      <c r="C60" s="84" t="str">
        <f>+'PLAN DE DESARROLLO 2024 - 2027'!B130</f>
        <v xml:space="preserve"> Cartagena Amigable con el Ambiente 
</v>
      </c>
      <c r="D60" s="926">
        <f>+P9</f>
        <v>0.1902765833333333</v>
      </c>
      <c r="E60" s="117">
        <f>+'PLAN DE DESARROLLO 2024 - 2027'!K130</f>
        <v>0.25526745502645498</v>
      </c>
    </row>
    <row r="61" spans="3:7" ht="37.15" customHeight="1" x14ac:dyDescent="0.25">
      <c r="C61" s="82" t="str">
        <f>+'PLAN DE DESARROLLO 2024 - 2027'!B131</f>
        <v xml:space="preserve"> BIENESTAR ANIMAL Y PROTECCIÓN DE LA VIDA SILVESTRE</v>
      </c>
      <c r="D61" s="97">
        <f>+'PLAN DE DESARROLLO 2024 - 2027'!M131</f>
        <v>5.0735000000000002E-2</v>
      </c>
      <c r="E61" s="1206">
        <f>+'PLAN DE DESARROLLO 2024 - 2027'!K131</f>
        <v>0.17433505291005291</v>
      </c>
    </row>
    <row r="62" spans="3:7" ht="48.6" customHeight="1" x14ac:dyDescent="0.25">
      <c r="C62" s="82" t="str">
        <f>+'PLAN DE DESARROLLO 2024 - 2027'!B132</f>
        <v xml:space="preserve"> GESTIÓN Y CONSERVACIÓN DE LA VEGETACIÓN Y LA BIODIVERSIDAD</v>
      </c>
      <c r="D62" s="97">
        <f>+'PLAN DE DESARROLLO 2024 - 2027'!M132</f>
        <v>0.26617266666666661</v>
      </c>
      <c r="E62" s="109">
        <f>+'PLAN DE DESARROLLO 2024 - 2027'!K132</f>
        <v>0.29218555555555553</v>
      </c>
    </row>
    <row r="63" spans="3:7" ht="48.6" customHeight="1" x14ac:dyDescent="0.25">
      <c r="C63" s="82" t="str">
        <f>+'PLAN DE DESARROLLO 2024 - 2027'!B133</f>
        <v xml:space="preserve"> ALERTAS TEMPRANAS</v>
      </c>
      <c r="D63" s="97">
        <f>+'PLAN DE DESARROLLO 2024 - 2027'!M133</f>
        <v>0.36</v>
      </c>
      <c r="E63" s="109">
        <f>+'PLAN DE DESARROLLO 2024 - 2027'!K133</f>
        <v>0.35</v>
      </c>
    </row>
    <row r="64" spans="3:7" ht="31.15" customHeight="1" x14ac:dyDescent="0.25">
      <c r="C64" s="82" t="str">
        <f>+'PLAN DE DESARROLLO 2024 - 2027'!B134</f>
        <v xml:space="preserve"> INVESTIGACIÓN, EDUCACIÓN Y CULTURA AMBIENTAL</v>
      </c>
      <c r="D64" s="97">
        <f>+'PLAN DE DESARROLLO 2024 - 2027'!M134</f>
        <v>0.32252999999999998</v>
      </c>
      <c r="E64" s="109">
        <f>+'PLAN DE DESARROLLO 2024 - 2027'!K134</f>
        <v>0.33684999999999993</v>
      </c>
    </row>
    <row r="65" spans="3:7" ht="34.9" customHeight="1" x14ac:dyDescent="0.25">
      <c r="C65" s="82" t="str">
        <f>+'PLAN DE DESARROLLO 2024 - 2027'!B135</f>
        <v xml:space="preserve"> GENERACIÓN DE ESPACIOS PÚBLICOS REVITALIZADOS Y ADAPTADOS PARA TODOS</v>
      </c>
      <c r="D65" s="97">
        <f>+'PLAN DE DESARROLLO 2024 - 2027'!M135</f>
        <v>9.9186666666666673E-2</v>
      </c>
      <c r="E65" s="110">
        <f>+'PLAN DE DESARROLLO 2024 - 2027'!K135</f>
        <v>0.12296666666666667</v>
      </c>
    </row>
    <row r="70" spans="3:7" ht="67.900000000000006" customHeight="1" x14ac:dyDescent="0.25">
      <c r="C70" s="9"/>
      <c r="D70" s="80" t="s">
        <v>2139</v>
      </c>
      <c r="E70" s="927" t="s">
        <v>2158</v>
      </c>
      <c r="F70" s="1275" t="s">
        <v>2110</v>
      </c>
    </row>
    <row r="71" spans="3:7" ht="56.25" x14ac:dyDescent="0.3">
      <c r="C71" s="84" t="str">
        <f>+'PLAN DE DESARROLLO 2024 - 2027'!B136</f>
        <v xml:space="preserve"> Cartagena Adaptada al Clima y Resiliente a los Desastres
</v>
      </c>
      <c r="D71" s="926">
        <f>+P10</f>
        <v>0.42063963005510235</v>
      </c>
      <c r="E71" s="112">
        <f>+'PLAN DE DESARROLLO 2024 - 2027'!K136</f>
        <v>0.46996420327895211</v>
      </c>
    </row>
    <row r="72" spans="3:7" ht="38.450000000000003" customHeight="1" x14ac:dyDescent="0.25">
      <c r="C72" s="82" t="str">
        <f>+'PLAN DE DESARROLLO 2024 - 2027'!B137</f>
        <v xml:space="preserve"> ORDENAMIENTO Y SOSTENIBILIDAD AMBIENTAL</v>
      </c>
      <c r="D72" s="97">
        <f>+'PLAN DE DESARROLLO 2024 - 2027'!M137</f>
        <v>0.15650000000000003</v>
      </c>
      <c r="E72" s="107">
        <f>+'PLAN DE DESARROLLO 2024 - 2027'!K137</f>
        <v>0.39750000000000002</v>
      </c>
    </row>
    <row r="73" spans="3:7" ht="34.15" customHeight="1" x14ac:dyDescent="0.25">
      <c r="C73" s="82" t="str">
        <f>+'PLAN DE DESARROLLO 2024 - 2027'!B138</f>
        <v xml:space="preserve"> CONOCIMIENTO DEL RIESGO</v>
      </c>
      <c r="D73" s="97">
        <f>+'PLAN DE DESARROLLO 2024 - 2027'!M138</f>
        <v>0.40887272727272728</v>
      </c>
      <c r="E73" s="107">
        <f>+'PLAN DE DESARROLLO 2024 - 2027'!K138</f>
        <v>0.3980189393939394</v>
      </c>
    </row>
    <row r="74" spans="3:7" ht="25.15" customHeight="1" x14ac:dyDescent="0.25">
      <c r="C74" s="82" t="str">
        <f>+'PLAN DE DESARROLLO 2024 - 2027'!B139</f>
        <v xml:space="preserve"> REDUCCIÓN DEL RIESGO</v>
      </c>
      <c r="D74" s="97">
        <f>+'PLAN DE DESARROLLO 2024 - 2027'!M139</f>
        <v>0.65967061923583659</v>
      </c>
      <c r="E74" s="108">
        <f>+'PLAN DE DESARROLLO 2024 - 2027'!K139</f>
        <v>0.67138779095300827</v>
      </c>
    </row>
    <row r="75" spans="3:7" ht="30.6" customHeight="1" x14ac:dyDescent="0.25">
      <c r="C75" s="82" t="str">
        <f>+'PLAN DE DESARROLLO 2024 - 2027'!B140</f>
        <v xml:space="preserve"> MANEJO DE DESASTRES</v>
      </c>
      <c r="D75" s="97">
        <f>+'PLAN DE DESARROLLO 2024 - 2027'!M140</f>
        <v>0.41436206896551725</v>
      </c>
      <c r="E75" s="108">
        <f>+'PLAN DE DESARROLLO 2024 - 2027'!K140</f>
        <v>0.50073563218390804</v>
      </c>
    </row>
    <row r="76" spans="3:7" ht="35.450000000000003" customHeight="1" x14ac:dyDescent="0.25">
      <c r="C76" s="82" t="str">
        <f>+'PLAN DE DESARROLLO 2024 - 2027'!B141</f>
        <v xml:space="preserve"> PROTECCIÓN COSTERA</v>
      </c>
      <c r="D76" s="97">
        <f>+'PLAN DE DESARROLLO 2024 - 2027'!M141</f>
        <v>0.15714285714285717</v>
      </c>
      <c r="E76" s="1206">
        <f>+'PLAN DE DESARROLLO 2024 - 2027'!K141</f>
        <v>0.15714285714285717</v>
      </c>
    </row>
    <row r="77" spans="3:7" ht="39.6" customHeight="1" x14ac:dyDescent="0.25">
      <c r="C77" s="82" t="str">
        <f>+'PLAN DE DESARROLLO 2024 - 2027'!B142</f>
        <v xml:space="preserve"> ADAPTACIÓN DEL ESPACIO PÚBLICO AL CAMBIO CLIMÁTICO</v>
      </c>
      <c r="D77" s="97">
        <f>+'PLAN DE DESARROLLO 2024 - 2027'!M142</f>
        <v>0.81699999999999995</v>
      </c>
      <c r="E77" s="108">
        <f>+'PLAN DE DESARROLLO 2024 - 2027'!K142</f>
        <v>0.69500000000000006</v>
      </c>
    </row>
    <row r="78" spans="3:7" ht="29.45" customHeight="1" x14ac:dyDescent="0.25">
      <c r="C78" s="87"/>
      <c r="D78" s="89"/>
      <c r="G78" s="1275" t="s">
        <v>2110</v>
      </c>
    </row>
    <row r="79" spans="3:7" ht="21.6" customHeight="1" x14ac:dyDescent="0.25">
      <c r="C79" s="87"/>
      <c r="D79" s="89"/>
    </row>
    <row r="80" spans="3:7" ht="20.45" customHeight="1" x14ac:dyDescent="0.25"/>
    <row r="82" spans="3:11" ht="45.6" customHeight="1" x14ac:dyDescent="0.25">
      <c r="C82" s="9"/>
      <c r="D82" s="80" t="s">
        <v>2139</v>
      </c>
      <c r="E82" s="927" t="s">
        <v>2159</v>
      </c>
      <c r="F82" s="1275" t="s">
        <v>2110</v>
      </c>
      <c r="K82" s="1275" t="s">
        <v>2110</v>
      </c>
    </row>
    <row r="83" spans="3:11" ht="52.15" customHeight="1" x14ac:dyDescent="0.3">
      <c r="C83" s="84" t="str">
        <f>+'PLAN DE DESARROLLO 2024 - 2027'!B143</f>
        <v xml:space="preserve">Ciudad Histórica y Patrimonial
</v>
      </c>
      <c r="D83" s="926">
        <f>+P11</f>
        <v>0.12696144642857143</v>
      </c>
      <c r="E83" s="121">
        <f>+'PLAN DE DESARROLLO 2024 - 2027'!K143</f>
        <v>0.19436479591836733</v>
      </c>
    </row>
    <row r="84" spans="3:11" ht="43.15" customHeight="1" x14ac:dyDescent="0.25">
      <c r="C84" s="82" t="str">
        <f>+'PLAN DE DESARROLLO 2024 - 2027'!B144</f>
        <v xml:space="preserve"> SOSTENIBILIDAD DEL ESPACIO PÚBLICO DEL CENTRO HISTÓRICO DE CARTAGENA DE INDIAS.</v>
      </c>
      <c r="D84" s="97">
        <f>+'PLAN DE DESARROLLO 2024 - 2027'!M144</f>
        <v>0.17005321428571429</v>
      </c>
      <c r="E84" s="113">
        <f>+'PLAN DE DESARROLLO 2024 - 2027'!K144</f>
        <v>0.17014438775510204</v>
      </c>
    </row>
    <row r="85" spans="3:11" ht="60.6" customHeight="1" x14ac:dyDescent="0.25">
      <c r="C85" s="82" t="str">
        <f>+'PLAN DE DESARROLLO 2024 - 2027'!B145</f>
        <v xml:space="preserve"> CONEXIÓN ENTRE EL CASTILLO DE SAN FELIPE DE BARAJAS Y SU ÁREA DE INFLUENCIA PARA LA RECUPERACIÓN DEL PATRIMONIO ARQUEOLÓGICO, MATERIAL E INMATERIAL</v>
      </c>
      <c r="D85" s="97">
        <f>+'PLAN DE DESARROLLO 2024 - 2027'!M145</f>
        <v>2.8749999999999998E-2</v>
      </c>
      <c r="E85" s="110">
        <f>+'PLAN DE DESARROLLO 2024 - 2027'!K145</f>
        <v>3.7949999999999998E-2</v>
      </c>
    </row>
    <row r="86" spans="3:11" ht="20.45" customHeight="1" x14ac:dyDescent="0.25">
      <c r="C86" s="82" t="str">
        <f>+'PLAN DE DESARROLLO 2024 - 2027'!B146</f>
        <v xml:space="preserve"> MURALLA PARA TODOS</v>
      </c>
      <c r="D86" s="97">
        <f>+'PLAN DE DESARROLLO 2024 - 2027'!M146</f>
        <v>0.375</v>
      </c>
      <c r="E86" s="107">
        <f>+'PLAN DE DESARROLLO 2024 - 2027'!K146</f>
        <v>0.375</v>
      </c>
    </row>
    <row r="87" spans="3:11" ht="20.45" customHeight="1" x14ac:dyDescent="0.25">
      <c r="C87" s="87"/>
      <c r="D87" s="89"/>
    </row>
    <row r="88" spans="3:11" ht="20.45" customHeight="1" x14ac:dyDescent="0.25">
      <c r="C88" s="87"/>
      <c r="D88" s="89"/>
    </row>
    <row r="89" spans="3:11" ht="20.45" customHeight="1" x14ac:dyDescent="0.25">
      <c r="C89" s="87"/>
      <c r="D89" s="89"/>
    </row>
    <row r="90" spans="3:11" ht="20.45" customHeight="1" x14ac:dyDescent="0.25">
      <c r="C90" s="87"/>
      <c r="D90" s="89"/>
    </row>
    <row r="92" spans="3:11" ht="18.75" x14ac:dyDescent="0.3">
      <c r="C92" s="88"/>
      <c r="D92" s="89"/>
    </row>
    <row r="93" spans="3:11" ht="18.75" x14ac:dyDescent="0.3">
      <c r="C93" s="88"/>
      <c r="D93" s="89"/>
    </row>
    <row r="94" spans="3:11" ht="67.900000000000006" customHeight="1" x14ac:dyDescent="0.25">
      <c r="C94" s="9"/>
      <c r="D94" s="80" t="s">
        <v>2139</v>
      </c>
      <c r="E94" s="934" t="s">
        <v>2160</v>
      </c>
    </row>
    <row r="95" spans="3:11" ht="56.25" x14ac:dyDescent="0.3">
      <c r="C95" s="84" t="str">
        <f>+'PLAN DE DESARROLLO 2024 - 2027'!B147</f>
        <v xml:space="preserve">Infraestructura, Movilidad Sostenible y Accesibilidad para Todos
</v>
      </c>
      <c r="D95" s="941">
        <f>+P12</f>
        <v>0.1631294882215743</v>
      </c>
      <c r="E95" s="1122">
        <f>+'PLAN DE DESARROLLO 2024 - 2027'!K147</f>
        <v>0.52112490940263534</v>
      </c>
      <c r="J95" s="1275" t="s">
        <v>2110</v>
      </c>
    </row>
    <row r="96" spans="3:11" ht="40.9" customHeight="1" x14ac:dyDescent="0.25">
      <c r="C96" s="82" t="str">
        <f>+'PLAN DE DESARROLLO 2024 - 2027'!B149</f>
        <v xml:space="preserve"> REHABILITACIÓN, MANTENIMIENTO, ADECUACIÓN, Y OBRA NUEVA PARA EL SISTEMA VIAL Y ESTRUCTURAS DE PASO</v>
      </c>
      <c r="D96" s="83">
        <f>+'PLAN DE DESARROLLO 2024 - 2027'!M149</f>
        <v>0.92996499999999993</v>
      </c>
      <c r="E96" s="362">
        <f>+'PLAN DE DESARROLLO 2024 - 2027'!K149</f>
        <v>0.93191666666666662</v>
      </c>
    </row>
    <row r="97" spans="3:10" ht="40.9" customHeight="1" x14ac:dyDescent="0.25">
      <c r="C97" s="82" t="str">
        <f>+'PLAN DE DESARROLLO 2024 - 2027'!B150</f>
        <v xml:space="preserve"> SOLUCIONES VIALES PARA LA COMPETITIVIDAD A TRAVÉS DE CONTRIBUCIÓN POR VALORIZACIÓN</v>
      </c>
      <c r="D97" s="83">
        <f>+'PLAN DE DESARROLLO 2024 - 2027'!M150</f>
        <v>0</v>
      </c>
      <c r="E97" s="936">
        <f>+'PLAN DE DESARROLLO 2024 - 2027'!K150</f>
        <v>0</v>
      </c>
    </row>
    <row r="98" spans="3:10" ht="34.9" customHeight="1" x14ac:dyDescent="0.25">
      <c r="C98" s="82" t="str">
        <f>+'PLAN DE DESARROLLO 2024 - 2027'!B151</f>
        <v xml:space="preserve"> MOVILIDAD ORDENADA, SOSTENIBLE Y AMIGABLE CON EL MEDIO AMBIENTE</v>
      </c>
      <c r="D98" s="83">
        <f>+'PLAN DE DESARROLLO 2024 - 2027'!M151</f>
        <v>0.35429536417201102</v>
      </c>
      <c r="E98" s="937">
        <f>+'PLAN DE DESARROLLO 2024 - 2027'!K151</f>
        <v>0.35413214924728281</v>
      </c>
    </row>
    <row r="99" spans="3:10" ht="33.6" customHeight="1" x14ac:dyDescent="0.25">
      <c r="C99" s="82" t="str">
        <f>+'PLAN DE DESARROLLO 2024 - 2027'!B152</f>
        <v xml:space="preserve"> TRANSPORTE MASIVO CONFIABLE, EFICIENTE Y SOSTENIBLE</v>
      </c>
      <c r="D99" s="83">
        <f>+'PLAN DE DESARROLLO 2024 - 2027'!M152</f>
        <v>0.54992591797886314</v>
      </c>
      <c r="E99" s="362">
        <f>+'PLAN DE DESARROLLO 2024 - 2027'!K152</f>
        <v>0.79845082169659176</v>
      </c>
    </row>
    <row r="100" spans="3:10" x14ac:dyDescent="0.25">
      <c r="D100" s="89"/>
    </row>
    <row r="101" spans="3:10" x14ac:dyDescent="0.25">
      <c r="D101" s="89"/>
    </row>
    <row r="102" spans="3:10" x14ac:dyDescent="0.25">
      <c r="D102" s="89"/>
    </row>
    <row r="103" spans="3:10" ht="58.15" customHeight="1" x14ac:dyDescent="0.25">
      <c r="C103" s="9"/>
      <c r="D103" s="80" t="s">
        <v>2139</v>
      </c>
      <c r="E103" s="934" t="s">
        <v>2161</v>
      </c>
    </row>
    <row r="104" spans="3:10" ht="37.5" x14ac:dyDescent="0.3">
      <c r="C104" s="84" t="str">
        <f>+'PLAN DE DESARROLLO 2024 - 2027'!B153</f>
        <v xml:space="preserve">Cartagena Ordenada Alrededor del Agua
</v>
      </c>
      <c r="D104" s="941">
        <f>+P13</f>
        <v>0.27291636750000003</v>
      </c>
      <c r="E104" s="981">
        <f>+'PLAN DE DESARROLLO 2024 - 2027'!K153</f>
        <v>0.34193255555555557</v>
      </c>
      <c r="J104" s="1275" t="s">
        <v>2110</v>
      </c>
    </row>
    <row r="105" spans="3:10" ht="36.6" customHeight="1" x14ac:dyDescent="0.25">
      <c r="C105" s="82" t="str">
        <f>+'PLAN DE DESARROLLO 2024 - 2027'!B154</f>
        <v xml:space="preserve"> GESTIÓN Y CONSERVACIÓN DEL AGUA</v>
      </c>
      <c r="D105" s="83">
        <f>+'PLAN DE DESARROLLO 2024 - 2027'!M154</f>
        <v>0.10803375000000003</v>
      </c>
      <c r="E105" s="360">
        <f>+'PLAN DE DESARROLLO 2024 - 2027'!K154</f>
        <v>0.20335833333333334</v>
      </c>
    </row>
    <row r="106" spans="3:10" ht="37.15" customHeight="1" x14ac:dyDescent="0.25">
      <c r="C106" s="82" t="str">
        <f>+'PLAN DE DESARROLLO 2024 - 2027'!B155</f>
        <v xml:space="preserve"> RECUPERACIÓN DEL SISTEMA DE CANALES Y DRENAJES PLUVIALES</v>
      </c>
      <c r="D106" s="83">
        <f>+'PLAN DE DESARROLLO 2024 - 2027'!M155</f>
        <v>0.42639744999999996</v>
      </c>
      <c r="E106" s="362">
        <f>+'PLAN DE DESARROLLO 2024 - 2027'!K155</f>
        <v>0.46131633333333327</v>
      </c>
    </row>
    <row r="107" spans="3:10" ht="24.75" x14ac:dyDescent="0.25">
      <c r="C107" s="82" t="str">
        <f>+'PLAN DE DESARROLLO 2024 - 2027'!B156</f>
        <v xml:space="preserve"> RECUPERACIÓN Y ESTABILIZACIÓN DEL SISTEMA HÍDRICO Y LITORAL DE CARTAGENA</v>
      </c>
      <c r="D107" s="83">
        <f>+'PLAN DE DESARROLLO 2024 - 2027'!M156</f>
        <v>0.30800000000000005</v>
      </c>
      <c r="E107" s="937">
        <f>+'PLAN DE DESARROLLO 2024 - 2027'!K156</f>
        <v>0.43200000000000005</v>
      </c>
    </row>
    <row r="108" spans="3:10" ht="38.450000000000003" customHeight="1" x14ac:dyDescent="0.25">
      <c r="C108" s="82" t="str">
        <f>+'PLAN DE DESARROLLO 2024 - 2027'!B157</f>
        <v xml:space="preserve"> PLAN DE RESTAURACIÓN INTEGRAL DE LA CIÉNAGA DE LA VIRGEN</v>
      </c>
      <c r="D108" s="83">
        <f>+'PLAN DE DESARROLLO 2024 - 2027'!M157</f>
        <v>0.3678333333333334</v>
      </c>
      <c r="E108" s="360">
        <f>+'PLAN DE DESARROLLO 2024 - 2027'!K157</f>
        <v>0.27105555555555549</v>
      </c>
    </row>
    <row r="112" spans="3:10" ht="33.6" customHeight="1" x14ac:dyDescent="0.25"/>
    <row r="113" spans="3:4" ht="18.75" x14ac:dyDescent="0.3">
      <c r="C113" s="88"/>
      <c r="D113" s="89"/>
    </row>
    <row r="114" spans="3:4" ht="18.75" x14ac:dyDescent="0.3">
      <c r="C114" s="88"/>
      <c r="D114" s="89"/>
    </row>
    <row r="119" spans="3:4" ht="55.9" customHeight="1" x14ac:dyDescent="0.25">
      <c r="C119" s="9"/>
      <c r="D119" s="927" t="s">
        <v>2134</v>
      </c>
    </row>
    <row r="120" spans="3:4" ht="67.150000000000006" customHeight="1" x14ac:dyDescent="0.3">
      <c r="C120" s="84" t="str">
        <f t="shared" ref="C120:C127" si="1">+N6</f>
        <v xml:space="preserve">CARTAGENA CIUDAD CONECTADA Y SOSTENIBLE
</v>
      </c>
      <c r="D120" s="1235">
        <f>+'PLAN DE DESARROLLO 2024 - 2027'!I123</f>
        <v>0.38203685641776697</v>
      </c>
    </row>
    <row r="121" spans="3:4" ht="55.15" customHeight="1" x14ac:dyDescent="0.25">
      <c r="C121" s="92" t="str">
        <f t="shared" si="1"/>
        <v xml:space="preserve"> Ordenamiento del Territorio y espacio público.
</v>
      </c>
      <c r="D121" s="942">
        <f>+'PLAN DE DESARROLLO 2024 - 2027'!I124</f>
        <v>0.51085364187945703</v>
      </c>
    </row>
    <row r="122" spans="3:4" ht="47.45" customHeight="1" x14ac:dyDescent="0.25">
      <c r="C122" s="92" t="str">
        <f t="shared" si="1"/>
        <v xml:space="preserve"> Control Urbanístico y Territorial
</v>
      </c>
      <c r="D122" s="1123">
        <f>+'PLAN DE DESARROLLO 2024 - 2027'!I127</f>
        <v>0.49074218749999998</v>
      </c>
    </row>
    <row r="123" spans="3:4" ht="37.15" customHeight="1" x14ac:dyDescent="0.25">
      <c r="C123" s="92" t="str">
        <f t="shared" si="1"/>
        <v xml:space="preserve"> Cartagena Amigable con el Ambiente 
</v>
      </c>
      <c r="D123" s="1235">
        <f>+'PLAN DE DESARROLLO 2024 - 2027'!I130</f>
        <v>0.41495501284818587</v>
      </c>
    </row>
    <row r="124" spans="3:4" ht="61.15" customHeight="1" x14ac:dyDescent="0.25">
      <c r="C124" s="92" t="str">
        <f t="shared" si="1"/>
        <v xml:space="preserve"> Cartagena Adaptada al Clima y Resiliente a los Desastres
</v>
      </c>
      <c r="D124" s="1235">
        <f>+'PLAN DE DESARROLLO 2024 - 2027'!I136</f>
        <v>0.44227777777777777</v>
      </c>
    </row>
    <row r="125" spans="3:4" ht="31.5" x14ac:dyDescent="0.25">
      <c r="C125" s="92" t="str">
        <f t="shared" si="1"/>
        <v xml:space="preserve">Ciudad Histórica y Patrimonial
</v>
      </c>
      <c r="D125" s="943">
        <f>+'PLAN DE DESARROLLO 2024 - 2027'!I143</f>
        <v>0.22272777777777777</v>
      </c>
    </row>
    <row r="126" spans="3:4" ht="47.25" x14ac:dyDescent="0.25">
      <c r="C126" s="92" t="str">
        <f t="shared" si="1"/>
        <v xml:space="preserve">Infraestructura, Movilidad Sostenible y Accesibilidad para Todos
</v>
      </c>
      <c r="D126" s="942">
        <f>+'PLAN DE DESARROLLO 2024 - 2027'!I147</f>
        <v>0.50171683478499085</v>
      </c>
    </row>
    <row r="127" spans="3:4" ht="31.5" x14ac:dyDescent="0.25">
      <c r="C127" s="92" t="str">
        <f t="shared" si="1"/>
        <v xml:space="preserve">Cartagena Ordenada Alrededor del Agua
</v>
      </c>
      <c r="D127" s="942">
        <f>+'PLAN DE DESARROLLO 2024 - 2027'!I153</f>
        <v>0.47302161877394633</v>
      </c>
    </row>
    <row r="134" spans="3:5" ht="38.450000000000003" customHeight="1" x14ac:dyDescent="0.25"/>
    <row r="136" spans="3:5" ht="36.6" customHeight="1" x14ac:dyDescent="0.25"/>
    <row r="140" spans="3:5" x14ac:dyDescent="0.25">
      <c r="C140" s="1425" t="s">
        <v>2116</v>
      </c>
      <c r="D140" s="1425"/>
      <c r="E140" s="1425"/>
    </row>
    <row r="141" spans="3:5" x14ac:dyDescent="0.25">
      <c r="C141" s="1425"/>
      <c r="D141" s="1425"/>
      <c r="E141" s="1425"/>
    </row>
    <row r="142" spans="3:5" ht="30" x14ac:dyDescent="0.25">
      <c r="C142" s="115" t="s">
        <v>2117</v>
      </c>
      <c r="D142" s="85" t="s">
        <v>2135</v>
      </c>
      <c r="E142" s="114" t="s">
        <v>2119</v>
      </c>
    </row>
    <row r="143" spans="3:5" ht="40.9" customHeight="1" x14ac:dyDescent="0.25">
      <c r="C143" s="82" t="s">
        <v>1237</v>
      </c>
      <c r="D143" s="1206">
        <v>0.17433505291005291</v>
      </c>
      <c r="E143" s="1256" t="s">
        <v>1100</v>
      </c>
    </row>
    <row r="144" spans="3:5" ht="36.6" customHeight="1" x14ac:dyDescent="0.25">
      <c r="C144" s="82" t="s">
        <v>1987</v>
      </c>
      <c r="D144" s="110">
        <v>0.12296666666666667</v>
      </c>
      <c r="E144" s="1256" t="s">
        <v>1206</v>
      </c>
    </row>
    <row r="145" spans="3:5" ht="48.6" customHeight="1" x14ac:dyDescent="0.25">
      <c r="C145" s="82" t="s">
        <v>1990</v>
      </c>
      <c r="D145" s="1206">
        <v>0.15714285714285717</v>
      </c>
      <c r="E145" s="1256" t="s">
        <v>1320</v>
      </c>
    </row>
    <row r="146" spans="3:5" ht="57.6" customHeight="1" x14ac:dyDescent="0.25">
      <c r="C146" s="82" t="s">
        <v>1991</v>
      </c>
      <c r="D146" s="113">
        <v>0.17014438775510204</v>
      </c>
      <c r="E146" s="1256" t="s">
        <v>2162</v>
      </c>
    </row>
    <row r="147" spans="3:5" ht="84.6" customHeight="1" x14ac:dyDescent="0.25">
      <c r="C147" s="82" t="s">
        <v>1352</v>
      </c>
      <c r="D147" s="110">
        <v>3.7949999999999998E-2</v>
      </c>
      <c r="E147" s="1256" t="s">
        <v>2163</v>
      </c>
    </row>
    <row r="148" spans="3:5" ht="43.15" customHeight="1" x14ac:dyDescent="0.25">
      <c r="C148" s="82" t="s">
        <v>1994</v>
      </c>
      <c r="D148" s="936">
        <v>0</v>
      </c>
      <c r="E148" s="1256" t="s">
        <v>1320</v>
      </c>
    </row>
  </sheetData>
  <mergeCells count="3">
    <mergeCell ref="N3:P4"/>
    <mergeCell ref="C2:F3"/>
    <mergeCell ref="C140:E14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2:O132"/>
  <sheetViews>
    <sheetView topLeftCell="A109" zoomScale="50" zoomScaleNormal="50" workbookViewId="0">
      <selection activeCell="G130" sqref="G130"/>
    </sheetView>
  </sheetViews>
  <sheetFormatPr baseColWidth="10" defaultColWidth="11.42578125" defaultRowHeight="15" x14ac:dyDescent="0.25"/>
  <cols>
    <col min="3" max="3" width="47.7109375" customWidth="1"/>
    <col min="4" max="4" width="36.28515625" customWidth="1"/>
    <col min="5" max="5" width="50.5703125" customWidth="1"/>
    <col min="6" max="6" width="60.28515625" customWidth="1"/>
    <col min="7" max="7" width="60" customWidth="1"/>
    <col min="8" max="8" width="29.28515625" customWidth="1"/>
    <col min="9" max="9" width="42.7109375" customWidth="1"/>
    <col min="13" max="13" width="44.85546875" customWidth="1"/>
    <col min="14" max="14" width="39.28515625" customWidth="1"/>
    <col min="15" max="15" width="38.42578125" customWidth="1"/>
  </cols>
  <sheetData>
    <row r="2" spans="3:15" ht="14.45" customHeight="1" x14ac:dyDescent="0.25">
      <c r="C2" s="1424" t="s">
        <v>2164</v>
      </c>
      <c r="D2" s="1424"/>
      <c r="E2" s="1424"/>
      <c r="F2" s="1424"/>
      <c r="M2" s="1418" t="s">
        <v>2165</v>
      </c>
      <c r="N2" s="1419"/>
      <c r="O2" s="1420"/>
    </row>
    <row r="3" spans="3:15" ht="39.6" customHeight="1" x14ac:dyDescent="0.25">
      <c r="C3" s="1424"/>
      <c r="D3" s="1424"/>
      <c r="E3" s="1424"/>
      <c r="F3" s="1424"/>
      <c r="M3" s="1421"/>
      <c r="N3" s="1422"/>
      <c r="O3" s="1423"/>
    </row>
    <row r="4" spans="3:15" ht="57.6" customHeight="1" x14ac:dyDescent="0.25">
      <c r="C4" s="79"/>
      <c r="D4" s="928" t="s">
        <v>2103</v>
      </c>
      <c r="E4" s="928" t="s">
        <v>2124</v>
      </c>
      <c r="F4" s="928" t="s">
        <v>2105</v>
      </c>
      <c r="M4" s="79"/>
      <c r="N4" s="80" t="s">
        <v>2106</v>
      </c>
      <c r="O4" s="80" t="s">
        <v>2125</v>
      </c>
    </row>
    <row r="5" spans="3:15" ht="55.9" customHeight="1" x14ac:dyDescent="0.3">
      <c r="C5" s="90" t="str">
        <f>+'PLAN DE DESARROLLO 2024 - 2027'!B161</f>
        <v xml:space="preserve"> INNOVACIÓN PÚBLICA Y PARTICIPACIÓN CIUDADANA
</v>
      </c>
      <c r="D5" s="926">
        <f>+'PLAN DE DESARROLLO 2024 - 2027'!F161</f>
        <v>0.49760795645534717</v>
      </c>
      <c r="E5" s="117">
        <f>+'PLAN DE DESARROLLO 2024 - 2027'!K161</f>
        <v>0.34508245592517955</v>
      </c>
      <c r="F5" s="124">
        <v>0.21734598565460142</v>
      </c>
      <c r="M5" s="90" t="str">
        <f t="shared" ref="M5:M11" si="0">+C5</f>
        <v xml:space="preserve"> INNOVACIÓN PÚBLICA Y PARTICIPACIÓN CIUDADANA
</v>
      </c>
      <c r="N5" s="97">
        <f>+'PLAN DE DESARROLLO 2024 - 2027'!G161+'PLAN DE DESARROLLO 2024 - 2027'!H161</f>
        <v>0.48277162275056218</v>
      </c>
      <c r="O5" s="97">
        <f>+'PLAN DE DESARROLLO 2024 - 2027'!M161</f>
        <v>0.32378332475293098</v>
      </c>
    </row>
    <row r="6" spans="3:15" ht="54.6" customHeight="1" x14ac:dyDescent="0.25">
      <c r="C6" s="123" t="s">
        <v>2166</v>
      </c>
      <c r="D6" s="97">
        <f>+'PLAN DE DESARROLLO 2024 - 2027'!F162</f>
        <v>0.44138888888888883</v>
      </c>
      <c r="E6" s="109">
        <f>+'PLAN DE DESARROLLO 2024 - 2027'!K162</f>
        <v>0.27313888888888888</v>
      </c>
      <c r="F6" s="125">
        <v>0.21</v>
      </c>
      <c r="M6" s="81" t="str">
        <f t="shared" si="0"/>
        <v xml:space="preserve">Transparencia y Gobierno Abierto
</v>
      </c>
      <c r="N6" s="97">
        <f>+'PLAN DE DESARROLLO 2024 - 2027'!G162+'PLAN DE DESARROLLO 2024 - 2027'!H162</f>
        <v>0.51641666666666663</v>
      </c>
      <c r="O6" s="97">
        <f>+'PLAN DE DESARROLLO 2024 - 2027'!M162</f>
        <v>0.30507499999999999</v>
      </c>
    </row>
    <row r="7" spans="3:15" ht="48" customHeight="1" x14ac:dyDescent="0.25">
      <c r="C7" s="81" t="str">
        <f>+'PLAN DE DESARROLLO 2024 - 2027'!B166</f>
        <v xml:space="preserve">Fortalecimiento Institucional e Innovación Administrativa
</v>
      </c>
      <c r="D7" s="97">
        <f>+'PLAN DE DESARROLLO 2024 - 2027'!F166</f>
        <v>0.5217802133351358</v>
      </c>
      <c r="E7" s="109">
        <f>+'PLAN DE DESARROLLO 2024 - 2027'!K166</f>
        <v>0.29147056104666003</v>
      </c>
      <c r="F7" s="125">
        <v>0.20252323663937852</v>
      </c>
      <c r="M7" s="93" t="str">
        <f t="shared" si="0"/>
        <v xml:space="preserve">Fortalecimiento Institucional e Innovación Administrativa
</v>
      </c>
      <c r="N7" s="97">
        <f>+'PLAN DE DESARROLLO 2024 - 2027'!G166+'PLAN DE DESARROLLO 2024 - 2027'!H166</f>
        <v>0.58230137259771308</v>
      </c>
      <c r="O7" s="97">
        <f>+'PLAN DE DESARROLLO 2024 - 2027'!M166</f>
        <v>0.31361473004503176</v>
      </c>
    </row>
    <row r="8" spans="3:15" ht="30" x14ac:dyDescent="0.25">
      <c r="C8" s="81" t="str">
        <f>+'PLAN DE DESARROLLO 2024 - 2027'!B175</f>
        <v xml:space="preserve"> Finanzas Públicas
</v>
      </c>
      <c r="D8" s="97">
        <f>+'PLAN DE DESARROLLO 2024 - 2027'!F175</f>
        <v>0.50982794224574346</v>
      </c>
      <c r="E8" s="1124">
        <f>+'PLAN DE DESARROLLO 2024 - 2027'!K175</f>
        <v>0.45569128096258565</v>
      </c>
      <c r="F8" s="125">
        <v>0.25580038172039926</v>
      </c>
      <c r="M8" s="81" t="str">
        <f t="shared" si="0"/>
        <v xml:space="preserve"> Finanzas Públicas
</v>
      </c>
      <c r="N8" s="97">
        <f>+'PLAN DE DESARROLLO 2024 - 2027'!G175+'PLAN DE DESARROLLO 2024 - 2027'!H175</f>
        <v>0.48003771902475223</v>
      </c>
      <c r="O8" s="97">
        <f>+'PLAN DE DESARROLLO 2024 - 2027'!M175</f>
        <v>0.38748929979683333</v>
      </c>
    </row>
    <row r="9" spans="3:15" ht="30" x14ac:dyDescent="0.25">
      <c r="C9" s="81" t="str">
        <f>+'PLAN DE DESARROLLO 2024 - 2027'!B178</f>
        <v xml:space="preserve">Cultura Ciudadana
</v>
      </c>
      <c r="D9" s="97">
        <f>+'PLAN DE DESARROLLO 2024 - 2027'!F178</f>
        <v>0.5349577019952263</v>
      </c>
      <c r="E9" s="109">
        <f>+'PLAN DE DESARROLLO 2024 - 2027'!K178</f>
        <v>0.33923590385198665</v>
      </c>
      <c r="F9" s="125">
        <v>0.25439168183196847</v>
      </c>
      <c r="M9" s="81" t="str">
        <f t="shared" si="0"/>
        <v xml:space="preserve">Cultura Ciudadana
</v>
      </c>
      <c r="N9" s="97">
        <f>+'PLAN DE DESARROLLO 2024 - 2027'!G178+'PLAN DE DESARROLLO 2024 - 2027'!H178</f>
        <v>0.49487648191372924</v>
      </c>
      <c r="O9" s="97">
        <f>+'PLAN DE DESARROLLO 2024 - 2027'!M178</f>
        <v>0.37155911282984533</v>
      </c>
    </row>
    <row r="10" spans="3:15" ht="49.9" customHeight="1" x14ac:dyDescent="0.25">
      <c r="C10" s="81" t="str">
        <f>+'PLAN DE DESARROLLO 2024 - 2027'!B184</f>
        <v xml:space="preserve">Participación Ciudadana y Acción Comunal
</v>
      </c>
      <c r="D10" s="97">
        <f>+'PLAN DE DESARROLLO 2024 - 2027'!F184</f>
        <v>0.49043977987101872</v>
      </c>
      <c r="E10" s="109">
        <f>+'PLAN DE DESARROLLO 2024 - 2027'!K184</f>
        <v>0.25554642132483418</v>
      </c>
      <c r="F10" s="125">
        <v>0.17211584073705719</v>
      </c>
      <c r="M10" s="81" t="str">
        <f t="shared" si="0"/>
        <v xml:space="preserve">Participación Ciudadana y Acción Comunal
</v>
      </c>
      <c r="N10" s="97">
        <f>+'PLAN DE DESARROLLO 2024 - 2027'!G184+'PLAN DE DESARROLLO 2024 - 2027'!H184</f>
        <v>0.59884896226070028</v>
      </c>
      <c r="O10" s="97">
        <f>+'PLAN DE DESARROLLO 2024 - 2027'!M184</f>
        <v>0.24946834293978234</v>
      </c>
    </row>
    <row r="11" spans="3:15" ht="43.9" customHeight="1" x14ac:dyDescent="0.25">
      <c r="C11" s="81" t="str">
        <f>+'PLAN DE DESARROLLO 2024 - 2027'!B191</f>
        <v xml:space="preserve">Sistema de Planeación Distrital
</v>
      </c>
      <c r="D11" s="97">
        <f>+'PLAN DE DESARROLLO 2024 - 2027'!F191</f>
        <v>0.48725321239606956</v>
      </c>
      <c r="E11" s="109">
        <f>+'PLAN DE DESARROLLO 2024 - 2027'!K191</f>
        <v>0.34377302789802794</v>
      </c>
      <c r="F11" s="125">
        <v>0.20924477299880526</v>
      </c>
      <c r="M11" s="81" t="str">
        <f t="shared" si="0"/>
        <v xml:space="preserve">Sistema de Planeación Distrital
</v>
      </c>
      <c r="N11" s="97">
        <f>+'PLAN DE DESARROLLO 2024 - 2027'!G191+'PLAN DE DESARROLLO 2024 - 2027'!H191</f>
        <v>0.47756150793650787</v>
      </c>
      <c r="O11" s="97">
        <f>+'PLAN DE DESARROLLO 2024 - 2027'!M191</f>
        <v>0.31612553030303031</v>
      </c>
    </row>
    <row r="45" spans="3:7" ht="45" x14ac:dyDescent="0.25">
      <c r="C45" s="9"/>
      <c r="D45" s="80" t="s">
        <v>2139</v>
      </c>
      <c r="E45" s="934" t="s">
        <v>2167</v>
      </c>
      <c r="G45" s="1275" t="s">
        <v>2110</v>
      </c>
    </row>
    <row r="46" spans="3:7" ht="51" customHeight="1" x14ac:dyDescent="0.3">
      <c r="C46" s="84" t="str">
        <f>+'PLAN DE DESARROLLO 2024 - 2027'!B162</f>
        <v xml:space="preserve">Componente Impulsor del avance: Transparencia y Gobierno Abierto
</v>
      </c>
      <c r="D46" s="926">
        <f>+O6</f>
        <v>0.30507499999999999</v>
      </c>
      <c r="E46" s="117">
        <f>+'PLAN DE DESARROLLO 2024 - 2027'!K162</f>
        <v>0.27313888888888888</v>
      </c>
      <c r="G46" t="s">
        <v>2110</v>
      </c>
    </row>
    <row r="47" spans="3:7" ht="40.15" customHeight="1" x14ac:dyDescent="0.25">
      <c r="C47" s="82" t="str">
        <f>+'PLAN DE DESARROLLO 2024 - 2027'!B164</f>
        <v xml:space="preserve"> TRANSPARENCIA Y LUCHA CONTRA LA CORRUPCIÓN</v>
      </c>
      <c r="D47" s="97">
        <f>+'PLAN DE DESARROLLO 2024 - 2027'!M164</f>
        <v>0.376</v>
      </c>
      <c r="E47" s="109">
        <f>+'PLAN DE DESARROLLO 2024 - 2027'!K164</f>
        <v>0.33999999999999997</v>
      </c>
    </row>
    <row r="48" spans="3:7" ht="40.15" customHeight="1" x14ac:dyDescent="0.25">
      <c r="C48" s="82" t="str">
        <f>+'PLAN DE DESARROLLO 2024 - 2027'!B163</f>
        <v xml:space="preserve"> PROCESOS ADMINISTRATIVOS ÓPTIMOS Y TRANSPARENTES</v>
      </c>
      <c r="D48" s="97">
        <f>+'PLAN DE DESARROLLO 2024 - 2027'!M163</f>
        <v>6.1249999999999992E-2</v>
      </c>
      <c r="E48" s="110">
        <f>+'PLAN DE DESARROLLO 2024 - 2027'!K163</f>
        <v>5.7749999999999996E-2</v>
      </c>
    </row>
    <row r="49" spans="3:12" ht="38.450000000000003" customHeight="1" x14ac:dyDescent="0.25">
      <c r="C49" s="82" t="str">
        <f>+'PLAN DE DESARROLLO 2024 - 2027'!B165</f>
        <v xml:space="preserve"> CARTAGENA DIGITAL, INCLUSIVA Y CONECTADA</v>
      </c>
      <c r="D49" s="97">
        <f>+'PLAN DE DESARROLLO 2024 - 2027'!M165</f>
        <v>0.45433333333333331</v>
      </c>
      <c r="E49" s="107">
        <f>+'PLAN DE DESARROLLO 2024 - 2027'!K165</f>
        <v>0.42166666666666663</v>
      </c>
    </row>
    <row r="50" spans="3:12" ht="29.45" customHeight="1" x14ac:dyDescent="0.25">
      <c r="C50" s="87"/>
      <c r="D50" s="95"/>
    </row>
    <row r="51" spans="3:12" ht="29.45" customHeight="1" x14ac:dyDescent="0.25">
      <c r="C51" s="87"/>
      <c r="D51" s="95"/>
    </row>
    <row r="52" spans="3:12" ht="30" x14ac:dyDescent="0.25">
      <c r="G52" s="1275" t="s">
        <v>2110</v>
      </c>
    </row>
    <row r="53" spans="3:12" x14ac:dyDescent="0.25">
      <c r="C53" s="1275"/>
      <c r="G53" s="1275"/>
    </row>
    <row r="55" spans="3:12" ht="66" customHeight="1" x14ac:dyDescent="0.25">
      <c r="C55" s="9"/>
      <c r="D55" s="80" t="s">
        <v>2139</v>
      </c>
      <c r="E55" s="934" t="s">
        <v>2168</v>
      </c>
    </row>
    <row r="56" spans="3:12" ht="69" customHeight="1" x14ac:dyDescent="0.3">
      <c r="C56" s="84" t="str">
        <f>+'PLAN DE DESARROLLO 2024 - 2027'!B166</f>
        <v xml:space="preserve">Fortalecimiento Institucional e Innovación Administrativa
</v>
      </c>
      <c r="D56" s="926">
        <f>+O7</f>
        <v>0.31361473004503176</v>
      </c>
      <c r="E56" s="117">
        <f>+'PLAN DE DESARROLLO 2024 - 2027'!K166</f>
        <v>0.29147056104666003</v>
      </c>
      <c r="L56" s="1275" t="s">
        <v>2110</v>
      </c>
    </row>
    <row r="57" spans="3:12" ht="37.15" customHeight="1" x14ac:dyDescent="0.25">
      <c r="C57" s="82" t="str">
        <f>+'PLAN DE DESARROLLO 2024 - 2027'!B167</f>
        <v xml:space="preserve"> MODELO INTEGRADO DE PLANEACIÓN Y GESTIÓN - MIPG</v>
      </c>
      <c r="D57" s="97">
        <f>+'PLAN DE DESARROLLO 2024 - 2027'!M167</f>
        <v>0.49680833333333341</v>
      </c>
      <c r="E57" s="107">
        <f>+'PLAN DE DESARROLLO 2024 - 2027'!K167</f>
        <v>0.39633333333333332</v>
      </c>
    </row>
    <row r="58" spans="3:12" ht="48.6" customHeight="1" x14ac:dyDescent="0.25">
      <c r="C58" s="82" t="str">
        <f>+'PLAN DE DESARROLLO 2024 - 2027'!B168</f>
        <v xml:space="preserve"> MEJORA NORMATIVA EN EL DISTRITO DE CARTAGENA DE INDIAS</v>
      </c>
      <c r="D58" s="97">
        <f>+'PLAN DE DESARROLLO 2024 - 2027'!M168</f>
        <v>0.33500000000000002</v>
      </c>
      <c r="E58" s="109">
        <f>+'PLAN DE DESARROLLO 2024 - 2027'!K168</f>
        <v>0.35</v>
      </c>
    </row>
    <row r="59" spans="3:12" ht="48.6" customHeight="1" x14ac:dyDescent="0.25">
      <c r="C59" s="82" t="str">
        <f>+'PLAN DE DESARROLLO 2024 - 2027'!B169</f>
        <v xml:space="preserve"> PATRIMONIO PÚBLICO AL SERVICIO DE CARTAGENA</v>
      </c>
      <c r="D59" s="97">
        <f>+'PLAN DE DESARROLLO 2024 - 2027'!M169</f>
        <v>0.31823037141513866</v>
      </c>
      <c r="E59" s="1206">
        <f>+'PLAN DE DESARROLLO 2024 - 2027'!K169</f>
        <v>0.24105204513399153</v>
      </c>
    </row>
    <row r="60" spans="3:12" ht="47.45" customHeight="1" x14ac:dyDescent="0.25">
      <c r="C60" s="82" t="str">
        <f>+'PLAN DE DESARROLLO 2024 - 2027'!B170</f>
        <v xml:space="preserve"> REDISEÑO INSTITUCIONAL E INNOVACIÓN ADMINISTRATIVA DEL DISTRITO</v>
      </c>
      <c r="D60" s="97">
        <f>+'PLAN DE DESARROLLO 2024 - 2027'!M170</f>
        <v>0.32184000000000001</v>
      </c>
      <c r="E60" s="109">
        <f>+'PLAN DE DESARROLLO 2024 - 2027'!K170</f>
        <v>0.32184000000000001</v>
      </c>
    </row>
    <row r="61" spans="3:12" ht="47.45" customHeight="1" x14ac:dyDescent="0.25">
      <c r="C61" s="82" t="str">
        <f>+'PLAN DE DESARROLLO 2024 - 2027'!B171</f>
        <v xml:space="preserve"> SEGURIDAD DIGITAL</v>
      </c>
      <c r="D61" s="97">
        <f>+'PLAN DE DESARROLLO 2024 - 2027'!M171</f>
        <v>0.45500000000000002</v>
      </c>
      <c r="E61" s="108">
        <f>+'PLAN DE DESARROLLO 2024 - 2027'!K171</f>
        <v>0.48333333333333334</v>
      </c>
    </row>
    <row r="62" spans="3:12" ht="39.6" customHeight="1" x14ac:dyDescent="0.25">
      <c r="C62" s="82" t="str">
        <f>+'PLAN DE DESARROLLO 2024 - 2027'!B172</f>
        <v xml:space="preserve"> TRANSFORMACIÓN DIGITAL DEL SISTEMA DE ARCHIVO PARA LA GESTIÓN PÚBLICA EFICIENTE</v>
      </c>
      <c r="D62" s="97">
        <f>+'PLAN DE DESARROLLO 2024 - 2027'!M172</f>
        <v>0.264625</v>
      </c>
      <c r="E62" s="1206">
        <f>+'PLAN DE DESARROLLO 2024 - 2027'!K172</f>
        <v>0.24149999999999996</v>
      </c>
    </row>
    <row r="63" spans="3:12" ht="39.6" customHeight="1" x14ac:dyDescent="0.25">
      <c r="C63" s="82" t="str">
        <f>+'PLAN DE DESARROLLO 2024 - 2027'!B173</f>
        <v xml:space="preserve"> FORTALECIMIENTO DEL SISTEMA DE CONTROL INTERNO, SCI</v>
      </c>
      <c r="D63" s="97">
        <f>+'PLAN DE DESARROLLO 2024 - 2027'!M173</f>
        <v>0.05</v>
      </c>
      <c r="E63" s="110">
        <f>+'PLAN DE DESARROLLO 2024 - 2027'!K173</f>
        <v>0.05</v>
      </c>
    </row>
    <row r="64" spans="3:12" ht="39.6" customHeight="1" x14ac:dyDescent="0.25">
      <c r="C64" s="82" t="str">
        <f>+'PLAN DE DESARROLLO 2024 - 2027'!B174</f>
        <v xml:space="preserve"> FORTALECIMIENTO DE LA GESTIÓN ADMINISTRATIVA Y OPERATIVA DEL DEPARTAMENTO ADMINISTRATIVO DE TRÁNSITO Y TRANSPORTE - DATT</v>
      </c>
      <c r="D64" s="97">
        <f>+'PLAN DE DESARROLLO 2024 - 2027'!M174</f>
        <v>0.15776103841336048</v>
      </c>
      <c r="E64" s="1206">
        <f>+'PLAN DE DESARROLLO 2024 - 2027'!K174</f>
        <v>0.24770577657262269</v>
      </c>
    </row>
    <row r="67" spans="3:11" ht="49.9" customHeight="1" x14ac:dyDescent="0.25">
      <c r="C67" s="9"/>
      <c r="D67" s="80" t="s">
        <v>2139</v>
      </c>
      <c r="E67" s="934" t="s">
        <v>2169</v>
      </c>
      <c r="F67" s="1275" t="s">
        <v>2110</v>
      </c>
    </row>
    <row r="68" spans="3:11" ht="37.5" x14ac:dyDescent="0.3">
      <c r="C68" s="84" t="str">
        <f>+'PLAN DE DESARROLLO 2024 - 2027'!B175</f>
        <v xml:space="preserve"> Finanzas Públicas
</v>
      </c>
      <c r="D68" s="97">
        <f>+O8</f>
        <v>0.38748929979683333</v>
      </c>
      <c r="E68" s="108">
        <f>+'PLAN DE DESARROLLO 2024 - 2027'!K175</f>
        <v>0.45569128096258565</v>
      </c>
    </row>
    <row r="69" spans="3:11" ht="38.450000000000003" customHeight="1" x14ac:dyDescent="0.25">
      <c r="C69" s="82" t="str">
        <f>+'PLAN DE DESARROLLO 2024 - 2027'!B176</f>
        <v xml:space="preserve"> GESTIÓN FISCAL Y FINANCIERA OPORTUNA</v>
      </c>
      <c r="D69" s="97">
        <f>+'PLAN DE DESARROLLO 2024 - 2027'!M176</f>
        <v>0.38156768399666668</v>
      </c>
      <c r="E69" s="107">
        <f>+'PLAN DE DESARROLLO 2024 - 2027'!K176</f>
        <v>0.41138256192517131</v>
      </c>
    </row>
    <row r="70" spans="3:11" ht="46.9" customHeight="1" x14ac:dyDescent="0.25">
      <c r="C70" s="82" t="str">
        <f>+'PLAN DE DESARROLLO 2024 - 2027'!B177</f>
        <v xml:space="preserve"> HACIENDA MODERNA Y DIGITAL</v>
      </c>
      <c r="D70" s="97">
        <f>+'PLAN DE DESARROLLO 2024 - 2027'!M177</f>
        <v>0.5</v>
      </c>
      <c r="E70" s="108">
        <f>+'PLAN DE DESARROLLO 2024 - 2027'!K177</f>
        <v>0.5</v>
      </c>
    </row>
    <row r="71" spans="3:11" ht="20.45" customHeight="1" x14ac:dyDescent="0.25"/>
    <row r="73" spans="3:11" ht="61.9" customHeight="1" x14ac:dyDescent="0.25">
      <c r="C73" s="9"/>
      <c r="D73" s="80" t="s">
        <v>2139</v>
      </c>
      <c r="E73" s="934" t="s">
        <v>2170</v>
      </c>
      <c r="F73" s="1275" t="s">
        <v>2110</v>
      </c>
      <c r="K73" s="1275" t="s">
        <v>2110</v>
      </c>
    </row>
    <row r="74" spans="3:11" ht="52.15" customHeight="1" x14ac:dyDescent="0.3">
      <c r="C74" s="84" t="str">
        <f>+'PLAN DE DESARROLLO 2024 - 2027'!B178</f>
        <v xml:space="preserve">Cultura Ciudadana
</v>
      </c>
      <c r="D74" s="97">
        <f>+O9</f>
        <v>0.37155911282984533</v>
      </c>
      <c r="E74" s="109">
        <f>+'PLAN DE DESARROLLO 2024 - 2027'!K178</f>
        <v>0.33923590385198665</v>
      </c>
    </row>
    <row r="75" spans="3:11" ht="43.15" customHeight="1" x14ac:dyDescent="0.25">
      <c r="C75" s="82" t="str">
        <f>+'PLAN DE DESARROLLO 2024 - 2027'!B179</f>
        <v xml:space="preserve"> SERVIDORES CON ESPLENDOR CONSTRUYENDO CIUDAD</v>
      </c>
      <c r="D75" s="97">
        <f>+'PLAN DE DESARROLLO 2024 - 2027'!M179</f>
        <v>0.5401205641492266</v>
      </c>
      <c r="E75" s="107">
        <f>+'PLAN DE DESARROLLO 2024 - 2027'!K179</f>
        <v>0.44538785259326658</v>
      </c>
    </row>
    <row r="76" spans="3:11" ht="37.9" customHeight="1" x14ac:dyDescent="0.25">
      <c r="C76" s="82" t="str">
        <f>+'PLAN DE DESARROLLO 2024 - 2027'!B180</f>
        <v xml:space="preserve"> CIUDADANÍA DIVERSA, PARTICIPATIVA Y PROPULSORA DEL DESARROLLO</v>
      </c>
      <c r="D76" s="97">
        <f>+'PLAN DE DESARROLLO 2024 - 2027'!M180</f>
        <v>0.45219999999999999</v>
      </c>
      <c r="E76" s="107">
        <f>+'PLAN DE DESARROLLO 2024 - 2027'!K180</f>
        <v>0.358875</v>
      </c>
    </row>
    <row r="77" spans="3:11" ht="43.15" customHeight="1" x14ac:dyDescent="0.25">
      <c r="C77" s="82" t="str">
        <f>+'PLAN DE DESARROLLO 2024 - 2027'!B181</f>
        <v xml:space="preserve"> CARTAGENEIDAD CON ORGULLO Y ESPLENDOR</v>
      </c>
      <c r="D77" s="97">
        <f>+'PLAN DE DESARROLLO 2024 - 2027'!M181</f>
        <v>0.33750000000000002</v>
      </c>
      <c r="E77" s="109">
        <f>+'PLAN DE DESARROLLO 2024 - 2027'!K181</f>
        <v>0.33750000000000002</v>
      </c>
    </row>
    <row r="78" spans="3:11" ht="31.15" customHeight="1" x14ac:dyDescent="0.25">
      <c r="C78" s="82" t="str">
        <f>+'PLAN DE DESARROLLO 2024 - 2027'!B182</f>
        <v xml:space="preserve"> CARTAGENA BRILLA CON CULTURA CIUDADANA</v>
      </c>
      <c r="D78" s="77">
        <f>+'PLAN DE DESARROLLO 2024 - 2027'!M182</f>
        <v>0.1865</v>
      </c>
      <c r="E78" s="113">
        <f>+'PLAN DE DESARROLLO 2024 - 2027'!K182</f>
        <v>0.24816666666666665</v>
      </c>
    </row>
    <row r="79" spans="3:11" ht="44.45" customHeight="1" x14ac:dyDescent="0.25">
      <c r="C79" s="82" t="str">
        <f>+'PLAN DE DESARROLLO 2024 - 2027'!B183</f>
        <v xml:space="preserve"> ESCUELA DE GOBERNANZA E INNOVACIÓN PÚBLICA</v>
      </c>
      <c r="D79" s="97">
        <f>+'PLAN DE DESARROLLO 2024 - 2027'!M183</f>
        <v>0.30625000000000002</v>
      </c>
      <c r="E79" s="109">
        <f>+'PLAN DE DESARROLLO 2024 - 2027'!K183</f>
        <v>0.30625000000000002</v>
      </c>
    </row>
    <row r="80" spans="3:11" ht="44.45" customHeight="1" x14ac:dyDescent="0.25">
      <c r="D80" s="89"/>
    </row>
    <row r="81" spans="3:10" ht="20.45" customHeight="1" x14ac:dyDescent="0.25">
      <c r="D81" s="89"/>
    </row>
    <row r="83" spans="3:10" ht="18.75" x14ac:dyDescent="0.3">
      <c r="C83" s="88"/>
      <c r="D83" s="89"/>
    </row>
    <row r="84" spans="3:10" ht="18.75" x14ac:dyDescent="0.3">
      <c r="C84" s="88"/>
      <c r="D84" s="89"/>
    </row>
    <row r="85" spans="3:10" ht="45.6" customHeight="1" x14ac:dyDescent="0.25">
      <c r="C85" s="9"/>
      <c r="D85" s="80" t="s">
        <v>2139</v>
      </c>
      <c r="E85" s="934" t="s">
        <v>2171</v>
      </c>
    </row>
    <row r="86" spans="3:10" ht="54.6" customHeight="1" x14ac:dyDescent="0.25">
      <c r="C86" s="82" t="str">
        <f>+'PLAN DE DESARROLLO 2024 - 2027'!B184</f>
        <v xml:space="preserve">Participación Ciudadana y Acción Comunal
</v>
      </c>
      <c r="D86" s="926">
        <f>+O10</f>
        <v>0.24946834293978234</v>
      </c>
      <c r="E86" s="117">
        <f>+'PLAN DE DESARROLLO 2024 - 2027'!K184</f>
        <v>0.25554642132483418</v>
      </c>
      <c r="J86" t="s">
        <v>2110</v>
      </c>
    </row>
    <row r="87" spans="3:10" ht="39.6" customHeight="1" x14ac:dyDescent="0.25">
      <c r="C87" s="82" t="str">
        <f>+'PLAN DE DESARROLLO 2024 - 2027'!B185</f>
        <v xml:space="preserve"> ORGANISMOS COMUNALES TÉCNICOS Y ADMINISTRATIVAMENTE EFICIENTES</v>
      </c>
      <c r="D87" s="97">
        <f>+'PLAN DE DESARROLLO 2024 - 2027'!M185</f>
        <v>0.59528017515410458</v>
      </c>
      <c r="E87" s="108">
        <f>+'PLAN DE DESARROLLO 2024 - 2027'!K185</f>
        <v>0.59475575017122739</v>
      </c>
    </row>
    <row r="88" spans="3:10" ht="40.9" customHeight="1" x14ac:dyDescent="0.25">
      <c r="C88" s="82" t="str">
        <f>+'PLAN DE DESARROLLO 2024 - 2027'!B186</f>
        <v xml:space="preserve"> ORGANIZACIONES SOCIALES SÓLIDAS E INCIDENTES EN EL DESARROLLO LOCAL</v>
      </c>
      <c r="D88" s="97">
        <f>+'PLAN DE DESARROLLO 2024 - 2027'!M186</f>
        <v>0.18099999999999999</v>
      </c>
      <c r="E88" s="113">
        <f>+'PLAN DE DESARROLLO 2024 - 2027'!K186</f>
        <v>0.17833333333333329</v>
      </c>
    </row>
    <row r="89" spans="3:10" ht="34.9" customHeight="1" x14ac:dyDescent="0.25">
      <c r="C89" s="82" t="str">
        <f>+'PLAN DE DESARROLLO 2024 - 2027'!B188</f>
        <v xml:space="preserve"> PARTICIPANDO DECIDIMOS Y AVANZAMOS</v>
      </c>
      <c r="D89" s="97">
        <f>+'PLAN DE DESARROLLO 2024 - 2027'!M188</f>
        <v>0.22181699999999999</v>
      </c>
      <c r="E89" s="113">
        <f>+'PLAN DE DESARROLLO 2024 - 2027'!K188</f>
        <v>0.22853666666666667</v>
      </c>
    </row>
    <row r="90" spans="3:10" ht="33.6" customHeight="1" x14ac:dyDescent="0.25">
      <c r="C90" s="82" t="str">
        <f>+'PLAN DE DESARROLLO 2024 - 2027'!B189</f>
        <v xml:space="preserve"> PROMOCIÓN Y GARANTÍA PARA LA PARTICIPACIÓN SOCIOPOLÍTICA JUVENIL</v>
      </c>
      <c r="D90" s="97">
        <f>+'PLAN DE DESARROLLO 2024 - 2027'!M189</f>
        <v>0.43506250000000002</v>
      </c>
      <c r="E90" s="107">
        <f>+'PLAN DE DESARROLLO 2024 - 2027'!K189</f>
        <v>0.362875</v>
      </c>
    </row>
    <row r="91" spans="3:10" ht="39.6" customHeight="1" x14ac:dyDescent="0.25">
      <c r="C91" s="82" t="str">
        <f>+'PLAN DE DESARROLLO 2024 - 2027'!B190</f>
        <v xml:space="preserve"> DERECHO A LA PARTICIPACIÓN Y REPRESENTACIÓN CON EQUIDAD DE GÉNERO</v>
      </c>
      <c r="D91" s="97">
        <f>+'PLAN DE DESARROLLO 2024 - 2027'!M190</f>
        <v>9.003333333333334E-2</v>
      </c>
      <c r="E91" s="113">
        <f>+'PLAN DE DESARROLLO 2024 - 2027'!K190</f>
        <v>0.16877777777777778</v>
      </c>
    </row>
    <row r="92" spans="3:10" ht="41.45" customHeight="1" x14ac:dyDescent="0.25">
      <c r="D92" s="89"/>
    </row>
    <row r="93" spans="3:10" x14ac:dyDescent="0.25">
      <c r="D93" s="89"/>
    </row>
    <row r="94" spans="3:10" ht="62.45" customHeight="1" x14ac:dyDescent="0.25">
      <c r="C94" s="9"/>
      <c r="D94" s="80" t="s">
        <v>2139</v>
      </c>
      <c r="E94" s="934" t="s">
        <v>2172</v>
      </c>
    </row>
    <row r="95" spans="3:10" ht="43.9" customHeight="1" x14ac:dyDescent="0.25">
      <c r="C95" s="82" t="str">
        <f>+'PLAN DE DESARROLLO 2024 - 2027'!B191</f>
        <v xml:space="preserve">Sistema de Planeación Distrital
</v>
      </c>
      <c r="D95" s="926">
        <f>+O11</f>
        <v>0.31612553030303031</v>
      </c>
      <c r="E95" s="117">
        <f>+'PLAN DE DESARROLLO 2024 - 2027'!K191</f>
        <v>0.34377302789802794</v>
      </c>
      <c r="J95" s="1275" t="s">
        <v>2110</v>
      </c>
    </row>
    <row r="96" spans="3:10" ht="36.6" customHeight="1" x14ac:dyDescent="0.25">
      <c r="C96" s="82" t="str">
        <f>+'PLAN DE DESARROLLO 2024 - 2027'!B192</f>
        <v xml:space="preserve"> CENTRO DE INVESTIGACIÓN DE INFORMACIÓN DE LA CIUDAD PARA LA TOMA DE DECISIONES (CIDI)</v>
      </c>
      <c r="D96" s="97">
        <f>+'PLAN DE DESARROLLO 2024 - 2027'!M192</f>
        <v>0.32166666666666666</v>
      </c>
      <c r="E96" s="107">
        <f>+'PLAN DE DESARROLLO 2024 - 2027'!K192</f>
        <v>0.43666666666666665</v>
      </c>
    </row>
    <row r="97" spans="3:5" ht="37.15" customHeight="1" x14ac:dyDescent="0.25">
      <c r="C97" s="82" t="str">
        <f>+'PLAN DE DESARROLLO 2024 - 2027'!B193</f>
        <v xml:space="preserve"> SISTEMAS DE INFORMACIÓN PARA EL DESARROLLO DE CARTAGENA</v>
      </c>
      <c r="D97" s="97">
        <f>+'PLAN DE DESARROLLO 2024 - 2027'!M193</f>
        <v>0.2650818181818182</v>
      </c>
      <c r="E97" s="109">
        <f>+'PLAN DE DESARROLLO 2024 - 2027'!K193</f>
        <v>0.27984848484848485</v>
      </c>
    </row>
    <row r="98" spans="3:5" ht="40.9" customHeight="1" x14ac:dyDescent="0.25">
      <c r="C98" s="82" t="str">
        <f>+'PLAN DE DESARROLLO 2024 - 2027'!B194</f>
        <v xml:space="preserve"> INVERSIÓN PÚBLICA EFICIENTE Y TRANSPARENTE</v>
      </c>
      <c r="D98" s="97">
        <f>+'PLAN DE DESARROLLO 2024 - 2027'!M194</f>
        <v>0.36731666666666668</v>
      </c>
      <c r="E98" s="109">
        <f>+'PLAN DE DESARROLLO 2024 - 2027'!K194</f>
        <v>0.34126190476190477</v>
      </c>
    </row>
    <row r="99" spans="3:5" ht="38.450000000000003" customHeight="1" x14ac:dyDescent="0.25">
      <c r="C99" s="82" t="str">
        <f>+'PLAN DE DESARROLLO 2024 - 2027'!B195</f>
        <v xml:space="preserve"> POLÍTICAS PÚBLICAS INTERSECTORIALES Y CON VISIÓN INTEGRAL</v>
      </c>
      <c r="D99" s="97">
        <f>+'PLAN DE DESARROLLO 2024 - 2027'!M195</f>
        <v>0.53333333333333333</v>
      </c>
      <c r="E99" s="108">
        <f>+'PLAN DE DESARROLLO 2024 - 2027'!K195</f>
        <v>0.61111111111111116</v>
      </c>
    </row>
    <row r="100" spans="3:5" ht="24.6" customHeight="1" x14ac:dyDescent="0.25">
      <c r="C100" s="82" t="str">
        <f>+'PLAN DE DESARROLLO 2024 - 2027'!B196</f>
        <v xml:space="preserve"> DESCENTRALIZACIÓN ADMINISTRATIVA</v>
      </c>
      <c r="D100" s="97">
        <f>+'PLAN DE DESARROLLO 2024 - 2027'!M196</f>
        <v>0.17499999999999999</v>
      </c>
      <c r="E100" s="113">
        <f>+'PLAN DE DESARROLLO 2024 - 2027'!K196</f>
        <v>0.1875</v>
      </c>
    </row>
    <row r="101" spans="3:5" ht="33.6" customHeight="1" x14ac:dyDescent="0.25">
      <c r="C101" s="82" t="str">
        <f>+'PLAN DE DESARROLLO 2024 - 2027'!B197</f>
        <v xml:space="preserve"> GESTIÓN CATASTRAL CON ENFOQUE MULTIPROPÓSITO</v>
      </c>
      <c r="D101" s="97">
        <f>+'PLAN DE DESARROLLO 2024 - 2027'!M197</f>
        <v>0.20625000000000002</v>
      </c>
      <c r="E101" s="113">
        <f>+'PLAN DE DESARROLLO 2024 - 2027'!K197</f>
        <v>0.20625000000000002</v>
      </c>
    </row>
    <row r="102" spans="3:5" ht="18.75" x14ac:dyDescent="0.3">
      <c r="C102" s="88"/>
      <c r="D102" s="89"/>
    </row>
    <row r="103" spans="3:5" ht="18.75" x14ac:dyDescent="0.3">
      <c r="C103" s="88"/>
      <c r="D103" s="89"/>
    </row>
    <row r="108" spans="3:5" ht="55.9" customHeight="1" x14ac:dyDescent="0.25">
      <c r="C108" s="9"/>
      <c r="D108" s="927" t="s">
        <v>2134</v>
      </c>
    </row>
    <row r="109" spans="3:5" ht="56.25" x14ac:dyDescent="0.3">
      <c r="C109" s="84" t="str">
        <f t="shared" ref="C109:C115" si="1">+M5</f>
        <v xml:space="preserve"> INNOVACIÓN PÚBLICA Y PARTICIPACIÓN CIUDADANA
</v>
      </c>
      <c r="D109" s="1232">
        <f>+'PLAN DE DESARROLLO 2024 - 2027'!I161</f>
        <v>0.41451393143111748</v>
      </c>
    </row>
    <row r="110" spans="3:5" ht="31.5" x14ac:dyDescent="0.25">
      <c r="C110" s="92" t="str">
        <f t="shared" si="1"/>
        <v xml:space="preserve">Transparencia y Gobierno Abierto
</v>
      </c>
      <c r="D110" s="362">
        <f>+'PLAN DE DESARROLLO 2024 - 2027'!I162</f>
        <v>0.53309523809523807</v>
      </c>
    </row>
    <row r="111" spans="3:5" ht="47.45" customHeight="1" x14ac:dyDescent="0.25">
      <c r="C111" s="92" t="str">
        <f t="shared" si="1"/>
        <v xml:space="preserve">Fortalecimiento Institucional e Innovación Administrativa
</v>
      </c>
      <c r="D111" s="937">
        <f>+'PLAN DE DESARROLLO 2024 - 2027'!I166</f>
        <v>0.43698654003267967</v>
      </c>
    </row>
    <row r="112" spans="3:5" ht="31.5" x14ac:dyDescent="0.25">
      <c r="C112" s="92" t="str">
        <f t="shared" si="1"/>
        <v xml:space="preserve"> Finanzas Públicas
</v>
      </c>
      <c r="D112" s="362">
        <f>+'PLAN DE DESARROLLO 2024 - 2027'!I175</f>
        <v>0.53851136141490141</v>
      </c>
    </row>
    <row r="113" spans="3:5" ht="31.5" x14ac:dyDescent="0.25">
      <c r="C113" s="92" t="str">
        <f t="shared" si="1"/>
        <v xml:space="preserve">Cultura Ciudadana
</v>
      </c>
      <c r="D113" s="360">
        <f>+'PLAN DE DESARROLLO 2024 - 2027'!I178</f>
        <v>0.30097504553734061</v>
      </c>
    </row>
    <row r="114" spans="3:5" ht="31.5" x14ac:dyDescent="0.25">
      <c r="C114" s="92" t="str">
        <f t="shared" si="1"/>
        <v xml:space="preserve">Participación Ciudadana y Acción Comunal
</v>
      </c>
      <c r="D114" s="1231">
        <f>+'PLAN DE DESARROLLO 2024 - 2027'!I184</f>
        <v>0.24678899476949789</v>
      </c>
    </row>
    <row r="115" spans="3:5" ht="54" customHeight="1" x14ac:dyDescent="0.25">
      <c r="C115" s="92" t="str">
        <f t="shared" si="1"/>
        <v xml:space="preserve">Sistema de Planeación Distrital
</v>
      </c>
      <c r="D115" s="937">
        <f>+'PLAN DE DESARROLLO 2024 - 2027'!I191</f>
        <v>0.4307264087370471</v>
      </c>
    </row>
    <row r="119" spans="3:5" x14ac:dyDescent="0.25">
      <c r="C119" s="1425" t="s">
        <v>2116</v>
      </c>
      <c r="D119" s="1425"/>
      <c r="E119" s="1425"/>
    </row>
    <row r="120" spans="3:5" x14ac:dyDescent="0.25">
      <c r="C120" s="1425"/>
      <c r="D120" s="1425"/>
      <c r="E120" s="1425"/>
    </row>
    <row r="121" spans="3:5" ht="30" x14ac:dyDescent="0.25">
      <c r="C121" s="115" t="s">
        <v>2117</v>
      </c>
      <c r="D121" s="85" t="s">
        <v>2135</v>
      </c>
      <c r="E121" s="114" t="s">
        <v>2119</v>
      </c>
    </row>
    <row r="122" spans="3:5" ht="40.9" customHeight="1" x14ac:dyDescent="0.3">
      <c r="C122" s="82" t="s">
        <v>1997</v>
      </c>
      <c r="D122" s="110">
        <v>5.7749999999999996E-2</v>
      </c>
      <c r="E122" s="206" t="s">
        <v>658</v>
      </c>
    </row>
    <row r="123" spans="3:5" ht="43.15" customHeight="1" x14ac:dyDescent="0.3">
      <c r="C123" s="82" t="s">
        <v>2001</v>
      </c>
      <c r="D123" s="1206">
        <v>0.24105204513399153</v>
      </c>
      <c r="E123" s="206" t="s">
        <v>658</v>
      </c>
    </row>
    <row r="124" spans="3:5" ht="43.15" customHeight="1" x14ac:dyDescent="0.3">
      <c r="C124" s="82" t="s">
        <v>1620</v>
      </c>
      <c r="D124" s="1206">
        <v>0.24149999999999996</v>
      </c>
      <c r="E124" s="206" t="s">
        <v>658</v>
      </c>
    </row>
    <row r="125" spans="3:5" ht="61.15" customHeight="1" x14ac:dyDescent="0.3">
      <c r="C125" s="82" t="s">
        <v>1628</v>
      </c>
      <c r="D125" s="110">
        <v>0.05</v>
      </c>
      <c r="E125" s="206" t="s">
        <v>1631</v>
      </c>
    </row>
    <row r="126" spans="3:5" ht="91.9" customHeight="1" x14ac:dyDescent="0.3">
      <c r="C126" s="82" t="s">
        <v>1635</v>
      </c>
      <c r="D126" s="1206">
        <v>0.24770577657262269</v>
      </c>
      <c r="E126" s="206" t="s">
        <v>2173</v>
      </c>
    </row>
    <row r="127" spans="3:5" ht="54" customHeight="1" x14ac:dyDescent="0.3">
      <c r="C127" s="82" t="s">
        <v>2004</v>
      </c>
      <c r="D127" s="113">
        <v>0.24816666666666665</v>
      </c>
      <c r="E127" s="206" t="s">
        <v>2174</v>
      </c>
    </row>
    <row r="128" spans="3:5" ht="58.15" customHeight="1" x14ac:dyDescent="0.3">
      <c r="C128" s="82" t="s">
        <v>1714</v>
      </c>
      <c r="D128" s="113">
        <v>0.17833333333333329</v>
      </c>
      <c r="E128" s="206" t="s">
        <v>1701</v>
      </c>
    </row>
    <row r="129" spans="3:5" ht="42" customHeight="1" x14ac:dyDescent="0.3">
      <c r="C129" s="82" t="s">
        <v>2007</v>
      </c>
      <c r="D129" s="113">
        <v>0.22853666666666667</v>
      </c>
      <c r="E129" s="206" t="s">
        <v>1701</v>
      </c>
    </row>
    <row r="130" spans="3:5" ht="48.6" customHeight="1" x14ac:dyDescent="0.3">
      <c r="C130" s="82" t="s">
        <v>1757</v>
      </c>
      <c r="D130" s="113">
        <v>0.16877777777777778</v>
      </c>
      <c r="E130" s="206" t="s">
        <v>103</v>
      </c>
    </row>
    <row r="131" spans="3:5" ht="42" customHeight="1" x14ac:dyDescent="0.3">
      <c r="C131" s="82" t="s">
        <v>2008</v>
      </c>
      <c r="D131" s="113">
        <v>0.1875</v>
      </c>
      <c r="E131" s="206" t="s">
        <v>1812</v>
      </c>
    </row>
    <row r="132" spans="3:5" ht="37.5" x14ac:dyDescent="0.3">
      <c r="C132" s="82" t="s">
        <v>1819</v>
      </c>
      <c r="D132" s="113">
        <v>0.20625000000000002</v>
      </c>
      <c r="E132" s="206" t="s">
        <v>1822</v>
      </c>
    </row>
  </sheetData>
  <mergeCells count="3">
    <mergeCell ref="M2:O3"/>
    <mergeCell ref="C119:E120"/>
    <mergeCell ref="C2:F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C2:M87"/>
  <sheetViews>
    <sheetView zoomScale="40" zoomScaleNormal="40" workbookViewId="0">
      <selection activeCell="H92" sqref="H92"/>
    </sheetView>
  </sheetViews>
  <sheetFormatPr baseColWidth="10" defaultColWidth="11.42578125" defaultRowHeight="15" x14ac:dyDescent="0.25"/>
  <cols>
    <col min="3" max="3" width="58.7109375" style="100" customWidth="1"/>
    <col min="4" max="4" width="37" customWidth="1"/>
    <col min="5" max="5" width="56.85546875" customWidth="1"/>
    <col min="6" max="6" width="55.140625" customWidth="1"/>
    <col min="7" max="7" width="60" customWidth="1"/>
    <col min="8" max="8" width="29.28515625" customWidth="1"/>
    <col min="9" max="9" width="42.7109375" customWidth="1"/>
    <col min="11" max="11" width="38.85546875" customWidth="1"/>
    <col min="12" max="12" width="53.140625" customWidth="1"/>
    <col min="13" max="13" width="47.140625" customWidth="1"/>
  </cols>
  <sheetData>
    <row r="2" spans="3:13" ht="14.45" customHeight="1" x14ac:dyDescent="0.25">
      <c r="C2" s="1424" t="s">
        <v>2175</v>
      </c>
      <c r="D2" s="1424"/>
      <c r="E2" s="1424"/>
      <c r="F2" s="1424"/>
      <c r="K2" s="1418" t="s">
        <v>2176</v>
      </c>
      <c r="L2" s="1419"/>
      <c r="M2" s="1420"/>
    </row>
    <row r="3" spans="3:13" ht="40.9" customHeight="1" x14ac:dyDescent="0.25">
      <c r="C3" s="1424"/>
      <c r="D3" s="1424"/>
      <c r="E3" s="1424"/>
      <c r="F3" s="1424"/>
      <c r="K3" s="1421"/>
      <c r="L3" s="1422"/>
      <c r="M3" s="1423"/>
    </row>
    <row r="4" spans="3:13" ht="57.6" customHeight="1" x14ac:dyDescent="0.25">
      <c r="C4" s="126"/>
      <c r="D4" s="928" t="s">
        <v>2103</v>
      </c>
      <c r="E4" s="928" t="s">
        <v>2124</v>
      </c>
      <c r="F4" s="928" t="s">
        <v>2105</v>
      </c>
      <c r="K4" s="79"/>
      <c r="L4" s="80" t="s">
        <v>2106</v>
      </c>
      <c r="M4" s="80" t="s">
        <v>2125</v>
      </c>
    </row>
    <row r="5" spans="3:13" ht="55.9" customHeight="1" x14ac:dyDescent="0.3">
      <c r="C5" s="90" t="str">
        <f>+'PLAN DE DESARROLLO 2024 - 2027'!B198</f>
        <v xml:space="preserve">CAPÍTULO DE LOS PUEBLOS Y COMUNIDADES ÉTNICAS
</v>
      </c>
      <c r="D5" s="926">
        <f>+'PLAN DE DESARROLLO 2024 - 2027'!F198</f>
        <v>0.32652777777777775</v>
      </c>
      <c r="E5" s="1236">
        <f>+'PLAN DE DESARROLLO 2024 - 2027'!K198</f>
        <v>0.17479861111111111</v>
      </c>
      <c r="F5" s="982">
        <v>5.5588624338624326E-2</v>
      </c>
      <c r="K5" s="90" t="str">
        <f>+C5</f>
        <v xml:space="preserve">CAPÍTULO DE LOS PUEBLOS Y COMUNIDADES ÉTNICAS
</v>
      </c>
      <c r="L5" s="926">
        <f>+'PLAN DE DESARROLLO 2024 - 2027'!G198+'PLAN DE DESARROLLO 2024 - 2027'!H198</f>
        <v>0.32990277777777782</v>
      </c>
      <c r="M5" s="926">
        <f>+'PLAN DE DESARROLLO 2024 - 2027'!M198</f>
        <v>0.13189708333333333</v>
      </c>
    </row>
    <row r="6" spans="3:13" ht="54.6" customHeight="1" x14ac:dyDescent="0.25">
      <c r="C6" s="123" t="str">
        <f>+'PLAN DE DESARROLLO 2024 - 2027'!B199</f>
        <v xml:space="preserve"> Fortalecimiento al Desarrollo Afro-Territorial de la Población Negra, Afrocolombiana, Raizal y Palenquera
</v>
      </c>
      <c r="D6" s="97">
        <f>+'PLAN DE DESARROLLO 2024 - 2027'!F199</f>
        <v>0.29083333333333339</v>
      </c>
      <c r="E6" s="1206">
        <f>+'PLAN DE DESARROLLO 2024 - 2027'!K199</f>
        <v>0.21113425925925924</v>
      </c>
      <c r="F6" s="974">
        <v>6.4880952380952372E-2</v>
      </c>
      <c r="K6" s="81" t="str">
        <f>+C6</f>
        <v xml:space="preserve"> Fortalecimiento al Desarrollo Afro-Territorial de la Población Negra, Afrocolombiana, Raizal y Palenquera
</v>
      </c>
      <c r="L6" s="97">
        <f>+'PLAN DE DESARROLLO 2024 - 2027'!G199+'PLAN DE DESARROLLO 2024 - 2027'!H199</f>
        <v>0.27608333333333335</v>
      </c>
      <c r="M6" s="97">
        <f>+'PLAN DE DESARROLLO 2024 - 2027'!M199</f>
        <v>0.13831111111111113</v>
      </c>
    </row>
    <row r="7" spans="3:13" ht="48" customHeight="1" x14ac:dyDescent="0.25">
      <c r="C7" s="123" t="str">
        <f>+'PLAN DE DESARROLLO 2024 - 2027'!B203</f>
        <v xml:space="preserve">Territorio Sitio de Paz y Pensamiento Colectivo
</v>
      </c>
      <c r="D7" s="97">
        <f>+'PLAN DE DESARROLLO 2024 - 2027'!F203</f>
        <v>0.36222222222222217</v>
      </c>
      <c r="E7" s="110">
        <f>+'PLAN DE DESARROLLO 2024 - 2027'!K203</f>
        <v>0.13846296296296298</v>
      </c>
      <c r="F7" s="974">
        <v>4.6296296296296287E-2</v>
      </c>
      <c r="K7" s="93" t="str">
        <f>+C7</f>
        <v xml:space="preserve">Territorio Sitio de Paz y Pensamiento Colectivo
</v>
      </c>
      <c r="L7" s="97">
        <f>+'PLAN DE DESARROLLO 2024 - 2027'!G203+'PLAN DE DESARROLLO 2024 - 2027'!I203</f>
        <v>0.40344444444444449</v>
      </c>
      <c r="M7" s="97">
        <f>+'PLAN DE DESARROLLO 2024 - 2027'!M203</f>
        <v>0.11265500000000001</v>
      </c>
    </row>
    <row r="41" spans="3:11" ht="82.9" customHeight="1" x14ac:dyDescent="0.25">
      <c r="C41" s="127"/>
      <c r="D41" s="80" t="s">
        <v>2139</v>
      </c>
      <c r="E41" s="934" t="s">
        <v>2177</v>
      </c>
      <c r="G41" s="1275" t="s">
        <v>2110</v>
      </c>
    </row>
    <row r="42" spans="3:11" ht="70.150000000000006" customHeight="1" x14ac:dyDescent="0.3">
      <c r="C42" s="84" t="str">
        <f>+'PLAN DE DESARROLLO 2024 - 2027'!B199</f>
        <v xml:space="preserve"> Fortalecimiento al Desarrollo Afro-Territorial de la Población Negra, Afrocolombiana, Raizal y Palenquera
</v>
      </c>
      <c r="D42" s="931">
        <f>+M6</f>
        <v>0.13831111111111113</v>
      </c>
      <c r="E42" s="1233">
        <f>+'PLAN DE DESARROLLO 2024 - 2027'!K199</f>
        <v>0.21113425925925924</v>
      </c>
      <c r="G42" t="s">
        <v>2110</v>
      </c>
      <c r="K42" s="1275" t="s">
        <v>2110</v>
      </c>
    </row>
    <row r="43" spans="3:11" ht="79.900000000000006" customHeight="1" x14ac:dyDescent="0.25">
      <c r="C43" s="82" t="str">
        <f>+'PLAN DE DESARROLLO 2024 - 2027'!B200</f>
        <v xml:space="preserve"> GOBERNANZA Y PARTICIPACIÓN DE LAS COMUNIDADES NEGRAS AFROCOLOMBIANAS, RAIZALES Y PALENQUERAS PARA EL FORTALECIMIENTO DE LA DEMOCRACIA EN EL DISTRITO</v>
      </c>
      <c r="D43" s="77">
        <f>+'PLAN DE DESARROLLO 2024 - 2027'!M200</f>
        <v>0.13716666666666669</v>
      </c>
      <c r="E43" s="1233">
        <f>+'PLAN DE DESARROLLO 2024 - 2027'!K200</f>
        <v>0.19729166666666664</v>
      </c>
    </row>
    <row r="44" spans="3:11" ht="79.900000000000006" customHeight="1" x14ac:dyDescent="0.25">
      <c r="C44" s="82" t="str">
        <f>+'PLAN DE DESARROLLO 2024 - 2027'!B202</f>
        <v xml:space="preserve"> DESARROLLO LOCAL SOSTENIBLE Y PROSPERIDAD COLECTIVA EN LOS TERRITORIOS DE LAS COMUNIDADES NEGRAS DEL DISTRITO DE CARTAGENA</v>
      </c>
      <c r="D44" s="77">
        <f>+'PLAN DE DESARROLLO 2024 - 2027'!M202</f>
        <v>0.17</v>
      </c>
      <c r="E44" s="1233">
        <f>+'PLAN DE DESARROLLO 2024 - 2027'!K202</f>
        <v>0.23571428571428571</v>
      </c>
    </row>
    <row r="45" spans="3:11" ht="50.45" customHeight="1" x14ac:dyDescent="0.25">
      <c r="C45" s="82" t="str">
        <f>+'PLAN DE DESARROLLO 2024 - 2027'!B201</f>
        <v xml:space="preserve"> DESARROLLO HUMANO Y BIENESTAR SOCIAL DE LAS COMUNIDADES NEGRAS, AFROCOLOMBIANAS, RAIZALES Y PALENQUERAS</v>
      </c>
      <c r="D45" s="77">
        <f>+'PLAN DE DESARROLLO 2024 - 2027'!M201</f>
        <v>0.12361111111111112</v>
      </c>
      <c r="E45" s="1233">
        <f>+'PLAN DE DESARROLLO 2024 - 2027'!K201</f>
        <v>0.20039682539682538</v>
      </c>
    </row>
    <row r="46" spans="3:11" ht="29.45" customHeight="1" x14ac:dyDescent="0.25">
      <c r="C46" s="87"/>
      <c r="D46" s="95"/>
    </row>
    <row r="47" spans="3:11" ht="29.45" customHeight="1" x14ac:dyDescent="0.25">
      <c r="C47" s="87"/>
      <c r="D47" s="95"/>
    </row>
    <row r="48" spans="3:11" ht="30" x14ac:dyDescent="0.25">
      <c r="G48" s="1275" t="s">
        <v>2110</v>
      </c>
    </row>
    <row r="49" spans="3:12" x14ac:dyDescent="0.25">
      <c r="C49" s="128"/>
      <c r="G49" s="1275"/>
    </row>
    <row r="51" spans="3:12" ht="45" customHeight="1" x14ac:dyDescent="0.25">
      <c r="C51" s="127"/>
      <c r="D51" s="80" t="s">
        <v>2139</v>
      </c>
      <c r="E51" s="934" t="s">
        <v>2178</v>
      </c>
    </row>
    <row r="52" spans="3:12" ht="69" customHeight="1" x14ac:dyDescent="0.3">
      <c r="C52" s="84" t="str">
        <f>+'PLAN DE DESARROLLO 2024 - 2027'!B203</f>
        <v xml:space="preserve">Territorio Sitio de Paz y Pensamiento Colectivo
</v>
      </c>
      <c r="D52" s="926">
        <f>+M7</f>
        <v>0.11265500000000001</v>
      </c>
      <c r="E52" s="122">
        <f>+'PLAN DE DESARROLLO 2024 - 2027'!K203</f>
        <v>0.13846296296296298</v>
      </c>
      <c r="L52" s="1275" t="s">
        <v>2110</v>
      </c>
    </row>
    <row r="53" spans="3:12" ht="37.15" customHeight="1" x14ac:dyDescent="0.25">
      <c r="C53" s="82" t="str">
        <f>+'PLAN DE DESARROLLO 2024 - 2027'!B204</f>
        <v xml:space="preserve"> TERRITORIO PROPIO</v>
      </c>
      <c r="D53" s="97">
        <f>+'PLAN DE DESARROLLO 2024 - 2027'!M204</f>
        <v>3.6383333333333337E-2</v>
      </c>
      <c r="E53" s="1206">
        <f>+'PLAN DE DESARROLLO 2024 - 2027'!K204</f>
        <v>0.15138888888888888</v>
      </c>
    </row>
    <row r="54" spans="3:12" ht="48.6" customHeight="1" x14ac:dyDescent="0.25">
      <c r="C54" s="82" t="str">
        <f>+'PLAN DE DESARROLLO 2024 - 2027'!B205</f>
        <v xml:space="preserve"> ATENCIÓN INTEGRAL PARA LAS COMUNIDADES INDÍGENAS</v>
      </c>
      <c r="D54" s="97">
        <f>+'PLAN DE DESARROLLO 2024 - 2027'!M205</f>
        <v>0.14380000000000001</v>
      </c>
      <c r="E54" s="110">
        <f>+'PLAN DE DESARROLLO 2024 - 2027'!K205</f>
        <v>0.128</v>
      </c>
    </row>
    <row r="55" spans="3:12" ht="48.6" customHeight="1" x14ac:dyDescent="0.25">
      <c r="C55" s="82" t="str">
        <f>+'PLAN DE DESARROLLO 2024 - 2027'!B206</f>
        <v xml:space="preserve"> MUJER INDÍGENA, FAMILIA Y GENERACIÓN DE INGRESOS</v>
      </c>
      <c r="D55" s="97">
        <f>+'PLAN DE DESARROLLO 2024 - 2027'!M206</f>
        <v>0.14649999999999999</v>
      </c>
      <c r="E55" s="110">
        <f>+'PLAN DE DESARROLLO 2024 - 2027'!K206</f>
        <v>0.13599999999999998</v>
      </c>
    </row>
    <row r="59" spans="3:12" ht="14.45" customHeight="1" x14ac:dyDescent="0.25">
      <c r="C59"/>
    </row>
    <row r="60" spans="3:12" ht="36" customHeight="1" x14ac:dyDescent="0.25">
      <c r="C60"/>
    </row>
    <row r="61" spans="3:12" ht="55.9" customHeight="1" x14ac:dyDescent="0.25">
      <c r="C61" s="975"/>
      <c r="D61" s="976" t="s">
        <v>2134</v>
      </c>
    </row>
    <row r="62" spans="3:12" ht="56.25" x14ac:dyDescent="0.3">
      <c r="C62" s="977" t="str">
        <f>+K5</f>
        <v xml:space="preserve">CAPÍTULO DE LOS PUEBLOS Y COMUNIDADES ÉTNICAS
</v>
      </c>
      <c r="D62" s="1237">
        <f>+'PLAN DE DESARROLLO 2024 - 2027'!I198</f>
        <v>0.39426851851851852</v>
      </c>
    </row>
    <row r="63" spans="3:12" ht="75.599999999999994" customHeight="1" x14ac:dyDescent="0.25">
      <c r="C63" s="978" t="str">
        <f>+K6</f>
        <v xml:space="preserve"> Fortalecimiento al Desarrollo Afro-Territorial de la Población Negra, Afrocolombiana, Raizal y Palenquera
</v>
      </c>
      <c r="D63" s="1234">
        <f>+'PLAN DE DESARROLLO 2024 - 2027'!I199</f>
        <v>0.46870370370370368</v>
      </c>
    </row>
    <row r="64" spans="3:12" ht="47.45" customHeight="1" x14ac:dyDescent="0.25">
      <c r="C64" s="978" t="str">
        <f>+K7</f>
        <v xml:space="preserve">Territorio Sitio de Paz y Pensamiento Colectivo
</v>
      </c>
      <c r="D64" s="1125">
        <f>+'PLAN DE DESARROLLO 2024 - 2027'!I203</f>
        <v>0.31983333333333336</v>
      </c>
    </row>
    <row r="69" spans="3:5" x14ac:dyDescent="0.25">
      <c r="C69" s="1425" t="s">
        <v>2116</v>
      </c>
      <c r="D69" s="1425"/>
      <c r="E69" s="1425"/>
    </row>
    <row r="70" spans="3:5" x14ac:dyDescent="0.25">
      <c r="C70" s="1425"/>
      <c r="D70" s="1425"/>
      <c r="E70" s="1425"/>
    </row>
    <row r="71" spans="3:5" ht="30" x14ac:dyDescent="0.25">
      <c r="C71" s="115" t="s">
        <v>2117</v>
      </c>
      <c r="D71" s="85" t="s">
        <v>2135</v>
      </c>
      <c r="E71" s="114" t="s">
        <v>2119</v>
      </c>
    </row>
    <row r="72" spans="3:5" ht="100.15" customHeight="1" x14ac:dyDescent="0.25">
      <c r="C72" s="82" t="s">
        <v>1834</v>
      </c>
      <c r="D72" s="1233">
        <v>0.19729166666666664</v>
      </c>
      <c r="E72" s="1257" t="s">
        <v>2179</v>
      </c>
    </row>
    <row r="73" spans="3:5" ht="49.15" customHeight="1" x14ac:dyDescent="0.25">
      <c r="C73" s="82" t="s">
        <v>1877</v>
      </c>
      <c r="D73" s="1233">
        <v>0.23571428571428571</v>
      </c>
      <c r="E73" s="1257" t="s">
        <v>2180</v>
      </c>
    </row>
    <row r="74" spans="3:5" ht="48.6" customHeight="1" x14ac:dyDescent="0.25">
      <c r="C74" s="82" t="s">
        <v>1856</v>
      </c>
      <c r="D74" s="1233">
        <v>0.20039682539682538</v>
      </c>
      <c r="E74" s="1257" t="s">
        <v>2181</v>
      </c>
    </row>
    <row r="75" spans="3:5" ht="40.15" customHeight="1" x14ac:dyDescent="0.25">
      <c r="C75" s="82" t="s">
        <v>2009</v>
      </c>
      <c r="D75" s="1206">
        <v>0.15138888888888888</v>
      </c>
      <c r="E75" s="1257" t="s">
        <v>47</v>
      </c>
    </row>
    <row r="76" spans="3:5" ht="48" customHeight="1" x14ac:dyDescent="0.25">
      <c r="C76" s="82" t="s">
        <v>2010</v>
      </c>
      <c r="D76" s="110">
        <v>0.128</v>
      </c>
      <c r="E76" s="1257" t="s">
        <v>2182</v>
      </c>
    </row>
    <row r="77" spans="3:5" ht="71.45" customHeight="1" x14ac:dyDescent="0.25">
      <c r="C77" s="82" t="s">
        <v>2011</v>
      </c>
      <c r="D77" s="110">
        <v>0.13599999999999998</v>
      </c>
      <c r="E77" s="1257" t="s">
        <v>2183</v>
      </c>
    </row>
    <row r="78" spans="3:5" x14ac:dyDescent="0.25">
      <c r="C78"/>
    </row>
    <row r="79" spans="3:5" x14ac:dyDescent="0.25">
      <c r="C79"/>
    </row>
    <row r="80" spans="3:5"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sheetData>
  <mergeCells count="3">
    <mergeCell ref="K2:M3"/>
    <mergeCell ref="C69:E70"/>
    <mergeCell ref="C2:F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396"/>
  <sheetViews>
    <sheetView topLeftCell="E1" zoomScale="60" zoomScaleNormal="60" workbookViewId="0">
      <selection activeCell="I12" sqref="I12"/>
    </sheetView>
  </sheetViews>
  <sheetFormatPr baseColWidth="10" defaultColWidth="11.42578125" defaultRowHeight="15" x14ac:dyDescent="0.25"/>
  <cols>
    <col min="1" max="1" width="42.42578125" style="1031" customWidth="1"/>
    <col min="2" max="2" width="29" style="1032" customWidth="1"/>
    <col min="3" max="3" width="43.42578125" style="1031" customWidth="1"/>
    <col min="4" max="4" width="42.7109375" style="9" customWidth="1"/>
    <col min="5" max="5" width="62.85546875" style="1031" customWidth="1"/>
    <col min="6" max="6" width="25.140625" style="1032" hidden="1" customWidth="1"/>
    <col min="7" max="7" width="55.42578125" style="1031" customWidth="1"/>
    <col min="8" max="8" width="71.7109375" style="1031" customWidth="1"/>
    <col min="9" max="9" width="44.28515625" style="1031" customWidth="1"/>
    <col min="10" max="10" width="55.42578125" style="1031" customWidth="1"/>
    <col min="11" max="11" width="24.140625" style="9" customWidth="1"/>
    <col min="16" max="16" width="21.140625" style="1027" customWidth="1"/>
  </cols>
  <sheetData>
    <row r="1" spans="1:16" ht="45.6" customHeight="1" thickBot="1" x14ac:dyDescent="0.3">
      <c r="A1" s="1030" t="s">
        <v>2184</v>
      </c>
      <c r="B1" s="1030" t="s">
        <v>2185</v>
      </c>
      <c r="C1" s="1030" t="s">
        <v>2117</v>
      </c>
      <c r="D1" s="1030" t="s">
        <v>2186</v>
      </c>
      <c r="E1" s="1030" t="s">
        <v>2187</v>
      </c>
      <c r="F1" s="1030" t="s">
        <v>2188</v>
      </c>
      <c r="G1" s="1030" t="s">
        <v>2189</v>
      </c>
      <c r="H1" s="1030" t="s">
        <v>2190</v>
      </c>
      <c r="I1" s="1053" t="s">
        <v>2191</v>
      </c>
      <c r="J1" s="1030" t="s">
        <v>1</v>
      </c>
    </row>
    <row r="2" spans="1:16" ht="45.75" thickBot="1" x14ac:dyDescent="0.3">
      <c r="A2" s="1031" t="s">
        <v>2192</v>
      </c>
      <c r="B2" s="1033">
        <f>'[1]PLAN DE DESARROLLO 2024 - 2027'!$K$198</f>
        <v>6.9685846560846545E-2</v>
      </c>
      <c r="C2" s="1031" t="s">
        <v>2193</v>
      </c>
      <c r="D2" s="1033">
        <f>'[1]PLAN DE DESARROLLO 2024 - 2027'!$K$199</f>
        <v>6.974206349206348E-2</v>
      </c>
      <c r="E2" s="1050" t="s">
        <v>2194</v>
      </c>
      <c r="F2" s="1034">
        <f>'[1]PLAN DE DESARROLLO 2024 - 2027'!$K$201</f>
        <v>0</v>
      </c>
      <c r="G2" s="1031" t="s">
        <v>1857</v>
      </c>
      <c r="H2" s="1051" t="s">
        <v>1858</v>
      </c>
      <c r="I2" s="1060">
        <f>+'Capitulo Etnico'!Y15</f>
        <v>1</v>
      </c>
      <c r="J2" s="1052" t="s">
        <v>219</v>
      </c>
      <c r="K2" s="1035" t="s">
        <v>2195</v>
      </c>
      <c r="P2"/>
    </row>
    <row r="3" spans="1:16" ht="45.75" thickBot="1" x14ac:dyDescent="0.3">
      <c r="A3" s="1031" t="s">
        <v>2192</v>
      </c>
      <c r="B3" s="1033">
        <f>'[1]PLAN DE DESARROLLO 2024 - 2027'!$K$198</f>
        <v>6.9685846560846545E-2</v>
      </c>
      <c r="C3" s="1031" t="s">
        <v>2193</v>
      </c>
      <c r="D3" s="1033">
        <f>'[1]PLAN DE DESARROLLO 2024 - 2027'!$K$199</f>
        <v>6.974206349206348E-2</v>
      </c>
      <c r="E3" s="1050" t="s">
        <v>2194</v>
      </c>
      <c r="F3" s="1034">
        <f>'[1]PLAN DE DESARROLLO 2024 - 2027'!$K$201</f>
        <v>0</v>
      </c>
      <c r="G3" s="1031" t="s">
        <v>1860</v>
      </c>
      <c r="H3" s="1051" t="s">
        <v>1861</v>
      </c>
      <c r="I3" s="1061">
        <f>+'Capitulo Etnico'!Y16</f>
        <v>0</v>
      </c>
      <c r="J3" s="1052" t="s">
        <v>219</v>
      </c>
      <c r="K3" s="1035" t="s">
        <v>2195</v>
      </c>
      <c r="P3"/>
    </row>
    <row r="4" spans="1:16" ht="45.75" thickBot="1" x14ac:dyDescent="0.3">
      <c r="A4" s="1031" t="s">
        <v>2192</v>
      </c>
      <c r="B4" s="1033">
        <f>'[1]PLAN DE DESARROLLO 2024 - 2027'!$K$198</f>
        <v>6.9685846560846545E-2</v>
      </c>
      <c r="C4" s="1031" t="s">
        <v>2193</v>
      </c>
      <c r="D4" s="1033">
        <f>'[1]PLAN DE DESARROLLO 2024 - 2027'!$K$199</f>
        <v>6.974206349206348E-2</v>
      </c>
      <c r="E4" s="1050" t="s">
        <v>2194</v>
      </c>
      <c r="F4" s="1034">
        <f>'[1]PLAN DE DESARROLLO 2024 - 2027'!$K$201</f>
        <v>0</v>
      </c>
      <c r="G4" s="1031" t="s">
        <v>1863</v>
      </c>
      <c r="H4" s="1051" t="s">
        <v>1864</v>
      </c>
      <c r="I4" s="1061">
        <f>+'Capitulo Etnico'!Y17</f>
        <v>0.25</v>
      </c>
      <c r="J4" s="1052" t="s">
        <v>795</v>
      </c>
      <c r="K4" s="1035" t="s">
        <v>2195</v>
      </c>
      <c r="P4"/>
    </row>
    <row r="5" spans="1:16" ht="45.75" thickBot="1" x14ac:dyDescent="0.3">
      <c r="A5" s="1031" t="s">
        <v>2192</v>
      </c>
      <c r="B5" s="1033">
        <f>'[1]PLAN DE DESARROLLO 2024 - 2027'!$K$198</f>
        <v>6.9685846560846545E-2</v>
      </c>
      <c r="C5" s="1031" t="s">
        <v>2193</v>
      </c>
      <c r="D5" s="1033">
        <f>'[1]PLAN DE DESARROLLO 2024 - 2027'!$K$199</f>
        <v>6.974206349206348E-2</v>
      </c>
      <c r="E5" s="1050" t="s">
        <v>2194</v>
      </c>
      <c r="F5" s="1034">
        <f>'[1]PLAN DE DESARROLLO 2024 - 2027'!$K$201</f>
        <v>0</v>
      </c>
      <c r="G5" s="1031" t="s">
        <v>1866</v>
      </c>
      <c r="H5" s="1051" t="s">
        <v>1867</v>
      </c>
      <c r="I5" s="1061">
        <f>+'Capitulo Etnico'!Y18</f>
        <v>0</v>
      </c>
      <c r="J5" s="1052" t="s">
        <v>795</v>
      </c>
      <c r="K5" s="1035" t="s">
        <v>2195</v>
      </c>
      <c r="P5"/>
    </row>
    <row r="6" spans="1:16" ht="75.75" thickBot="1" x14ac:dyDescent="0.3">
      <c r="A6" s="1031" t="s">
        <v>2192</v>
      </c>
      <c r="B6" s="1033">
        <f>'[1]PLAN DE DESARROLLO 2024 - 2027'!$K$198</f>
        <v>6.9685846560846545E-2</v>
      </c>
      <c r="C6" s="1031" t="s">
        <v>2193</v>
      </c>
      <c r="D6" s="1033">
        <f>'[1]PLAN DE DESARROLLO 2024 - 2027'!$K$199</f>
        <v>6.974206349206348E-2</v>
      </c>
      <c r="E6" s="1050" t="s">
        <v>2194</v>
      </c>
      <c r="F6" s="1034">
        <f>'[1]PLAN DE DESARROLLO 2024 - 2027'!$K$201</f>
        <v>0</v>
      </c>
      <c r="G6" s="1031" t="s">
        <v>1868</v>
      </c>
      <c r="H6" s="1051" t="s">
        <v>1869</v>
      </c>
      <c r="I6" s="1061">
        <f>+'Capitulo Etnico'!Y19</f>
        <v>0</v>
      </c>
      <c r="J6" s="1052" t="s">
        <v>950</v>
      </c>
      <c r="K6" s="1035" t="s">
        <v>2195</v>
      </c>
      <c r="P6"/>
    </row>
    <row r="7" spans="1:16" ht="45.75" thickBot="1" x14ac:dyDescent="0.3">
      <c r="A7" s="1031" t="s">
        <v>2192</v>
      </c>
      <c r="B7" s="1033">
        <f>'[1]PLAN DE DESARROLLO 2024 - 2027'!$K$198</f>
        <v>6.9685846560846545E-2</v>
      </c>
      <c r="C7" s="1031" t="s">
        <v>2193</v>
      </c>
      <c r="D7" s="1033">
        <f>'[1]PLAN DE DESARROLLO 2024 - 2027'!$K$199</f>
        <v>6.974206349206348E-2</v>
      </c>
      <c r="E7" s="1050" t="s">
        <v>2194</v>
      </c>
      <c r="F7" s="1034">
        <f>'[1]PLAN DE DESARROLLO 2024 - 2027'!$K$201</f>
        <v>0</v>
      </c>
      <c r="G7" s="1031" t="s">
        <v>1872</v>
      </c>
      <c r="H7" s="1051" t="s">
        <v>1873</v>
      </c>
      <c r="I7" s="1061">
        <f>+'Capitulo Etnico'!Y20</f>
        <v>0</v>
      </c>
      <c r="J7" s="1052" t="s">
        <v>950</v>
      </c>
      <c r="K7" s="1035" t="s">
        <v>2195</v>
      </c>
      <c r="P7"/>
    </row>
    <row r="8" spans="1:16" ht="45.75" thickBot="1" x14ac:dyDescent="0.3">
      <c r="A8" s="1031" t="s">
        <v>2192</v>
      </c>
      <c r="B8" s="1033">
        <f>'[1]PLAN DE DESARROLLO 2024 - 2027'!$K$198</f>
        <v>6.9685846560846545E-2</v>
      </c>
      <c r="C8" s="1031" t="s">
        <v>2193</v>
      </c>
      <c r="D8" s="1033">
        <f>'[1]PLAN DE DESARROLLO 2024 - 2027'!$K$199</f>
        <v>6.974206349206348E-2</v>
      </c>
      <c r="E8" s="1050" t="s">
        <v>2194</v>
      </c>
      <c r="F8" s="1034">
        <f>'[1]PLAN DE DESARROLLO 2024 - 2027'!$K$201</f>
        <v>0</v>
      </c>
      <c r="G8" s="1031" t="s">
        <v>1874</v>
      </c>
      <c r="H8" s="1051" t="s">
        <v>1875</v>
      </c>
      <c r="I8" s="1061">
        <f>+'Capitulo Etnico'!Y21</f>
        <v>0.15277777777777779</v>
      </c>
      <c r="J8" s="1052" t="s">
        <v>704</v>
      </c>
      <c r="K8" s="1035" t="s">
        <v>2195</v>
      </c>
      <c r="P8"/>
    </row>
    <row r="9" spans="1:16" ht="45.75" thickBot="1" x14ac:dyDescent="0.3">
      <c r="A9" s="1031" t="s">
        <v>2192</v>
      </c>
      <c r="B9" s="1033">
        <f>'[1]PLAN DE DESARROLLO 2024 - 2027'!$K$198</f>
        <v>6.9685846560846545E-2</v>
      </c>
      <c r="C9" s="1031" t="s">
        <v>2196</v>
      </c>
      <c r="D9" s="1033">
        <f>'[1]PLAN DE DESARROLLO 2024 - 2027'!$K$203</f>
        <v>6.9629629629629611E-2</v>
      </c>
      <c r="E9" s="1050" t="s">
        <v>1917</v>
      </c>
      <c r="F9" s="1034">
        <f>'[1]PLAN DE DESARROLLO 2024 - 2027'!$K$205</f>
        <v>0</v>
      </c>
      <c r="G9" s="1031" t="s">
        <v>1918</v>
      </c>
      <c r="H9" s="1051" t="s">
        <v>1919</v>
      </c>
      <c r="I9" s="1061">
        <f>+'Capitulo Etnico'!Y41</f>
        <v>0</v>
      </c>
      <c r="J9" s="1052" t="s">
        <v>219</v>
      </c>
      <c r="K9" s="1035" t="s">
        <v>2195</v>
      </c>
      <c r="P9"/>
    </row>
    <row r="10" spans="1:16" ht="30.75" thickBot="1" x14ac:dyDescent="0.3">
      <c r="A10" s="1031" t="s">
        <v>2192</v>
      </c>
      <c r="B10" s="1033">
        <f>'[1]PLAN DE DESARROLLO 2024 - 2027'!$K$198</f>
        <v>6.9685846560846545E-2</v>
      </c>
      <c r="C10" s="1031" t="s">
        <v>2196</v>
      </c>
      <c r="D10" s="1033">
        <f>'[1]PLAN DE DESARROLLO 2024 - 2027'!$K$203</f>
        <v>6.9629629629629611E-2</v>
      </c>
      <c r="E10" s="1050" t="s">
        <v>1917</v>
      </c>
      <c r="F10" s="1034">
        <f>'[1]PLAN DE DESARROLLO 2024 - 2027'!$K$205</f>
        <v>0</v>
      </c>
      <c r="G10" s="1031" t="s">
        <v>1921</v>
      </c>
      <c r="H10" s="1051" t="s">
        <v>1922</v>
      </c>
      <c r="I10" s="1061">
        <f>+'Capitulo Etnico'!Y42</f>
        <v>0.25</v>
      </c>
      <c r="J10" s="1052" t="s">
        <v>219</v>
      </c>
      <c r="K10" s="1035" t="s">
        <v>2195</v>
      </c>
      <c r="P10"/>
    </row>
    <row r="11" spans="1:16" ht="45.75" thickBot="1" x14ac:dyDescent="0.3">
      <c r="A11" s="1031" t="s">
        <v>2192</v>
      </c>
      <c r="B11" s="1033">
        <f>'[1]PLAN DE DESARROLLO 2024 - 2027'!$K$198</f>
        <v>6.9685846560846545E-2</v>
      </c>
      <c r="C11" s="1031" t="s">
        <v>2196</v>
      </c>
      <c r="D11" s="1033">
        <f>'[1]PLAN DE DESARROLLO 2024 - 2027'!$K$203</f>
        <v>6.9629629629629611E-2</v>
      </c>
      <c r="E11" s="1050" t="s">
        <v>1917</v>
      </c>
      <c r="F11" s="1034">
        <f>'[1]PLAN DE DESARROLLO 2024 - 2027'!$K$205</f>
        <v>0</v>
      </c>
      <c r="G11" s="1031" t="s">
        <v>1925</v>
      </c>
      <c r="H11" s="1051" t="s">
        <v>1926</v>
      </c>
      <c r="I11" s="1061">
        <f>+'Capitulo Etnico'!Y43</f>
        <v>0.218</v>
      </c>
      <c r="J11" s="1052" t="s">
        <v>103</v>
      </c>
      <c r="K11" s="1035" t="s">
        <v>2195</v>
      </c>
      <c r="P11"/>
    </row>
    <row r="12" spans="1:16" ht="45.75" thickBot="1" x14ac:dyDescent="0.3">
      <c r="A12" s="1031" t="s">
        <v>2192</v>
      </c>
      <c r="B12" s="1033">
        <f>'[1]PLAN DE DESARROLLO 2024 - 2027'!$K$198</f>
        <v>6.9685846560846545E-2</v>
      </c>
      <c r="C12" s="1031" t="s">
        <v>2196</v>
      </c>
      <c r="D12" s="1033">
        <f>'[1]PLAN DE DESARROLLO 2024 - 2027'!$K$203</f>
        <v>6.9629629629629611E-2</v>
      </c>
      <c r="E12" s="1050" t="s">
        <v>1917</v>
      </c>
      <c r="F12" s="1034">
        <f>'[1]PLAN DE DESARROLLO 2024 - 2027'!$K$205</f>
        <v>0</v>
      </c>
      <c r="G12" s="1031" t="s">
        <v>1927</v>
      </c>
      <c r="H12" s="1051" t="s">
        <v>1928</v>
      </c>
      <c r="I12" s="1061">
        <f>+'Capitulo Etnico'!Y44</f>
        <v>0.25</v>
      </c>
      <c r="J12" s="1052" t="s">
        <v>795</v>
      </c>
      <c r="K12" s="1035" t="s">
        <v>2195</v>
      </c>
      <c r="P12"/>
    </row>
    <row r="13" spans="1:16" ht="60.75" thickBot="1" x14ac:dyDescent="0.3">
      <c r="A13" s="1031" t="s">
        <v>2192</v>
      </c>
      <c r="B13" s="1033">
        <f>'[1]PLAN DE DESARROLLO 2024 - 2027'!$K$198</f>
        <v>6.9685846560846545E-2</v>
      </c>
      <c r="C13" s="1031" t="s">
        <v>2196</v>
      </c>
      <c r="D13" s="1033">
        <f>'[1]PLAN DE DESARROLLO 2024 - 2027'!$K$203</f>
        <v>6.9629629629629611E-2</v>
      </c>
      <c r="E13" s="1050" t="s">
        <v>1917</v>
      </c>
      <c r="F13" s="1034">
        <f>'[1]PLAN DE DESARROLLO 2024 - 2027'!$K$205</f>
        <v>0</v>
      </c>
      <c r="G13" s="1031" t="s">
        <v>1929</v>
      </c>
      <c r="H13" s="1051" t="s">
        <v>1930</v>
      </c>
      <c r="I13" s="1061">
        <f>+'Capitulo Etnico'!Y45</f>
        <v>0.05</v>
      </c>
      <c r="J13" s="1052" t="s">
        <v>724</v>
      </c>
      <c r="K13" s="1035" t="s">
        <v>2195</v>
      </c>
      <c r="P13"/>
    </row>
    <row r="14" spans="1:16" ht="30.75" thickBot="1" x14ac:dyDescent="0.3">
      <c r="A14" s="1031" t="s">
        <v>2192</v>
      </c>
      <c r="B14" s="1033">
        <f>'[1]PLAN DE DESARROLLO 2024 - 2027'!$K$198</f>
        <v>6.9685846560846545E-2</v>
      </c>
      <c r="C14" s="1031" t="s">
        <v>2196</v>
      </c>
      <c r="D14" s="1033">
        <f>'[1]PLAN DE DESARROLLO 2024 - 2027'!$K$203</f>
        <v>6.9629629629629611E-2</v>
      </c>
      <c r="E14" s="1050" t="s">
        <v>1917</v>
      </c>
      <c r="F14" s="1034">
        <f>'[1]PLAN DE DESARROLLO 2024 - 2027'!$K$205</f>
        <v>0</v>
      </c>
      <c r="G14" s="1031" t="s">
        <v>1931</v>
      </c>
      <c r="H14" s="1051" t="s">
        <v>1932</v>
      </c>
      <c r="I14" s="1061">
        <f>+'Capitulo Etnico'!Y46</f>
        <v>0</v>
      </c>
      <c r="J14" s="1052" t="s">
        <v>950</v>
      </c>
      <c r="K14" s="1035" t="s">
        <v>2195</v>
      </c>
      <c r="P14"/>
    </row>
    <row r="15" spans="1:16" ht="30.75" thickBot="1" x14ac:dyDescent="0.3">
      <c r="A15" s="1031" t="s">
        <v>2192</v>
      </c>
      <c r="B15" s="1033">
        <f>'[1]PLAN DE DESARROLLO 2024 - 2027'!$K$198</f>
        <v>6.9685846560846545E-2</v>
      </c>
      <c r="C15" s="1031" t="s">
        <v>2196</v>
      </c>
      <c r="D15" s="1033">
        <f>'[1]PLAN DE DESARROLLO 2024 - 2027'!$K$203</f>
        <v>6.9629629629629611E-2</v>
      </c>
      <c r="E15" s="1031" t="s">
        <v>1933</v>
      </c>
      <c r="F15" s="1034">
        <f>'[1]PLAN DE DESARROLLO 2024 - 2027'!$K$206</f>
        <v>6.9999999999999993E-2</v>
      </c>
      <c r="G15" s="1031" t="s">
        <v>1934</v>
      </c>
      <c r="H15" s="1051" t="s">
        <v>1935</v>
      </c>
      <c r="I15" s="1061">
        <f>+'Capitulo Etnico'!Y48</f>
        <v>0.15</v>
      </c>
      <c r="J15" s="1052" t="s">
        <v>103</v>
      </c>
      <c r="K15" s="1035" t="s">
        <v>2195</v>
      </c>
      <c r="P15"/>
    </row>
    <row r="16" spans="1:16" ht="30.75" thickBot="1" x14ac:dyDescent="0.3">
      <c r="A16" s="1031" t="s">
        <v>2192</v>
      </c>
      <c r="B16" s="1033">
        <f>'[1]PLAN DE DESARROLLO 2024 - 2027'!$K$198</f>
        <v>6.9685846560846545E-2</v>
      </c>
      <c r="C16" s="1031" t="s">
        <v>2196</v>
      </c>
      <c r="D16" s="1033">
        <f>'[1]PLAN DE DESARROLLO 2024 - 2027'!$K$203</f>
        <v>6.9629629629629611E-2</v>
      </c>
      <c r="E16" s="1031" t="s">
        <v>1933</v>
      </c>
      <c r="F16" s="1034">
        <f>'[1]PLAN DE DESARROLLO 2024 - 2027'!$K$206</f>
        <v>6.9999999999999993E-2</v>
      </c>
      <c r="G16" s="1031" t="s">
        <v>1936</v>
      </c>
      <c r="H16" s="1051" t="s">
        <v>1937</v>
      </c>
      <c r="I16" s="1061">
        <f>+'Capitulo Etnico'!Y49</f>
        <v>0</v>
      </c>
      <c r="J16" s="1052" t="s">
        <v>386</v>
      </c>
      <c r="K16" s="1035" t="s">
        <v>2195</v>
      </c>
      <c r="P16"/>
    </row>
    <row r="17" spans="1:16" ht="45.75" thickBot="1" x14ac:dyDescent="0.3">
      <c r="A17" s="1031" t="s">
        <v>2192</v>
      </c>
      <c r="B17" s="1033">
        <f>'[1]PLAN DE DESARROLLO 2024 - 2027'!$K$198</f>
        <v>6.9685846560846545E-2</v>
      </c>
      <c r="C17" s="1031" t="s">
        <v>2196</v>
      </c>
      <c r="D17" s="1033">
        <f>'[1]PLAN DE DESARROLLO 2024 - 2027'!$K$203</f>
        <v>6.9629629629629611E-2</v>
      </c>
      <c r="E17" s="1031" t="s">
        <v>1933</v>
      </c>
      <c r="F17" s="1034">
        <f>'[1]PLAN DE DESARROLLO 2024 - 2027'!$K$206</f>
        <v>6.9999999999999993E-2</v>
      </c>
      <c r="G17" s="1031" t="s">
        <v>1939</v>
      </c>
      <c r="H17" s="1051" t="s">
        <v>1940</v>
      </c>
      <c r="I17" s="1061">
        <f>+'Capitulo Etnico'!Y50</f>
        <v>0</v>
      </c>
      <c r="J17" s="1052" t="s">
        <v>658</v>
      </c>
      <c r="K17" s="1035" t="s">
        <v>2195</v>
      </c>
      <c r="P17"/>
    </row>
    <row r="18" spans="1:16" ht="30.75" thickBot="1" x14ac:dyDescent="0.3">
      <c r="A18" s="1031" t="s">
        <v>2192</v>
      </c>
      <c r="B18" s="1033">
        <f>'[1]PLAN DE DESARROLLO 2024 - 2027'!$K$198</f>
        <v>6.9685846560846545E-2</v>
      </c>
      <c r="C18" s="1031" t="s">
        <v>2196</v>
      </c>
      <c r="D18" s="1033">
        <f>'[1]PLAN DE DESARROLLO 2024 - 2027'!$K$203</f>
        <v>6.9629629629629611E-2</v>
      </c>
      <c r="E18" s="1031" t="s">
        <v>1933</v>
      </c>
      <c r="F18" s="1034">
        <f>'[1]PLAN DE DESARROLLO 2024 - 2027'!$K$206</f>
        <v>6.9999999999999993E-2</v>
      </c>
      <c r="G18" s="1031" t="s">
        <v>1941</v>
      </c>
      <c r="H18" s="1051" t="s">
        <v>1942</v>
      </c>
      <c r="I18" s="1061">
        <f>+'Capitulo Etnico'!Y51</f>
        <v>0.21</v>
      </c>
      <c r="J18" s="1052" t="s">
        <v>1943</v>
      </c>
      <c r="K18" s="1035" t="s">
        <v>2195</v>
      </c>
      <c r="P18"/>
    </row>
    <row r="19" spans="1:16" ht="30.75" thickBot="1" x14ac:dyDescent="0.3">
      <c r="A19" s="1031" t="s">
        <v>2192</v>
      </c>
      <c r="B19" s="1033">
        <f>'[1]PLAN DE DESARROLLO 2024 - 2027'!$K$198</f>
        <v>6.9685846560846545E-2</v>
      </c>
      <c r="C19" s="1031" t="s">
        <v>2196</v>
      </c>
      <c r="D19" s="1033">
        <f>'[1]PLAN DE DESARROLLO 2024 - 2027'!$K$203</f>
        <v>6.9629629629629611E-2</v>
      </c>
      <c r="E19" s="1031" t="s">
        <v>1933</v>
      </c>
      <c r="F19" s="1034">
        <f>'[1]PLAN DE DESARROLLO 2024 - 2027'!$K$206</f>
        <v>6.9999999999999993E-2</v>
      </c>
      <c r="G19" s="1031" t="s">
        <v>1944</v>
      </c>
      <c r="H19" s="1051" t="s">
        <v>1945</v>
      </c>
      <c r="I19" s="1062">
        <f>+'Capitulo Etnico'!Y52</f>
        <v>0.32</v>
      </c>
      <c r="J19" s="1052" t="s">
        <v>1943</v>
      </c>
      <c r="K19" s="1035" t="s">
        <v>2195</v>
      </c>
      <c r="P19"/>
    </row>
    <row r="20" spans="1:16" ht="45.75" thickBot="1" x14ac:dyDescent="0.3">
      <c r="A20" s="1031" t="s">
        <v>2192</v>
      </c>
      <c r="B20" s="1033">
        <f>'[1]PLAN DE DESARROLLO 2024 - 2027'!$K$198</f>
        <v>6.9685846560846545E-2</v>
      </c>
      <c r="C20" s="1031" t="s">
        <v>2193</v>
      </c>
      <c r="D20" s="1033">
        <f>'[1]PLAN DE DESARROLLO 2024 - 2027'!$K$199</f>
        <v>6.974206349206348E-2</v>
      </c>
      <c r="E20" s="1031" t="s">
        <v>2197</v>
      </c>
      <c r="F20" s="1034">
        <f>'[1]PLAN DE DESARROLLO 2024 - 2027'!$K$200</f>
        <v>0.15208333333333332</v>
      </c>
      <c r="G20" s="1031" t="s">
        <v>1835</v>
      </c>
      <c r="H20" s="1051" t="s">
        <v>1836</v>
      </c>
      <c r="I20" s="1063">
        <f>+'Capitulo Etnico'!Y6</f>
        <v>0.18333333333333332</v>
      </c>
      <c r="J20" s="1052" t="s">
        <v>2198</v>
      </c>
      <c r="K20" s="1035" t="s">
        <v>2195</v>
      </c>
      <c r="P20"/>
    </row>
    <row r="21" spans="1:16" ht="45.75" thickBot="1" x14ac:dyDescent="0.3">
      <c r="A21" s="1031" t="s">
        <v>2192</v>
      </c>
      <c r="B21" s="1033">
        <f>'[1]PLAN DE DESARROLLO 2024 - 2027'!$K$198</f>
        <v>6.9685846560846545E-2</v>
      </c>
      <c r="C21" s="1031" t="s">
        <v>2193</v>
      </c>
      <c r="D21" s="1033">
        <f>'[1]PLAN DE DESARROLLO 2024 - 2027'!$K$199</f>
        <v>6.974206349206348E-2</v>
      </c>
      <c r="E21" s="1031" t="s">
        <v>2197</v>
      </c>
      <c r="F21" s="1034">
        <f>'[1]PLAN DE DESARROLLO 2024 - 2027'!$K$200</f>
        <v>0.15208333333333332</v>
      </c>
      <c r="G21" s="1031" t="s">
        <v>1838</v>
      </c>
      <c r="H21" s="1051" t="s">
        <v>1839</v>
      </c>
      <c r="I21" s="1063">
        <f>+'Capitulo Etnico'!Y7</f>
        <v>0.25</v>
      </c>
      <c r="J21" s="1052" t="s">
        <v>2199</v>
      </c>
      <c r="K21" s="1035" t="s">
        <v>2195</v>
      </c>
      <c r="P21"/>
    </row>
    <row r="22" spans="1:16" ht="45.75" thickBot="1" x14ac:dyDescent="0.3">
      <c r="A22" s="1031" t="s">
        <v>2192</v>
      </c>
      <c r="B22" s="1033">
        <f>'[1]PLAN DE DESARROLLO 2024 - 2027'!$K$198</f>
        <v>6.9685846560846545E-2</v>
      </c>
      <c r="C22" s="1031" t="s">
        <v>2193</v>
      </c>
      <c r="D22" s="1033">
        <f>'[1]PLAN DE DESARROLLO 2024 - 2027'!$K$199</f>
        <v>6.974206349206348E-2</v>
      </c>
      <c r="E22" s="1031" t="s">
        <v>2197</v>
      </c>
      <c r="F22" s="1034">
        <f>'[1]PLAN DE DESARROLLO 2024 - 2027'!$K$200</f>
        <v>0.15208333333333332</v>
      </c>
      <c r="G22" s="1031" t="s">
        <v>1841</v>
      </c>
      <c r="H22" s="1051" t="s">
        <v>1842</v>
      </c>
      <c r="I22" s="1063">
        <f>+'Capitulo Etnico'!Y8</f>
        <v>0.37</v>
      </c>
      <c r="J22" s="1052" t="s">
        <v>2198</v>
      </c>
      <c r="K22" s="1035" t="s">
        <v>2195</v>
      </c>
      <c r="P22"/>
    </row>
    <row r="23" spans="1:16" ht="60.75" thickBot="1" x14ac:dyDescent="0.3">
      <c r="A23" s="1031" t="s">
        <v>2192</v>
      </c>
      <c r="B23" s="1033">
        <f>'[1]PLAN DE DESARROLLO 2024 - 2027'!$K$198</f>
        <v>6.9685846560846545E-2</v>
      </c>
      <c r="C23" s="1031" t="s">
        <v>2193</v>
      </c>
      <c r="D23" s="1033">
        <f>'[1]PLAN DE DESARROLLO 2024 - 2027'!$K$199</f>
        <v>6.974206349206348E-2</v>
      </c>
      <c r="E23" s="1031" t="s">
        <v>2197</v>
      </c>
      <c r="F23" s="1034">
        <f>'[1]PLAN DE DESARROLLO 2024 - 2027'!$K$200</f>
        <v>0.15208333333333332</v>
      </c>
      <c r="G23" s="1031" t="s">
        <v>2200</v>
      </c>
      <c r="H23" s="1051" t="s">
        <v>2201</v>
      </c>
      <c r="I23" s="1063">
        <f>+'Capitulo Etnico'!Y9</f>
        <v>0</v>
      </c>
      <c r="J23" s="1052" t="s">
        <v>2198</v>
      </c>
      <c r="K23" s="1035" t="s">
        <v>2195</v>
      </c>
      <c r="P23"/>
    </row>
    <row r="24" spans="1:16" ht="45.75" thickBot="1" x14ac:dyDescent="0.3">
      <c r="A24" s="1031" t="s">
        <v>2192</v>
      </c>
      <c r="B24" s="1033">
        <f>'[1]PLAN DE DESARROLLO 2024 - 2027'!$K$198</f>
        <v>6.9685846560846545E-2</v>
      </c>
      <c r="C24" s="1031" t="s">
        <v>2193</v>
      </c>
      <c r="D24" s="1033">
        <f>'[1]PLAN DE DESARROLLO 2024 - 2027'!$K$199</f>
        <v>6.974206349206348E-2</v>
      </c>
      <c r="E24" s="1031" t="s">
        <v>2197</v>
      </c>
      <c r="F24" s="1034">
        <f>'[1]PLAN DE DESARROLLO 2024 - 2027'!$K$200</f>
        <v>0.15208333333333332</v>
      </c>
      <c r="G24" s="1031" t="s">
        <v>1845</v>
      </c>
      <c r="H24" s="1051" t="s">
        <v>1846</v>
      </c>
      <c r="I24" s="1063">
        <f>+'Capitulo Etnico'!Y10</f>
        <v>0</v>
      </c>
      <c r="J24" s="1052" t="s">
        <v>2198</v>
      </c>
      <c r="K24" s="1035" t="s">
        <v>2195</v>
      </c>
      <c r="P24"/>
    </row>
    <row r="25" spans="1:16" ht="45.75" thickBot="1" x14ac:dyDescent="0.3">
      <c r="A25" s="1031" t="s">
        <v>2192</v>
      </c>
      <c r="B25" s="1033">
        <f>'[1]PLAN DE DESARROLLO 2024 - 2027'!$K$198</f>
        <v>6.9685846560846545E-2</v>
      </c>
      <c r="C25" s="1031" t="s">
        <v>2193</v>
      </c>
      <c r="D25" s="1033">
        <f>'[1]PLAN DE DESARROLLO 2024 - 2027'!$K$199</f>
        <v>6.974206349206348E-2</v>
      </c>
      <c r="E25" s="1031" t="s">
        <v>2197</v>
      </c>
      <c r="F25" s="1034">
        <f>'[1]PLAN DE DESARROLLO 2024 - 2027'!$K$200</f>
        <v>0.15208333333333332</v>
      </c>
      <c r="G25" s="1031" t="s">
        <v>1848</v>
      </c>
      <c r="H25" s="1051" t="s">
        <v>1849</v>
      </c>
      <c r="I25" s="1063">
        <f>+'Capitulo Etnico'!Y11</f>
        <v>0</v>
      </c>
      <c r="J25" s="1052" t="s">
        <v>2198</v>
      </c>
      <c r="K25" s="1035" t="s">
        <v>2195</v>
      </c>
      <c r="P25"/>
    </row>
    <row r="26" spans="1:16" ht="45.75" thickBot="1" x14ac:dyDescent="0.3">
      <c r="A26" s="1031" t="s">
        <v>2192</v>
      </c>
      <c r="B26" s="1033">
        <f>'[1]PLAN DE DESARROLLO 2024 - 2027'!$K$198</f>
        <v>6.9685846560846545E-2</v>
      </c>
      <c r="C26" s="1031" t="s">
        <v>2193</v>
      </c>
      <c r="D26" s="1033">
        <f>'[1]PLAN DE DESARROLLO 2024 - 2027'!$K$199</f>
        <v>6.974206349206348E-2</v>
      </c>
      <c r="E26" s="1031" t="s">
        <v>2197</v>
      </c>
      <c r="F26" s="1034">
        <f>'[1]PLAN DE DESARROLLO 2024 - 2027'!$K$200</f>
        <v>0.15208333333333332</v>
      </c>
      <c r="G26" s="1031" t="s">
        <v>1850</v>
      </c>
      <c r="H26" s="1051" t="s">
        <v>1851</v>
      </c>
      <c r="I26" s="1063">
        <f>+'Capitulo Etnico'!Y12</f>
        <v>0</v>
      </c>
      <c r="J26" s="1052" t="s">
        <v>2198</v>
      </c>
      <c r="K26" s="1035" t="s">
        <v>2195</v>
      </c>
      <c r="P26"/>
    </row>
    <row r="27" spans="1:16" ht="60.75" thickBot="1" x14ac:dyDescent="0.3">
      <c r="A27" s="1031" t="s">
        <v>2192</v>
      </c>
      <c r="B27" s="1033">
        <f>'[1]PLAN DE DESARROLLO 2024 - 2027'!$K$198</f>
        <v>6.9685846560846545E-2</v>
      </c>
      <c r="C27" s="1031" t="s">
        <v>2193</v>
      </c>
      <c r="D27" s="1033">
        <f>'[1]PLAN DE DESARROLLO 2024 - 2027'!$K$199</f>
        <v>6.974206349206348E-2</v>
      </c>
      <c r="E27" s="1031" t="s">
        <v>2197</v>
      </c>
      <c r="F27" s="1034">
        <f>'[1]PLAN DE DESARROLLO 2024 - 2027'!$K$200</f>
        <v>0.15208333333333332</v>
      </c>
      <c r="G27" s="1031" t="s">
        <v>1852</v>
      </c>
      <c r="H27" s="1051" t="s">
        <v>1853</v>
      </c>
      <c r="I27" s="1063">
        <f>+'Capitulo Etnico'!Y13</f>
        <v>0.22500000000000001</v>
      </c>
      <c r="J27" s="1052" t="s">
        <v>2198</v>
      </c>
      <c r="K27" s="1035" t="s">
        <v>2195</v>
      </c>
      <c r="P27"/>
    </row>
    <row r="28" spans="1:16" ht="60.75" thickBot="1" x14ac:dyDescent="0.3">
      <c r="A28" s="1031" t="s">
        <v>2192</v>
      </c>
      <c r="B28" s="1033">
        <f>'[1]PLAN DE DESARROLLO 2024 - 2027'!$K$198</f>
        <v>6.9685846560846545E-2</v>
      </c>
      <c r="C28" s="1031" t="s">
        <v>2193</v>
      </c>
      <c r="D28" s="1033">
        <f>'[1]PLAN DE DESARROLLO 2024 - 2027'!$K$199</f>
        <v>6.974206349206348E-2</v>
      </c>
      <c r="E28" s="1031" t="s">
        <v>2202</v>
      </c>
      <c r="F28" s="1034">
        <f>'[1]PLAN DE DESARROLLO 2024 - 2027'!$K$202</f>
        <v>5.7142857142857141E-2</v>
      </c>
      <c r="G28" s="1031" t="s">
        <v>1878</v>
      </c>
      <c r="H28" s="1031" t="s">
        <v>1879</v>
      </c>
      <c r="I28" s="1063">
        <f>+'Capitulo Etnico'!Y23</f>
        <v>0.6</v>
      </c>
      <c r="J28" s="1031" t="s">
        <v>716</v>
      </c>
      <c r="K28" s="1035" t="s">
        <v>2195</v>
      </c>
      <c r="P28"/>
    </row>
    <row r="29" spans="1:16" ht="45.75" thickBot="1" x14ac:dyDescent="0.3">
      <c r="A29" s="1031" t="s">
        <v>2192</v>
      </c>
      <c r="B29" s="1033">
        <f>'[1]PLAN DE DESARROLLO 2024 - 2027'!$K$198</f>
        <v>6.9685846560846545E-2</v>
      </c>
      <c r="C29" s="1031" t="s">
        <v>2193</v>
      </c>
      <c r="D29" s="1033">
        <f>'[1]PLAN DE DESARROLLO 2024 - 2027'!$K$199</f>
        <v>6.974206349206348E-2</v>
      </c>
      <c r="E29" s="1031" t="s">
        <v>2202</v>
      </c>
      <c r="F29" s="1034">
        <f>'[1]PLAN DE DESARROLLO 2024 - 2027'!$K$202</f>
        <v>5.7142857142857141E-2</v>
      </c>
      <c r="G29" s="1031" t="s">
        <v>1880</v>
      </c>
      <c r="H29" s="1031" t="s">
        <v>1881</v>
      </c>
      <c r="I29" s="1064">
        <f>+'Capitulo Etnico'!Y24</f>
        <v>0</v>
      </c>
      <c r="J29" s="1031" t="s">
        <v>925</v>
      </c>
      <c r="K29" s="1035" t="s">
        <v>2195</v>
      </c>
      <c r="P29"/>
    </row>
    <row r="30" spans="1:16" ht="60.75" thickBot="1" x14ac:dyDescent="0.3">
      <c r="A30" s="1031" t="s">
        <v>2192</v>
      </c>
      <c r="B30" s="1033">
        <f>'[1]PLAN DE DESARROLLO 2024 - 2027'!$K$198</f>
        <v>6.9685846560846545E-2</v>
      </c>
      <c r="C30" s="1031" t="s">
        <v>2193</v>
      </c>
      <c r="D30" s="1033">
        <f>'[1]PLAN DE DESARROLLO 2024 - 2027'!$K$199</f>
        <v>6.974206349206348E-2</v>
      </c>
      <c r="E30" s="1031" t="s">
        <v>2202</v>
      </c>
      <c r="F30" s="1034">
        <f>'[1]PLAN DE DESARROLLO 2024 - 2027'!$K$202</f>
        <v>5.7142857142857141E-2</v>
      </c>
      <c r="G30" s="1031" t="s">
        <v>1883</v>
      </c>
      <c r="H30" s="1031" t="s">
        <v>1884</v>
      </c>
      <c r="I30" s="1064">
        <f>+'Capitulo Etnico'!Y25</f>
        <v>0.05</v>
      </c>
      <c r="J30" s="1031" t="s">
        <v>724</v>
      </c>
      <c r="K30" s="1035" t="s">
        <v>2195</v>
      </c>
      <c r="P30"/>
    </row>
    <row r="31" spans="1:16" ht="45.75" thickBot="1" x14ac:dyDescent="0.3">
      <c r="A31" s="1031" t="s">
        <v>2192</v>
      </c>
      <c r="B31" s="1033">
        <f>'[1]PLAN DE DESARROLLO 2024 - 2027'!$K$198</f>
        <v>6.9685846560846545E-2</v>
      </c>
      <c r="C31" s="1031" t="s">
        <v>2193</v>
      </c>
      <c r="D31" s="1033">
        <f>'[1]PLAN DE DESARROLLO 2024 - 2027'!$K$199</f>
        <v>6.974206349206348E-2</v>
      </c>
      <c r="E31" s="1031" t="s">
        <v>2202</v>
      </c>
      <c r="F31" s="1034">
        <f>'[1]PLAN DE DESARROLLO 2024 - 2027'!$K$202</f>
        <v>5.7142857142857141E-2</v>
      </c>
      <c r="G31" s="1031" t="s">
        <v>1885</v>
      </c>
      <c r="H31" s="1031" t="s">
        <v>1886</v>
      </c>
      <c r="I31" s="1064">
        <f>+'Capitulo Etnico'!Y26</f>
        <v>1</v>
      </c>
      <c r="J31" s="1031" t="s">
        <v>1431</v>
      </c>
      <c r="K31" s="1035" t="s">
        <v>2195</v>
      </c>
      <c r="P31"/>
    </row>
    <row r="32" spans="1:16" ht="60.75" thickBot="1" x14ac:dyDescent="0.3">
      <c r="A32" s="1031" t="s">
        <v>2192</v>
      </c>
      <c r="B32" s="1033">
        <f>'[1]PLAN DE DESARROLLO 2024 - 2027'!$K$198</f>
        <v>6.9685846560846545E-2</v>
      </c>
      <c r="C32" s="1031" t="s">
        <v>2193</v>
      </c>
      <c r="D32" s="1033">
        <f>'[1]PLAN DE DESARROLLO 2024 - 2027'!$K$199</f>
        <v>6.974206349206348E-2</v>
      </c>
      <c r="E32" s="1031" t="s">
        <v>2202</v>
      </c>
      <c r="F32" s="1034">
        <f>'[1]PLAN DE DESARROLLO 2024 - 2027'!$K$202</f>
        <v>5.7142857142857141E-2</v>
      </c>
      <c r="G32" s="1031" t="s">
        <v>1888</v>
      </c>
      <c r="H32" s="1031" t="s">
        <v>1889</v>
      </c>
      <c r="I32" s="1064">
        <f>+'Capitulo Etnico'!Y27</f>
        <v>0</v>
      </c>
      <c r="J32" s="1031" t="s">
        <v>2203</v>
      </c>
      <c r="K32" s="1035" t="s">
        <v>2195</v>
      </c>
      <c r="P32"/>
    </row>
    <row r="33" spans="1:16" ht="60.75" thickBot="1" x14ac:dyDescent="0.3">
      <c r="A33" s="1031" t="s">
        <v>2192</v>
      </c>
      <c r="B33" s="1033">
        <f>'[1]PLAN DE DESARROLLO 2024 - 2027'!$K$198</f>
        <v>6.9685846560846545E-2</v>
      </c>
      <c r="C33" s="1031" t="s">
        <v>2193</v>
      </c>
      <c r="D33" s="1033">
        <f>'[1]PLAN DE DESARROLLO 2024 - 2027'!$K$199</f>
        <v>6.974206349206348E-2</v>
      </c>
      <c r="E33" s="1031" t="s">
        <v>2202</v>
      </c>
      <c r="F33" s="1034">
        <f>'[1]PLAN DE DESARROLLO 2024 - 2027'!$K$202</f>
        <v>5.7142857142857141E-2</v>
      </c>
      <c r="G33" s="1031" t="s">
        <v>1892</v>
      </c>
      <c r="H33" s="1031" t="s">
        <v>1893</v>
      </c>
      <c r="I33" s="1064">
        <f>+'Capitulo Etnico'!Y28</f>
        <v>0</v>
      </c>
      <c r="J33" s="1031" t="s">
        <v>2204</v>
      </c>
      <c r="K33" s="1035" t="s">
        <v>2195</v>
      </c>
      <c r="P33"/>
    </row>
    <row r="34" spans="1:16" ht="45.75" thickBot="1" x14ac:dyDescent="0.3">
      <c r="A34" s="1031" t="s">
        <v>2192</v>
      </c>
      <c r="B34" s="1033">
        <f>'[1]PLAN DE DESARROLLO 2024 - 2027'!$K$198</f>
        <v>6.9685846560846545E-2</v>
      </c>
      <c r="C34" s="1031" t="s">
        <v>2193</v>
      </c>
      <c r="D34" s="1033">
        <f>'[1]PLAN DE DESARROLLO 2024 - 2027'!$K$199</f>
        <v>6.974206349206348E-2</v>
      </c>
      <c r="E34" s="1031" t="s">
        <v>2202</v>
      </c>
      <c r="F34" s="1034">
        <f>'[1]PLAN DE DESARROLLO 2024 - 2027'!$K$202</f>
        <v>5.7142857142857141E-2</v>
      </c>
      <c r="G34" s="1031" t="s">
        <v>1896</v>
      </c>
      <c r="H34" s="1031" t="s">
        <v>1897</v>
      </c>
      <c r="I34" s="1064">
        <f>+'Capitulo Etnico'!Y29</f>
        <v>0</v>
      </c>
      <c r="J34" s="1031" t="s">
        <v>716</v>
      </c>
      <c r="K34" s="1035" t="s">
        <v>2195</v>
      </c>
      <c r="P34"/>
    </row>
    <row r="35" spans="1:16" ht="60.75" thickBot="1" x14ac:dyDescent="0.3">
      <c r="A35" s="1031" t="s">
        <v>2192</v>
      </c>
      <c r="B35" s="1033">
        <f>'[1]PLAN DE DESARROLLO 2024 - 2027'!$K$198</f>
        <v>6.9685846560846545E-2</v>
      </c>
      <c r="C35" s="1031" t="s">
        <v>2196</v>
      </c>
      <c r="D35" s="1033">
        <f>'[1]PLAN DE DESARROLLO 2024 - 2027'!$K$203</f>
        <v>6.9629629629629611E-2</v>
      </c>
      <c r="E35" s="1031" t="s">
        <v>1899</v>
      </c>
      <c r="F35" s="1034">
        <f>'[1]PLAN DE DESARROLLO 2024 - 2027'!$K$204</f>
        <v>0.13888888888888887</v>
      </c>
      <c r="G35" s="1031" t="s">
        <v>1900</v>
      </c>
      <c r="H35" s="1031" t="s">
        <v>1901</v>
      </c>
      <c r="I35" s="1064">
        <f>+'Capitulo Etnico'!Y32</f>
        <v>0</v>
      </c>
      <c r="J35" s="1031" t="s">
        <v>47</v>
      </c>
      <c r="K35" s="1035" t="s">
        <v>2195</v>
      </c>
      <c r="P35"/>
    </row>
    <row r="36" spans="1:16" ht="30.75" thickBot="1" x14ac:dyDescent="0.3">
      <c r="A36" s="1031" t="s">
        <v>2192</v>
      </c>
      <c r="B36" s="1033">
        <f>'[1]PLAN DE DESARROLLO 2024 - 2027'!$K$198</f>
        <v>6.9685846560846545E-2</v>
      </c>
      <c r="C36" s="1031" t="s">
        <v>2196</v>
      </c>
      <c r="D36" s="1033">
        <f>'[1]PLAN DE DESARROLLO 2024 - 2027'!$K$203</f>
        <v>6.9629629629629611E-2</v>
      </c>
      <c r="E36" s="1031" t="s">
        <v>1899</v>
      </c>
      <c r="F36" s="1034">
        <f>'[1]PLAN DE DESARROLLO 2024 - 2027'!$K$204</f>
        <v>0.13888888888888887</v>
      </c>
      <c r="G36" s="1031" t="s">
        <v>1902</v>
      </c>
      <c r="H36" s="1031" t="s">
        <v>1903</v>
      </c>
      <c r="I36" s="1063">
        <f>+'Capitulo Etnico'!Y33</f>
        <v>0</v>
      </c>
      <c r="J36" s="1031" t="s">
        <v>47</v>
      </c>
      <c r="K36" s="1035" t="s">
        <v>2195</v>
      </c>
      <c r="P36"/>
    </row>
    <row r="37" spans="1:16" ht="45.75" thickBot="1" x14ac:dyDescent="0.3">
      <c r="A37" s="1031" t="s">
        <v>2192</v>
      </c>
      <c r="B37" s="1033">
        <f>'[1]PLAN DE DESARROLLO 2024 - 2027'!$K$198</f>
        <v>6.9685846560846545E-2</v>
      </c>
      <c r="C37" s="1031" t="s">
        <v>2196</v>
      </c>
      <c r="D37" s="1033">
        <f>'[1]PLAN DE DESARROLLO 2024 - 2027'!$K$203</f>
        <v>6.9629629629629611E-2</v>
      </c>
      <c r="E37" s="1031" t="s">
        <v>1899</v>
      </c>
      <c r="F37" s="1034">
        <f>'[1]PLAN DE DESARROLLO 2024 - 2027'!$K$204</f>
        <v>0.13888888888888887</v>
      </c>
      <c r="G37" s="1031" t="s">
        <v>2205</v>
      </c>
      <c r="H37" s="1031" t="s">
        <v>1905</v>
      </c>
      <c r="I37" s="1064">
        <f>+'Capitulo Etnico'!Y34</f>
        <v>0</v>
      </c>
      <c r="J37" s="1031" t="s">
        <v>704</v>
      </c>
      <c r="K37" s="1035" t="s">
        <v>2195</v>
      </c>
      <c r="P37"/>
    </row>
    <row r="38" spans="1:16" ht="30.75" thickBot="1" x14ac:dyDescent="0.3">
      <c r="A38" s="1031" t="s">
        <v>2192</v>
      </c>
      <c r="B38" s="1033">
        <f>'[1]PLAN DE DESARROLLO 2024 - 2027'!$K$198</f>
        <v>6.9685846560846545E-2</v>
      </c>
      <c r="C38" s="1031" t="s">
        <v>2196</v>
      </c>
      <c r="D38" s="1033">
        <f>'[1]PLAN DE DESARROLLO 2024 - 2027'!$K$203</f>
        <v>6.9629629629629611E-2</v>
      </c>
      <c r="E38" s="1031" t="s">
        <v>1899</v>
      </c>
      <c r="F38" s="1034">
        <f>'[1]PLAN DE DESARROLLO 2024 - 2027'!$K$204</f>
        <v>0.13888888888888887</v>
      </c>
      <c r="G38" s="1031" t="s">
        <v>1907</v>
      </c>
      <c r="H38" s="1031" t="s">
        <v>1908</v>
      </c>
      <c r="I38" s="1063">
        <f>+'Capitulo Etnico'!Y35</f>
        <v>0.16666666666666666</v>
      </c>
      <c r="J38" s="1031" t="s">
        <v>47</v>
      </c>
      <c r="K38" s="1035" t="s">
        <v>2195</v>
      </c>
      <c r="P38"/>
    </row>
    <row r="39" spans="1:16" ht="45.75" thickBot="1" x14ac:dyDescent="0.3">
      <c r="A39" s="1031" t="s">
        <v>2192</v>
      </c>
      <c r="B39" s="1033">
        <f>'[1]PLAN DE DESARROLLO 2024 - 2027'!$K$198</f>
        <v>6.9685846560846545E-2</v>
      </c>
      <c r="C39" s="1031" t="s">
        <v>2196</v>
      </c>
      <c r="D39" s="1033">
        <f>'[1]PLAN DE DESARROLLO 2024 - 2027'!$K$203</f>
        <v>6.9629629629629611E-2</v>
      </c>
      <c r="E39" s="1031" t="s">
        <v>1899</v>
      </c>
      <c r="F39" s="1034">
        <f>'[1]PLAN DE DESARROLLO 2024 - 2027'!$K$204</f>
        <v>0.13888888888888887</v>
      </c>
      <c r="G39" s="1031" t="s">
        <v>1909</v>
      </c>
      <c r="H39" s="1031" t="s">
        <v>1910</v>
      </c>
      <c r="I39" s="1063">
        <f>+'Capitulo Etnico'!Y36</f>
        <v>0</v>
      </c>
      <c r="J39" s="1031" t="s">
        <v>47</v>
      </c>
      <c r="K39" s="1035" t="s">
        <v>2195</v>
      </c>
      <c r="P39"/>
    </row>
    <row r="40" spans="1:16" ht="60.75" thickBot="1" x14ac:dyDescent="0.3">
      <c r="A40" s="1031" t="s">
        <v>2192</v>
      </c>
      <c r="B40" s="1033">
        <f>'[1]PLAN DE DESARROLLO 2024 - 2027'!$K$198</f>
        <v>6.9685846560846545E-2</v>
      </c>
      <c r="C40" s="1031" t="s">
        <v>2196</v>
      </c>
      <c r="D40" s="1033">
        <f>'[1]PLAN DE DESARROLLO 2024 - 2027'!$K$203</f>
        <v>6.9629629629629611E-2</v>
      </c>
      <c r="E40" s="1031" t="s">
        <v>1899</v>
      </c>
      <c r="F40" s="1034">
        <f>'[1]PLAN DE DESARROLLO 2024 - 2027'!$K$204</f>
        <v>0.13888888888888887</v>
      </c>
      <c r="G40" s="1031" t="s">
        <v>1911</v>
      </c>
      <c r="H40" s="1031" t="s">
        <v>1912</v>
      </c>
      <c r="I40" s="1063">
        <f>+'Capitulo Etnico'!Y37</f>
        <v>0</v>
      </c>
      <c r="J40" s="1031" t="s">
        <v>47</v>
      </c>
      <c r="K40" s="1035" t="s">
        <v>2195</v>
      </c>
      <c r="P40"/>
    </row>
    <row r="41" spans="1:16" ht="45.75" thickBot="1" x14ac:dyDescent="0.3">
      <c r="A41" s="1031" t="s">
        <v>2192</v>
      </c>
      <c r="B41" s="1033">
        <f>'[1]PLAN DE DESARROLLO 2024 - 2027'!$K$198</f>
        <v>6.9685846560846545E-2</v>
      </c>
      <c r="C41" s="1031" t="s">
        <v>2196</v>
      </c>
      <c r="D41" s="1033">
        <f>'[1]PLAN DE DESARROLLO 2024 - 2027'!$K$203</f>
        <v>6.9629629629629611E-2</v>
      </c>
      <c r="E41" s="1031" t="s">
        <v>1899</v>
      </c>
      <c r="F41" s="1034">
        <f>'[1]PLAN DE DESARROLLO 2024 - 2027'!$K$204</f>
        <v>0.13888888888888887</v>
      </c>
      <c r="G41" s="1031" t="s">
        <v>1913</v>
      </c>
      <c r="H41" s="1031" t="s">
        <v>1914</v>
      </c>
      <c r="I41" s="1064">
        <f>+'Capitulo Etnico'!Y38</f>
        <v>0</v>
      </c>
      <c r="J41" s="1031" t="s">
        <v>47</v>
      </c>
      <c r="K41" s="1035" t="s">
        <v>2195</v>
      </c>
      <c r="P41"/>
    </row>
    <row r="42" spans="1:16" ht="65.45" customHeight="1" thickBot="1" x14ac:dyDescent="0.3">
      <c r="A42" s="1031" t="s">
        <v>2192</v>
      </c>
      <c r="B42" s="1033">
        <f>'[1]PLAN DE DESARROLLO 2024 - 2027'!$K$198</f>
        <v>6.9685846560846545E-2</v>
      </c>
      <c r="C42" s="1031" t="s">
        <v>2196</v>
      </c>
      <c r="D42" s="1033">
        <f>'[1]PLAN DE DESARROLLO 2024 - 2027'!$K$203</f>
        <v>6.9629629629629611E-2</v>
      </c>
      <c r="E42" s="1031" t="s">
        <v>1899</v>
      </c>
      <c r="F42" s="1034">
        <f>'[1]PLAN DE DESARROLLO 2024 - 2027'!$K$204</f>
        <v>0.13888888888888887</v>
      </c>
      <c r="G42" s="1031" t="s">
        <v>1915</v>
      </c>
      <c r="H42" s="1031" t="s">
        <v>1916</v>
      </c>
      <c r="I42" s="1063">
        <f>+'Capitulo Etnico'!Y39</f>
        <v>0.35000000000000003</v>
      </c>
      <c r="J42" s="1031" t="s">
        <v>47</v>
      </c>
      <c r="K42" s="1035" t="s">
        <v>2195</v>
      </c>
      <c r="P42"/>
    </row>
    <row r="43" spans="1:16" ht="22.9" customHeight="1" thickBot="1" x14ac:dyDescent="0.3">
      <c r="A43" s="1054" t="s">
        <v>2206</v>
      </c>
      <c r="B43" s="1055" t="s">
        <v>2207</v>
      </c>
      <c r="C43" s="1054" t="s">
        <v>2208</v>
      </c>
      <c r="D43" s="1056" t="s">
        <v>2209</v>
      </c>
      <c r="E43" s="1054" t="s">
        <v>2210</v>
      </c>
      <c r="F43" s="1055" t="s">
        <v>2211</v>
      </c>
      <c r="G43" s="1054" t="s">
        <v>2212</v>
      </c>
      <c r="H43" s="1054" t="s">
        <v>2190</v>
      </c>
      <c r="I43" s="1065"/>
      <c r="J43" s="1054" t="s">
        <v>2213</v>
      </c>
      <c r="K43" s="1056" t="s">
        <v>2214</v>
      </c>
    </row>
    <row r="44" spans="1:16" ht="45.75" thickBot="1" x14ac:dyDescent="0.3">
      <c r="A44" s="1031" t="s">
        <v>2215</v>
      </c>
      <c r="B44" s="1033">
        <f>'[1]PLAN DE DESARROLLO 2024 - 2027'!$K$123</f>
        <v>0.26239975735212717</v>
      </c>
      <c r="C44" s="1031" t="s">
        <v>2216</v>
      </c>
      <c r="D44" s="1033">
        <f>'[1]PLAN DE DESARROLLO 2024 - 2027'!$K$143</f>
        <v>0.16314336734693877</v>
      </c>
      <c r="E44" s="1031" t="s">
        <v>2217</v>
      </c>
      <c r="F44" s="1034">
        <f>'[1]PLAN DE DESARROLLO 2024 - 2027'!$K$145</f>
        <v>0.02</v>
      </c>
      <c r="G44" s="1031" t="s">
        <v>1353</v>
      </c>
      <c r="H44" s="1031" t="s">
        <v>1354</v>
      </c>
      <c r="I44" s="1063">
        <f>+'Ciudad Conectada'!Y92</f>
        <v>0</v>
      </c>
      <c r="J44" s="1031" t="s">
        <v>2218</v>
      </c>
      <c r="K44" s="1035" t="s">
        <v>2195</v>
      </c>
      <c r="P44"/>
    </row>
    <row r="45" spans="1:16" ht="60.75" thickBot="1" x14ac:dyDescent="0.3">
      <c r="A45" s="1031" t="s">
        <v>2215</v>
      </c>
      <c r="B45" s="1033">
        <f>'[1]PLAN DE DESARROLLO 2024 - 2027'!$K$123</f>
        <v>0.26239975735212717</v>
      </c>
      <c r="C45" s="1031" t="s">
        <v>2216</v>
      </c>
      <c r="D45" s="1033">
        <f>'[1]PLAN DE DESARROLLO 2024 - 2027'!$K$143</f>
        <v>0.16314336734693877</v>
      </c>
      <c r="E45" s="1031" t="s">
        <v>2217</v>
      </c>
      <c r="F45" s="1034">
        <f>'[1]PLAN DE DESARROLLO 2024 - 2027'!$K$145</f>
        <v>0.02</v>
      </c>
      <c r="G45" s="1031" t="s">
        <v>1358</v>
      </c>
      <c r="H45" s="1031" t="s">
        <v>1359</v>
      </c>
      <c r="I45" s="1064">
        <f>+'Ciudad Conectada'!Y93</f>
        <v>0</v>
      </c>
      <c r="J45" s="1031" t="s">
        <v>2219</v>
      </c>
      <c r="K45" s="1035" t="s">
        <v>2195</v>
      </c>
      <c r="P45"/>
    </row>
    <row r="46" spans="1:16" ht="45.75" thickBot="1" x14ac:dyDescent="0.3">
      <c r="A46" s="1031" t="s">
        <v>2215</v>
      </c>
      <c r="B46" s="1033">
        <f>'[1]PLAN DE DESARROLLO 2024 - 2027'!$K$123</f>
        <v>0.26239975735212717</v>
      </c>
      <c r="C46" s="1031" t="s">
        <v>2216</v>
      </c>
      <c r="D46" s="1033">
        <f>'[1]PLAN DE DESARROLLO 2024 - 2027'!$K$143</f>
        <v>0.16314336734693877</v>
      </c>
      <c r="E46" s="1031" t="s">
        <v>2217</v>
      </c>
      <c r="F46" s="1034">
        <f>'[1]PLAN DE DESARROLLO 2024 - 2027'!$K$145</f>
        <v>0.02</v>
      </c>
      <c r="G46" s="1031" t="s">
        <v>1363</v>
      </c>
      <c r="H46" s="1031" t="s">
        <v>1364</v>
      </c>
      <c r="I46" s="1063">
        <f>+'Ciudad Conectada'!Y94</f>
        <v>0.11499999999999999</v>
      </c>
      <c r="J46" s="1031" t="s">
        <v>2220</v>
      </c>
      <c r="K46" s="1035" t="s">
        <v>2195</v>
      </c>
      <c r="P46"/>
    </row>
    <row r="47" spans="1:16" ht="30.75" thickBot="1" x14ac:dyDescent="0.3">
      <c r="A47" s="1031" t="s">
        <v>2215</v>
      </c>
      <c r="B47" s="1033">
        <f>'[1]PLAN DE DESARROLLO 2024 - 2027'!$K$123</f>
        <v>0.26239975735212717</v>
      </c>
      <c r="C47" s="1031" t="s">
        <v>2221</v>
      </c>
      <c r="D47" s="1034">
        <f>'[1]PLAN DE DESARROLLO 2024 - 2027'!$K$147</f>
        <v>0.37391919805103979</v>
      </c>
      <c r="E47" s="1031" t="s">
        <v>2222</v>
      </c>
      <c r="F47" s="1034">
        <f>'[1]PLAN DE DESARROLLO 2024 - 2027'!$K$148</f>
        <v>0</v>
      </c>
      <c r="G47" s="1031" t="s">
        <v>1373</v>
      </c>
      <c r="H47" s="1031" t="s">
        <v>1374</v>
      </c>
      <c r="I47" s="1063">
        <f>+'Ciudad Conectada'!Y99</f>
        <v>0</v>
      </c>
      <c r="J47" s="1031" t="s">
        <v>1224</v>
      </c>
      <c r="K47" s="1035" t="s">
        <v>2195</v>
      </c>
      <c r="P47"/>
    </row>
    <row r="48" spans="1:16" ht="30.75" thickBot="1" x14ac:dyDescent="0.3">
      <c r="A48" s="1031" t="s">
        <v>2215</v>
      </c>
      <c r="B48" s="1033">
        <f>'[1]PLAN DE DESARROLLO 2024 - 2027'!$K$123</f>
        <v>0.26239975735212717</v>
      </c>
      <c r="C48" s="1031" t="s">
        <v>2221</v>
      </c>
      <c r="D48" s="1034">
        <f>'[1]PLAN DE DESARROLLO 2024 - 2027'!$K$147</f>
        <v>0.37391919805103979</v>
      </c>
      <c r="E48" s="1031" t="s">
        <v>1387</v>
      </c>
      <c r="F48" s="1034">
        <f>'[1]PLAN DE DESARROLLO 2024 - 2027'!$K$150</f>
        <v>0</v>
      </c>
      <c r="G48" s="1031" t="s">
        <v>1388</v>
      </c>
      <c r="H48" s="1031" t="s">
        <v>1389</v>
      </c>
      <c r="I48" s="1063">
        <f>+'Ciudad Conectada'!Y106</f>
        <v>0</v>
      </c>
      <c r="J48" s="1031" t="s">
        <v>1320</v>
      </c>
      <c r="K48" s="1035" t="s">
        <v>2195</v>
      </c>
      <c r="P48"/>
    </row>
    <row r="49" spans="1:16" ht="30.75" thickBot="1" x14ac:dyDescent="0.3">
      <c r="A49" s="1031" t="s">
        <v>2215</v>
      </c>
      <c r="B49" s="1033">
        <f>'[1]PLAN DE DESARROLLO 2024 - 2027'!$K$123</f>
        <v>0.26239975735212717</v>
      </c>
      <c r="C49" s="1031" t="s">
        <v>2221</v>
      </c>
      <c r="D49" s="1034">
        <f>'[1]PLAN DE DESARROLLO 2024 - 2027'!$K$147</f>
        <v>0.37391919805103979</v>
      </c>
      <c r="E49" s="1031" t="s">
        <v>1387</v>
      </c>
      <c r="F49" s="1034">
        <f>'[1]PLAN DE DESARROLLO 2024 - 2027'!$K$150</f>
        <v>0</v>
      </c>
      <c r="G49" s="1031" t="s">
        <v>1390</v>
      </c>
      <c r="H49" s="1031" t="s">
        <v>1391</v>
      </c>
      <c r="I49" s="1063">
        <f>+'Ciudad Conectada'!Y107</f>
        <v>0</v>
      </c>
      <c r="J49" s="1031" t="s">
        <v>1320</v>
      </c>
      <c r="K49" s="1035" t="s">
        <v>2195</v>
      </c>
      <c r="P49"/>
    </row>
    <row r="50" spans="1:16" ht="30.75" thickBot="1" x14ac:dyDescent="0.3">
      <c r="A50" s="1031" t="s">
        <v>2215</v>
      </c>
      <c r="B50" s="1033">
        <f>'[1]PLAN DE DESARROLLO 2024 - 2027'!$K$123</f>
        <v>0.26239975735212717</v>
      </c>
      <c r="C50" s="1031" t="s">
        <v>2221</v>
      </c>
      <c r="D50" s="1034">
        <f>'[1]PLAN DE DESARROLLO 2024 - 2027'!$K$147</f>
        <v>0.37391919805103979</v>
      </c>
      <c r="E50" s="1031" t="s">
        <v>1387</v>
      </c>
      <c r="F50" s="1034">
        <f>'[1]PLAN DE DESARROLLO 2024 - 2027'!$K$150</f>
        <v>0</v>
      </c>
      <c r="G50" s="1031" t="s">
        <v>1392</v>
      </c>
      <c r="H50" s="1031" t="s">
        <v>1393</v>
      </c>
      <c r="I50" s="1063">
        <f>+'Ciudad Conectada'!Y108</f>
        <v>0</v>
      </c>
      <c r="J50" s="1031" t="s">
        <v>1320</v>
      </c>
      <c r="K50" s="1035" t="s">
        <v>2195</v>
      </c>
      <c r="P50"/>
    </row>
    <row r="51" spans="1:16" ht="30.75" thickBot="1" x14ac:dyDescent="0.3">
      <c r="A51" s="1031" t="s">
        <v>2215</v>
      </c>
      <c r="B51" s="1033">
        <f>'[1]PLAN DE DESARROLLO 2024 - 2027'!$K$123</f>
        <v>0.26239975735212717</v>
      </c>
      <c r="C51" s="1031" t="s">
        <v>2223</v>
      </c>
      <c r="D51" s="1033">
        <f>'[1]PLAN DE DESARROLLO 2024 - 2027'!$K$153</f>
        <v>0.34122708333333335</v>
      </c>
      <c r="E51" s="1031" t="s">
        <v>2224</v>
      </c>
      <c r="F51" s="1034">
        <f>'[1]PLAN DE DESARROLLO 2024 - 2027'!$K$158</f>
        <v>0</v>
      </c>
      <c r="G51" s="1031" t="s">
        <v>1523</v>
      </c>
      <c r="H51" s="1031" t="s">
        <v>1524</v>
      </c>
      <c r="I51" s="1064">
        <f>+'Ciudad Conectada'!Y160</f>
        <v>0</v>
      </c>
      <c r="J51" s="1031" t="s">
        <v>716</v>
      </c>
      <c r="K51" s="1035" t="s">
        <v>2195</v>
      </c>
      <c r="P51"/>
    </row>
    <row r="52" spans="1:16" ht="30.75" thickBot="1" x14ac:dyDescent="0.3">
      <c r="A52" s="1031" t="s">
        <v>2215</v>
      </c>
      <c r="B52" s="1033">
        <f>'[1]PLAN DE DESARROLLO 2024 - 2027'!$K$123</f>
        <v>0.26239975735212717</v>
      </c>
      <c r="C52" s="1031" t="s">
        <v>2223</v>
      </c>
      <c r="D52" s="1033">
        <f>'[1]PLAN DE DESARROLLO 2024 - 2027'!$K$153</f>
        <v>0.34122708333333335</v>
      </c>
      <c r="E52" s="1031" t="s">
        <v>2224</v>
      </c>
      <c r="F52" s="1034">
        <f>'[1]PLAN DE DESARROLLO 2024 - 2027'!$K$158</f>
        <v>0</v>
      </c>
      <c r="G52" s="1031" t="s">
        <v>1525</v>
      </c>
      <c r="H52" s="1031" t="s">
        <v>1526</v>
      </c>
      <c r="I52" s="1064">
        <f>+'Ciudad Conectada'!Y161</f>
        <v>0</v>
      </c>
      <c r="J52" s="1031" t="s">
        <v>716</v>
      </c>
      <c r="K52" s="1035" t="s">
        <v>2195</v>
      </c>
      <c r="P52"/>
    </row>
    <row r="53" spans="1:16" ht="15.75" thickBot="1" x14ac:dyDescent="0.3">
      <c r="A53" s="1031" t="s">
        <v>2215</v>
      </c>
      <c r="B53" s="1033">
        <f>'[1]PLAN DE DESARROLLO 2024 - 2027'!$K$123</f>
        <v>0.26239975735212717</v>
      </c>
      <c r="C53" s="1031" t="s">
        <v>2223</v>
      </c>
      <c r="D53" s="1033">
        <f>'[1]PLAN DE DESARROLLO 2024 - 2027'!$K$153</f>
        <v>0.34122708333333335</v>
      </c>
      <c r="E53" s="1031" t="s">
        <v>2224</v>
      </c>
      <c r="F53" s="1034">
        <f>'[1]PLAN DE DESARROLLO 2024 - 2027'!$K$158</f>
        <v>0</v>
      </c>
      <c r="G53" s="1031" t="s">
        <v>1527</v>
      </c>
      <c r="H53" s="1031" t="s">
        <v>1528</v>
      </c>
      <c r="I53" s="1064">
        <f>+'Ciudad Conectada'!Y162</f>
        <v>0</v>
      </c>
      <c r="J53" s="1031" t="s">
        <v>716</v>
      </c>
      <c r="K53" s="1035" t="s">
        <v>2195</v>
      </c>
      <c r="P53"/>
    </row>
    <row r="54" spans="1:16" ht="45.75" thickBot="1" x14ac:dyDescent="0.3">
      <c r="A54" s="1031" t="s">
        <v>2215</v>
      </c>
      <c r="B54" s="1033">
        <f>'[1]PLAN DE DESARROLLO 2024 - 2027'!$K$123</f>
        <v>0.26239975735212717</v>
      </c>
      <c r="C54" s="1031" t="s">
        <v>2223</v>
      </c>
      <c r="D54" s="1033">
        <f>'[1]PLAN DE DESARROLLO 2024 - 2027'!$K$153</f>
        <v>0.34122708333333335</v>
      </c>
      <c r="E54" s="1031" t="s">
        <v>2224</v>
      </c>
      <c r="F54" s="1034">
        <f>'[1]PLAN DE DESARROLLO 2024 - 2027'!$K$158</f>
        <v>0</v>
      </c>
      <c r="G54" s="1031" t="s">
        <v>1529</v>
      </c>
      <c r="H54" s="1031" t="s">
        <v>1530</v>
      </c>
      <c r="I54" s="1064">
        <f>+'Ciudad Conectada'!Y163</f>
        <v>0</v>
      </c>
      <c r="J54" s="1031" t="s">
        <v>716</v>
      </c>
      <c r="K54" s="1035" t="s">
        <v>2195</v>
      </c>
      <c r="P54"/>
    </row>
    <row r="55" spans="1:16" ht="30.75" thickBot="1" x14ac:dyDescent="0.3">
      <c r="A55" s="1031" t="s">
        <v>2215</v>
      </c>
      <c r="B55" s="1033">
        <f>'[1]PLAN DE DESARROLLO 2024 - 2027'!$K$123</f>
        <v>0.26239975735212717</v>
      </c>
      <c r="C55" s="1031" t="s">
        <v>2223</v>
      </c>
      <c r="D55" s="1033">
        <f>'[1]PLAN DE DESARROLLO 2024 - 2027'!$K$153</f>
        <v>0.34122708333333335</v>
      </c>
      <c r="E55" s="1031" t="s">
        <v>2224</v>
      </c>
      <c r="F55" s="1034">
        <f>'[1]PLAN DE DESARROLLO 2024 - 2027'!$K$158</f>
        <v>0</v>
      </c>
      <c r="G55" s="1031" t="s">
        <v>1531</v>
      </c>
      <c r="H55" s="1031" t="s">
        <v>1532</v>
      </c>
      <c r="I55" s="1064">
        <f>+'Ciudad Conectada'!Y164</f>
        <v>0</v>
      </c>
      <c r="J55" s="1031" t="s">
        <v>2225</v>
      </c>
      <c r="K55" s="1035" t="s">
        <v>2195</v>
      </c>
      <c r="P55"/>
    </row>
    <row r="56" spans="1:16" ht="45.75" thickBot="1" x14ac:dyDescent="0.3">
      <c r="A56" s="1031" t="s">
        <v>2215</v>
      </c>
      <c r="B56" s="1033">
        <f>'[1]PLAN DE DESARROLLO 2024 - 2027'!$K$123</f>
        <v>0.26239975735212717</v>
      </c>
      <c r="C56" s="1031" t="s">
        <v>2223</v>
      </c>
      <c r="D56" s="1033">
        <f>'[1]PLAN DE DESARROLLO 2024 - 2027'!$K$153</f>
        <v>0.34122708333333335</v>
      </c>
      <c r="E56" s="1031" t="s">
        <v>2224</v>
      </c>
      <c r="F56" s="1034">
        <f>'[1]PLAN DE DESARROLLO 2024 - 2027'!$K$158</f>
        <v>0</v>
      </c>
      <c r="G56" s="1031" t="s">
        <v>1533</v>
      </c>
      <c r="H56" s="1031" t="s">
        <v>1534</v>
      </c>
      <c r="I56" s="1064">
        <f>+'Ciudad Conectada'!Y165</f>
        <v>0</v>
      </c>
      <c r="J56" s="1031" t="s">
        <v>716</v>
      </c>
      <c r="K56" s="1035" t="s">
        <v>2195</v>
      </c>
      <c r="P56"/>
    </row>
    <row r="57" spans="1:16" ht="60.75" thickBot="1" x14ac:dyDescent="0.3">
      <c r="A57" s="1031" t="s">
        <v>2215</v>
      </c>
      <c r="B57" s="1033">
        <f>'[1]PLAN DE DESARROLLO 2024 - 2027'!$K$123</f>
        <v>0.26239975735212717</v>
      </c>
      <c r="C57" s="1031" t="s">
        <v>2223</v>
      </c>
      <c r="D57" s="1033">
        <f>'[1]PLAN DE DESARROLLO 2024 - 2027'!$K$153</f>
        <v>0.34122708333333335</v>
      </c>
      <c r="E57" s="1031" t="s">
        <v>2224</v>
      </c>
      <c r="F57" s="1034">
        <f>'[1]PLAN DE DESARROLLO 2024 - 2027'!$K$158</f>
        <v>0</v>
      </c>
      <c r="G57" s="1031" t="s">
        <v>1536</v>
      </c>
      <c r="H57" s="1031" t="s">
        <v>1537</v>
      </c>
      <c r="I57" s="1064">
        <f>+'Ciudad Conectada'!Y166</f>
        <v>0</v>
      </c>
      <c r="J57" s="1031" t="s">
        <v>716</v>
      </c>
      <c r="K57" s="1035" t="s">
        <v>2195</v>
      </c>
      <c r="P57"/>
    </row>
    <row r="58" spans="1:16" ht="30.75" thickBot="1" x14ac:dyDescent="0.3">
      <c r="A58" s="1031" t="s">
        <v>2215</v>
      </c>
      <c r="B58" s="1033">
        <f>'[1]PLAN DE DESARROLLO 2024 - 2027'!$K$123</f>
        <v>0.26239975735212717</v>
      </c>
      <c r="C58" s="1031" t="s">
        <v>2221</v>
      </c>
      <c r="D58" s="1034">
        <f>'[1]PLAN DE DESARROLLO 2024 - 2027'!$K$147</f>
        <v>0.37391919805103979</v>
      </c>
      <c r="E58" s="1031" t="s">
        <v>2226</v>
      </c>
      <c r="F58" s="1034">
        <f>'[1]PLAN DE DESARROLLO 2024 - 2027'!$K$149</f>
        <v>0.54581547619047621</v>
      </c>
      <c r="G58" s="1031" t="s">
        <v>1377</v>
      </c>
      <c r="H58" s="1031" t="s">
        <v>1378</v>
      </c>
      <c r="I58" s="1063">
        <f>+'Ciudad Conectada'!Y101</f>
        <v>0.84431666666666649</v>
      </c>
      <c r="J58" s="1031" t="s">
        <v>1224</v>
      </c>
      <c r="K58" s="1035" t="s">
        <v>2195</v>
      </c>
      <c r="P58"/>
    </row>
    <row r="59" spans="1:16" ht="30.75" thickBot="1" x14ac:dyDescent="0.3">
      <c r="A59" s="1031" t="s">
        <v>2215</v>
      </c>
      <c r="B59" s="1033">
        <f>'[1]PLAN DE DESARROLLO 2024 - 2027'!$K$123</f>
        <v>0.26239975735212717</v>
      </c>
      <c r="C59" s="1031" t="s">
        <v>2221</v>
      </c>
      <c r="D59" s="1034">
        <f>'[1]PLAN DE DESARROLLO 2024 - 2027'!$K$147</f>
        <v>0.37391919805103979</v>
      </c>
      <c r="E59" s="1031" t="s">
        <v>2226</v>
      </c>
      <c r="F59" s="1034">
        <f>'[1]PLAN DE DESARROLLO 2024 - 2027'!$K$149</f>
        <v>0.54581547619047621</v>
      </c>
      <c r="G59" s="1031" t="s">
        <v>1379</v>
      </c>
      <c r="H59" s="1031" t="s">
        <v>1380</v>
      </c>
      <c r="I59" s="1063">
        <f>+'Ciudad Conectada'!Y102</f>
        <v>0.88335000000000008</v>
      </c>
      <c r="J59" s="1031" t="s">
        <v>1224</v>
      </c>
      <c r="K59" s="1035" t="s">
        <v>2195</v>
      </c>
      <c r="P59"/>
    </row>
    <row r="60" spans="1:16" ht="30.75" thickBot="1" x14ac:dyDescent="0.3">
      <c r="A60" s="1031" t="s">
        <v>2215</v>
      </c>
      <c r="B60" s="1033">
        <f>'[1]PLAN DE DESARROLLO 2024 - 2027'!$K$123</f>
        <v>0.26239975735212717</v>
      </c>
      <c r="C60" s="1031" t="s">
        <v>2221</v>
      </c>
      <c r="D60" s="1034">
        <f>'[1]PLAN DE DESARROLLO 2024 - 2027'!$K$147</f>
        <v>0.37391919805103979</v>
      </c>
      <c r="E60" s="1031" t="s">
        <v>2226</v>
      </c>
      <c r="F60" s="1034">
        <f>'[1]PLAN DE DESARROLLO 2024 - 2027'!$K$149</f>
        <v>0.54581547619047621</v>
      </c>
      <c r="G60" s="1031" t="s">
        <v>1382</v>
      </c>
      <c r="H60" s="1031" t="s">
        <v>1383</v>
      </c>
      <c r="I60" s="1063">
        <f>+'Ciudad Conectada'!Y103</f>
        <v>1</v>
      </c>
      <c r="J60" s="1031" t="s">
        <v>1224</v>
      </c>
      <c r="K60" s="1035" t="s">
        <v>2195</v>
      </c>
      <c r="P60"/>
    </row>
    <row r="61" spans="1:16" ht="30.75" thickBot="1" x14ac:dyDescent="0.3">
      <c r="A61" s="1031" t="s">
        <v>2215</v>
      </c>
      <c r="B61" s="1033">
        <f>'[1]PLAN DE DESARROLLO 2024 - 2027'!$K$123</f>
        <v>0.26239975735212717</v>
      </c>
      <c r="C61" s="1031" t="s">
        <v>2221</v>
      </c>
      <c r="D61" s="1034">
        <f>'[1]PLAN DE DESARROLLO 2024 - 2027'!$K$147</f>
        <v>0.37391919805103979</v>
      </c>
      <c r="E61" s="1031" t="s">
        <v>2226</v>
      </c>
      <c r="F61" s="1034">
        <f>'[1]PLAN DE DESARROLLO 2024 - 2027'!$K$149</f>
        <v>0.54581547619047621</v>
      </c>
      <c r="G61" s="1031" t="s">
        <v>1385</v>
      </c>
      <c r="H61" s="1031" t="s">
        <v>1386</v>
      </c>
      <c r="I61" s="1063">
        <f>+'Ciudad Conectada'!Y104</f>
        <v>1</v>
      </c>
      <c r="J61" s="1031" t="s">
        <v>1224</v>
      </c>
      <c r="K61" s="1035" t="s">
        <v>2195</v>
      </c>
      <c r="P61"/>
    </row>
    <row r="62" spans="1:16" ht="30.75" thickBot="1" x14ac:dyDescent="0.3">
      <c r="A62" s="1031" t="s">
        <v>2215</v>
      </c>
      <c r="B62" s="1033">
        <f>'[1]PLAN DE DESARROLLO 2024 - 2027'!$K$123</f>
        <v>0.26239975735212717</v>
      </c>
      <c r="C62" s="1031" t="s">
        <v>2221</v>
      </c>
      <c r="D62" s="1034">
        <f>'[1]PLAN DE DESARROLLO 2024 - 2027'!$K$147</f>
        <v>0.37391919805103979</v>
      </c>
      <c r="E62" s="1031" t="s">
        <v>2227</v>
      </c>
      <c r="F62" s="1034">
        <f>'[1]PLAN DE DESARROLLO 2024 - 2027'!$K$151</f>
        <v>0.33406220779610435</v>
      </c>
      <c r="G62" s="1031" t="s">
        <v>1395</v>
      </c>
      <c r="H62" s="1031" t="s">
        <v>1396</v>
      </c>
      <c r="I62" s="1063">
        <f>+'Ciudad Conectada'!Y110</f>
        <v>0.45347313237221493</v>
      </c>
      <c r="J62" s="1031" t="s">
        <v>92</v>
      </c>
      <c r="K62" s="1035" t="s">
        <v>2195</v>
      </c>
      <c r="P62"/>
    </row>
    <row r="63" spans="1:16" ht="30.75" thickBot="1" x14ac:dyDescent="0.3">
      <c r="A63" s="1031" t="s">
        <v>2215</v>
      </c>
      <c r="B63" s="1033">
        <f>'[1]PLAN DE DESARROLLO 2024 - 2027'!$K$123</f>
        <v>0.26239975735212717</v>
      </c>
      <c r="C63" s="1031" t="s">
        <v>2221</v>
      </c>
      <c r="D63" s="1034">
        <f>'[1]PLAN DE DESARROLLO 2024 - 2027'!$K$147</f>
        <v>0.37391919805103979</v>
      </c>
      <c r="E63" s="1031" t="s">
        <v>2227</v>
      </c>
      <c r="F63" s="1034">
        <f>'[1]PLAN DE DESARROLLO 2024 - 2027'!$K$151</f>
        <v>0.33406220779610435</v>
      </c>
      <c r="G63" s="1031" t="s">
        <v>1397</v>
      </c>
      <c r="H63" s="1031" t="s">
        <v>1398</v>
      </c>
      <c r="I63" s="1063">
        <f>+'Ciudad Conectada'!Y111</f>
        <v>0.20259208731241471</v>
      </c>
      <c r="J63" s="1031" t="s">
        <v>92</v>
      </c>
      <c r="K63" s="1035" t="s">
        <v>2195</v>
      </c>
      <c r="P63"/>
    </row>
    <row r="64" spans="1:16" ht="30.75" thickBot="1" x14ac:dyDescent="0.3">
      <c r="A64" s="1031" t="s">
        <v>2215</v>
      </c>
      <c r="B64" s="1033">
        <f>'[1]PLAN DE DESARROLLO 2024 - 2027'!$K$123</f>
        <v>0.26239975735212717</v>
      </c>
      <c r="C64" s="1031" t="s">
        <v>2221</v>
      </c>
      <c r="D64" s="1034">
        <f>'[1]PLAN DE DESARROLLO 2024 - 2027'!$K$147</f>
        <v>0.37391919805103979</v>
      </c>
      <c r="E64" s="1031" t="s">
        <v>2227</v>
      </c>
      <c r="F64" s="1034">
        <f>'[1]PLAN DE DESARROLLO 2024 - 2027'!$K$151</f>
        <v>0.33406220779610435</v>
      </c>
      <c r="G64" s="1031" t="s">
        <v>1399</v>
      </c>
      <c r="H64" s="1031" t="s">
        <v>1400</v>
      </c>
      <c r="I64" s="1063">
        <f>+'Ciudad Conectada'!Y112</f>
        <v>1.2500000000000001E-2</v>
      </c>
      <c r="J64" s="1031" t="s">
        <v>2228</v>
      </c>
      <c r="K64" s="1035" t="s">
        <v>2195</v>
      </c>
      <c r="P64"/>
    </row>
    <row r="65" spans="1:16" ht="30.75" thickBot="1" x14ac:dyDescent="0.3">
      <c r="A65" s="1031" t="s">
        <v>2215</v>
      </c>
      <c r="B65" s="1033">
        <f>'[1]PLAN DE DESARROLLO 2024 - 2027'!$K$123</f>
        <v>0.26239975735212717</v>
      </c>
      <c r="C65" s="1031" t="s">
        <v>2221</v>
      </c>
      <c r="D65" s="1034">
        <f>'[1]PLAN DE DESARROLLO 2024 - 2027'!$K$147</f>
        <v>0.37391919805103979</v>
      </c>
      <c r="E65" s="1031" t="s">
        <v>2227</v>
      </c>
      <c r="F65" s="1034">
        <f>'[1]PLAN DE DESARROLLO 2024 - 2027'!$K$151</f>
        <v>0.33406220779610435</v>
      </c>
      <c r="G65" s="1031" t="s">
        <v>1406</v>
      </c>
      <c r="H65" s="1031" t="s">
        <v>1407</v>
      </c>
      <c r="I65" s="1063">
        <f>+'Ciudad Conectada'!Y113</f>
        <v>0.41000000000000003</v>
      </c>
      <c r="J65" s="1031" t="s">
        <v>92</v>
      </c>
      <c r="K65" s="1035" t="s">
        <v>2195</v>
      </c>
      <c r="P65"/>
    </row>
    <row r="66" spans="1:16" ht="30.75" thickBot="1" x14ac:dyDescent="0.3">
      <c r="A66" s="1031" t="s">
        <v>2215</v>
      </c>
      <c r="B66" s="1033">
        <f>'[1]PLAN DE DESARROLLO 2024 - 2027'!$K$123</f>
        <v>0.26239975735212717</v>
      </c>
      <c r="C66" s="1031" t="s">
        <v>2221</v>
      </c>
      <c r="D66" s="1034">
        <f>'[1]PLAN DE DESARROLLO 2024 - 2027'!$K$147</f>
        <v>0.37391919805103979</v>
      </c>
      <c r="E66" s="1031" t="s">
        <v>2227</v>
      </c>
      <c r="F66" s="1034">
        <f>'[1]PLAN DE DESARROLLO 2024 - 2027'!$K$151</f>
        <v>0.33406220779610435</v>
      </c>
      <c r="G66" s="1031" t="s">
        <v>1408</v>
      </c>
      <c r="H66" s="1031" t="s">
        <v>1409</v>
      </c>
      <c r="I66" s="1063">
        <f>+'Ciudad Conectada'!Y114</f>
        <v>0.21428571428571427</v>
      </c>
      <c r="J66" s="1031" t="s">
        <v>92</v>
      </c>
      <c r="K66" s="1035" t="s">
        <v>2195</v>
      </c>
      <c r="P66"/>
    </row>
    <row r="67" spans="1:16" ht="30.75" thickBot="1" x14ac:dyDescent="0.3">
      <c r="A67" s="1031" t="s">
        <v>2215</v>
      </c>
      <c r="B67" s="1033">
        <f>'[1]PLAN DE DESARROLLO 2024 - 2027'!$K$123</f>
        <v>0.26239975735212717</v>
      </c>
      <c r="C67" s="1031" t="s">
        <v>2221</v>
      </c>
      <c r="D67" s="1034">
        <f>'[1]PLAN DE DESARROLLO 2024 - 2027'!$K$147</f>
        <v>0.37391919805103979</v>
      </c>
      <c r="E67" s="1031" t="s">
        <v>2227</v>
      </c>
      <c r="F67" s="1034">
        <f>'[1]PLAN DE DESARROLLO 2024 - 2027'!$K$151</f>
        <v>0.33406220779610435</v>
      </c>
      <c r="G67" s="1031" t="s">
        <v>1411</v>
      </c>
      <c r="H67" s="1031" t="s">
        <v>1412</v>
      </c>
      <c r="I67" s="1063">
        <f>+'Ciudad Conectada'!Y115</f>
        <v>0.7</v>
      </c>
      <c r="J67" s="1031" t="s">
        <v>92</v>
      </c>
      <c r="K67" s="1035" t="s">
        <v>2195</v>
      </c>
      <c r="P67"/>
    </row>
    <row r="68" spans="1:16" ht="30.75" thickBot="1" x14ac:dyDescent="0.3">
      <c r="A68" s="1031" t="s">
        <v>2215</v>
      </c>
      <c r="B68" s="1033">
        <f>'[1]PLAN DE DESARROLLO 2024 - 2027'!$K$123</f>
        <v>0.26239975735212717</v>
      </c>
      <c r="C68" s="1031" t="s">
        <v>2221</v>
      </c>
      <c r="D68" s="1034">
        <f>'[1]PLAN DE DESARROLLO 2024 - 2027'!$K$147</f>
        <v>0.37391919805103979</v>
      </c>
      <c r="E68" s="1031" t="s">
        <v>2227</v>
      </c>
      <c r="F68" s="1034">
        <f>'[1]PLAN DE DESARROLLO 2024 - 2027'!$K$151</f>
        <v>0.33406220779610435</v>
      </c>
      <c r="G68" s="1031" t="s">
        <v>1414</v>
      </c>
      <c r="H68" s="1031" t="s">
        <v>1415</v>
      </c>
      <c r="I68" s="1063">
        <f>+'Ciudad Conectada'!Y116</f>
        <v>0.61111111111111116</v>
      </c>
      <c r="J68" s="1031" t="s">
        <v>92</v>
      </c>
      <c r="K68" s="1035" t="s">
        <v>2195</v>
      </c>
      <c r="P68"/>
    </row>
    <row r="69" spans="1:16" ht="30.75" thickBot="1" x14ac:dyDescent="0.3">
      <c r="A69" s="1031" t="s">
        <v>2215</v>
      </c>
      <c r="B69" s="1033">
        <f>'[1]PLAN DE DESARROLLO 2024 - 2027'!$K$123</f>
        <v>0.26239975735212717</v>
      </c>
      <c r="C69" s="1031" t="s">
        <v>2221</v>
      </c>
      <c r="D69" s="1034">
        <f>'[1]PLAN DE DESARROLLO 2024 - 2027'!$K$147</f>
        <v>0.37391919805103979</v>
      </c>
      <c r="E69" s="1031" t="s">
        <v>2227</v>
      </c>
      <c r="F69" s="1034">
        <f>'[1]PLAN DE DESARROLLO 2024 - 2027'!$K$151</f>
        <v>0.33406220779610435</v>
      </c>
      <c r="G69" s="1031" t="s">
        <v>1417</v>
      </c>
      <c r="H69" s="1031" t="s">
        <v>1418</v>
      </c>
      <c r="I69" s="1063">
        <f>+'Ciudad Conectada'!Y117</f>
        <v>1.2500000000000001E-2</v>
      </c>
      <c r="J69" s="1031" t="s">
        <v>2228</v>
      </c>
      <c r="K69" s="1035" t="s">
        <v>2195</v>
      </c>
      <c r="P69"/>
    </row>
    <row r="70" spans="1:16" ht="30.75" thickBot="1" x14ac:dyDescent="0.3">
      <c r="A70" s="1031" t="s">
        <v>2215</v>
      </c>
      <c r="B70" s="1033">
        <f>'[1]PLAN DE DESARROLLO 2024 - 2027'!$K$123</f>
        <v>0.26239975735212717</v>
      </c>
      <c r="C70" s="1031" t="s">
        <v>2221</v>
      </c>
      <c r="D70" s="1034">
        <f>'[1]PLAN DE DESARROLLO 2024 - 2027'!$K$147</f>
        <v>0.37391919805103979</v>
      </c>
      <c r="E70" s="1031" t="s">
        <v>2227</v>
      </c>
      <c r="F70" s="1034">
        <f>'[1]PLAN DE DESARROLLO 2024 - 2027'!$K$151</f>
        <v>0.33406220779610435</v>
      </c>
      <c r="G70" s="1031" t="s">
        <v>1421</v>
      </c>
      <c r="H70" s="1031" t="s">
        <v>1422</v>
      </c>
      <c r="I70" s="1063">
        <f>+'Ciudad Conectada'!Y118</f>
        <v>0.47899159663865548</v>
      </c>
      <c r="J70" s="1031" t="s">
        <v>92</v>
      </c>
      <c r="K70" s="1035" t="s">
        <v>2195</v>
      </c>
      <c r="P70"/>
    </row>
    <row r="71" spans="1:16" ht="30.75" thickBot="1" x14ac:dyDescent="0.3">
      <c r="A71" s="1031" t="s">
        <v>2215</v>
      </c>
      <c r="B71" s="1033">
        <f>'[1]PLAN DE DESARROLLO 2024 - 2027'!$K$123</f>
        <v>0.26239975735212717</v>
      </c>
      <c r="C71" s="1031" t="s">
        <v>2221</v>
      </c>
      <c r="D71" s="1034">
        <f>'[1]PLAN DE DESARROLLO 2024 - 2027'!$K$147</f>
        <v>0.37391919805103979</v>
      </c>
      <c r="E71" s="1031" t="s">
        <v>2227</v>
      </c>
      <c r="F71" s="1034">
        <f>'[1]PLAN DE DESARROLLO 2024 - 2027'!$K$151</f>
        <v>0.33406220779610435</v>
      </c>
      <c r="G71" s="1031" t="s">
        <v>1423</v>
      </c>
      <c r="H71" s="1031" t="s">
        <v>1424</v>
      </c>
      <c r="I71" s="1063">
        <f>+'Ciudad Conectada'!Y119</f>
        <v>0</v>
      </c>
      <c r="J71" s="1031" t="s">
        <v>92</v>
      </c>
      <c r="K71" s="1035" t="s">
        <v>2195</v>
      </c>
      <c r="P71"/>
    </row>
    <row r="72" spans="1:16" ht="30.75" thickBot="1" x14ac:dyDescent="0.3">
      <c r="A72" s="1031" t="s">
        <v>2215</v>
      </c>
      <c r="B72" s="1033">
        <f>'[1]PLAN DE DESARROLLO 2024 - 2027'!$K$123</f>
        <v>0.26239975735212717</v>
      </c>
      <c r="C72" s="1031" t="s">
        <v>2221</v>
      </c>
      <c r="D72" s="1034">
        <f>'[1]PLAN DE DESARROLLO 2024 - 2027'!$K$147</f>
        <v>0.37391919805103979</v>
      </c>
      <c r="E72" s="1031" t="s">
        <v>2227</v>
      </c>
      <c r="F72" s="1034">
        <f>'[1]PLAN DE DESARROLLO 2024 - 2027'!$K$151</f>
        <v>0.33406220779610435</v>
      </c>
      <c r="G72" s="1031" t="s">
        <v>1426</v>
      </c>
      <c r="H72" s="1031" t="s">
        <v>1427</v>
      </c>
      <c r="I72" s="1063">
        <f>+'Ciudad Conectada'!Y120</f>
        <v>0.8</v>
      </c>
      <c r="J72" s="1031" t="s">
        <v>92</v>
      </c>
      <c r="K72" s="1035" t="s">
        <v>2195</v>
      </c>
      <c r="P72"/>
    </row>
    <row r="73" spans="1:16" ht="38.450000000000003" customHeight="1" thickBot="1" x14ac:dyDescent="0.3">
      <c r="A73" s="1031" t="s">
        <v>2215</v>
      </c>
      <c r="B73" s="1033">
        <f>'[1]PLAN DE DESARROLLO 2024 - 2027'!$K$123</f>
        <v>0.26239975735212717</v>
      </c>
      <c r="C73" s="1031" t="s">
        <v>2221</v>
      </c>
      <c r="D73" s="1034">
        <f>'[1]PLAN DE DESARROLLO 2024 - 2027'!$K$147</f>
        <v>0.37391919805103979</v>
      </c>
      <c r="E73" s="1031" t="s">
        <v>2229</v>
      </c>
      <c r="F73" s="1034">
        <f>'[1]PLAN DE DESARROLLO 2024 - 2027'!$K$152</f>
        <v>0.61579910821757866</v>
      </c>
      <c r="G73" s="1031" t="s">
        <v>1429</v>
      </c>
      <c r="H73" s="1031" t="s">
        <v>1430</v>
      </c>
      <c r="I73" s="1063">
        <f>+'Ciudad Conectada'!Y122</f>
        <v>1</v>
      </c>
      <c r="J73" s="1031" t="s">
        <v>1431</v>
      </c>
      <c r="K73" s="1035" t="s">
        <v>2195</v>
      </c>
      <c r="P73"/>
    </row>
    <row r="74" spans="1:16" ht="30.75" thickBot="1" x14ac:dyDescent="0.3">
      <c r="A74" s="1031" t="s">
        <v>2215</v>
      </c>
      <c r="B74" s="1033">
        <f>'[1]PLAN DE DESARROLLO 2024 - 2027'!$K$123</f>
        <v>0.26239975735212717</v>
      </c>
      <c r="C74" s="1031" t="s">
        <v>2221</v>
      </c>
      <c r="D74" s="1034">
        <f>'[1]PLAN DE DESARROLLO 2024 - 2027'!$K$147</f>
        <v>0.37391919805103979</v>
      </c>
      <c r="E74" s="1031" t="s">
        <v>2229</v>
      </c>
      <c r="F74" s="1034">
        <f>'[1]PLAN DE DESARROLLO 2024 - 2027'!$K$152</f>
        <v>0.61579910821757866</v>
      </c>
      <c r="G74" s="1031" t="s">
        <v>1433</v>
      </c>
      <c r="H74" s="1031" t="s">
        <v>1434</v>
      </c>
      <c r="I74" s="1063">
        <f>+'Ciudad Conectada'!Y123</f>
        <v>1</v>
      </c>
      <c r="J74" s="1031" t="s">
        <v>1431</v>
      </c>
      <c r="K74" s="1035" t="s">
        <v>2195</v>
      </c>
      <c r="P74"/>
    </row>
    <row r="75" spans="1:16" ht="30.75" thickBot="1" x14ac:dyDescent="0.3">
      <c r="A75" s="1031" t="s">
        <v>2215</v>
      </c>
      <c r="B75" s="1033">
        <f>'[1]PLAN DE DESARROLLO 2024 - 2027'!$K$123</f>
        <v>0.26239975735212717</v>
      </c>
      <c r="C75" s="1031" t="s">
        <v>2221</v>
      </c>
      <c r="D75" s="1034">
        <f>'[1]PLAN DE DESARROLLO 2024 - 2027'!$K$147</f>
        <v>0.37391919805103979</v>
      </c>
      <c r="E75" s="1031" t="s">
        <v>2229</v>
      </c>
      <c r="F75" s="1034">
        <f>'[1]PLAN DE DESARROLLO 2024 - 2027'!$K$152</f>
        <v>0.61579910821757866</v>
      </c>
      <c r="G75" s="1031" t="s">
        <v>1435</v>
      </c>
      <c r="H75" s="1031" t="s">
        <v>1436</v>
      </c>
      <c r="I75" s="1064">
        <f>+'Ciudad Conectada'!Y124</f>
        <v>0</v>
      </c>
      <c r="J75" s="1031" t="s">
        <v>1431</v>
      </c>
      <c r="K75" s="1035" t="s">
        <v>2195</v>
      </c>
      <c r="P75"/>
    </row>
    <row r="76" spans="1:16" ht="30.75" thickBot="1" x14ac:dyDescent="0.3">
      <c r="A76" s="1031" t="s">
        <v>2215</v>
      </c>
      <c r="B76" s="1033">
        <f>'[1]PLAN DE DESARROLLO 2024 - 2027'!$K$123</f>
        <v>0.26239975735212717</v>
      </c>
      <c r="C76" s="1031" t="s">
        <v>2221</v>
      </c>
      <c r="D76" s="1034">
        <f>'[1]PLAN DE DESARROLLO 2024 - 2027'!$K$147</f>
        <v>0.37391919805103979</v>
      </c>
      <c r="E76" s="1031" t="s">
        <v>2229</v>
      </c>
      <c r="F76" s="1034">
        <f>'[1]PLAN DE DESARROLLO 2024 - 2027'!$K$152</f>
        <v>0.61579910821757866</v>
      </c>
      <c r="G76" s="1031" t="s">
        <v>1437</v>
      </c>
      <c r="H76" s="1031" t="s">
        <v>1438</v>
      </c>
      <c r="I76" s="1063">
        <f>+'Ciudad Conectada'!Y125</f>
        <v>1</v>
      </c>
      <c r="J76" s="1031" t="s">
        <v>1431</v>
      </c>
      <c r="K76" s="1035" t="s">
        <v>2195</v>
      </c>
      <c r="P76"/>
    </row>
    <row r="77" spans="1:16" ht="30.75" thickBot="1" x14ac:dyDescent="0.3">
      <c r="A77" s="1031" t="s">
        <v>2215</v>
      </c>
      <c r="B77" s="1033">
        <f>'[1]PLAN DE DESARROLLO 2024 - 2027'!$K$123</f>
        <v>0.26239975735212717</v>
      </c>
      <c r="C77" s="1031" t="s">
        <v>2221</v>
      </c>
      <c r="D77" s="1034">
        <f>'[1]PLAN DE DESARROLLO 2024 - 2027'!$K$147</f>
        <v>0.37391919805103979</v>
      </c>
      <c r="E77" s="1031" t="s">
        <v>2229</v>
      </c>
      <c r="F77" s="1034">
        <f>'[1]PLAN DE DESARROLLO 2024 - 2027'!$K$152</f>
        <v>0.61579910821757866</v>
      </c>
      <c r="G77" s="1031" t="s">
        <v>1441</v>
      </c>
      <c r="H77" s="1031" t="s">
        <v>1442</v>
      </c>
      <c r="I77" s="1064">
        <f>+'Ciudad Conectada'!Y126</f>
        <v>0</v>
      </c>
      <c r="J77" s="1031" t="s">
        <v>1431</v>
      </c>
      <c r="K77" s="1035" t="s">
        <v>2195</v>
      </c>
      <c r="P77"/>
    </row>
    <row r="78" spans="1:16" ht="30.75" thickBot="1" x14ac:dyDescent="0.3">
      <c r="A78" s="1031" t="s">
        <v>2215</v>
      </c>
      <c r="B78" s="1033">
        <f>'[1]PLAN DE DESARROLLO 2024 - 2027'!$K$123</f>
        <v>0.26239975735212717</v>
      </c>
      <c r="C78" s="1031" t="s">
        <v>2221</v>
      </c>
      <c r="D78" s="1034">
        <f>'[1]PLAN DE DESARROLLO 2024 - 2027'!$K$147</f>
        <v>0.37391919805103979</v>
      </c>
      <c r="E78" s="1031" t="s">
        <v>2229</v>
      </c>
      <c r="F78" s="1034">
        <f>'[1]PLAN DE DESARROLLO 2024 - 2027'!$K$152</f>
        <v>0.61579910821757866</v>
      </c>
      <c r="G78" s="1031" t="s">
        <v>1444</v>
      </c>
      <c r="H78" s="1031" t="s">
        <v>1445</v>
      </c>
      <c r="I78" s="1063">
        <f>+'Ciudad Conectada'!Y127</f>
        <v>0.60000000000000009</v>
      </c>
      <c r="J78" s="1031" t="s">
        <v>1431</v>
      </c>
      <c r="K78" s="1035" t="s">
        <v>2195</v>
      </c>
      <c r="P78"/>
    </row>
    <row r="79" spans="1:16" ht="30.75" thickBot="1" x14ac:dyDescent="0.3">
      <c r="A79" s="1031" t="s">
        <v>2215</v>
      </c>
      <c r="B79" s="1033">
        <f>'[1]PLAN DE DESARROLLO 2024 - 2027'!$K$123</f>
        <v>0.26239975735212717</v>
      </c>
      <c r="C79" s="1031" t="s">
        <v>2221</v>
      </c>
      <c r="D79" s="1034">
        <f>'[1]PLAN DE DESARROLLO 2024 - 2027'!$K$147</f>
        <v>0.37391919805103979</v>
      </c>
      <c r="E79" s="1031" t="s">
        <v>2229</v>
      </c>
      <c r="F79" s="1034">
        <f>'[1]PLAN DE DESARROLLO 2024 - 2027'!$K$152</f>
        <v>0.61579910821757866</v>
      </c>
      <c r="G79" s="1031" t="s">
        <v>1446</v>
      </c>
      <c r="H79" s="1031" t="s">
        <v>1447</v>
      </c>
      <c r="I79" s="1063">
        <f>+'Ciudad Conectada'!Y128</f>
        <v>0.64</v>
      </c>
      <c r="J79" s="1031" t="s">
        <v>1431</v>
      </c>
      <c r="K79" s="1035" t="s">
        <v>2195</v>
      </c>
      <c r="P79"/>
    </row>
    <row r="80" spans="1:16" ht="30.75" thickBot="1" x14ac:dyDescent="0.3">
      <c r="A80" s="1031" t="s">
        <v>2215</v>
      </c>
      <c r="B80" s="1033">
        <f>'[1]PLAN DE DESARROLLO 2024 - 2027'!$K$123</f>
        <v>0.26239975735212717</v>
      </c>
      <c r="C80" s="1031" t="s">
        <v>2221</v>
      </c>
      <c r="D80" s="1034">
        <f>'[1]PLAN DE DESARROLLO 2024 - 2027'!$K$147</f>
        <v>0.37391919805103979</v>
      </c>
      <c r="E80" s="1031" t="s">
        <v>2229</v>
      </c>
      <c r="F80" s="1034">
        <f>'[1]PLAN DE DESARROLLO 2024 - 2027'!$K$152</f>
        <v>0.61579910821757866</v>
      </c>
      <c r="G80" s="1031" t="s">
        <v>1449</v>
      </c>
      <c r="H80" s="1031" t="s">
        <v>1450</v>
      </c>
      <c r="I80" s="1063">
        <f>+'Ciudad Conectada'!Y129</f>
        <v>0.23333333333333331</v>
      </c>
      <c r="J80" s="1031" t="s">
        <v>2230</v>
      </c>
      <c r="K80" s="1035" t="s">
        <v>2195</v>
      </c>
      <c r="P80"/>
    </row>
    <row r="81" spans="1:16" ht="30.75" thickBot="1" x14ac:dyDescent="0.3">
      <c r="A81" s="1031" t="s">
        <v>2215</v>
      </c>
      <c r="B81" s="1033">
        <f>'[1]PLAN DE DESARROLLO 2024 - 2027'!$K$123</f>
        <v>0.26239975735212717</v>
      </c>
      <c r="C81" s="1031" t="s">
        <v>2221</v>
      </c>
      <c r="D81" s="1034">
        <f>'[1]PLAN DE DESARROLLO 2024 - 2027'!$K$147</f>
        <v>0.37391919805103979</v>
      </c>
      <c r="E81" s="1031" t="s">
        <v>2229</v>
      </c>
      <c r="F81" s="1034">
        <f>'[1]PLAN DE DESARROLLO 2024 - 2027'!$K$152</f>
        <v>0.61579910821757866</v>
      </c>
      <c r="G81" s="1031" t="s">
        <v>1452</v>
      </c>
      <c r="H81" s="1031" t="s">
        <v>1453</v>
      </c>
      <c r="I81" s="1064">
        <f>+'Ciudad Conectada'!Y130</f>
        <v>0</v>
      </c>
      <c r="J81" s="1031" t="s">
        <v>2231</v>
      </c>
      <c r="K81" s="1035" t="s">
        <v>2195</v>
      </c>
      <c r="P81"/>
    </row>
    <row r="82" spans="1:16" ht="30.75" thickBot="1" x14ac:dyDescent="0.3">
      <c r="A82" s="1031" t="s">
        <v>2215</v>
      </c>
      <c r="B82" s="1033">
        <f>'[1]PLAN DE DESARROLLO 2024 - 2027'!$K$123</f>
        <v>0.26239975735212717</v>
      </c>
      <c r="C82" s="1031" t="s">
        <v>2221</v>
      </c>
      <c r="D82" s="1034">
        <f>'[1]PLAN DE DESARROLLO 2024 - 2027'!$K$147</f>
        <v>0.37391919805103979</v>
      </c>
      <c r="E82" s="1031" t="s">
        <v>2229</v>
      </c>
      <c r="F82" s="1034">
        <f>'[1]PLAN DE DESARROLLO 2024 - 2027'!$K$152</f>
        <v>0.61579910821757866</v>
      </c>
      <c r="G82" s="1031" t="s">
        <v>1456</v>
      </c>
      <c r="H82" s="1031" t="s">
        <v>1457</v>
      </c>
      <c r="I82" s="1063">
        <f>+'Ciudad Conectada'!Y131</f>
        <v>0.2</v>
      </c>
      <c r="J82" s="1031" t="s">
        <v>2231</v>
      </c>
      <c r="K82" s="1035" t="s">
        <v>2195</v>
      </c>
      <c r="P82"/>
    </row>
    <row r="83" spans="1:16" ht="30.75" thickBot="1" x14ac:dyDescent="0.3">
      <c r="A83" s="1031" t="s">
        <v>2215</v>
      </c>
      <c r="B83" s="1033">
        <f>'[1]PLAN DE DESARROLLO 2024 - 2027'!$K$123</f>
        <v>0.26239975735212717</v>
      </c>
      <c r="C83" s="1031" t="s">
        <v>2221</v>
      </c>
      <c r="D83" s="1034">
        <f>'[1]PLAN DE DESARROLLO 2024 - 2027'!$K$147</f>
        <v>0.37391919805103979</v>
      </c>
      <c r="E83" s="1031" t="s">
        <v>2229</v>
      </c>
      <c r="F83" s="1034">
        <f>'[1]PLAN DE DESARROLLO 2024 - 2027'!$K$152</f>
        <v>0.61579910821757866</v>
      </c>
      <c r="G83" s="1031" t="s">
        <v>1458</v>
      </c>
      <c r="H83" s="1031" t="s">
        <v>1459</v>
      </c>
      <c r="I83" s="1063">
        <f>+'Ciudad Conectada'!Y132</f>
        <v>0.8</v>
      </c>
      <c r="J83" s="1031" t="s">
        <v>1431</v>
      </c>
      <c r="K83" s="1035" t="s">
        <v>2195</v>
      </c>
      <c r="P83"/>
    </row>
    <row r="84" spans="1:16" ht="30.75" thickBot="1" x14ac:dyDescent="0.3">
      <c r="A84" s="1031" t="s">
        <v>2215</v>
      </c>
      <c r="B84" s="1033">
        <f>'[1]PLAN DE DESARROLLO 2024 - 2027'!$K$123</f>
        <v>0.26239975735212717</v>
      </c>
      <c r="C84" s="1031" t="s">
        <v>2221</v>
      </c>
      <c r="D84" s="1034">
        <f>'[1]PLAN DE DESARROLLO 2024 - 2027'!$K$147</f>
        <v>0.37391919805103979</v>
      </c>
      <c r="E84" s="1031" t="s">
        <v>2229</v>
      </c>
      <c r="F84" s="1034">
        <f>'[1]PLAN DE DESARROLLO 2024 - 2027'!$K$152</f>
        <v>0.61579910821757866</v>
      </c>
      <c r="G84" s="1031" t="s">
        <v>1460</v>
      </c>
      <c r="H84" s="1031" t="s">
        <v>1461</v>
      </c>
      <c r="I84" s="1063">
        <f>+'Ciudad Conectada'!Y133</f>
        <v>1</v>
      </c>
      <c r="J84" s="1031" t="s">
        <v>1431</v>
      </c>
      <c r="K84" s="1035" t="s">
        <v>2195</v>
      </c>
      <c r="P84"/>
    </row>
    <row r="85" spans="1:16" ht="30.75" thickBot="1" x14ac:dyDescent="0.3">
      <c r="A85" s="1031" t="s">
        <v>2215</v>
      </c>
      <c r="B85" s="1033">
        <f>'[1]PLAN DE DESARROLLO 2024 - 2027'!$K$123</f>
        <v>0.26239975735212717</v>
      </c>
      <c r="C85" s="1031" t="s">
        <v>2221</v>
      </c>
      <c r="D85" s="1034">
        <f>'[1]PLAN DE DESARROLLO 2024 - 2027'!$K$147</f>
        <v>0.37391919805103979</v>
      </c>
      <c r="E85" s="1031" t="s">
        <v>2229</v>
      </c>
      <c r="F85" s="1034">
        <f>'[1]PLAN DE DESARROLLO 2024 - 2027'!$K$152</f>
        <v>0.61579910821757866</v>
      </c>
      <c r="G85" s="1031" t="s">
        <v>1462</v>
      </c>
      <c r="H85" s="1031" t="s">
        <v>1463</v>
      </c>
      <c r="I85" s="1063">
        <f>+'Ciudad Conectada'!Y134</f>
        <v>0.32918502624392804</v>
      </c>
      <c r="J85" s="1031" t="s">
        <v>1431</v>
      </c>
      <c r="K85" s="1035" t="s">
        <v>2195</v>
      </c>
      <c r="P85"/>
    </row>
    <row r="86" spans="1:16" ht="30.75" thickBot="1" x14ac:dyDescent="0.3">
      <c r="A86" s="1031" t="s">
        <v>2215</v>
      </c>
      <c r="B86" s="1036">
        <f>'[1]PLAN DE DESARROLLO 2024 - 2027'!$K$123</f>
        <v>0.26239975735212717</v>
      </c>
      <c r="C86" s="1031" t="s">
        <v>2232</v>
      </c>
      <c r="D86" s="1037">
        <v>0</v>
      </c>
      <c r="E86" s="1031" t="s">
        <v>1540</v>
      </c>
      <c r="F86" s="1037">
        <v>0</v>
      </c>
      <c r="G86" s="1031" t="s">
        <v>1541</v>
      </c>
      <c r="H86" s="1031" t="s">
        <v>1542</v>
      </c>
      <c r="I86" s="1064">
        <v>0</v>
      </c>
      <c r="J86" s="1031" t="s">
        <v>716</v>
      </c>
      <c r="K86" s="1038" t="s">
        <v>2195</v>
      </c>
      <c r="P86"/>
    </row>
    <row r="87" spans="1:16" ht="30.75" thickBot="1" x14ac:dyDescent="0.3">
      <c r="A87" s="1031" t="s">
        <v>2215</v>
      </c>
      <c r="B87" s="1036">
        <f>'[1]PLAN DE DESARROLLO 2024 - 2027'!$K$123</f>
        <v>0.26239975735212717</v>
      </c>
      <c r="C87" s="1031" t="s">
        <v>2232</v>
      </c>
      <c r="D87" s="1037">
        <v>0</v>
      </c>
      <c r="E87" s="1031" t="s">
        <v>1540</v>
      </c>
      <c r="F87" s="1037">
        <v>0</v>
      </c>
      <c r="G87" s="1031" t="s">
        <v>1543</v>
      </c>
      <c r="H87" s="1031" t="s">
        <v>1544</v>
      </c>
      <c r="I87" s="1064">
        <v>0</v>
      </c>
      <c r="J87" s="1031" t="s">
        <v>1545</v>
      </c>
      <c r="K87" s="1038" t="s">
        <v>2195</v>
      </c>
      <c r="P87"/>
    </row>
    <row r="88" spans="1:16" ht="30.75" thickBot="1" x14ac:dyDescent="0.3">
      <c r="A88" s="1031" t="s">
        <v>2215</v>
      </c>
      <c r="B88" s="1036">
        <f>'[1]PLAN DE DESARROLLO 2024 - 2027'!$K$123</f>
        <v>0.26239975735212717</v>
      </c>
      <c r="C88" s="1031" t="s">
        <v>2232</v>
      </c>
      <c r="D88" s="1037">
        <v>0</v>
      </c>
      <c r="E88" s="1031" t="s">
        <v>1540</v>
      </c>
      <c r="F88" s="1037">
        <v>0</v>
      </c>
      <c r="G88" s="1031" t="s">
        <v>1546</v>
      </c>
      <c r="H88" s="1031" t="s">
        <v>1547</v>
      </c>
      <c r="I88" s="1064">
        <v>0</v>
      </c>
      <c r="J88" s="1031" t="s">
        <v>1548</v>
      </c>
      <c r="K88" s="1038" t="s">
        <v>2195</v>
      </c>
      <c r="P88"/>
    </row>
    <row r="89" spans="1:16" ht="30.75" thickBot="1" x14ac:dyDescent="0.3">
      <c r="A89" s="1031" t="s">
        <v>2215</v>
      </c>
      <c r="B89" s="1033">
        <f>'[1]PLAN DE DESARROLLO 2024 - 2027'!$K$123</f>
        <v>0.26239975735212717</v>
      </c>
      <c r="C89" s="1031" t="s">
        <v>2223</v>
      </c>
      <c r="D89" s="1033">
        <f>'[1]PLAN DE DESARROLLO 2024 - 2027'!$K$153</f>
        <v>0.34122708333333335</v>
      </c>
      <c r="E89" s="1031" t="s">
        <v>1466</v>
      </c>
      <c r="F89" s="1034">
        <f>'[1]PLAN DE DESARROLLO 2024 - 2027'!$K$154</f>
        <v>0.18507500000000002</v>
      </c>
      <c r="G89" s="1031" t="s">
        <v>1467</v>
      </c>
      <c r="H89" s="1031" t="s">
        <v>1468</v>
      </c>
      <c r="I89" s="1063">
        <f>+'Ciudad Conectada'!Y137</f>
        <v>0.24007500000000004</v>
      </c>
      <c r="J89" s="1031" t="s">
        <v>925</v>
      </c>
      <c r="K89" s="1035" t="s">
        <v>2195</v>
      </c>
      <c r="P89"/>
    </row>
    <row r="90" spans="1:16" ht="45.75" thickBot="1" x14ac:dyDescent="0.3">
      <c r="A90" s="1031" t="s">
        <v>2215</v>
      </c>
      <c r="B90" s="1033">
        <f>'[1]PLAN DE DESARROLLO 2024 - 2027'!$K$123</f>
        <v>0.26239975735212717</v>
      </c>
      <c r="C90" s="1031" t="s">
        <v>2223</v>
      </c>
      <c r="D90" s="1033">
        <f>'[1]PLAN DE DESARROLLO 2024 - 2027'!$K$153</f>
        <v>0.34122708333333335</v>
      </c>
      <c r="E90" s="1031" t="s">
        <v>1466</v>
      </c>
      <c r="F90" s="1034">
        <f>'[1]PLAN DE DESARROLLO 2024 - 2027'!$K$154</f>
        <v>0.18507500000000002</v>
      </c>
      <c r="G90" s="1031" t="s">
        <v>1469</v>
      </c>
      <c r="H90" s="1031" t="s">
        <v>1470</v>
      </c>
      <c r="I90" s="1064">
        <f>+'Ciudad Conectada'!Y138</f>
        <v>0</v>
      </c>
      <c r="J90" s="1031" t="s">
        <v>2233</v>
      </c>
      <c r="K90" s="1035" t="s">
        <v>2195</v>
      </c>
      <c r="P90"/>
    </row>
    <row r="91" spans="1:16" ht="30.75" thickBot="1" x14ac:dyDescent="0.3">
      <c r="A91" s="1031" t="s">
        <v>2215</v>
      </c>
      <c r="B91" s="1033">
        <f>'[1]PLAN DE DESARROLLO 2024 - 2027'!$K$123</f>
        <v>0.26239975735212717</v>
      </c>
      <c r="C91" s="1031" t="s">
        <v>2223</v>
      </c>
      <c r="D91" s="1033">
        <f>'[1]PLAN DE DESARROLLO 2024 - 2027'!$K$153</f>
        <v>0.34122708333333335</v>
      </c>
      <c r="E91" s="1031" t="s">
        <v>1466</v>
      </c>
      <c r="F91" s="1034">
        <f>'[1]PLAN DE DESARROLLO 2024 - 2027'!$K$154</f>
        <v>0.18507500000000002</v>
      </c>
      <c r="G91" s="1031" t="s">
        <v>1474</v>
      </c>
      <c r="H91" s="1031" t="s">
        <v>1475</v>
      </c>
      <c r="I91" s="1064">
        <f>+'Ciudad Conectada'!Y139</f>
        <v>0</v>
      </c>
      <c r="J91" s="1031" t="s">
        <v>2234</v>
      </c>
      <c r="K91" s="1035" t="s">
        <v>2195</v>
      </c>
      <c r="P91"/>
    </row>
    <row r="92" spans="1:16" ht="30.75" thickBot="1" x14ac:dyDescent="0.3">
      <c r="A92" s="1031" t="s">
        <v>2215</v>
      </c>
      <c r="B92" s="1033">
        <f>'[1]PLAN DE DESARROLLO 2024 - 2027'!$K$123</f>
        <v>0.26239975735212717</v>
      </c>
      <c r="C92" s="1031" t="s">
        <v>2223</v>
      </c>
      <c r="D92" s="1033">
        <f>'[1]PLAN DE DESARROLLO 2024 - 2027'!$K$153</f>
        <v>0.34122708333333335</v>
      </c>
      <c r="E92" s="1031" t="s">
        <v>1478</v>
      </c>
      <c r="F92" s="1034">
        <f>'[1]PLAN DE DESARROLLO 2024 - 2027'!$K$155</f>
        <v>0.60866666666666669</v>
      </c>
      <c r="G92" s="1031" t="s">
        <v>1479</v>
      </c>
      <c r="H92" s="1031" t="s">
        <v>1480</v>
      </c>
      <c r="I92" s="1063">
        <f>+'Ciudad Conectada'!Y141</f>
        <v>8.7948999999999986E-2</v>
      </c>
      <c r="J92" s="1031" t="s">
        <v>2235</v>
      </c>
      <c r="K92" s="1035" t="s">
        <v>2195</v>
      </c>
      <c r="P92"/>
    </row>
    <row r="93" spans="1:16" ht="30.75" thickBot="1" x14ac:dyDescent="0.3">
      <c r="A93" s="1031" t="s">
        <v>2215</v>
      </c>
      <c r="B93" s="1033">
        <f>'[1]PLAN DE DESARROLLO 2024 - 2027'!$K$123</f>
        <v>0.26239975735212717</v>
      </c>
      <c r="C93" s="1031" t="s">
        <v>2223</v>
      </c>
      <c r="D93" s="1033">
        <f>'[1]PLAN DE DESARROLLO 2024 - 2027'!$K$153</f>
        <v>0.34122708333333335</v>
      </c>
      <c r="E93" s="1031" t="s">
        <v>1478</v>
      </c>
      <c r="F93" s="1034">
        <f>'[1]PLAN DE DESARROLLO 2024 - 2027'!$K$155</f>
        <v>0.60866666666666669</v>
      </c>
      <c r="G93" s="1031" t="s">
        <v>1482</v>
      </c>
      <c r="H93" s="1031" t="s">
        <v>1483</v>
      </c>
      <c r="I93" s="1063">
        <f>+'Ciudad Conectada'!Y142</f>
        <v>0.29599999999999999</v>
      </c>
      <c r="J93" s="1031" t="s">
        <v>2235</v>
      </c>
      <c r="K93" s="1035" t="s">
        <v>2195</v>
      </c>
      <c r="P93"/>
    </row>
    <row r="94" spans="1:16" ht="30.75" thickBot="1" x14ac:dyDescent="0.3">
      <c r="A94" s="1031" t="s">
        <v>2215</v>
      </c>
      <c r="B94" s="1033">
        <f>'[1]PLAN DE DESARROLLO 2024 - 2027'!$K$123</f>
        <v>0.26239975735212717</v>
      </c>
      <c r="C94" s="1031" t="s">
        <v>2223</v>
      </c>
      <c r="D94" s="1033">
        <f>'[1]PLAN DE DESARROLLO 2024 - 2027'!$K$153</f>
        <v>0.34122708333333335</v>
      </c>
      <c r="E94" s="1031" t="s">
        <v>1478</v>
      </c>
      <c r="F94" s="1034">
        <f>'[1]PLAN DE DESARROLLO 2024 - 2027'!$K$155</f>
        <v>0.60866666666666669</v>
      </c>
      <c r="G94" s="1031" t="s">
        <v>1486</v>
      </c>
      <c r="H94" s="1031" t="s">
        <v>1487</v>
      </c>
      <c r="I94" s="1063">
        <f>+'Ciudad Conectada'!Y143</f>
        <v>1</v>
      </c>
      <c r="J94" s="1031" t="s">
        <v>2235</v>
      </c>
      <c r="K94" s="1035" t="s">
        <v>2195</v>
      </c>
      <c r="P94"/>
    </row>
    <row r="95" spans="1:16" ht="30.75" thickBot="1" x14ac:dyDescent="0.3">
      <c r="A95" s="1031" t="s">
        <v>2215</v>
      </c>
      <c r="B95" s="1033">
        <f>'[1]PLAN DE DESARROLLO 2024 - 2027'!$K$123</f>
        <v>0.26239975735212717</v>
      </c>
      <c r="C95" s="1031" t="s">
        <v>2223</v>
      </c>
      <c r="D95" s="1033">
        <f>'[1]PLAN DE DESARROLLO 2024 - 2027'!$K$153</f>
        <v>0.34122708333333335</v>
      </c>
      <c r="E95" s="1031" t="s">
        <v>2236</v>
      </c>
      <c r="F95" s="1034">
        <f>'[1]PLAN DE DESARROLLO 2024 - 2027'!$K$156</f>
        <v>0.434</v>
      </c>
      <c r="G95" s="1031" t="s">
        <v>1490</v>
      </c>
      <c r="H95" s="1031" t="s">
        <v>1491</v>
      </c>
      <c r="I95" s="1063">
        <f>+'Ciudad Conectada'!Y145</f>
        <v>0</v>
      </c>
      <c r="J95" s="1031" t="s">
        <v>2237</v>
      </c>
      <c r="K95" s="1035" t="s">
        <v>2195</v>
      </c>
      <c r="P95"/>
    </row>
    <row r="96" spans="1:16" ht="30.75" thickBot="1" x14ac:dyDescent="0.3">
      <c r="A96" s="1031" t="s">
        <v>2215</v>
      </c>
      <c r="B96" s="1033">
        <f>'[1]PLAN DE DESARROLLO 2024 - 2027'!$K$123</f>
        <v>0.26239975735212717</v>
      </c>
      <c r="C96" s="1031" t="s">
        <v>2223</v>
      </c>
      <c r="D96" s="1033">
        <f>'[1]PLAN DE DESARROLLO 2024 - 2027'!$K$153</f>
        <v>0.34122708333333335</v>
      </c>
      <c r="E96" s="1031" t="s">
        <v>2236</v>
      </c>
      <c r="F96" s="1034">
        <f>'[1]PLAN DE DESARROLLO 2024 - 2027'!$K$156</f>
        <v>0.434</v>
      </c>
      <c r="G96" s="1031" t="s">
        <v>1493</v>
      </c>
      <c r="H96" s="1031" t="s">
        <v>1494</v>
      </c>
      <c r="I96" s="1063">
        <f>+'Ciudad Conectada'!Y146</f>
        <v>1</v>
      </c>
      <c r="J96" s="1031" t="s">
        <v>925</v>
      </c>
      <c r="K96" s="1035" t="s">
        <v>2195</v>
      </c>
      <c r="P96"/>
    </row>
    <row r="97" spans="1:16" ht="30.75" thickBot="1" x14ac:dyDescent="0.3">
      <c r="A97" s="1031" t="s">
        <v>2215</v>
      </c>
      <c r="B97" s="1033">
        <f>'[1]PLAN DE DESARROLLO 2024 - 2027'!$K$123</f>
        <v>0.26239975735212717</v>
      </c>
      <c r="C97" s="1031" t="s">
        <v>2223</v>
      </c>
      <c r="D97" s="1033">
        <f>'[1]PLAN DE DESARROLLO 2024 - 2027'!$K$153</f>
        <v>0.34122708333333335</v>
      </c>
      <c r="E97" s="1031" t="s">
        <v>2236</v>
      </c>
      <c r="F97" s="1034">
        <f>'[1]PLAN DE DESARROLLO 2024 - 2027'!$K$156</f>
        <v>0.434</v>
      </c>
      <c r="G97" s="1031" t="s">
        <v>1495</v>
      </c>
      <c r="H97" s="1031" t="s">
        <v>1496</v>
      </c>
      <c r="I97" s="1063">
        <f>+'Ciudad Conectada'!Y147</f>
        <v>1</v>
      </c>
      <c r="J97" s="1031" t="s">
        <v>925</v>
      </c>
      <c r="K97" s="1035" t="s">
        <v>2195</v>
      </c>
      <c r="P97"/>
    </row>
    <row r="98" spans="1:16" ht="30.75" thickBot="1" x14ac:dyDescent="0.3">
      <c r="A98" s="1031" t="s">
        <v>2215</v>
      </c>
      <c r="B98" s="1033">
        <f>'[1]PLAN DE DESARROLLO 2024 - 2027'!$K$123</f>
        <v>0.26239975735212717</v>
      </c>
      <c r="C98" s="1031" t="s">
        <v>2223</v>
      </c>
      <c r="D98" s="1033">
        <f>'[1]PLAN DE DESARROLLO 2024 - 2027'!$K$153</f>
        <v>0.34122708333333335</v>
      </c>
      <c r="E98" s="1031" t="s">
        <v>2236</v>
      </c>
      <c r="F98" s="1034">
        <f>'[1]PLAN DE DESARROLLO 2024 - 2027'!$K$156</f>
        <v>0.434</v>
      </c>
      <c r="G98" s="1031" t="s">
        <v>1498</v>
      </c>
      <c r="H98" s="1031" t="s">
        <v>1499</v>
      </c>
      <c r="I98" s="1063">
        <f>+'Ciudad Conectada'!Y148</f>
        <v>0.16</v>
      </c>
      <c r="J98" s="1031" t="s">
        <v>716</v>
      </c>
      <c r="K98" s="1035" t="s">
        <v>2195</v>
      </c>
      <c r="P98"/>
    </row>
    <row r="99" spans="1:16" ht="30.75" thickBot="1" x14ac:dyDescent="0.3">
      <c r="A99" s="1031" t="s">
        <v>2215</v>
      </c>
      <c r="B99" s="1033">
        <f>'[1]PLAN DE DESARROLLO 2024 - 2027'!$K$123</f>
        <v>0.26239975735212717</v>
      </c>
      <c r="C99" s="1031" t="s">
        <v>2223</v>
      </c>
      <c r="D99" s="1033">
        <f>'[1]PLAN DE DESARROLLO 2024 - 2027'!$K$153</f>
        <v>0.34122708333333335</v>
      </c>
      <c r="E99" s="1031" t="s">
        <v>2236</v>
      </c>
      <c r="F99" s="1034">
        <f>'[1]PLAN DE DESARROLLO 2024 - 2027'!$K$156</f>
        <v>0.434</v>
      </c>
      <c r="G99" s="1031" t="s">
        <v>1500</v>
      </c>
      <c r="H99" s="1031" t="s">
        <v>1501</v>
      </c>
      <c r="I99" s="1063">
        <f>+'Ciudad Conectada'!Y149</f>
        <v>0</v>
      </c>
      <c r="J99" s="1031" t="s">
        <v>2234</v>
      </c>
      <c r="K99" s="1035" t="s">
        <v>2195</v>
      </c>
      <c r="P99"/>
    </row>
    <row r="100" spans="1:16" ht="30.75" thickBot="1" x14ac:dyDescent="0.3">
      <c r="A100" s="1031" t="s">
        <v>2215</v>
      </c>
      <c r="B100" s="1033">
        <f>'[1]PLAN DE DESARROLLO 2024 - 2027'!$K$123</f>
        <v>0.26239975735212717</v>
      </c>
      <c r="C100" s="1031" t="s">
        <v>2223</v>
      </c>
      <c r="D100" s="1033">
        <f>'[1]PLAN DE DESARROLLO 2024 - 2027'!$K$153</f>
        <v>0.34122708333333335</v>
      </c>
      <c r="E100" s="1031" t="s">
        <v>2238</v>
      </c>
      <c r="F100" s="1034">
        <f>'[1]PLAN DE DESARROLLO 2024 - 2027'!$K$157</f>
        <v>0.13716666666666669</v>
      </c>
      <c r="G100" s="1031" t="s">
        <v>1504</v>
      </c>
      <c r="H100" s="1031" t="s">
        <v>1505</v>
      </c>
      <c r="I100" s="1063">
        <f>+'Ciudad Conectada'!Y151</f>
        <v>0.60299999999999998</v>
      </c>
      <c r="J100" s="1031" t="s">
        <v>925</v>
      </c>
      <c r="K100" s="1035" t="s">
        <v>2195</v>
      </c>
      <c r="P100"/>
    </row>
    <row r="101" spans="1:16" ht="60.75" thickBot="1" x14ac:dyDescent="0.3">
      <c r="A101" s="1031" t="s">
        <v>2215</v>
      </c>
      <c r="B101" s="1033">
        <f>'[1]PLAN DE DESARROLLO 2024 - 2027'!$K$123</f>
        <v>0.26239975735212717</v>
      </c>
      <c r="C101" s="1031" t="s">
        <v>2223</v>
      </c>
      <c r="D101" s="1033">
        <f>'[1]PLAN DE DESARROLLO 2024 - 2027'!$K$153</f>
        <v>0.34122708333333335</v>
      </c>
      <c r="E101" s="1031" t="s">
        <v>2238</v>
      </c>
      <c r="F101" s="1034">
        <f>'[1]PLAN DE DESARROLLO 2024 - 2027'!$K$157</f>
        <v>0.13716666666666669</v>
      </c>
      <c r="G101" s="1031" t="s">
        <v>1507</v>
      </c>
      <c r="H101" s="1031" t="s">
        <v>1508</v>
      </c>
      <c r="I101" s="1063">
        <f>+'Ciudad Conectada'!Y152</f>
        <v>0.32999999999999996</v>
      </c>
      <c r="J101" s="1031" t="s">
        <v>925</v>
      </c>
      <c r="K101" s="1035" t="s">
        <v>2195</v>
      </c>
      <c r="P101"/>
    </row>
    <row r="102" spans="1:16" ht="45.75" thickBot="1" x14ac:dyDescent="0.3">
      <c r="A102" s="1031" t="s">
        <v>2215</v>
      </c>
      <c r="B102" s="1033">
        <f>'[1]PLAN DE DESARROLLO 2024 - 2027'!$K$123</f>
        <v>0.26239975735212717</v>
      </c>
      <c r="C102" s="1031" t="s">
        <v>2223</v>
      </c>
      <c r="D102" s="1033">
        <f>'[1]PLAN DE DESARROLLO 2024 - 2027'!$K$153</f>
        <v>0.34122708333333335</v>
      </c>
      <c r="E102" s="1031" t="s">
        <v>2238</v>
      </c>
      <c r="F102" s="1034">
        <f>'[1]PLAN DE DESARROLLO 2024 - 2027'!$K$157</f>
        <v>0.13716666666666669</v>
      </c>
      <c r="G102" s="1031" t="s">
        <v>1509</v>
      </c>
      <c r="H102" s="1031" t="s">
        <v>1510</v>
      </c>
      <c r="I102" s="1063">
        <f>+'Ciudad Conectada'!Y153</f>
        <v>0.25</v>
      </c>
      <c r="J102" s="1031" t="s">
        <v>925</v>
      </c>
      <c r="K102" s="1035" t="s">
        <v>2195</v>
      </c>
      <c r="P102"/>
    </row>
    <row r="103" spans="1:16" ht="30.75" thickBot="1" x14ac:dyDescent="0.3">
      <c r="A103" s="1031" t="s">
        <v>2215</v>
      </c>
      <c r="B103" s="1033">
        <f>'[1]PLAN DE DESARROLLO 2024 - 2027'!$K$123</f>
        <v>0.26239975735212717</v>
      </c>
      <c r="C103" s="1031" t="s">
        <v>2223</v>
      </c>
      <c r="D103" s="1033">
        <f>'[1]PLAN DE DESARROLLO 2024 - 2027'!$K$153</f>
        <v>0.34122708333333335</v>
      </c>
      <c r="E103" s="1031" t="s">
        <v>2238</v>
      </c>
      <c r="F103" s="1034">
        <f>'[1]PLAN DE DESARROLLO 2024 - 2027'!$K$157</f>
        <v>0.13716666666666669</v>
      </c>
      <c r="G103" s="1031" t="s">
        <v>1511</v>
      </c>
      <c r="H103" s="1031" t="s">
        <v>1512</v>
      </c>
      <c r="I103" s="1063">
        <f>+'Ciudad Conectada'!Y154</f>
        <v>0.33999999999999997</v>
      </c>
      <c r="J103" s="1031" t="s">
        <v>716</v>
      </c>
      <c r="K103" s="1035" t="s">
        <v>2195</v>
      </c>
      <c r="P103"/>
    </row>
    <row r="104" spans="1:16" ht="30.75" thickBot="1" x14ac:dyDescent="0.3">
      <c r="A104" s="1031" t="s">
        <v>2215</v>
      </c>
      <c r="B104" s="1033">
        <f>'[1]PLAN DE DESARROLLO 2024 - 2027'!$K$123</f>
        <v>0.26239975735212717</v>
      </c>
      <c r="C104" s="1031" t="s">
        <v>2223</v>
      </c>
      <c r="D104" s="1033">
        <f>'[1]PLAN DE DESARROLLO 2024 - 2027'!$K$153</f>
        <v>0.34122708333333335</v>
      </c>
      <c r="E104" s="1031" t="s">
        <v>2238</v>
      </c>
      <c r="F104" s="1034">
        <f>'[1]PLAN DE DESARROLLO 2024 - 2027'!$K$157</f>
        <v>0.13716666666666669</v>
      </c>
      <c r="G104" s="1031" t="s">
        <v>1513</v>
      </c>
      <c r="H104" s="1031" t="s">
        <v>1514</v>
      </c>
      <c r="I104" s="1063">
        <f>+'Ciudad Conectada'!Y155</f>
        <v>0</v>
      </c>
      <c r="J104" s="1031" t="s">
        <v>716</v>
      </c>
      <c r="K104" s="1035" t="s">
        <v>2195</v>
      </c>
      <c r="P104"/>
    </row>
    <row r="105" spans="1:16" ht="30.75" thickBot="1" x14ac:dyDescent="0.3">
      <c r="A105" s="1031" t="s">
        <v>2215</v>
      </c>
      <c r="B105" s="1033">
        <f>'[1]PLAN DE DESARROLLO 2024 - 2027'!$K$123</f>
        <v>0.26239975735212717</v>
      </c>
      <c r="C105" s="1031" t="s">
        <v>2223</v>
      </c>
      <c r="D105" s="1033">
        <f>'[1]PLAN DE DESARROLLO 2024 - 2027'!$K$153</f>
        <v>0.34122708333333335</v>
      </c>
      <c r="E105" s="1031" t="s">
        <v>2238</v>
      </c>
      <c r="F105" s="1034">
        <f>'[1]PLAN DE DESARROLLO 2024 - 2027'!$K$157</f>
        <v>0.13716666666666669</v>
      </c>
      <c r="G105" s="1031" t="s">
        <v>1515</v>
      </c>
      <c r="H105" s="1031" t="s">
        <v>1516</v>
      </c>
      <c r="I105" s="1063">
        <f>+'Ciudad Conectada'!Y156</f>
        <v>5.3333333333333337E-2</v>
      </c>
      <c r="J105" s="1031" t="s">
        <v>716</v>
      </c>
      <c r="K105" s="1035" t="s">
        <v>2195</v>
      </c>
      <c r="P105"/>
    </row>
    <row r="106" spans="1:16" ht="42.6" customHeight="1" thickBot="1" x14ac:dyDescent="0.3">
      <c r="A106" s="1031" t="s">
        <v>2215</v>
      </c>
      <c r="B106" s="1033">
        <f>'[1]PLAN DE DESARROLLO 2024 - 2027'!$K$123</f>
        <v>0.26239975735212717</v>
      </c>
      <c r="C106" s="1031" t="s">
        <v>2223</v>
      </c>
      <c r="D106" s="1033">
        <f>'[1]PLAN DE DESARROLLO 2024 - 2027'!$K$153</f>
        <v>0.34122708333333335</v>
      </c>
      <c r="E106" s="1031" t="s">
        <v>2238</v>
      </c>
      <c r="F106" s="1034">
        <f>'[1]PLAN DE DESARROLLO 2024 - 2027'!$K$157</f>
        <v>0.13716666666666669</v>
      </c>
      <c r="G106" s="1031" t="s">
        <v>1517</v>
      </c>
      <c r="H106" s="1031" t="s">
        <v>1518</v>
      </c>
      <c r="I106" s="1063">
        <f>+'Ciudad Conectada'!Y157</f>
        <v>0.05</v>
      </c>
      <c r="J106" s="1031" t="s">
        <v>716</v>
      </c>
      <c r="K106" s="1035" t="s">
        <v>2195</v>
      </c>
      <c r="P106"/>
    </row>
    <row r="107" spans="1:16" ht="30.75" thickBot="1" x14ac:dyDescent="0.3">
      <c r="A107" s="1031" t="s">
        <v>2215</v>
      </c>
      <c r="B107" s="1033">
        <f>'[1]PLAN DE DESARROLLO 2024 - 2027'!$K$123</f>
        <v>0.26239975735212717</v>
      </c>
      <c r="C107" s="1031" t="s">
        <v>2223</v>
      </c>
      <c r="D107" s="1033">
        <f>'[1]PLAN DE DESARROLLO 2024 - 2027'!$K$153</f>
        <v>0.34122708333333335</v>
      </c>
      <c r="E107" s="1031" t="s">
        <v>2238</v>
      </c>
      <c r="F107" s="1034">
        <f>'[1]PLAN DE DESARROLLO 2024 - 2027'!$K$157</f>
        <v>0.13716666666666669</v>
      </c>
      <c r="G107" s="1031" t="s">
        <v>1520</v>
      </c>
      <c r="H107" s="1031" t="s">
        <v>1521</v>
      </c>
      <c r="I107" s="1064">
        <f>+'Ciudad Conectada'!Y158</f>
        <v>0</v>
      </c>
      <c r="J107" s="1031" t="s">
        <v>716</v>
      </c>
      <c r="K107" s="1035" t="s">
        <v>2195</v>
      </c>
      <c r="P107"/>
    </row>
    <row r="108" spans="1:16" ht="30.75" thickBot="1" x14ac:dyDescent="0.3">
      <c r="A108" s="1031" t="s">
        <v>2215</v>
      </c>
      <c r="B108" s="1033">
        <f>'[1]PLAN DE DESARROLLO 2024 - 2027'!$K$123</f>
        <v>0.26239975735212717</v>
      </c>
      <c r="C108" s="1031" t="s">
        <v>2239</v>
      </c>
      <c r="D108" s="1034">
        <f>'[1]PLAN DE DESARROLLO 2024 - 2027'!$K$124</f>
        <v>0.27085566891891893</v>
      </c>
      <c r="E108" s="1031" t="s">
        <v>1166</v>
      </c>
      <c r="F108" s="1034">
        <f>'[1]PLAN DE DESARROLLO 2024 - 2027'!$K$125</f>
        <v>0.2578125</v>
      </c>
      <c r="G108" s="1031" t="s">
        <v>1167</v>
      </c>
      <c r="H108" s="1031" t="s">
        <v>1168</v>
      </c>
      <c r="I108" s="1063">
        <f>+'Ciudad Conectada'!Y6</f>
        <v>0.372</v>
      </c>
      <c r="J108" s="1031" t="s">
        <v>716</v>
      </c>
      <c r="K108" s="1035" t="s">
        <v>2195</v>
      </c>
      <c r="P108"/>
    </row>
    <row r="109" spans="1:16" ht="45.75" thickBot="1" x14ac:dyDescent="0.3">
      <c r="A109" s="1031" t="s">
        <v>2215</v>
      </c>
      <c r="B109" s="1033">
        <f>'[1]PLAN DE DESARROLLO 2024 - 2027'!$K$123</f>
        <v>0.26239975735212717</v>
      </c>
      <c r="C109" s="1031" t="s">
        <v>2239</v>
      </c>
      <c r="D109" s="1034">
        <f>'[1]PLAN DE DESARROLLO 2024 - 2027'!$K$124</f>
        <v>0.27085566891891893</v>
      </c>
      <c r="E109" s="1031" t="s">
        <v>1166</v>
      </c>
      <c r="F109" s="1034">
        <f>'[1]PLAN DE DESARROLLO 2024 - 2027'!$K$125</f>
        <v>0.2578125</v>
      </c>
      <c r="G109" s="1031" t="s">
        <v>1170</v>
      </c>
      <c r="H109" s="1031" t="s">
        <v>1171</v>
      </c>
      <c r="I109" s="1063">
        <f>+'Ciudad Conectada'!Y7</f>
        <v>0.81</v>
      </c>
      <c r="J109" s="1031" t="s">
        <v>716</v>
      </c>
      <c r="K109" s="1035" t="s">
        <v>2195</v>
      </c>
      <c r="P109"/>
    </row>
    <row r="110" spans="1:16" ht="30.75" thickBot="1" x14ac:dyDescent="0.3">
      <c r="A110" s="1031" t="s">
        <v>2215</v>
      </c>
      <c r="B110" s="1033">
        <f>'[1]PLAN DE DESARROLLO 2024 - 2027'!$K$123</f>
        <v>0.26239975735212717</v>
      </c>
      <c r="C110" s="1031" t="s">
        <v>2239</v>
      </c>
      <c r="D110" s="1034">
        <f>'[1]PLAN DE DESARROLLO 2024 - 2027'!$K$124</f>
        <v>0.27085566891891893</v>
      </c>
      <c r="E110" s="1031" t="s">
        <v>1166</v>
      </c>
      <c r="F110" s="1034">
        <f>'[1]PLAN DE DESARROLLO 2024 - 2027'!$K$125</f>
        <v>0.2578125</v>
      </c>
      <c r="G110" s="1031" t="s">
        <v>1172</v>
      </c>
      <c r="H110" s="1031" t="s">
        <v>1173</v>
      </c>
      <c r="I110" s="1064">
        <f>+'Ciudad Conectada'!Y8</f>
        <v>0</v>
      </c>
      <c r="J110" s="1031" t="s">
        <v>2240</v>
      </c>
      <c r="K110" s="1035" t="s">
        <v>2195</v>
      </c>
      <c r="P110"/>
    </row>
    <row r="111" spans="1:16" ht="30.75" thickBot="1" x14ac:dyDescent="0.3">
      <c r="A111" s="1031" t="s">
        <v>2215</v>
      </c>
      <c r="B111" s="1033">
        <f>'[1]PLAN DE DESARROLLO 2024 - 2027'!$K$123</f>
        <v>0.26239975735212717</v>
      </c>
      <c r="C111" s="1031" t="s">
        <v>2239</v>
      </c>
      <c r="D111" s="1034">
        <f>'[1]PLAN DE DESARROLLO 2024 - 2027'!$K$124</f>
        <v>0.27085566891891893</v>
      </c>
      <c r="E111" s="1031" t="s">
        <v>1166</v>
      </c>
      <c r="F111" s="1034">
        <f>'[1]PLAN DE DESARROLLO 2024 - 2027'!$K$125</f>
        <v>0.2578125</v>
      </c>
      <c r="G111" s="1031" t="s">
        <v>1175</v>
      </c>
      <c r="H111" s="1031" t="s">
        <v>1176</v>
      </c>
      <c r="I111" s="1064">
        <f>+'Ciudad Conectada'!Y9</f>
        <v>0</v>
      </c>
      <c r="J111" s="1031" t="s">
        <v>716</v>
      </c>
      <c r="K111" s="1035" t="s">
        <v>2195</v>
      </c>
      <c r="P111"/>
    </row>
    <row r="112" spans="1:16" ht="60.75" thickBot="1" x14ac:dyDescent="0.3">
      <c r="A112" s="1031" t="s">
        <v>2215</v>
      </c>
      <c r="B112" s="1033">
        <f>'[1]PLAN DE DESARROLLO 2024 - 2027'!$K$123</f>
        <v>0.26239975735212717</v>
      </c>
      <c r="C112" s="1031" t="s">
        <v>2239</v>
      </c>
      <c r="D112" s="1034">
        <f>'[1]PLAN DE DESARROLLO 2024 - 2027'!$K$124</f>
        <v>0.27085566891891893</v>
      </c>
      <c r="E112" s="1031" t="s">
        <v>1166</v>
      </c>
      <c r="F112" s="1034">
        <f>'[1]PLAN DE DESARROLLO 2024 - 2027'!$K$125</f>
        <v>0.2578125</v>
      </c>
      <c r="G112" s="1031" t="s">
        <v>1177</v>
      </c>
      <c r="H112" s="1031" t="s">
        <v>1178</v>
      </c>
      <c r="I112" s="1064">
        <f>+'Ciudad Conectada'!Y10</f>
        <v>0</v>
      </c>
      <c r="J112" s="1031" t="s">
        <v>716</v>
      </c>
      <c r="K112" s="1035" t="s">
        <v>2195</v>
      </c>
      <c r="P112"/>
    </row>
    <row r="113" spans="1:16" ht="45.75" thickBot="1" x14ac:dyDescent="0.3">
      <c r="A113" s="1031" t="s">
        <v>2215</v>
      </c>
      <c r="B113" s="1033">
        <f>'[1]PLAN DE DESARROLLO 2024 - 2027'!$K$123</f>
        <v>0.26239975735212717</v>
      </c>
      <c r="C113" s="1031" t="s">
        <v>2239</v>
      </c>
      <c r="D113" s="1034">
        <f>'[1]PLAN DE DESARROLLO 2024 - 2027'!$K$124</f>
        <v>0.27085566891891893</v>
      </c>
      <c r="E113" s="1031" t="s">
        <v>1166</v>
      </c>
      <c r="F113" s="1034">
        <f>'[1]PLAN DE DESARROLLO 2024 - 2027'!$K$125</f>
        <v>0.2578125</v>
      </c>
      <c r="G113" s="1031" t="s">
        <v>1179</v>
      </c>
      <c r="H113" s="1031" t="s">
        <v>1180</v>
      </c>
      <c r="I113" s="1064">
        <f>+'Ciudad Conectada'!Y11</f>
        <v>0</v>
      </c>
      <c r="J113" s="1031" t="s">
        <v>716</v>
      </c>
      <c r="K113" s="1035" t="s">
        <v>2195</v>
      </c>
      <c r="P113"/>
    </row>
    <row r="114" spans="1:16" ht="30.75" thickBot="1" x14ac:dyDescent="0.3">
      <c r="A114" s="1031" t="s">
        <v>2215</v>
      </c>
      <c r="B114" s="1033">
        <f>'[1]PLAN DE DESARROLLO 2024 - 2027'!$K$123</f>
        <v>0.26239975735212717</v>
      </c>
      <c r="C114" s="1031" t="s">
        <v>2239</v>
      </c>
      <c r="D114" s="1034">
        <f>'[1]PLAN DE DESARROLLO 2024 - 2027'!$K$124</f>
        <v>0.27085566891891893</v>
      </c>
      <c r="E114" s="1031" t="s">
        <v>1166</v>
      </c>
      <c r="F114" s="1034">
        <f>'[1]PLAN DE DESARROLLO 2024 - 2027'!$K$125</f>
        <v>0.2578125</v>
      </c>
      <c r="G114" s="1031" t="s">
        <v>1181</v>
      </c>
      <c r="H114" s="1031" t="s">
        <v>1182</v>
      </c>
      <c r="I114" s="1064">
        <f>+'Ciudad Conectada'!Y12</f>
        <v>0</v>
      </c>
      <c r="J114" s="1031" t="s">
        <v>716</v>
      </c>
      <c r="K114" s="1035" t="s">
        <v>2195</v>
      </c>
      <c r="P114"/>
    </row>
    <row r="115" spans="1:16" ht="30.75" thickBot="1" x14ac:dyDescent="0.3">
      <c r="A115" s="1031" t="s">
        <v>2215</v>
      </c>
      <c r="B115" s="1033">
        <f>'[1]PLAN DE DESARROLLO 2024 - 2027'!$K$123</f>
        <v>0.26239975735212717</v>
      </c>
      <c r="C115" s="1031" t="s">
        <v>2239</v>
      </c>
      <c r="D115" s="1034">
        <f>'[1]PLAN DE DESARROLLO 2024 - 2027'!$K$124</f>
        <v>0.27085566891891893</v>
      </c>
      <c r="E115" s="1031" t="s">
        <v>1166</v>
      </c>
      <c r="F115" s="1034">
        <f>'[1]PLAN DE DESARROLLO 2024 - 2027'!$K$125</f>
        <v>0.2578125</v>
      </c>
      <c r="G115" s="1031" t="s">
        <v>1183</v>
      </c>
      <c r="H115" s="1031" t="s">
        <v>1184</v>
      </c>
      <c r="I115" s="1063">
        <f>+'Ciudad Conectada'!Y13</f>
        <v>0.14333333333333331</v>
      </c>
      <c r="J115" s="1031" t="s">
        <v>716</v>
      </c>
      <c r="K115" s="1035" t="s">
        <v>2195</v>
      </c>
      <c r="P115"/>
    </row>
    <row r="116" spans="1:16" ht="30.75" thickBot="1" x14ac:dyDescent="0.3">
      <c r="A116" s="1031" t="s">
        <v>2215</v>
      </c>
      <c r="B116" s="1033">
        <f>'[1]PLAN DE DESARROLLO 2024 - 2027'!$K$123</f>
        <v>0.26239975735212717</v>
      </c>
      <c r="C116" s="1031" t="s">
        <v>2239</v>
      </c>
      <c r="D116" s="1034">
        <f>'[1]PLAN DE DESARROLLO 2024 - 2027'!$K$124</f>
        <v>0.27085566891891893</v>
      </c>
      <c r="E116" s="1031" t="s">
        <v>1166</v>
      </c>
      <c r="F116" s="1034">
        <f>'[1]PLAN DE DESARROLLO 2024 - 2027'!$K$125</f>
        <v>0.2578125</v>
      </c>
      <c r="G116" s="1031" t="s">
        <v>1185</v>
      </c>
      <c r="H116" s="1031" t="s">
        <v>1186</v>
      </c>
      <c r="I116" s="1063">
        <f>+'Ciudad Conectada'!Y14</f>
        <v>0.155</v>
      </c>
      <c r="J116" s="1031" t="s">
        <v>716</v>
      </c>
      <c r="K116" s="1035" t="s">
        <v>2195</v>
      </c>
      <c r="P116"/>
    </row>
    <row r="117" spans="1:16" ht="60.75" thickBot="1" x14ac:dyDescent="0.3">
      <c r="A117" s="1031" t="s">
        <v>2215</v>
      </c>
      <c r="B117" s="1033">
        <f>'[1]PLAN DE DESARROLLO 2024 - 2027'!$K$123</f>
        <v>0.26239975735212717</v>
      </c>
      <c r="C117" s="1031" t="s">
        <v>2239</v>
      </c>
      <c r="D117" s="1034">
        <f>'[1]PLAN DE DESARROLLO 2024 - 2027'!$K$124</f>
        <v>0.27085566891891893</v>
      </c>
      <c r="E117" s="1031" t="s">
        <v>1166</v>
      </c>
      <c r="F117" s="1034">
        <f>'[1]PLAN DE DESARROLLO 2024 - 2027'!$K$125</f>
        <v>0.2578125</v>
      </c>
      <c r="G117" s="1031" t="s">
        <v>1187</v>
      </c>
      <c r="H117" s="1031" t="s">
        <v>1188</v>
      </c>
      <c r="I117" s="1063">
        <f>+'Ciudad Conectada'!Y15</f>
        <v>0.2</v>
      </c>
      <c r="J117" s="1031" t="s">
        <v>716</v>
      </c>
      <c r="K117" s="1035" t="s">
        <v>2195</v>
      </c>
      <c r="P117"/>
    </row>
    <row r="118" spans="1:16" ht="30.75" thickBot="1" x14ac:dyDescent="0.3">
      <c r="A118" s="1031" t="s">
        <v>2215</v>
      </c>
      <c r="B118" s="1033">
        <f>'[1]PLAN DE DESARROLLO 2024 - 2027'!$K$123</f>
        <v>0.26239975735212717</v>
      </c>
      <c r="C118" s="1031" t="s">
        <v>2239</v>
      </c>
      <c r="D118" s="1034">
        <f>'[1]PLAN DE DESARROLLO 2024 - 2027'!$K$124</f>
        <v>0.27085566891891893</v>
      </c>
      <c r="E118" s="1031" t="s">
        <v>1166</v>
      </c>
      <c r="F118" s="1034">
        <f>'[1]PLAN DE DESARROLLO 2024 - 2027'!$K$125</f>
        <v>0.2578125</v>
      </c>
      <c r="G118" s="1031" t="s">
        <v>1189</v>
      </c>
      <c r="H118" s="1031" t="s">
        <v>1190</v>
      </c>
      <c r="I118" s="1063">
        <f>+'Ciudad Conectada'!Y16</f>
        <v>0.2</v>
      </c>
      <c r="J118" s="1031" t="s">
        <v>2225</v>
      </c>
      <c r="K118" s="1035" t="s">
        <v>2195</v>
      </c>
      <c r="P118"/>
    </row>
    <row r="119" spans="1:16" ht="30.75" thickBot="1" x14ac:dyDescent="0.3">
      <c r="A119" s="1031" t="s">
        <v>2215</v>
      </c>
      <c r="B119" s="1033">
        <f>'[1]PLAN DE DESARROLLO 2024 - 2027'!$K$123</f>
        <v>0.26239975735212717</v>
      </c>
      <c r="C119" s="1031" t="s">
        <v>2239</v>
      </c>
      <c r="D119" s="1034">
        <f>'[1]PLAN DE DESARROLLO 2024 - 2027'!$K$124</f>
        <v>0.27085566891891893</v>
      </c>
      <c r="E119" s="1031" t="s">
        <v>1166</v>
      </c>
      <c r="F119" s="1034">
        <f>'[1]PLAN DE DESARROLLO 2024 - 2027'!$K$125</f>
        <v>0.2578125</v>
      </c>
      <c r="G119" s="1031" t="s">
        <v>1192</v>
      </c>
      <c r="H119" s="1031" t="s">
        <v>1193</v>
      </c>
      <c r="I119" s="1063">
        <f>+'Ciudad Conectada'!Y17</f>
        <v>0.375</v>
      </c>
      <c r="J119" s="1031" t="s">
        <v>2225</v>
      </c>
      <c r="K119" s="1035" t="s">
        <v>2195</v>
      </c>
      <c r="P119"/>
    </row>
    <row r="120" spans="1:16" ht="30.75" thickBot="1" x14ac:dyDescent="0.3">
      <c r="A120" s="1031" t="s">
        <v>2215</v>
      </c>
      <c r="B120" s="1033">
        <f>'[1]PLAN DE DESARROLLO 2024 - 2027'!$K$123</f>
        <v>0.26239975735212717</v>
      </c>
      <c r="C120" s="1031" t="s">
        <v>2239</v>
      </c>
      <c r="D120" s="1034">
        <f>'[1]PLAN DE DESARROLLO 2024 - 2027'!$K$124</f>
        <v>0.27085566891891893</v>
      </c>
      <c r="E120" s="1031" t="s">
        <v>1166</v>
      </c>
      <c r="F120" s="1034">
        <f>'[1]PLAN DE DESARROLLO 2024 - 2027'!$K$125</f>
        <v>0.2578125</v>
      </c>
      <c r="G120" s="1031" t="s">
        <v>1194</v>
      </c>
      <c r="H120" s="1031" t="s">
        <v>1195</v>
      </c>
      <c r="I120" s="1063">
        <f>+'Ciudad Conectada'!Y18</f>
        <v>0.23570000000000002</v>
      </c>
      <c r="J120" s="1031" t="s">
        <v>2225</v>
      </c>
      <c r="K120" s="1035" t="s">
        <v>2195</v>
      </c>
      <c r="P120"/>
    </row>
    <row r="121" spans="1:16" ht="45.75" thickBot="1" x14ac:dyDescent="0.3">
      <c r="A121" s="1031" t="s">
        <v>2215</v>
      </c>
      <c r="B121" s="1033">
        <f>'[1]PLAN DE DESARROLLO 2024 - 2027'!$K$123</f>
        <v>0.26239975735212717</v>
      </c>
      <c r="C121" s="1031" t="s">
        <v>2239</v>
      </c>
      <c r="D121" s="1034">
        <f>'[1]PLAN DE DESARROLLO 2024 - 2027'!$K$124</f>
        <v>0.27085566891891893</v>
      </c>
      <c r="E121" s="1031" t="s">
        <v>1166</v>
      </c>
      <c r="F121" s="1034">
        <f>'[1]PLAN DE DESARROLLO 2024 - 2027'!$K$125</f>
        <v>0.2578125</v>
      </c>
      <c r="G121" s="1031" t="s">
        <v>1196</v>
      </c>
      <c r="H121" s="1031" t="s">
        <v>1197</v>
      </c>
      <c r="I121" s="1064">
        <f>+'Ciudad Conectada'!Y19</f>
        <v>0</v>
      </c>
      <c r="J121" s="1031" t="s">
        <v>2225</v>
      </c>
      <c r="K121" s="1035" t="s">
        <v>2195</v>
      </c>
      <c r="P121"/>
    </row>
    <row r="122" spans="1:16" ht="45.75" thickBot="1" x14ac:dyDescent="0.3">
      <c r="A122" s="1031" t="s">
        <v>2215</v>
      </c>
      <c r="B122" s="1033">
        <f>'[1]PLAN DE DESARROLLO 2024 - 2027'!$K$123</f>
        <v>0.26239975735212717</v>
      </c>
      <c r="C122" s="1031" t="s">
        <v>2239</v>
      </c>
      <c r="D122" s="1034">
        <f>'[1]PLAN DE DESARROLLO 2024 - 2027'!$K$124</f>
        <v>0.27085566891891893</v>
      </c>
      <c r="E122" s="1031" t="s">
        <v>1166</v>
      </c>
      <c r="F122" s="1034">
        <f>'[1]PLAN DE DESARROLLO 2024 - 2027'!$K$125</f>
        <v>0.2578125</v>
      </c>
      <c r="G122" s="1031" t="s">
        <v>1198</v>
      </c>
      <c r="H122" s="1031" t="s">
        <v>1199</v>
      </c>
      <c r="I122" s="1064">
        <f>+'Ciudad Conectada'!Y20</f>
        <v>0.05</v>
      </c>
      <c r="J122" s="1031" t="s">
        <v>716</v>
      </c>
      <c r="K122" s="1035" t="s">
        <v>2195</v>
      </c>
      <c r="P122"/>
    </row>
    <row r="123" spans="1:16" ht="24.6" customHeight="1" thickBot="1" x14ac:dyDescent="0.3">
      <c r="A123" s="1031" t="s">
        <v>2215</v>
      </c>
      <c r="B123" s="1033">
        <f>'[1]PLAN DE DESARROLLO 2024 - 2027'!$K$123</f>
        <v>0.26239975735212717</v>
      </c>
      <c r="C123" s="1031" t="s">
        <v>2239</v>
      </c>
      <c r="D123" s="1034">
        <f>'[1]PLAN DE DESARROLLO 2024 - 2027'!$K$124</f>
        <v>0.27085566891891893</v>
      </c>
      <c r="E123" s="1031" t="s">
        <v>1166</v>
      </c>
      <c r="F123" s="1034">
        <f>'[1]PLAN DE DESARROLLO 2024 - 2027'!$K$125</f>
        <v>0.2578125</v>
      </c>
      <c r="G123" s="1031" t="s">
        <v>1200</v>
      </c>
      <c r="H123" s="1031" t="s">
        <v>1201</v>
      </c>
      <c r="I123" s="1064">
        <f>+'Ciudad Conectada'!Y21</f>
        <v>0</v>
      </c>
      <c r="J123" s="1031" t="s">
        <v>716</v>
      </c>
      <c r="K123" s="1035" t="s">
        <v>2195</v>
      </c>
      <c r="P123"/>
    </row>
    <row r="124" spans="1:16" ht="30.75" thickBot="1" x14ac:dyDescent="0.3">
      <c r="A124" s="1031" t="s">
        <v>2215</v>
      </c>
      <c r="B124" s="1033">
        <f>'[1]PLAN DE DESARROLLO 2024 - 2027'!$K$123</f>
        <v>0.26239975735212717</v>
      </c>
      <c r="C124" s="1031" t="s">
        <v>2239</v>
      </c>
      <c r="D124" s="1034">
        <f>'[1]PLAN DE DESARROLLO 2024 - 2027'!$K$124</f>
        <v>0.27085566891891893</v>
      </c>
      <c r="E124" s="1031" t="s">
        <v>2241</v>
      </c>
      <c r="F124" s="1034">
        <f>'[1]PLAN DE DESARROLLO 2024 - 2027'!$K$126</f>
        <v>0.28389883783783787</v>
      </c>
      <c r="G124" s="1031" t="s">
        <v>1204</v>
      </c>
      <c r="H124" s="1031" t="s">
        <v>1205</v>
      </c>
      <c r="I124" s="1063">
        <f>+'Ciudad Conectada'!Y23</f>
        <v>0.75840432432432425</v>
      </c>
      <c r="J124" s="1031" t="s">
        <v>1206</v>
      </c>
      <c r="K124" s="1035" t="s">
        <v>2195</v>
      </c>
      <c r="P124"/>
    </row>
    <row r="125" spans="1:16" ht="30.75" thickBot="1" x14ac:dyDescent="0.3">
      <c r="A125" s="1031" t="s">
        <v>2215</v>
      </c>
      <c r="B125" s="1033">
        <f>'[1]PLAN DE DESARROLLO 2024 - 2027'!$K$123</f>
        <v>0.26239975735212717</v>
      </c>
      <c r="C125" s="1031" t="s">
        <v>2239</v>
      </c>
      <c r="D125" s="1034">
        <f>'[1]PLAN DE DESARROLLO 2024 - 2027'!$K$124</f>
        <v>0.27085566891891893</v>
      </c>
      <c r="E125" s="1031" t="s">
        <v>2241</v>
      </c>
      <c r="F125" s="1034">
        <f>'[1]PLAN DE DESARROLLO 2024 - 2027'!$K$126</f>
        <v>0.28389883783783787</v>
      </c>
      <c r="G125" s="1031" t="s">
        <v>1207</v>
      </c>
      <c r="H125" s="1031" t="s">
        <v>1208</v>
      </c>
      <c r="I125" s="1064">
        <f>+'Ciudad Conectada'!Y24</f>
        <v>0</v>
      </c>
      <c r="J125" s="1031" t="s">
        <v>1206</v>
      </c>
      <c r="K125" s="1035" t="s">
        <v>2195</v>
      </c>
      <c r="P125"/>
    </row>
    <row r="126" spans="1:16" ht="30.75" thickBot="1" x14ac:dyDescent="0.3">
      <c r="A126" s="1031" t="s">
        <v>2215</v>
      </c>
      <c r="B126" s="1033">
        <f>'[1]PLAN DE DESARROLLO 2024 - 2027'!$K$123</f>
        <v>0.26239975735212717</v>
      </c>
      <c r="C126" s="1031" t="s">
        <v>2239</v>
      </c>
      <c r="D126" s="1034">
        <f>'[1]PLAN DE DESARROLLO 2024 - 2027'!$K$124</f>
        <v>0.27085566891891893</v>
      </c>
      <c r="E126" s="1031" t="s">
        <v>2241</v>
      </c>
      <c r="F126" s="1034">
        <f>'[1]PLAN DE DESARROLLO 2024 - 2027'!$K$126</f>
        <v>0.28389883783783787</v>
      </c>
      <c r="G126" s="1031" t="s">
        <v>1209</v>
      </c>
      <c r="H126" s="1031" t="s">
        <v>1210</v>
      </c>
      <c r="I126" s="1063">
        <f>+'Ciudad Conectada'!Y25</f>
        <v>0.4</v>
      </c>
      <c r="J126" s="1031" t="s">
        <v>1206</v>
      </c>
      <c r="K126" s="1035" t="s">
        <v>2195</v>
      </c>
      <c r="P126"/>
    </row>
    <row r="127" spans="1:16" ht="30.75" thickBot="1" x14ac:dyDescent="0.3">
      <c r="A127" s="1031" t="s">
        <v>2215</v>
      </c>
      <c r="B127" s="1033">
        <f>'[1]PLAN DE DESARROLLO 2024 - 2027'!$K$123</f>
        <v>0.26239975735212717</v>
      </c>
      <c r="C127" s="1031" t="s">
        <v>2242</v>
      </c>
      <c r="D127" s="1034">
        <f>'[1]PLAN DE DESARROLLO 2024 - 2027'!$K$127</f>
        <v>0.20083333333333336</v>
      </c>
      <c r="E127" s="1031" t="s">
        <v>2243</v>
      </c>
      <c r="F127" s="1034">
        <f>'[1]PLAN DE DESARROLLO 2024 - 2027'!$K$128</f>
        <v>0.1</v>
      </c>
      <c r="G127" s="1031" t="s">
        <v>1213</v>
      </c>
      <c r="H127" s="1031" t="s">
        <v>1214</v>
      </c>
      <c r="I127" s="1064">
        <f>+'Ciudad Conectada'!Y28</f>
        <v>0.25</v>
      </c>
      <c r="J127" s="1031" t="s">
        <v>716</v>
      </c>
      <c r="K127" s="1035" t="s">
        <v>2195</v>
      </c>
      <c r="P127"/>
    </row>
    <row r="128" spans="1:16" ht="45.75" thickBot="1" x14ac:dyDescent="0.3">
      <c r="A128" s="1031" t="s">
        <v>2215</v>
      </c>
      <c r="B128" s="1033">
        <f>'[1]PLAN DE DESARROLLO 2024 - 2027'!$K$123</f>
        <v>0.26239975735212717</v>
      </c>
      <c r="C128" s="1031" t="s">
        <v>2242</v>
      </c>
      <c r="D128" s="1034">
        <f>'[1]PLAN DE DESARROLLO 2024 - 2027'!$K$127</f>
        <v>0.20083333333333336</v>
      </c>
      <c r="E128" s="1031" t="s">
        <v>2243</v>
      </c>
      <c r="F128" s="1034">
        <f>'[1]PLAN DE DESARROLLO 2024 - 2027'!$K$128</f>
        <v>0.1</v>
      </c>
      <c r="G128" s="1031" t="s">
        <v>1216</v>
      </c>
      <c r="H128" s="1031" t="s">
        <v>1217</v>
      </c>
      <c r="I128" s="1064">
        <f>+'Ciudad Conectada'!Y29</f>
        <v>0.5</v>
      </c>
      <c r="J128" s="1031" t="s">
        <v>716</v>
      </c>
      <c r="K128" s="1035" t="s">
        <v>2195</v>
      </c>
      <c r="P128"/>
    </row>
    <row r="129" spans="1:16" ht="30.75" thickBot="1" x14ac:dyDescent="0.3">
      <c r="A129" s="1031" t="s">
        <v>2215</v>
      </c>
      <c r="B129" s="1033">
        <f>'[1]PLAN DE DESARROLLO 2024 - 2027'!$K$123</f>
        <v>0.26239975735212717</v>
      </c>
      <c r="C129" s="1031" t="s">
        <v>2242</v>
      </c>
      <c r="D129" s="1034">
        <f>'[1]PLAN DE DESARROLLO 2024 - 2027'!$K$127</f>
        <v>0.20083333333333336</v>
      </c>
      <c r="E129" s="1031" t="s">
        <v>2243</v>
      </c>
      <c r="F129" s="1034">
        <f>'[1]PLAN DE DESARROLLO 2024 - 2027'!$K$128</f>
        <v>0.1</v>
      </c>
      <c r="G129" s="1031" t="s">
        <v>1219</v>
      </c>
      <c r="H129" s="1031" t="s">
        <v>1220</v>
      </c>
      <c r="I129" s="1064">
        <f>+'Ciudad Conectada'!Y30</f>
        <v>0.1</v>
      </c>
      <c r="J129" s="1031" t="s">
        <v>716</v>
      </c>
      <c r="K129" s="1035" t="s">
        <v>2195</v>
      </c>
      <c r="P129"/>
    </row>
    <row r="130" spans="1:16" ht="30.75" thickBot="1" x14ac:dyDescent="0.3">
      <c r="A130" s="1031" t="s">
        <v>2215</v>
      </c>
      <c r="B130" s="1033">
        <f>'[1]PLAN DE DESARROLLO 2024 - 2027'!$K$123</f>
        <v>0.26239975735212717</v>
      </c>
      <c r="C130" s="1031" t="s">
        <v>2242</v>
      </c>
      <c r="D130" s="1034">
        <f>'[1]PLAN DE DESARROLLO 2024 - 2027'!$K$127</f>
        <v>0.20083333333333336</v>
      </c>
      <c r="E130" s="1031" t="s">
        <v>2243</v>
      </c>
      <c r="F130" s="1034">
        <f>'[1]PLAN DE DESARROLLO 2024 - 2027'!$K$128</f>
        <v>0.1</v>
      </c>
      <c r="G130" s="1031" t="s">
        <v>1222</v>
      </c>
      <c r="H130" s="1031" t="s">
        <v>1223</v>
      </c>
      <c r="I130" s="1063">
        <f>+'Ciudad Conectada'!Y31</f>
        <v>0.5</v>
      </c>
      <c r="J130" s="1031" t="s">
        <v>1224</v>
      </c>
      <c r="K130" s="1035" t="s">
        <v>2195</v>
      </c>
      <c r="P130"/>
    </row>
    <row r="131" spans="1:16" ht="30.75" thickBot="1" x14ac:dyDescent="0.3">
      <c r="A131" s="1031" t="s">
        <v>2215</v>
      </c>
      <c r="B131" s="1033">
        <f>'[1]PLAN DE DESARROLLO 2024 - 2027'!$K$123</f>
        <v>0.26239975735212717</v>
      </c>
      <c r="C131" s="1031" t="s">
        <v>2242</v>
      </c>
      <c r="D131" s="1034">
        <f>'[1]PLAN DE DESARROLLO 2024 - 2027'!$K$127</f>
        <v>0.20083333333333336</v>
      </c>
      <c r="E131" s="1031" t="s">
        <v>2243</v>
      </c>
      <c r="F131" s="1034">
        <f>'[1]PLAN DE DESARROLLO 2024 - 2027'!$K$128</f>
        <v>0.1</v>
      </c>
      <c r="G131" s="1031" t="s">
        <v>1225</v>
      </c>
      <c r="H131" s="1031" t="s">
        <v>1226</v>
      </c>
      <c r="I131" s="1064">
        <f>+'Ciudad Conectada'!Y32</f>
        <v>0</v>
      </c>
      <c r="J131" s="1031" t="s">
        <v>716</v>
      </c>
      <c r="K131" s="1035" t="s">
        <v>2195</v>
      </c>
      <c r="P131"/>
    </row>
    <row r="132" spans="1:16" ht="44.45" customHeight="1" thickBot="1" x14ac:dyDescent="0.3">
      <c r="A132" s="1031" t="s">
        <v>2215</v>
      </c>
      <c r="B132" s="1033">
        <f>'[1]PLAN DE DESARROLLO 2024 - 2027'!$K$123</f>
        <v>0.26239975735212717</v>
      </c>
      <c r="C132" s="1031" t="s">
        <v>2242</v>
      </c>
      <c r="D132" s="1034">
        <f>'[1]PLAN DE DESARROLLO 2024 - 2027'!$K$127</f>
        <v>0.20083333333333336</v>
      </c>
      <c r="E132" s="1031" t="s">
        <v>2244</v>
      </c>
      <c r="F132" s="1034">
        <f>'[1]PLAN DE DESARROLLO 2024 - 2027'!$K$129</f>
        <v>0.30166666666666669</v>
      </c>
      <c r="G132" s="1031" t="s">
        <v>1229</v>
      </c>
      <c r="H132" s="1031" t="s">
        <v>1230</v>
      </c>
      <c r="I132" s="1063">
        <f>+'Ciudad Conectada'!Y34</f>
        <v>0.34607142857142859</v>
      </c>
      <c r="J132" s="1031" t="s">
        <v>716</v>
      </c>
      <c r="K132" s="1035" t="s">
        <v>2195</v>
      </c>
      <c r="P132"/>
    </row>
    <row r="133" spans="1:16" ht="30.75" thickBot="1" x14ac:dyDescent="0.3">
      <c r="A133" s="1031" t="s">
        <v>2215</v>
      </c>
      <c r="B133" s="1033">
        <f>'[1]PLAN DE DESARROLLO 2024 - 2027'!$K$123</f>
        <v>0.26239975735212717</v>
      </c>
      <c r="C133" s="1031" t="s">
        <v>2242</v>
      </c>
      <c r="D133" s="1034">
        <f>'[1]PLAN DE DESARROLLO 2024 - 2027'!$K$127</f>
        <v>0.20083333333333336</v>
      </c>
      <c r="E133" s="1031" t="s">
        <v>2244</v>
      </c>
      <c r="F133" s="1034">
        <f>'[1]PLAN DE DESARROLLO 2024 - 2027'!$K$129</f>
        <v>0.30166666666666669</v>
      </c>
      <c r="G133" s="1031" t="s">
        <v>1231</v>
      </c>
      <c r="H133" s="1031" t="s">
        <v>1232</v>
      </c>
      <c r="I133" s="1064">
        <f>+'Ciudad Conectada'!Y35</f>
        <v>0</v>
      </c>
      <c r="J133" s="1031" t="s">
        <v>716</v>
      </c>
      <c r="K133" s="1035" t="s">
        <v>2195</v>
      </c>
      <c r="P133"/>
    </row>
    <row r="134" spans="1:16" ht="30.75" thickBot="1" x14ac:dyDescent="0.3">
      <c r="A134" s="1031" t="s">
        <v>2215</v>
      </c>
      <c r="B134" s="1033">
        <f>'[1]PLAN DE DESARROLLO 2024 - 2027'!$K$123</f>
        <v>0.26239975735212717</v>
      </c>
      <c r="C134" s="1031" t="s">
        <v>2242</v>
      </c>
      <c r="D134" s="1034">
        <f>'[1]PLAN DE DESARROLLO 2024 - 2027'!$K$127</f>
        <v>0.20083333333333336</v>
      </c>
      <c r="E134" s="1031" t="s">
        <v>2244</v>
      </c>
      <c r="F134" s="1034">
        <f>'[1]PLAN DE DESARROLLO 2024 - 2027'!$K$129</f>
        <v>0.30166666666666669</v>
      </c>
      <c r="G134" s="1031" t="s">
        <v>1234</v>
      </c>
      <c r="H134" s="1031" t="s">
        <v>1235</v>
      </c>
      <c r="I134" s="1063">
        <f>+'Ciudad Conectada'!Y36</f>
        <v>0.41125</v>
      </c>
      <c r="J134" s="1031" t="s">
        <v>716</v>
      </c>
      <c r="K134" s="1035" t="s">
        <v>2195</v>
      </c>
      <c r="P134"/>
    </row>
    <row r="135" spans="1:16" ht="45.75" thickBot="1" x14ac:dyDescent="0.3">
      <c r="A135" s="1031" t="s">
        <v>2215</v>
      </c>
      <c r="B135" s="1033">
        <f>'[1]PLAN DE DESARROLLO 2024 - 2027'!$K$123</f>
        <v>0.26239975735212717</v>
      </c>
      <c r="C135" s="1031" t="s">
        <v>2245</v>
      </c>
      <c r="D135" s="1033">
        <f>'[1]PLAN DE DESARROLLO 2024 - 2027'!$K$130</f>
        <v>0.15049988888888891</v>
      </c>
      <c r="E135" s="1031" t="s">
        <v>2246</v>
      </c>
      <c r="F135" s="1034">
        <f>'[1]PLAN DE DESARROLLO 2024 - 2027'!$K$131</f>
        <v>0.12639999999999998</v>
      </c>
      <c r="G135" s="1031" t="s">
        <v>1238</v>
      </c>
      <c r="H135" s="1031" t="s">
        <v>1239</v>
      </c>
      <c r="I135" s="1063">
        <f>+'Ciudad Conectada'!Y39</f>
        <v>0.3125</v>
      </c>
      <c r="J135" s="1031" t="s">
        <v>1100</v>
      </c>
      <c r="K135" s="1035" t="s">
        <v>2195</v>
      </c>
      <c r="P135"/>
    </row>
    <row r="136" spans="1:16" ht="30.75" thickBot="1" x14ac:dyDescent="0.3">
      <c r="A136" s="1031" t="s">
        <v>2215</v>
      </c>
      <c r="B136" s="1033">
        <f>'[1]PLAN DE DESARROLLO 2024 - 2027'!$K$123</f>
        <v>0.26239975735212717</v>
      </c>
      <c r="C136" s="1031" t="s">
        <v>2245</v>
      </c>
      <c r="D136" s="1033">
        <f>'[1]PLAN DE DESARROLLO 2024 - 2027'!$K$130</f>
        <v>0.15049988888888891</v>
      </c>
      <c r="E136" s="1031" t="s">
        <v>2246</v>
      </c>
      <c r="F136" s="1034">
        <f>'[1]PLAN DE DESARROLLO 2024 - 2027'!$K$131</f>
        <v>0.12639999999999998</v>
      </c>
      <c r="G136" s="1031" t="s">
        <v>1240</v>
      </c>
      <c r="H136" s="1031" t="s">
        <v>1241</v>
      </c>
      <c r="I136" s="1063">
        <f>+'Ciudad Conectada'!Y40</f>
        <v>0.15679999999999999</v>
      </c>
      <c r="J136" s="1031" t="s">
        <v>1100</v>
      </c>
      <c r="K136" s="1035" t="s">
        <v>2195</v>
      </c>
      <c r="P136"/>
    </row>
    <row r="137" spans="1:16" ht="30.75" thickBot="1" x14ac:dyDescent="0.3">
      <c r="A137" s="1031" t="s">
        <v>2215</v>
      </c>
      <c r="B137" s="1033">
        <f>'[1]PLAN DE DESARROLLO 2024 - 2027'!$K$123</f>
        <v>0.26239975735212717</v>
      </c>
      <c r="C137" s="1031" t="s">
        <v>2245</v>
      </c>
      <c r="D137" s="1033">
        <f>'[1]PLAN DE DESARROLLO 2024 - 2027'!$K$130</f>
        <v>0.15049988888888891</v>
      </c>
      <c r="E137" s="1031" t="s">
        <v>2246</v>
      </c>
      <c r="F137" s="1034">
        <f>'[1]PLAN DE DESARROLLO 2024 - 2027'!$K$131</f>
        <v>0.12639999999999998</v>
      </c>
      <c r="G137" s="1031" t="s">
        <v>1242</v>
      </c>
      <c r="H137" s="1031" t="s">
        <v>1243</v>
      </c>
      <c r="I137" s="1064">
        <f>+'Ciudad Conectada'!Y41</f>
        <v>0.33333333333333331</v>
      </c>
      <c r="J137" s="1031" t="s">
        <v>1100</v>
      </c>
      <c r="K137" s="1035" t="s">
        <v>2195</v>
      </c>
      <c r="P137"/>
    </row>
    <row r="138" spans="1:16" ht="15.75" thickBot="1" x14ac:dyDescent="0.3">
      <c r="A138" s="1031" t="s">
        <v>2215</v>
      </c>
      <c r="B138" s="1033">
        <f>'[1]PLAN DE DESARROLLO 2024 - 2027'!$K$123</f>
        <v>0.26239975735212717</v>
      </c>
      <c r="C138" s="1031" t="s">
        <v>2245</v>
      </c>
      <c r="D138" s="1033">
        <f>'[1]PLAN DE DESARROLLO 2024 - 2027'!$K$130</f>
        <v>0.15049988888888891</v>
      </c>
      <c r="E138" s="1031" t="s">
        <v>2246</v>
      </c>
      <c r="F138" s="1034">
        <f>'[1]PLAN DE DESARROLLO 2024 - 2027'!$K$131</f>
        <v>0.12639999999999998</v>
      </c>
      <c r="G138" s="1031" t="s">
        <v>1244</v>
      </c>
      <c r="H138" s="1031" t="s">
        <v>1245</v>
      </c>
      <c r="I138" s="1064">
        <f>+'Ciudad Conectada'!Y42</f>
        <v>0</v>
      </c>
      <c r="J138" s="1031" t="s">
        <v>1100</v>
      </c>
      <c r="K138" s="1035" t="s">
        <v>2195</v>
      </c>
      <c r="P138"/>
    </row>
    <row r="139" spans="1:16" ht="45.75" thickBot="1" x14ac:dyDescent="0.3">
      <c r="A139" s="1031" t="s">
        <v>2215</v>
      </c>
      <c r="B139" s="1033">
        <f>'[1]PLAN DE DESARROLLO 2024 - 2027'!$K$123</f>
        <v>0.26239975735212717</v>
      </c>
      <c r="C139" s="1031" t="s">
        <v>2245</v>
      </c>
      <c r="D139" s="1033">
        <f>'[1]PLAN DE DESARROLLO 2024 - 2027'!$K$130</f>
        <v>0.15049988888888891</v>
      </c>
      <c r="E139" s="1031" t="s">
        <v>2246</v>
      </c>
      <c r="F139" s="1034">
        <f>'[1]PLAN DE DESARROLLO 2024 - 2027'!$K$131</f>
        <v>0.12639999999999998</v>
      </c>
      <c r="G139" s="1031" t="s">
        <v>1246</v>
      </c>
      <c r="H139" s="1031" t="s">
        <v>1247</v>
      </c>
      <c r="I139" s="1064">
        <f>+'Ciudad Conectada'!Y43</f>
        <v>0</v>
      </c>
      <c r="J139" s="1031" t="s">
        <v>1100</v>
      </c>
      <c r="K139" s="1035" t="s">
        <v>2195</v>
      </c>
      <c r="P139"/>
    </row>
    <row r="140" spans="1:16" ht="30.75" thickBot="1" x14ac:dyDescent="0.3">
      <c r="A140" s="1031" t="s">
        <v>2215</v>
      </c>
      <c r="B140" s="1033">
        <f>'[1]PLAN DE DESARROLLO 2024 - 2027'!$K$123</f>
        <v>0.26239975735212717</v>
      </c>
      <c r="C140" s="1031" t="s">
        <v>2245</v>
      </c>
      <c r="D140" s="1033">
        <f>'[1]PLAN DE DESARROLLO 2024 - 2027'!$K$130</f>
        <v>0.15049988888888891</v>
      </c>
      <c r="E140" s="1031" t="s">
        <v>2246</v>
      </c>
      <c r="F140" s="1034">
        <f>'[1]PLAN DE DESARROLLO 2024 - 2027'!$K$131</f>
        <v>0.12639999999999998</v>
      </c>
      <c r="G140" s="1031" t="s">
        <v>1248</v>
      </c>
      <c r="H140" s="1031" t="s">
        <v>1249</v>
      </c>
      <c r="I140" s="1064">
        <f>+'Ciudad Conectada'!Y44</f>
        <v>0</v>
      </c>
      <c r="J140" s="1031" t="s">
        <v>2247</v>
      </c>
      <c r="K140" s="1035" t="s">
        <v>2195</v>
      </c>
      <c r="P140"/>
    </row>
    <row r="141" spans="1:16" ht="30.75" thickBot="1" x14ac:dyDescent="0.3">
      <c r="A141" s="1031" t="s">
        <v>2215</v>
      </c>
      <c r="B141" s="1033">
        <f>'[1]PLAN DE DESARROLLO 2024 - 2027'!$K$123</f>
        <v>0.26239975735212717</v>
      </c>
      <c r="C141" s="1031" t="s">
        <v>2245</v>
      </c>
      <c r="D141" s="1033">
        <f>'[1]PLAN DE DESARROLLO 2024 - 2027'!$K$130</f>
        <v>0.15049988888888891</v>
      </c>
      <c r="E141" s="1031" t="s">
        <v>2246</v>
      </c>
      <c r="F141" s="1034">
        <f>'[1]PLAN DE DESARROLLO 2024 - 2027'!$K$131</f>
        <v>0.12639999999999998</v>
      </c>
      <c r="G141" s="1031" t="s">
        <v>1251</v>
      </c>
      <c r="H141" s="1031" t="s">
        <v>1252</v>
      </c>
      <c r="I141" s="1063">
        <f>+'Ciudad Conectada'!Y45</f>
        <v>0</v>
      </c>
      <c r="J141" s="1031" t="s">
        <v>2248</v>
      </c>
      <c r="K141" s="1035" t="s">
        <v>2195</v>
      </c>
      <c r="P141"/>
    </row>
    <row r="142" spans="1:16" ht="34.15" customHeight="1" thickBot="1" x14ac:dyDescent="0.3">
      <c r="A142" s="1031" t="s">
        <v>2215</v>
      </c>
      <c r="B142" s="1033">
        <f>'[1]PLAN DE DESARROLLO 2024 - 2027'!$K$123</f>
        <v>0.26239975735212717</v>
      </c>
      <c r="C142" s="1031" t="s">
        <v>2245</v>
      </c>
      <c r="D142" s="1033">
        <f>'[1]PLAN DE DESARROLLO 2024 - 2027'!$K$130</f>
        <v>0.15049988888888891</v>
      </c>
      <c r="E142" s="1031" t="s">
        <v>2249</v>
      </c>
      <c r="F142" s="1034">
        <f>'[1]PLAN DE DESARROLLO 2024 - 2027'!$K$132</f>
        <v>0.10897444444444444</v>
      </c>
      <c r="G142" s="1031" t="s">
        <v>1255</v>
      </c>
      <c r="H142" s="1031" t="s">
        <v>1256</v>
      </c>
      <c r="I142" s="1063">
        <f>+'Ciudad Conectada'!Y47</f>
        <v>3.2056666666666664E-2</v>
      </c>
      <c r="J142" s="1031" t="s">
        <v>925</v>
      </c>
      <c r="K142" s="1035" t="s">
        <v>2195</v>
      </c>
      <c r="P142"/>
    </row>
    <row r="143" spans="1:16" ht="33" customHeight="1" thickBot="1" x14ac:dyDescent="0.3">
      <c r="A143" s="1031" t="s">
        <v>2215</v>
      </c>
      <c r="B143" s="1033">
        <f>'[1]PLAN DE DESARROLLO 2024 - 2027'!$K$123</f>
        <v>0.26239975735212717</v>
      </c>
      <c r="C143" s="1031" t="s">
        <v>2245</v>
      </c>
      <c r="D143" s="1033">
        <f>'[1]PLAN DE DESARROLLO 2024 - 2027'!$K$130</f>
        <v>0.15049988888888891</v>
      </c>
      <c r="E143" s="1031" t="s">
        <v>2249</v>
      </c>
      <c r="F143" s="1034">
        <f>'[1]PLAN DE DESARROLLO 2024 - 2027'!$K$132</f>
        <v>0.10897444444444444</v>
      </c>
      <c r="G143" s="1031" t="s">
        <v>1258</v>
      </c>
      <c r="H143" s="1031" t="s">
        <v>1259</v>
      </c>
      <c r="I143" s="1063">
        <f>+'Ciudad Conectada'!Y48</f>
        <v>0.3175</v>
      </c>
      <c r="J143" s="1031" t="s">
        <v>925</v>
      </c>
      <c r="K143" s="1035" t="s">
        <v>2195</v>
      </c>
      <c r="P143"/>
    </row>
    <row r="144" spans="1:16" ht="30.75" thickBot="1" x14ac:dyDescent="0.3">
      <c r="A144" s="1031" t="s">
        <v>2215</v>
      </c>
      <c r="B144" s="1033">
        <f>'[1]PLAN DE DESARROLLO 2024 - 2027'!$K$123</f>
        <v>0.26239975735212717</v>
      </c>
      <c r="C144" s="1031" t="s">
        <v>2245</v>
      </c>
      <c r="D144" s="1033">
        <f>'[1]PLAN DE DESARROLLO 2024 - 2027'!$K$130</f>
        <v>0.15049988888888891</v>
      </c>
      <c r="E144" s="1031" t="s">
        <v>2249</v>
      </c>
      <c r="F144" s="1034">
        <f>'[1]PLAN DE DESARROLLO 2024 - 2027'!$K$132</f>
        <v>0.10897444444444444</v>
      </c>
      <c r="G144" s="1031" t="s">
        <v>1260</v>
      </c>
      <c r="H144" s="1031" t="s">
        <v>1261</v>
      </c>
      <c r="I144" s="1063">
        <f>+'Ciudad Conectada'!Y49</f>
        <v>0.52699999999999991</v>
      </c>
      <c r="J144" s="1031" t="s">
        <v>925</v>
      </c>
      <c r="K144" s="1035" t="s">
        <v>2195</v>
      </c>
      <c r="P144"/>
    </row>
    <row r="145" spans="1:16" ht="30.75" thickBot="1" x14ac:dyDescent="0.3">
      <c r="A145" s="1031" t="s">
        <v>2215</v>
      </c>
      <c r="B145" s="1033">
        <f>'[1]PLAN DE DESARROLLO 2024 - 2027'!$K$123</f>
        <v>0.26239975735212717</v>
      </c>
      <c r="C145" s="1031" t="s">
        <v>2245</v>
      </c>
      <c r="D145" s="1033">
        <f>'[1]PLAN DE DESARROLLO 2024 - 2027'!$K$130</f>
        <v>0.15049988888888891</v>
      </c>
      <c r="E145" s="1031" t="s">
        <v>2250</v>
      </c>
      <c r="F145" s="1034">
        <f>'[1]PLAN DE DESARROLLO 2024 - 2027'!$K$133</f>
        <v>0.16750000000000001</v>
      </c>
      <c r="G145" s="1031" t="s">
        <v>1264</v>
      </c>
      <c r="H145" s="1031" t="s">
        <v>1265</v>
      </c>
      <c r="I145" s="1063">
        <f>+'Ciudad Conectada'!Y51</f>
        <v>0.4</v>
      </c>
      <c r="J145" s="1031" t="s">
        <v>925</v>
      </c>
      <c r="K145" s="1035" t="s">
        <v>2195</v>
      </c>
      <c r="P145"/>
    </row>
    <row r="146" spans="1:16" ht="30.75" thickBot="1" x14ac:dyDescent="0.3">
      <c r="A146" s="1031" t="s">
        <v>2215</v>
      </c>
      <c r="B146" s="1033">
        <f>'[1]PLAN DE DESARROLLO 2024 - 2027'!$K$123</f>
        <v>0.26239975735212717</v>
      </c>
      <c r="C146" s="1031" t="s">
        <v>2245</v>
      </c>
      <c r="D146" s="1033">
        <f>'[1]PLAN DE DESARROLLO 2024 - 2027'!$K$130</f>
        <v>0.15049988888888891</v>
      </c>
      <c r="E146" s="1031" t="s">
        <v>2250</v>
      </c>
      <c r="F146" s="1034">
        <f>'[1]PLAN DE DESARROLLO 2024 - 2027'!$K$133</f>
        <v>0.16750000000000001</v>
      </c>
      <c r="G146" s="1031" t="s">
        <v>1266</v>
      </c>
      <c r="H146" s="1031" t="s">
        <v>1267</v>
      </c>
      <c r="I146" s="1063">
        <f>+'Ciudad Conectada'!Y52</f>
        <v>0.3</v>
      </c>
      <c r="J146" s="1031" t="s">
        <v>925</v>
      </c>
      <c r="K146" s="1035" t="s">
        <v>2195</v>
      </c>
      <c r="P146"/>
    </row>
    <row r="147" spans="1:16" ht="30.75" thickBot="1" x14ac:dyDescent="0.3">
      <c r="A147" s="1031" t="s">
        <v>2215</v>
      </c>
      <c r="B147" s="1033">
        <f>'[1]PLAN DE DESARROLLO 2024 - 2027'!$K$123</f>
        <v>0.26239975735212717</v>
      </c>
      <c r="C147" s="1031" t="s">
        <v>2245</v>
      </c>
      <c r="D147" s="1033">
        <f>'[1]PLAN DE DESARROLLO 2024 - 2027'!$K$130</f>
        <v>0.15049988888888891</v>
      </c>
      <c r="E147" s="1031" t="s">
        <v>2251</v>
      </c>
      <c r="F147" s="1034">
        <f>'[1]PLAN DE DESARROLLO 2024 - 2027'!$K$134</f>
        <v>0.26629166666666665</v>
      </c>
      <c r="G147" s="1031" t="s">
        <v>1269</v>
      </c>
      <c r="H147" s="1031" t="s">
        <v>1270</v>
      </c>
      <c r="I147" s="1063">
        <f>+'Ciudad Conectada'!Y54</f>
        <v>0.26800000000000002</v>
      </c>
      <c r="J147" s="1031" t="s">
        <v>925</v>
      </c>
      <c r="K147" s="1035" t="s">
        <v>2195</v>
      </c>
      <c r="P147"/>
    </row>
    <row r="148" spans="1:16" ht="30.75" thickBot="1" x14ac:dyDescent="0.3">
      <c r="A148" s="1031" t="s">
        <v>2215</v>
      </c>
      <c r="B148" s="1033">
        <f>'[1]PLAN DE DESARROLLO 2024 - 2027'!$K$123</f>
        <v>0.26239975735212717</v>
      </c>
      <c r="C148" s="1031" t="s">
        <v>2245</v>
      </c>
      <c r="D148" s="1033">
        <f>'[1]PLAN DE DESARROLLO 2024 - 2027'!$K$130</f>
        <v>0.15049988888888891</v>
      </c>
      <c r="E148" s="1031" t="s">
        <v>2251</v>
      </c>
      <c r="F148" s="1034">
        <f>'[1]PLAN DE DESARROLLO 2024 - 2027'!$K$134</f>
        <v>0.26629166666666665</v>
      </c>
      <c r="G148" s="1031" t="s">
        <v>1271</v>
      </c>
      <c r="H148" s="1031" t="s">
        <v>1272</v>
      </c>
      <c r="I148" s="1063">
        <f>+'Ciudad Conectada'!Y55</f>
        <v>0.32584999999999997</v>
      </c>
      <c r="J148" s="1031" t="s">
        <v>925</v>
      </c>
      <c r="K148" s="1035" t="s">
        <v>2195</v>
      </c>
      <c r="P148"/>
    </row>
    <row r="149" spans="1:16" ht="15.75" thickBot="1" x14ac:dyDescent="0.3">
      <c r="A149" s="1031" t="s">
        <v>2215</v>
      </c>
      <c r="B149" s="1033">
        <f>'[1]PLAN DE DESARROLLO 2024 - 2027'!$K$123</f>
        <v>0.26239975735212717</v>
      </c>
      <c r="C149" s="1031" t="s">
        <v>2245</v>
      </c>
      <c r="D149" s="1033">
        <f>'[1]PLAN DE DESARROLLO 2024 - 2027'!$K$130</f>
        <v>0.15049988888888891</v>
      </c>
      <c r="E149" s="1031" t="s">
        <v>2251</v>
      </c>
      <c r="F149" s="1034">
        <f>'[1]PLAN DE DESARROLLO 2024 - 2027'!$K$134</f>
        <v>0.26629166666666665</v>
      </c>
      <c r="G149" s="1031" t="s">
        <v>1273</v>
      </c>
      <c r="H149" s="1031" t="s">
        <v>1274</v>
      </c>
      <c r="I149" s="1063">
        <f>+'Ciudad Conectada'!Y56</f>
        <v>0.41669999999999996</v>
      </c>
      <c r="J149" s="1031" t="s">
        <v>925</v>
      </c>
      <c r="K149" s="1035" t="s">
        <v>2195</v>
      </c>
      <c r="P149"/>
    </row>
    <row r="150" spans="1:16" ht="30.75" thickBot="1" x14ac:dyDescent="0.3">
      <c r="A150" s="1031" t="s">
        <v>2215</v>
      </c>
      <c r="B150" s="1033">
        <f>'[1]PLAN DE DESARROLLO 2024 - 2027'!$K$123</f>
        <v>0.26239975735212717</v>
      </c>
      <c r="C150" s="1031" t="s">
        <v>2245</v>
      </c>
      <c r="D150" s="1033">
        <f>'[1]PLAN DE DESARROLLO 2024 - 2027'!$K$130</f>
        <v>0.15049988888888891</v>
      </c>
      <c r="E150" s="1031" t="s">
        <v>1275</v>
      </c>
      <c r="F150" s="1034">
        <f>'[1]PLAN DE DESARROLLO 2024 - 2027'!$K$135</f>
        <v>8.3333333333333329E-2</v>
      </c>
      <c r="G150" s="1031" t="s">
        <v>1276</v>
      </c>
      <c r="H150" s="1031" t="s">
        <v>1277</v>
      </c>
      <c r="I150" s="1064">
        <f>+'Ciudad Conectada'!Y58</f>
        <v>0.16259999999999999</v>
      </c>
      <c r="J150" s="1031" t="s">
        <v>1206</v>
      </c>
      <c r="K150" s="1035" t="s">
        <v>2195</v>
      </c>
      <c r="P150"/>
    </row>
    <row r="151" spans="1:16" ht="30.75" thickBot="1" x14ac:dyDescent="0.3">
      <c r="A151" s="1031" t="s">
        <v>2215</v>
      </c>
      <c r="B151" s="1033">
        <f>'[1]PLAN DE DESARROLLO 2024 - 2027'!$K$123</f>
        <v>0.26239975735212717</v>
      </c>
      <c r="C151" s="1031" t="s">
        <v>2245</v>
      </c>
      <c r="D151" s="1033">
        <f>'[1]PLAN DE DESARROLLO 2024 - 2027'!$K$130</f>
        <v>0.15049988888888891</v>
      </c>
      <c r="E151" s="1031" t="s">
        <v>1275</v>
      </c>
      <c r="F151" s="1034">
        <f>'[1]PLAN DE DESARROLLO 2024 - 2027'!$K$135</f>
        <v>8.3333333333333329E-2</v>
      </c>
      <c r="G151" s="1031" t="s">
        <v>1278</v>
      </c>
      <c r="H151" s="1031" t="s">
        <v>1279</v>
      </c>
      <c r="I151" s="1063">
        <f>+'Ciudad Conectada'!Y59</f>
        <v>8.3333333333333329E-2</v>
      </c>
      <c r="J151" s="1031" t="s">
        <v>1206</v>
      </c>
      <c r="K151" s="1035" t="s">
        <v>2195</v>
      </c>
      <c r="P151"/>
    </row>
    <row r="152" spans="1:16" ht="45.75" thickBot="1" x14ac:dyDescent="0.3">
      <c r="A152" s="1031" t="s">
        <v>2215</v>
      </c>
      <c r="B152" s="1033">
        <f>'[1]PLAN DE DESARROLLO 2024 - 2027'!$K$123</f>
        <v>0.26239975735212717</v>
      </c>
      <c r="C152" s="1031" t="s">
        <v>2252</v>
      </c>
      <c r="D152" s="1034">
        <f>'[1]PLAN DE DESARROLLO 2024 - 2027'!$K$136</f>
        <v>0.41110360120264539</v>
      </c>
      <c r="E152" s="1031" t="s">
        <v>1281</v>
      </c>
      <c r="F152" s="1034">
        <f>'[1]PLAN DE DESARROLLO 2024 - 2027'!$K$137</f>
        <v>0.32500000000000001</v>
      </c>
      <c r="G152" s="1031" t="s">
        <v>1282</v>
      </c>
      <c r="H152" s="1031" t="s">
        <v>1283</v>
      </c>
      <c r="I152" s="1063">
        <f>+'Ciudad Conectada'!Y62</f>
        <v>0.47500000000000003</v>
      </c>
      <c r="J152" s="1031" t="s">
        <v>925</v>
      </c>
      <c r="K152" s="1035" t="s">
        <v>2195</v>
      </c>
      <c r="P152"/>
    </row>
    <row r="153" spans="1:16" ht="30.75" thickBot="1" x14ac:dyDescent="0.3">
      <c r="A153" s="1031" t="s">
        <v>2215</v>
      </c>
      <c r="B153" s="1033">
        <f>'[1]PLAN DE DESARROLLO 2024 - 2027'!$K$123</f>
        <v>0.26239975735212717</v>
      </c>
      <c r="C153" s="1031" t="s">
        <v>2252</v>
      </c>
      <c r="D153" s="1034">
        <f>'[1]PLAN DE DESARROLLO 2024 - 2027'!$K$136</f>
        <v>0.41110360120264539</v>
      </c>
      <c r="E153" s="1031" t="s">
        <v>1281</v>
      </c>
      <c r="F153" s="1034">
        <f>'[1]PLAN DE DESARROLLO 2024 - 2027'!$K$137</f>
        <v>0.32500000000000001</v>
      </c>
      <c r="G153" s="1031" t="s">
        <v>1284</v>
      </c>
      <c r="H153" s="1031" t="s">
        <v>1285</v>
      </c>
      <c r="I153" s="1064">
        <f>+'Ciudad Conectada'!Y63</f>
        <v>0.02</v>
      </c>
      <c r="J153" s="1031" t="s">
        <v>2253</v>
      </c>
      <c r="K153" s="1035" t="s">
        <v>2195</v>
      </c>
      <c r="P153"/>
    </row>
    <row r="154" spans="1:16" ht="30.75" thickBot="1" x14ac:dyDescent="0.3">
      <c r="A154" s="1031" t="s">
        <v>2215</v>
      </c>
      <c r="B154" s="1033">
        <f>'[1]PLAN DE DESARROLLO 2024 - 2027'!$K$123</f>
        <v>0.26239975735212717</v>
      </c>
      <c r="C154" s="1031" t="s">
        <v>2252</v>
      </c>
      <c r="D154" s="1034">
        <f>'[1]PLAN DE DESARROLLO 2024 - 2027'!$K$136</f>
        <v>0.41110360120264539</v>
      </c>
      <c r="E154" s="1031" t="s">
        <v>2254</v>
      </c>
      <c r="F154" s="1034">
        <f>'[1]PLAN DE DESARROLLO 2024 - 2027'!$K$138</f>
        <v>0.3529810606060606</v>
      </c>
      <c r="G154" s="1031" t="s">
        <v>1288</v>
      </c>
      <c r="H154" s="1031" t="s">
        <v>1289</v>
      </c>
      <c r="I154" s="1063">
        <f>+'Ciudad Conectada'!Y65</f>
        <v>0.64700000000000002</v>
      </c>
      <c r="J154" s="1031" t="s">
        <v>1290</v>
      </c>
      <c r="K154" s="1035" t="s">
        <v>2195</v>
      </c>
      <c r="P154"/>
    </row>
    <row r="155" spans="1:16" ht="45.75" thickBot="1" x14ac:dyDescent="0.3">
      <c r="A155" s="1031" t="s">
        <v>2215</v>
      </c>
      <c r="B155" s="1033">
        <f>'[1]PLAN DE DESARROLLO 2024 - 2027'!$K$123</f>
        <v>0.26239975735212717</v>
      </c>
      <c r="C155" s="1031" t="s">
        <v>2252</v>
      </c>
      <c r="D155" s="1034">
        <f>'[1]PLAN DE DESARROLLO 2024 - 2027'!$K$136</f>
        <v>0.41110360120264539</v>
      </c>
      <c r="E155" s="1031" t="s">
        <v>2254</v>
      </c>
      <c r="F155" s="1034">
        <f>'[1]PLAN DE DESARROLLO 2024 - 2027'!$K$138</f>
        <v>0.3529810606060606</v>
      </c>
      <c r="G155" s="1031" t="s">
        <v>1292</v>
      </c>
      <c r="H155" s="1031" t="s">
        <v>1293</v>
      </c>
      <c r="I155" s="1063">
        <f>+'Ciudad Conectada'!Y66</f>
        <v>0.26750000000000002</v>
      </c>
      <c r="J155" s="1031" t="s">
        <v>2255</v>
      </c>
      <c r="K155" s="1035" t="s">
        <v>2195</v>
      </c>
      <c r="P155"/>
    </row>
    <row r="156" spans="1:16" ht="30.75" thickBot="1" x14ac:dyDescent="0.3">
      <c r="A156" s="1031" t="s">
        <v>2215</v>
      </c>
      <c r="B156" s="1033">
        <f>'[1]PLAN DE DESARROLLO 2024 - 2027'!$K$123</f>
        <v>0.26239975735212717</v>
      </c>
      <c r="C156" s="1031" t="s">
        <v>2252</v>
      </c>
      <c r="D156" s="1034">
        <f>'[1]PLAN DE DESARROLLO 2024 - 2027'!$K$136</f>
        <v>0.41110360120264539</v>
      </c>
      <c r="E156" s="1031" t="s">
        <v>2254</v>
      </c>
      <c r="F156" s="1034">
        <f>'[1]PLAN DE DESARROLLO 2024 - 2027'!$K$138</f>
        <v>0.3529810606060606</v>
      </c>
      <c r="G156" s="1031" t="s">
        <v>1295</v>
      </c>
      <c r="H156" s="1031" t="s">
        <v>1296</v>
      </c>
      <c r="I156" s="1063">
        <f>+'Ciudad Conectada'!Y67</f>
        <v>0.25757575757575757</v>
      </c>
      <c r="J156" s="1031" t="s">
        <v>1290</v>
      </c>
      <c r="K156" s="1035" t="s">
        <v>2195</v>
      </c>
      <c r="P156"/>
    </row>
    <row r="157" spans="1:16" ht="30.75" thickBot="1" x14ac:dyDescent="0.3">
      <c r="A157" s="1031" t="s">
        <v>2215</v>
      </c>
      <c r="B157" s="1033">
        <f>'[1]PLAN DE DESARROLLO 2024 - 2027'!$K$123</f>
        <v>0.26239975735212717</v>
      </c>
      <c r="C157" s="1031" t="s">
        <v>2252</v>
      </c>
      <c r="D157" s="1034">
        <f>'[1]PLAN DE DESARROLLO 2024 - 2027'!$K$136</f>
        <v>0.41110360120264539</v>
      </c>
      <c r="E157" s="1031" t="s">
        <v>2254</v>
      </c>
      <c r="F157" s="1034">
        <f>'[1]PLAN DE DESARROLLO 2024 - 2027'!$K$138</f>
        <v>0.3529810606060606</v>
      </c>
      <c r="G157" s="1031" t="s">
        <v>1297</v>
      </c>
      <c r="H157" s="1031" t="s">
        <v>1298</v>
      </c>
      <c r="I157" s="1063">
        <f>+'Ciudad Conectada'!Y68</f>
        <v>0.42000000000000004</v>
      </c>
      <c r="J157" s="1031" t="s">
        <v>1290</v>
      </c>
      <c r="K157" s="1035" t="s">
        <v>2195</v>
      </c>
      <c r="P157"/>
    </row>
    <row r="158" spans="1:16" ht="45.75" thickBot="1" x14ac:dyDescent="0.3">
      <c r="A158" s="1031" t="s">
        <v>2215</v>
      </c>
      <c r="B158" s="1033">
        <f>'[1]PLAN DE DESARROLLO 2024 - 2027'!$K$123</f>
        <v>0.26239975735212717</v>
      </c>
      <c r="C158" s="1031" t="s">
        <v>2252</v>
      </c>
      <c r="D158" s="1034">
        <f>'[1]PLAN DE DESARROLLO 2024 - 2027'!$K$136</f>
        <v>0.41110360120264539</v>
      </c>
      <c r="E158" s="1031" t="s">
        <v>1299</v>
      </c>
      <c r="F158" s="1034">
        <f>'[1]PLAN DE DESARROLLO 2024 - 2027'!$K$138</f>
        <v>0.3529810606060606</v>
      </c>
      <c r="G158" s="1031" t="s">
        <v>1300</v>
      </c>
      <c r="H158" s="1031" t="s">
        <v>1301</v>
      </c>
      <c r="I158" s="1063">
        <f>+'Ciudad Conectada'!Y70</f>
        <v>0.52173913043478259</v>
      </c>
      <c r="J158" s="1031" t="s">
        <v>2256</v>
      </c>
      <c r="K158" s="1035" t="s">
        <v>2195</v>
      </c>
      <c r="P158"/>
    </row>
    <row r="159" spans="1:16" ht="30.75" thickBot="1" x14ac:dyDescent="0.3">
      <c r="A159" s="1031" t="s">
        <v>2215</v>
      </c>
      <c r="B159" s="1033">
        <f>'[1]PLAN DE DESARROLLO 2024 - 2027'!$K$123</f>
        <v>0.26239975735212717</v>
      </c>
      <c r="C159" s="1031" t="s">
        <v>2252</v>
      </c>
      <c r="D159" s="1034">
        <f>'[1]PLAN DE DESARROLLO 2024 - 2027'!$K$136</f>
        <v>0.41110360120264539</v>
      </c>
      <c r="E159" s="1031" t="s">
        <v>1299</v>
      </c>
      <c r="F159" s="1034">
        <f>'[1]PLAN DE DESARROLLO 2024 - 2027'!$K$138</f>
        <v>0.3529810606060606</v>
      </c>
      <c r="G159" s="1031" t="s">
        <v>1306</v>
      </c>
      <c r="H159" s="1031" t="s">
        <v>1307</v>
      </c>
      <c r="I159" s="1063">
        <f>+'Ciudad Conectada'!Y71</f>
        <v>0.8257575757575758</v>
      </c>
      <c r="J159" s="1031" t="s">
        <v>1290</v>
      </c>
      <c r="K159" s="1035" t="s">
        <v>2195</v>
      </c>
      <c r="P159"/>
    </row>
    <row r="160" spans="1:16" ht="30.75" thickBot="1" x14ac:dyDescent="0.3">
      <c r="A160" s="1031" t="s">
        <v>2215</v>
      </c>
      <c r="B160" s="1033">
        <f>'[1]PLAN DE DESARROLLO 2024 - 2027'!$K$123</f>
        <v>0.26239975735212717</v>
      </c>
      <c r="C160" s="1031" t="s">
        <v>2252</v>
      </c>
      <c r="D160" s="1034">
        <f>'[1]PLAN DE DESARROLLO 2024 - 2027'!$K$136</f>
        <v>0.41110360120264539</v>
      </c>
      <c r="E160" s="1031" t="s">
        <v>1299</v>
      </c>
      <c r="F160" s="1034">
        <f>'[1]PLAN DE DESARROLLO 2024 - 2027'!$K$138</f>
        <v>0.3529810606060606</v>
      </c>
      <c r="G160" s="1031" t="s">
        <v>1308</v>
      </c>
      <c r="H160" s="1031" t="s">
        <v>1309</v>
      </c>
      <c r="I160" s="1063">
        <f>+'Ciudad Conectada'!Y72</f>
        <v>0.66666666666666663</v>
      </c>
      <c r="J160" s="1031" t="s">
        <v>1224</v>
      </c>
      <c r="K160" s="1035" t="s">
        <v>2195</v>
      </c>
      <c r="P160"/>
    </row>
    <row r="161" spans="1:16" ht="30.75" thickBot="1" x14ac:dyDescent="0.3">
      <c r="A161" s="1031" t="s">
        <v>2215</v>
      </c>
      <c r="B161" s="1033">
        <f>'[1]PLAN DE DESARROLLO 2024 - 2027'!$K$123</f>
        <v>0.26239975735212717</v>
      </c>
      <c r="C161" s="1031" t="s">
        <v>2252</v>
      </c>
      <c r="D161" s="1034">
        <f>'[1]PLAN DE DESARROLLO 2024 - 2027'!$K$136</f>
        <v>0.41110360120264539</v>
      </c>
      <c r="E161" s="1031" t="s">
        <v>2257</v>
      </c>
      <c r="F161" s="1034">
        <f>'[1]PLAN DE DESARROLLO 2024 - 2027'!$K$140</f>
        <v>0.42712068965517241</v>
      </c>
      <c r="G161" s="1031" t="s">
        <v>1311</v>
      </c>
      <c r="H161" s="1031" t="s">
        <v>1312</v>
      </c>
      <c r="I161" s="1063">
        <f>+'Ciudad Conectada'!Y74</f>
        <v>0.78500000000000003</v>
      </c>
      <c r="J161" s="1031" t="s">
        <v>1290</v>
      </c>
      <c r="K161" s="1035" t="s">
        <v>2195</v>
      </c>
      <c r="P161"/>
    </row>
    <row r="162" spans="1:16" ht="30.75" thickBot="1" x14ac:dyDescent="0.3">
      <c r="A162" s="1031" t="s">
        <v>2215</v>
      </c>
      <c r="B162" s="1033">
        <f>'[1]PLAN DE DESARROLLO 2024 - 2027'!$K$123</f>
        <v>0.26239975735212717</v>
      </c>
      <c r="C162" s="1031" t="s">
        <v>2252</v>
      </c>
      <c r="D162" s="1034">
        <f>'[1]PLAN DE DESARROLLO 2024 - 2027'!$K$136</f>
        <v>0.41110360120264539</v>
      </c>
      <c r="E162" s="1031" t="s">
        <v>2257</v>
      </c>
      <c r="F162" s="1034">
        <f>'[1]PLAN DE DESARROLLO 2024 - 2027'!$K$140</f>
        <v>0.42712068965517241</v>
      </c>
      <c r="G162" s="1031" t="s">
        <v>1313</v>
      </c>
      <c r="H162" s="1031" t="s">
        <v>1314</v>
      </c>
      <c r="I162" s="1063">
        <f>+'Ciudad Conectada'!Y75</f>
        <v>0.21099999999999999</v>
      </c>
      <c r="J162" s="1031" t="s">
        <v>1290</v>
      </c>
      <c r="K162" s="1035" t="s">
        <v>2195</v>
      </c>
      <c r="P162"/>
    </row>
    <row r="163" spans="1:16" ht="45.75" thickBot="1" x14ac:dyDescent="0.3">
      <c r="A163" s="1031" t="s">
        <v>2215</v>
      </c>
      <c r="B163" s="1033">
        <f>'[1]PLAN DE DESARROLLO 2024 - 2027'!$K$123</f>
        <v>0.26239975735212717</v>
      </c>
      <c r="C163" s="1031" t="s">
        <v>2252</v>
      </c>
      <c r="D163" s="1034">
        <f>'[1]PLAN DE DESARROLLO 2024 - 2027'!$K$136</f>
        <v>0.41110360120264539</v>
      </c>
      <c r="E163" s="1031" t="s">
        <v>2257</v>
      </c>
      <c r="F163" s="1034">
        <f>'[1]PLAN DE DESARROLLO 2024 - 2027'!$K$140</f>
        <v>0.42712068965517241</v>
      </c>
      <c r="G163" s="1031" t="s">
        <v>1315</v>
      </c>
      <c r="H163" s="1031" t="s">
        <v>1316</v>
      </c>
      <c r="I163" s="1063">
        <f>+'Ciudad Conectada'!Y76</f>
        <v>0.50620689655172413</v>
      </c>
      <c r="J163" s="1031" t="s">
        <v>1290</v>
      </c>
      <c r="K163" s="1035" t="s">
        <v>2195</v>
      </c>
      <c r="P163"/>
    </row>
    <row r="164" spans="1:16" ht="30.75" thickBot="1" x14ac:dyDescent="0.3">
      <c r="A164" s="1031" t="s">
        <v>2215</v>
      </c>
      <c r="B164" s="1033">
        <f>'[1]PLAN DE DESARROLLO 2024 - 2027'!$K$123</f>
        <v>0.26239975735212717</v>
      </c>
      <c r="C164" s="1031" t="s">
        <v>2252</v>
      </c>
      <c r="D164" s="1034">
        <f>'[1]PLAN DE DESARROLLO 2024 - 2027'!$K$136</f>
        <v>0.41110360120264539</v>
      </c>
      <c r="E164" s="1031" t="s">
        <v>1317</v>
      </c>
      <c r="F164" s="1034">
        <f>'[1]PLAN DE DESARROLLO 2024 - 2027'!$K$141</f>
        <v>0.14285714285714285</v>
      </c>
      <c r="G164" s="1031" t="s">
        <v>1318</v>
      </c>
      <c r="H164" s="1031" t="s">
        <v>1319</v>
      </c>
      <c r="I164" s="1063">
        <f>+'Ciudad Conectada'!Y78</f>
        <v>0.15714285714285717</v>
      </c>
      <c r="J164" s="1031" t="s">
        <v>1320</v>
      </c>
      <c r="K164" s="1035" t="s">
        <v>2195</v>
      </c>
      <c r="P164"/>
    </row>
    <row r="165" spans="1:16" ht="30.75" thickBot="1" x14ac:dyDescent="0.3">
      <c r="A165" s="1031" t="s">
        <v>2215</v>
      </c>
      <c r="B165" s="1033">
        <f>'[1]PLAN DE DESARROLLO 2024 - 2027'!$K$123</f>
        <v>0.26239975735212717</v>
      </c>
      <c r="C165" s="1031" t="s">
        <v>2252</v>
      </c>
      <c r="D165" s="1034">
        <f>'[1]PLAN DE DESARROLLO 2024 - 2027'!$K$136</f>
        <v>0.41110360120264539</v>
      </c>
      <c r="E165" s="1031" t="s">
        <v>2258</v>
      </c>
      <c r="F165" s="1034">
        <f>'[1]PLAN DE DESARROLLO 2024 - 2027'!$K$142</f>
        <v>0.63500000000000001</v>
      </c>
      <c r="G165" s="1031" t="s">
        <v>1323</v>
      </c>
      <c r="H165" s="1031" t="s">
        <v>1324</v>
      </c>
      <c r="I165" s="1063">
        <f>+'Ciudad Conectada'!Y80</f>
        <v>0.39</v>
      </c>
      <c r="J165" s="1031" t="s">
        <v>2259</v>
      </c>
      <c r="K165" s="1035" t="s">
        <v>2195</v>
      </c>
      <c r="P165"/>
    </row>
    <row r="166" spans="1:16" ht="30.75" thickBot="1" x14ac:dyDescent="0.3">
      <c r="A166" s="1031" t="s">
        <v>2215</v>
      </c>
      <c r="B166" s="1033">
        <f>'[1]PLAN DE DESARROLLO 2024 - 2027'!$K$123</f>
        <v>0.26239975735212717</v>
      </c>
      <c r="C166" s="1031" t="s">
        <v>2252</v>
      </c>
      <c r="D166" s="1034">
        <f>'[1]PLAN DE DESARROLLO 2024 - 2027'!$K$136</f>
        <v>0.41110360120264539</v>
      </c>
      <c r="E166" s="1031" t="s">
        <v>2258</v>
      </c>
      <c r="F166" s="1034">
        <f>'[1]PLAN DE DESARROLLO 2024 - 2027'!$K$142</f>
        <v>0.63500000000000001</v>
      </c>
      <c r="G166" s="1031" t="s">
        <v>1326</v>
      </c>
      <c r="H166" s="1031" t="s">
        <v>1327</v>
      </c>
      <c r="I166" s="1063">
        <f>+'Ciudad Conectada'!Y81</f>
        <v>1</v>
      </c>
      <c r="J166" s="1031" t="s">
        <v>1206</v>
      </c>
      <c r="K166" s="1035" t="s">
        <v>2195</v>
      </c>
      <c r="P166"/>
    </row>
    <row r="167" spans="1:16" ht="45.75" thickBot="1" x14ac:dyDescent="0.3">
      <c r="A167" s="1031" t="s">
        <v>2215</v>
      </c>
      <c r="B167" s="1033">
        <f>'[1]PLAN DE DESARROLLO 2024 - 2027'!$K$123</f>
        <v>0.26239975735212717</v>
      </c>
      <c r="C167" s="1031" t="s">
        <v>2216</v>
      </c>
      <c r="D167" s="1033">
        <f>'[1]PLAN DE DESARROLLO 2024 - 2027'!$K$143</f>
        <v>0.16314336734693877</v>
      </c>
      <c r="E167" s="1031" t="s">
        <v>2260</v>
      </c>
      <c r="F167" s="1034">
        <f>'[1]PLAN DE DESARROLLO 2024 - 2027'!$K$144</f>
        <v>9.4430102040816324E-2</v>
      </c>
      <c r="G167" s="1031" t="s">
        <v>1331</v>
      </c>
      <c r="H167" s="1031" t="s">
        <v>1332</v>
      </c>
      <c r="I167" s="1063">
        <f>+'Ciudad Conectada'!Y84</f>
        <v>0.16999999999999998</v>
      </c>
      <c r="J167" s="1031" t="s">
        <v>2261</v>
      </c>
      <c r="K167" s="1035" t="s">
        <v>2195</v>
      </c>
      <c r="P167"/>
    </row>
    <row r="168" spans="1:16" ht="30.75" thickBot="1" x14ac:dyDescent="0.3">
      <c r="A168" s="1031" t="s">
        <v>2215</v>
      </c>
      <c r="B168" s="1033">
        <f>'[1]PLAN DE DESARROLLO 2024 - 2027'!$K$123</f>
        <v>0.26239975735212717</v>
      </c>
      <c r="C168" s="1031" t="s">
        <v>2216</v>
      </c>
      <c r="D168" s="1033">
        <f>'[1]PLAN DE DESARROLLO 2024 - 2027'!$K$143</f>
        <v>0.16314336734693877</v>
      </c>
      <c r="E168" s="1031" t="s">
        <v>2260</v>
      </c>
      <c r="F168" s="1034">
        <f>'[1]PLAN DE DESARROLLO 2024 - 2027'!$K$144</f>
        <v>9.4430102040816324E-2</v>
      </c>
      <c r="G168" s="1031" t="s">
        <v>1334</v>
      </c>
      <c r="H168" s="1031" t="s">
        <v>1335</v>
      </c>
      <c r="I168" s="1063">
        <f>+'Ciudad Conectada'!Y85</f>
        <v>0.1785107142857143</v>
      </c>
      <c r="J168" s="1031" t="s">
        <v>1224</v>
      </c>
      <c r="K168" s="1035" t="s">
        <v>2195</v>
      </c>
      <c r="P168"/>
    </row>
    <row r="169" spans="1:16" ht="30.75" thickBot="1" x14ac:dyDescent="0.3">
      <c r="A169" s="1031" t="s">
        <v>2215</v>
      </c>
      <c r="B169" s="1033">
        <f>'[1]PLAN DE DESARROLLO 2024 - 2027'!$K$123</f>
        <v>0.26239975735212717</v>
      </c>
      <c r="C169" s="1031" t="s">
        <v>2216</v>
      </c>
      <c r="D169" s="1033">
        <f>'[1]PLAN DE DESARROLLO 2024 - 2027'!$K$143</f>
        <v>0.16314336734693877</v>
      </c>
      <c r="E169" s="1031" t="s">
        <v>2260</v>
      </c>
      <c r="F169" s="1034">
        <f>'[1]PLAN DE DESARROLLO 2024 - 2027'!$K$144</f>
        <v>9.4430102040816324E-2</v>
      </c>
      <c r="G169" s="1031" t="s">
        <v>1336</v>
      </c>
      <c r="H169" s="1031" t="s">
        <v>1337</v>
      </c>
      <c r="I169" s="1063">
        <f>+'Ciudad Conectada'!Y86</f>
        <v>0.12000000000000001</v>
      </c>
      <c r="J169" s="1031" t="s">
        <v>1206</v>
      </c>
      <c r="K169" s="1035" t="s">
        <v>2195</v>
      </c>
      <c r="P169"/>
    </row>
    <row r="170" spans="1:16" ht="30.75" thickBot="1" x14ac:dyDescent="0.3">
      <c r="A170" s="1031" t="s">
        <v>2215</v>
      </c>
      <c r="B170" s="1033">
        <f>'[1]PLAN DE DESARROLLO 2024 - 2027'!$K$123</f>
        <v>0.26239975735212717</v>
      </c>
      <c r="C170" s="1031" t="s">
        <v>2216</v>
      </c>
      <c r="D170" s="1033">
        <f>'[1]PLAN DE DESARROLLO 2024 - 2027'!$K$143</f>
        <v>0.16314336734693877</v>
      </c>
      <c r="E170" s="1031" t="s">
        <v>2260</v>
      </c>
      <c r="F170" s="1034">
        <f>'[1]PLAN DE DESARROLLO 2024 - 2027'!$K$144</f>
        <v>9.4430102040816324E-2</v>
      </c>
      <c r="G170" s="1031" t="s">
        <v>1339</v>
      </c>
      <c r="H170" s="1031" t="s">
        <v>1340</v>
      </c>
      <c r="I170" s="1063">
        <f>+'Ciudad Conectada'!Y87</f>
        <v>0.25</v>
      </c>
      <c r="J170" s="1031" t="s">
        <v>2262</v>
      </c>
      <c r="K170" s="1035" t="s">
        <v>2195</v>
      </c>
      <c r="P170"/>
    </row>
    <row r="171" spans="1:16" ht="30.75" thickBot="1" x14ac:dyDescent="0.3">
      <c r="A171" s="1031" t="s">
        <v>2215</v>
      </c>
      <c r="B171" s="1033">
        <f>'[1]PLAN DE DESARROLLO 2024 - 2027'!$K$123</f>
        <v>0.26239975735212717</v>
      </c>
      <c r="C171" s="1031" t="s">
        <v>2216</v>
      </c>
      <c r="D171" s="1033">
        <f>'[1]PLAN DE DESARROLLO 2024 - 2027'!$K$143</f>
        <v>0.16314336734693877</v>
      </c>
      <c r="E171" s="1031" t="s">
        <v>2260</v>
      </c>
      <c r="F171" s="1034">
        <f>'[1]PLAN DE DESARROLLO 2024 - 2027'!$K$144</f>
        <v>9.4430102040816324E-2</v>
      </c>
      <c r="G171" s="1031" t="s">
        <v>1342</v>
      </c>
      <c r="H171" s="1031" t="s">
        <v>1343</v>
      </c>
      <c r="I171" s="1063">
        <f>+'Ciudad Conectada'!Y88</f>
        <v>0</v>
      </c>
      <c r="J171" s="1031" t="s">
        <v>2263</v>
      </c>
      <c r="K171" s="1035" t="s">
        <v>2195</v>
      </c>
      <c r="P171"/>
    </row>
    <row r="172" spans="1:16" ht="60.75" thickBot="1" x14ac:dyDescent="0.3">
      <c r="A172" s="1031" t="s">
        <v>2215</v>
      </c>
      <c r="B172" s="1033">
        <f>'[1]PLAN DE DESARROLLO 2024 - 2027'!$K$123</f>
        <v>0.26239975735212717</v>
      </c>
      <c r="C172" s="1031" t="s">
        <v>2216</v>
      </c>
      <c r="D172" s="1033">
        <f>'[1]PLAN DE DESARROLLO 2024 - 2027'!$K$143</f>
        <v>0.16314336734693877</v>
      </c>
      <c r="E172" s="1031" t="s">
        <v>2260</v>
      </c>
      <c r="F172" s="1034">
        <f>'[1]PLAN DE DESARROLLO 2024 - 2027'!$K$144</f>
        <v>9.4430102040816324E-2</v>
      </c>
      <c r="G172" s="1031" t="s">
        <v>1345</v>
      </c>
      <c r="H172" s="1031" t="s">
        <v>1346</v>
      </c>
      <c r="I172" s="1063">
        <f>+'Ciudad Conectada'!Y89</f>
        <v>0.25</v>
      </c>
      <c r="J172" s="1031" t="s">
        <v>2264</v>
      </c>
      <c r="K172" s="1035" t="s">
        <v>2195</v>
      </c>
      <c r="P172"/>
    </row>
    <row r="173" spans="1:16" ht="30.75" thickBot="1" x14ac:dyDescent="0.3">
      <c r="A173" s="1031" t="s">
        <v>2215</v>
      </c>
      <c r="B173" s="1033">
        <f>'[1]PLAN DE DESARROLLO 2024 - 2027'!$K$123</f>
        <v>0.26239975735212717</v>
      </c>
      <c r="C173" s="1031" t="s">
        <v>2216</v>
      </c>
      <c r="D173" s="1033">
        <f>'[1]PLAN DE DESARROLLO 2024 - 2027'!$K$143</f>
        <v>0.16314336734693877</v>
      </c>
      <c r="E173" s="1031" t="s">
        <v>2260</v>
      </c>
      <c r="F173" s="1034">
        <f>'[1]PLAN DE DESARROLLO 2024 - 2027'!$K$144</f>
        <v>9.4430102040816324E-2</v>
      </c>
      <c r="G173" s="1031" t="s">
        <v>1348</v>
      </c>
      <c r="H173" s="1031" t="s">
        <v>1349</v>
      </c>
      <c r="I173" s="1063">
        <f>+'Ciudad Conectada'!Y90</f>
        <v>0.2225</v>
      </c>
      <c r="J173" s="1031" t="s">
        <v>658</v>
      </c>
      <c r="K173" s="1035" t="s">
        <v>2195</v>
      </c>
      <c r="P173"/>
    </row>
    <row r="174" spans="1:16" ht="30.75" thickBot="1" x14ac:dyDescent="0.3">
      <c r="A174" s="1031" t="s">
        <v>2215</v>
      </c>
      <c r="B174" s="1033">
        <f>'[1]PLAN DE DESARROLLO 2024 - 2027'!$K$123</f>
        <v>0.26239975735212717</v>
      </c>
      <c r="C174" s="1031" t="s">
        <v>2216</v>
      </c>
      <c r="D174" s="1033">
        <f>'[1]PLAN DE DESARROLLO 2024 - 2027'!$K$143</f>
        <v>0.16314336734693877</v>
      </c>
      <c r="E174" s="1031" t="s">
        <v>2265</v>
      </c>
      <c r="F174" s="1034">
        <f>'[1]PLAN DE DESARROLLO 2024 - 2027'!$K$146</f>
        <v>0.375</v>
      </c>
      <c r="G174" s="1031" t="s">
        <v>1368</v>
      </c>
      <c r="H174" s="1031" t="s">
        <v>1369</v>
      </c>
      <c r="I174" s="1063">
        <f>+'Ciudad Conectada'!Y96</f>
        <v>0.375</v>
      </c>
      <c r="J174" s="1031" t="s">
        <v>628</v>
      </c>
      <c r="K174" s="1035" t="s">
        <v>2195</v>
      </c>
      <c r="P174"/>
    </row>
    <row r="175" spans="1:16" ht="30.75" thickBot="1" x14ac:dyDescent="0.3">
      <c r="A175" s="1031" t="s">
        <v>2266</v>
      </c>
      <c r="B175" s="1033">
        <f>'[1]PLAN DE DESARROLLO 2024 - 2027'!$K$92</f>
        <v>0.27017707911062067</v>
      </c>
      <c r="C175" s="1031" t="s">
        <v>2267</v>
      </c>
      <c r="D175" s="1034">
        <f>'[1]PLAN DE DESARROLLO 2024 - 2027'!$K$105</f>
        <v>0.13440625</v>
      </c>
      <c r="E175" s="1031" t="s">
        <v>1013</v>
      </c>
      <c r="F175" s="1034">
        <f>'[1]PLAN DE DESARROLLO 2024 - 2027'!$K$109</f>
        <v>0</v>
      </c>
      <c r="G175" s="1031" t="s">
        <v>1014</v>
      </c>
      <c r="H175" s="1031" t="s">
        <v>1015</v>
      </c>
      <c r="I175" s="1063">
        <f>+'Desarrollo Economico'!Y65</f>
        <v>0</v>
      </c>
      <c r="J175" s="1031" t="s">
        <v>1021</v>
      </c>
      <c r="K175" s="1035" t="s">
        <v>2195</v>
      </c>
      <c r="P175"/>
    </row>
    <row r="176" spans="1:16" ht="30.75" thickBot="1" x14ac:dyDescent="0.3">
      <c r="A176" s="1031" t="s">
        <v>2266</v>
      </c>
      <c r="B176" s="1033">
        <f>'[1]PLAN DE DESARROLLO 2024 - 2027'!$K$92</f>
        <v>0.27017707911062067</v>
      </c>
      <c r="C176" s="1031" t="s">
        <v>2267</v>
      </c>
      <c r="D176" s="1034">
        <f>'[1]PLAN DE DESARROLLO 2024 - 2027'!$K$105</f>
        <v>0.13440625</v>
      </c>
      <c r="E176" s="1031" t="s">
        <v>1013</v>
      </c>
      <c r="F176" s="1034">
        <f>'[1]PLAN DE DESARROLLO 2024 - 2027'!$K$109</f>
        <v>0</v>
      </c>
      <c r="G176" s="1031" t="s">
        <v>1019</v>
      </c>
      <c r="H176" s="1031" t="s">
        <v>1020</v>
      </c>
      <c r="I176" s="1063">
        <f>+'Desarrollo Economico'!Y66</f>
        <v>0</v>
      </c>
      <c r="J176" s="1031" t="s">
        <v>1021</v>
      </c>
      <c r="K176" s="1035" t="s">
        <v>2195</v>
      </c>
      <c r="P176"/>
    </row>
    <row r="177" spans="1:16" ht="30.75" thickBot="1" x14ac:dyDescent="0.3">
      <c r="A177" s="1031" t="s">
        <v>2266</v>
      </c>
      <c r="B177" s="1033">
        <f>'[1]PLAN DE DESARROLLO 2024 - 2027'!$K$92</f>
        <v>0.27017707911062067</v>
      </c>
      <c r="C177" s="1031" t="s">
        <v>2268</v>
      </c>
      <c r="D177" s="1034">
        <f>'[1]PLAN DE DESARROLLO 2024 - 2027'!$K$110</f>
        <v>0.16916666666666663</v>
      </c>
      <c r="E177" s="1031" t="s">
        <v>1025</v>
      </c>
      <c r="F177" s="1034">
        <f>'[1]PLAN DE DESARROLLO 2024 - 2027'!$K$111</f>
        <v>0</v>
      </c>
      <c r="G177" s="1031" t="s">
        <v>1026</v>
      </c>
      <c r="H177" s="1031" t="s">
        <v>1027</v>
      </c>
      <c r="I177" s="1063">
        <f>+'Desarrollo Economico'!Y69</f>
        <v>0.13</v>
      </c>
      <c r="J177" s="1031" t="s">
        <v>1028</v>
      </c>
      <c r="K177" s="1035" t="s">
        <v>2195</v>
      </c>
      <c r="P177"/>
    </row>
    <row r="178" spans="1:16" ht="30.75" thickBot="1" x14ac:dyDescent="0.3">
      <c r="A178" s="1031" t="s">
        <v>2266</v>
      </c>
      <c r="B178" s="1033">
        <f>'[1]PLAN DE DESARROLLO 2024 - 2027'!$K$92</f>
        <v>0.27017707911062067</v>
      </c>
      <c r="C178" s="1031" t="s">
        <v>2268</v>
      </c>
      <c r="D178" s="1034">
        <f>'[1]PLAN DE DESARROLLO 2024 - 2027'!$K$110</f>
        <v>0.16916666666666663</v>
      </c>
      <c r="E178" s="1031" t="s">
        <v>1025</v>
      </c>
      <c r="F178" s="1034">
        <f>'[1]PLAN DE DESARROLLO 2024 - 2027'!$K$111</f>
        <v>0</v>
      </c>
      <c r="G178" s="1031" t="s">
        <v>1030</v>
      </c>
      <c r="H178" s="1031" t="s">
        <v>1031</v>
      </c>
      <c r="I178" s="1063">
        <f>+'Desarrollo Economico'!Y70</f>
        <v>0</v>
      </c>
      <c r="J178" s="1031" t="s">
        <v>1028</v>
      </c>
      <c r="K178" s="1035" t="s">
        <v>2195</v>
      </c>
      <c r="P178"/>
    </row>
    <row r="179" spans="1:16" ht="30.75" thickBot="1" x14ac:dyDescent="0.3">
      <c r="A179" s="1031" t="s">
        <v>2266</v>
      </c>
      <c r="B179" s="1033">
        <f>'[1]PLAN DE DESARROLLO 2024 - 2027'!$K$92</f>
        <v>0.27017707911062067</v>
      </c>
      <c r="C179" s="1031" t="s">
        <v>2268</v>
      </c>
      <c r="D179" s="1034">
        <f>'[1]PLAN DE DESARROLLO 2024 - 2027'!$K$110</f>
        <v>0.16916666666666663</v>
      </c>
      <c r="E179" s="1031" t="s">
        <v>1025</v>
      </c>
      <c r="F179" s="1034">
        <f>'[1]PLAN DE DESARROLLO 2024 - 2027'!$K$111</f>
        <v>0</v>
      </c>
      <c r="G179" s="1031" t="s">
        <v>1032</v>
      </c>
      <c r="H179" s="1031" t="s">
        <v>1033</v>
      </c>
      <c r="I179" s="1063">
        <f>+'Desarrollo Economico'!Y71</f>
        <v>0</v>
      </c>
      <c r="J179" s="1031" t="s">
        <v>1028</v>
      </c>
      <c r="K179" s="1035" t="s">
        <v>2195</v>
      </c>
      <c r="P179"/>
    </row>
    <row r="180" spans="1:16" ht="30.75" thickBot="1" x14ac:dyDescent="0.3">
      <c r="A180" s="1031" t="s">
        <v>2266</v>
      </c>
      <c r="B180" s="1033">
        <f>'[1]PLAN DE DESARROLLO 2024 - 2027'!$K$92</f>
        <v>0.27017707911062067</v>
      </c>
      <c r="C180" s="1031" t="s">
        <v>2268</v>
      </c>
      <c r="D180" s="1034">
        <f>'[1]PLAN DE DESARROLLO 2024 - 2027'!$K$110</f>
        <v>0.16916666666666663</v>
      </c>
      <c r="E180" s="1031" t="s">
        <v>1025</v>
      </c>
      <c r="F180" s="1034">
        <f>'[1]PLAN DE DESARROLLO 2024 - 2027'!$K$111</f>
        <v>0</v>
      </c>
      <c r="G180" s="1031" t="s">
        <v>1034</v>
      </c>
      <c r="H180" s="1031" t="s">
        <v>2269</v>
      </c>
      <c r="I180" s="1063">
        <f>+'Desarrollo Economico'!Y72</f>
        <v>0.25312499999999999</v>
      </c>
      <c r="J180" s="1031" t="s">
        <v>1028</v>
      </c>
      <c r="K180" s="1035" t="s">
        <v>2195</v>
      </c>
      <c r="P180"/>
    </row>
    <row r="181" spans="1:16" ht="30.75" thickBot="1" x14ac:dyDescent="0.3">
      <c r="A181" s="1031" t="s">
        <v>2266</v>
      </c>
      <c r="B181" s="1033">
        <f>'[1]PLAN DE DESARROLLO 2024 - 2027'!$K$92</f>
        <v>0.27017707911062067</v>
      </c>
      <c r="C181" s="1031" t="s">
        <v>2268</v>
      </c>
      <c r="D181" s="1034">
        <f>'[1]PLAN DE DESARROLLO 2024 - 2027'!$K$110</f>
        <v>0.16916666666666663</v>
      </c>
      <c r="E181" s="1031" t="s">
        <v>1036</v>
      </c>
      <c r="F181" s="1034">
        <f>'[1]PLAN DE DESARROLLO 2024 - 2027'!$K$112</f>
        <v>0</v>
      </c>
      <c r="G181" s="1031" t="s">
        <v>1037</v>
      </c>
      <c r="H181" s="1031" t="s">
        <v>1038</v>
      </c>
      <c r="I181" s="1063">
        <f>+'Desarrollo Economico'!Y74</f>
        <v>0.23430702299564948</v>
      </c>
      <c r="J181" s="1031" t="s">
        <v>1028</v>
      </c>
      <c r="K181" s="1035" t="s">
        <v>2195</v>
      </c>
      <c r="P181"/>
    </row>
    <row r="182" spans="1:16" ht="45.75" thickBot="1" x14ac:dyDescent="0.3">
      <c r="A182" s="1031" t="s">
        <v>2266</v>
      </c>
      <c r="B182" s="1033">
        <f>'[1]PLAN DE DESARROLLO 2024 - 2027'!$K$92</f>
        <v>0.27017707911062067</v>
      </c>
      <c r="C182" s="1031" t="s">
        <v>2268</v>
      </c>
      <c r="D182" s="1034">
        <f>'[1]PLAN DE DESARROLLO 2024 - 2027'!$K$110</f>
        <v>0.16916666666666663</v>
      </c>
      <c r="E182" s="1031" t="s">
        <v>1036</v>
      </c>
      <c r="F182" s="1034">
        <f>'[1]PLAN DE DESARROLLO 2024 - 2027'!$K$112</f>
        <v>0</v>
      </c>
      <c r="G182" s="1031" t="s">
        <v>1039</v>
      </c>
      <c r="H182" s="1031" t="s">
        <v>1040</v>
      </c>
      <c r="I182" s="1063">
        <f>+'Desarrollo Economico'!Y75</f>
        <v>1.4999999999999999E-2</v>
      </c>
      <c r="J182" s="1031" t="s">
        <v>1028</v>
      </c>
      <c r="K182" s="1035" t="s">
        <v>2195</v>
      </c>
      <c r="P182"/>
    </row>
    <row r="183" spans="1:16" ht="45.75" thickBot="1" x14ac:dyDescent="0.3">
      <c r="A183" s="1031" t="s">
        <v>2266</v>
      </c>
      <c r="B183" s="1033">
        <f>'[1]PLAN DE DESARROLLO 2024 - 2027'!$K$92</f>
        <v>0.27017707911062067</v>
      </c>
      <c r="C183" s="1031" t="s">
        <v>2268</v>
      </c>
      <c r="D183" s="1034">
        <f>'[1]PLAN DE DESARROLLO 2024 - 2027'!$K$110</f>
        <v>0.16916666666666663</v>
      </c>
      <c r="E183" s="1031" t="s">
        <v>1036</v>
      </c>
      <c r="F183" s="1034">
        <f>'[1]PLAN DE DESARROLLO 2024 - 2027'!$K$112</f>
        <v>0</v>
      </c>
      <c r="G183" s="1031" t="s">
        <v>1041</v>
      </c>
      <c r="H183" s="1031" t="s">
        <v>1042</v>
      </c>
      <c r="I183" s="1063">
        <f>+'Desarrollo Economico'!Y76</f>
        <v>0.10625</v>
      </c>
      <c r="J183" s="1031" t="s">
        <v>1028</v>
      </c>
      <c r="K183" s="1035" t="s">
        <v>2195</v>
      </c>
      <c r="P183"/>
    </row>
    <row r="184" spans="1:16" ht="30.75" thickBot="1" x14ac:dyDescent="0.3">
      <c r="A184" s="1031" t="s">
        <v>2266</v>
      </c>
      <c r="B184" s="1033">
        <f>'[1]PLAN DE DESARROLLO 2024 - 2027'!$K$92</f>
        <v>0.27017707911062067</v>
      </c>
      <c r="C184" s="1031" t="s">
        <v>2268</v>
      </c>
      <c r="D184" s="1034">
        <f>'[1]PLAN DE DESARROLLO 2024 - 2027'!$K$110</f>
        <v>0.16916666666666663</v>
      </c>
      <c r="E184" s="1031" t="s">
        <v>1036</v>
      </c>
      <c r="F184" s="1034">
        <f>'[1]PLAN DE DESARROLLO 2024 - 2027'!$K$112</f>
        <v>0</v>
      </c>
      <c r="G184" s="1031" t="s">
        <v>1043</v>
      </c>
      <c r="H184" s="1031" t="s">
        <v>1044</v>
      </c>
      <c r="I184" s="1063">
        <f>+'Desarrollo Economico'!Y77</f>
        <v>0</v>
      </c>
      <c r="J184" s="1031" t="s">
        <v>1028</v>
      </c>
      <c r="K184" s="1035" t="s">
        <v>2195</v>
      </c>
      <c r="P184"/>
    </row>
    <row r="185" spans="1:16" ht="30.75" thickBot="1" x14ac:dyDescent="0.3">
      <c r="A185" s="1031" t="s">
        <v>2266</v>
      </c>
      <c r="B185" s="1033">
        <f>'[1]PLAN DE DESARROLLO 2024 - 2027'!$K$92</f>
        <v>0.27017707911062067</v>
      </c>
      <c r="C185" s="1031" t="s">
        <v>2268</v>
      </c>
      <c r="D185" s="1034">
        <f>'[1]PLAN DE DESARROLLO 2024 - 2027'!$K$110</f>
        <v>0.16916666666666663</v>
      </c>
      <c r="E185" s="1031" t="s">
        <v>1036</v>
      </c>
      <c r="F185" s="1034">
        <f>'[1]PLAN DE DESARROLLO 2024 - 2027'!$K$112</f>
        <v>0</v>
      </c>
      <c r="G185" s="1031" t="s">
        <v>1045</v>
      </c>
      <c r="H185" s="1031" t="s">
        <v>1046</v>
      </c>
      <c r="I185" s="1063">
        <f>+'Desarrollo Economico'!Y78</f>
        <v>0</v>
      </c>
      <c r="J185" s="1031" t="s">
        <v>2270</v>
      </c>
      <c r="K185" s="1035" t="s">
        <v>2195</v>
      </c>
      <c r="P185"/>
    </row>
    <row r="186" spans="1:16" ht="30.75" thickBot="1" x14ac:dyDescent="0.3">
      <c r="A186" s="1031" t="s">
        <v>2266</v>
      </c>
      <c r="B186" s="1033">
        <f>'[1]PLAN DE DESARROLLO 2024 - 2027'!$K$92</f>
        <v>0.27017707911062067</v>
      </c>
      <c r="C186" s="1031" t="s">
        <v>2268</v>
      </c>
      <c r="D186" s="1034">
        <f>'[1]PLAN DE DESARROLLO 2024 - 2027'!$K$110</f>
        <v>0.16916666666666663</v>
      </c>
      <c r="E186" s="1031" t="s">
        <v>1036</v>
      </c>
      <c r="F186" s="1034">
        <f>'[1]PLAN DE DESARROLLO 2024 - 2027'!$K$112</f>
        <v>0</v>
      </c>
      <c r="G186" s="1031" t="s">
        <v>1048</v>
      </c>
      <c r="H186" s="1031" t="s">
        <v>1049</v>
      </c>
      <c r="I186" s="1063">
        <f>+'Desarrollo Economico'!Y79</f>
        <v>0</v>
      </c>
      <c r="J186" s="1031" t="s">
        <v>1028</v>
      </c>
      <c r="K186" s="1035" t="s">
        <v>2195</v>
      </c>
      <c r="P186"/>
    </row>
    <row r="187" spans="1:16" ht="30.75" thickBot="1" x14ac:dyDescent="0.3">
      <c r="A187" s="1031" t="s">
        <v>2266</v>
      </c>
      <c r="B187" s="1033">
        <f>'[1]PLAN DE DESARROLLO 2024 - 2027'!$K$92</f>
        <v>0.27017707911062067</v>
      </c>
      <c r="C187" s="1031" t="s">
        <v>2268</v>
      </c>
      <c r="D187" s="1034">
        <f>'[1]PLAN DE DESARROLLO 2024 - 2027'!$K$110</f>
        <v>0.16916666666666663</v>
      </c>
      <c r="E187" s="1031" t="s">
        <v>1036</v>
      </c>
      <c r="F187" s="1034">
        <f>'[1]PLAN DE DESARROLLO 2024 - 2027'!$K$112</f>
        <v>0</v>
      </c>
      <c r="G187" s="1031" t="s">
        <v>1050</v>
      </c>
      <c r="H187" s="1031" t="s">
        <v>1051</v>
      </c>
      <c r="I187" s="1063">
        <f>+'Desarrollo Economico'!Y80</f>
        <v>0</v>
      </c>
      <c r="J187" s="1031" t="s">
        <v>1028</v>
      </c>
      <c r="K187" s="1035" t="s">
        <v>2195</v>
      </c>
      <c r="P187"/>
    </row>
    <row r="188" spans="1:16" ht="30.75" thickBot="1" x14ac:dyDescent="0.3">
      <c r="A188" s="1031" t="s">
        <v>2266</v>
      </c>
      <c r="B188" s="1033">
        <f>'[1]PLAN DE DESARROLLO 2024 - 2027'!$K$92</f>
        <v>0.27017707911062067</v>
      </c>
      <c r="C188" s="1031" t="s">
        <v>2268</v>
      </c>
      <c r="D188" s="1034">
        <f>'[1]PLAN DE DESARROLLO 2024 - 2027'!$K$110</f>
        <v>0.16916666666666663</v>
      </c>
      <c r="E188" s="1031" t="s">
        <v>1036</v>
      </c>
      <c r="F188" s="1034">
        <f>'[1]PLAN DE DESARROLLO 2024 - 2027'!$K$112</f>
        <v>0</v>
      </c>
      <c r="G188" s="1031" t="s">
        <v>1052</v>
      </c>
      <c r="H188" s="1031" t="s">
        <v>1053</v>
      </c>
      <c r="I188" s="1063">
        <f>+'Desarrollo Economico'!Y81</f>
        <v>0</v>
      </c>
      <c r="J188" s="1031" t="s">
        <v>1028</v>
      </c>
      <c r="K188" s="1035" t="s">
        <v>2195</v>
      </c>
      <c r="P188"/>
    </row>
    <row r="189" spans="1:16" ht="30.75" thickBot="1" x14ac:dyDescent="0.3">
      <c r="A189" s="1031" t="s">
        <v>2266</v>
      </c>
      <c r="B189" s="1033">
        <f>'[1]PLAN DE DESARROLLO 2024 - 2027'!$K$92</f>
        <v>0.27017707911062067</v>
      </c>
      <c r="C189" s="1031" t="s">
        <v>2268</v>
      </c>
      <c r="D189" s="1034">
        <f>'[1]PLAN DE DESARROLLO 2024 - 2027'!$K$110</f>
        <v>0.16916666666666663</v>
      </c>
      <c r="E189" s="1031" t="s">
        <v>1036</v>
      </c>
      <c r="F189" s="1034">
        <f>'[1]PLAN DE DESARROLLO 2024 - 2027'!$K$112</f>
        <v>0</v>
      </c>
      <c r="G189" s="1031" t="s">
        <v>1054</v>
      </c>
      <c r="H189" s="1031" t="s">
        <v>1055</v>
      </c>
      <c r="I189" s="1063">
        <f>+'Desarrollo Economico'!Y82</f>
        <v>0</v>
      </c>
      <c r="J189" s="1031" t="s">
        <v>1028</v>
      </c>
      <c r="K189" s="1035" t="s">
        <v>2195</v>
      </c>
      <c r="P189"/>
    </row>
    <row r="190" spans="1:16" ht="30.75" thickBot="1" x14ac:dyDescent="0.3">
      <c r="A190" s="1031" t="s">
        <v>2266</v>
      </c>
      <c r="B190" s="1033">
        <f>'[1]PLAN DE DESARROLLO 2024 - 2027'!$K$92</f>
        <v>0.27017707911062067</v>
      </c>
      <c r="C190" s="1031" t="s">
        <v>2268</v>
      </c>
      <c r="D190" s="1034">
        <f>'[1]PLAN DE DESARROLLO 2024 - 2027'!$K$110</f>
        <v>0.16916666666666663</v>
      </c>
      <c r="E190" s="1031" t="s">
        <v>1036</v>
      </c>
      <c r="F190" s="1034">
        <f>'[1]PLAN DE DESARROLLO 2024 - 2027'!$K$112</f>
        <v>0</v>
      </c>
      <c r="G190" s="1031" t="s">
        <v>1056</v>
      </c>
      <c r="H190" s="1031" t="s">
        <v>1057</v>
      </c>
      <c r="I190" s="1063">
        <f>+'Desarrollo Economico'!Y83</f>
        <v>0</v>
      </c>
      <c r="J190" s="1031" t="s">
        <v>1028</v>
      </c>
      <c r="K190" s="1035" t="s">
        <v>2195</v>
      </c>
      <c r="P190"/>
    </row>
    <row r="191" spans="1:16" ht="30.75" thickBot="1" x14ac:dyDescent="0.3">
      <c r="A191" s="1031" t="s">
        <v>2266</v>
      </c>
      <c r="B191" s="1033">
        <f>'[1]PLAN DE DESARROLLO 2024 - 2027'!$K$92</f>
        <v>0.27017707911062067</v>
      </c>
      <c r="C191" s="1031" t="s">
        <v>2268</v>
      </c>
      <c r="D191" s="1034">
        <f>'[1]PLAN DE DESARROLLO 2024 - 2027'!$K$110</f>
        <v>0.16916666666666663</v>
      </c>
      <c r="E191" s="1031" t="s">
        <v>1036</v>
      </c>
      <c r="F191" s="1034">
        <f>'[1]PLAN DE DESARROLLO 2024 - 2027'!$K$112</f>
        <v>0</v>
      </c>
      <c r="G191" s="1031" t="s">
        <v>1058</v>
      </c>
      <c r="H191" s="1031" t="s">
        <v>1059</v>
      </c>
      <c r="I191" s="1063">
        <f>+'Desarrollo Economico'!Y84</f>
        <v>0.2</v>
      </c>
      <c r="J191" s="1031" t="s">
        <v>1028</v>
      </c>
      <c r="K191" s="1035" t="s">
        <v>2195</v>
      </c>
      <c r="P191"/>
    </row>
    <row r="192" spans="1:16" ht="30.75" thickBot="1" x14ac:dyDescent="0.3">
      <c r="A192" s="1031" t="s">
        <v>2266</v>
      </c>
      <c r="B192" s="1033">
        <f>'[1]PLAN DE DESARROLLO 2024 - 2027'!$K$92</f>
        <v>0.27017707911062067</v>
      </c>
      <c r="C192" s="1031" t="s">
        <v>2268</v>
      </c>
      <c r="D192" s="1034">
        <f>'[1]PLAN DE DESARROLLO 2024 - 2027'!$K$110</f>
        <v>0.16916666666666663</v>
      </c>
      <c r="E192" s="1031" t="s">
        <v>1036</v>
      </c>
      <c r="F192" s="1034">
        <f>'[1]PLAN DE DESARROLLO 2024 - 2027'!$K$112</f>
        <v>0</v>
      </c>
      <c r="G192" s="1031" t="s">
        <v>1060</v>
      </c>
      <c r="H192" s="1031" t="s">
        <v>1061</v>
      </c>
      <c r="I192" s="1063">
        <f>+'Desarrollo Economico'!Y85</f>
        <v>0</v>
      </c>
      <c r="J192" s="1031" t="s">
        <v>1028</v>
      </c>
      <c r="K192" s="1035" t="s">
        <v>2195</v>
      </c>
      <c r="P192"/>
    </row>
    <row r="193" spans="1:16" ht="45.75" thickBot="1" x14ac:dyDescent="0.3">
      <c r="A193" s="1031" t="s">
        <v>2266</v>
      </c>
      <c r="B193" s="1033">
        <f>'[1]PLAN DE DESARROLLO 2024 - 2027'!$K$92</f>
        <v>0.27017707911062067</v>
      </c>
      <c r="C193" s="1031" t="s">
        <v>2268</v>
      </c>
      <c r="D193" s="1034">
        <f>'[1]PLAN DE DESARROLLO 2024 - 2027'!$K$110</f>
        <v>0.16916666666666663</v>
      </c>
      <c r="E193" s="1031" t="s">
        <v>2271</v>
      </c>
      <c r="F193" s="1034">
        <f>'[1]PLAN DE DESARROLLO 2024 - 2027'!$K$114</f>
        <v>0</v>
      </c>
      <c r="G193" s="1031" t="s">
        <v>2272</v>
      </c>
      <c r="H193" s="1031" t="s">
        <v>1078</v>
      </c>
      <c r="I193" s="1063">
        <f>+'Desarrollo Economico'!Y92</f>
        <v>3.888888888888889E-2</v>
      </c>
      <c r="J193" s="1031" t="s">
        <v>2273</v>
      </c>
      <c r="K193" s="1035" t="s">
        <v>2195</v>
      </c>
      <c r="P193"/>
    </row>
    <row r="194" spans="1:16" ht="30.75" thickBot="1" x14ac:dyDescent="0.3">
      <c r="A194" s="1031" t="s">
        <v>2266</v>
      </c>
      <c r="B194" s="1033">
        <f>'[1]PLAN DE DESARROLLO 2024 - 2027'!$K$92</f>
        <v>0.27017707911062067</v>
      </c>
      <c r="C194" s="1031" t="s">
        <v>2268</v>
      </c>
      <c r="D194" s="1034">
        <f>'[1]PLAN DE DESARROLLO 2024 - 2027'!$K$110</f>
        <v>0.16916666666666663</v>
      </c>
      <c r="E194" s="1031" t="s">
        <v>2271</v>
      </c>
      <c r="F194" s="1034">
        <f>'[1]PLAN DE DESARROLLO 2024 - 2027'!$K$114</f>
        <v>0</v>
      </c>
      <c r="G194" s="1031" t="s">
        <v>1081</v>
      </c>
      <c r="H194" s="1031" t="s">
        <v>1082</v>
      </c>
      <c r="I194" s="1063">
        <f>+'Desarrollo Economico'!Y93</f>
        <v>0.13500000000000001</v>
      </c>
      <c r="J194" s="1031" t="s">
        <v>1028</v>
      </c>
      <c r="K194" s="1035" t="s">
        <v>2195</v>
      </c>
      <c r="P194"/>
    </row>
    <row r="195" spans="1:16" ht="30.75" thickBot="1" x14ac:dyDescent="0.3">
      <c r="A195" s="1031" t="s">
        <v>2266</v>
      </c>
      <c r="B195" s="1033">
        <f>'[1]PLAN DE DESARROLLO 2024 - 2027'!$K$92</f>
        <v>0.27017707911062067</v>
      </c>
      <c r="C195" s="1031" t="s">
        <v>2268</v>
      </c>
      <c r="D195" s="1034">
        <f>'[1]PLAN DE DESARROLLO 2024 - 2027'!$K$110</f>
        <v>0.16916666666666663</v>
      </c>
      <c r="E195" s="1031" t="s">
        <v>2271</v>
      </c>
      <c r="F195" s="1034">
        <f>'[1]PLAN DE DESARROLLO 2024 - 2027'!$K$114</f>
        <v>0</v>
      </c>
      <c r="G195" s="1031" t="s">
        <v>1083</v>
      </c>
      <c r="H195" s="1031" t="s">
        <v>1084</v>
      </c>
      <c r="I195" s="1063">
        <f>+'Desarrollo Economico'!Y94</f>
        <v>0</v>
      </c>
      <c r="J195" s="1031" t="s">
        <v>1028</v>
      </c>
      <c r="K195" s="1035" t="s">
        <v>2195</v>
      </c>
      <c r="P195"/>
    </row>
    <row r="196" spans="1:16" ht="45.75" thickBot="1" x14ac:dyDescent="0.3">
      <c r="A196" s="1031" t="s">
        <v>2266</v>
      </c>
      <c r="B196" s="1033">
        <f>'[1]PLAN DE DESARROLLO 2024 - 2027'!$K$92</f>
        <v>0.27017707911062067</v>
      </c>
      <c r="C196" s="1031" t="s">
        <v>2268</v>
      </c>
      <c r="D196" s="1034">
        <f>'[1]PLAN DE DESARROLLO 2024 - 2027'!$K$110</f>
        <v>0.16916666666666663</v>
      </c>
      <c r="E196" s="1031" t="s">
        <v>2271</v>
      </c>
      <c r="F196" s="1034">
        <f>'[1]PLAN DE DESARROLLO 2024 - 2027'!$K$114</f>
        <v>0</v>
      </c>
      <c r="G196" s="1031" t="s">
        <v>1085</v>
      </c>
      <c r="H196" s="1031" t="s">
        <v>1086</v>
      </c>
      <c r="I196" s="1063">
        <f>+'Desarrollo Economico'!Y95</f>
        <v>0</v>
      </c>
      <c r="J196" s="1031" t="s">
        <v>1028</v>
      </c>
      <c r="K196" s="1035" t="s">
        <v>2195</v>
      </c>
      <c r="P196"/>
    </row>
    <row r="197" spans="1:16" ht="27.6" customHeight="1" thickBot="1" x14ac:dyDescent="0.3">
      <c r="A197" s="1031" t="s">
        <v>2266</v>
      </c>
      <c r="B197" s="1033">
        <f>'[1]PLAN DE DESARROLLO 2024 - 2027'!$K$92</f>
        <v>0.27017707911062067</v>
      </c>
      <c r="C197" s="1031" t="s">
        <v>2274</v>
      </c>
      <c r="D197" s="1034">
        <f>'[1]PLAN DE DESARROLLO 2024 - 2027'!$K$93</f>
        <v>0.3783333333333333</v>
      </c>
      <c r="E197" s="1031" t="s">
        <v>2275</v>
      </c>
      <c r="F197" s="1034">
        <f>'[1]PLAN DE DESARROLLO 2024 - 2027'!$K$94</f>
        <v>0.5</v>
      </c>
      <c r="G197" s="1031" t="s">
        <v>881</v>
      </c>
      <c r="H197" s="1031" t="s">
        <v>882</v>
      </c>
      <c r="I197" s="1063">
        <f>+'Desarrollo Economico'!Y6</f>
        <v>1</v>
      </c>
      <c r="J197" s="1031" t="s">
        <v>883</v>
      </c>
      <c r="K197" s="1035" t="s">
        <v>2195</v>
      </c>
      <c r="P197"/>
    </row>
    <row r="198" spans="1:16" ht="30.75" thickBot="1" x14ac:dyDescent="0.3">
      <c r="A198" s="1031" t="s">
        <v>2266</v>
      </c>
      <c r="B198" s="1033">
        <f>'[1]PLAN DE DESARROLLO 2024 - 2027'!$K$92</f>
        <v>0.27017707911062067</v>
      </c>
      <c r="C198" s="1031" t="s">
        <v>2274</v>
      </c>
      <c r="D198" s="1034">
        <f>'[1]PLAN DE DESARROLLO 2024 - 2027'!$K$93</f>
        <v>0.3783333333333333</v>
      </c>
      <c r="E198" s="1031" t="s">
        <v>2275</v>
      </c>
      <c r="F198" s="1034">
        <f>'[1]PLAN DE DESARROLLO 2024 - 2027'!$K$94</f>
        <v>0.5</v>
      </c>
      <c r="G198" s="1031" t="s">
        <v>886</v>
      </c>
      <c r="H198" s="1031" t="s">
        <v>887</v>
      </c>
      <c r="I198" s="1063">
        <f>+'Desarrollo Economico'!Y7</f>
        <v>0.55000000000000004</v>
      </c>
      <c r="J198" s="1031" t="s">
        <v>883</v>
      </c>
      <c r="K198" s="1035" t="s">
        <v>2195</v>
      </c>
      <c r="P198"/>
    </row>
    <row r="199" spans="1:16" ht="60.75" thickBot="1" x14ac:dyDescent="0.3">
      <c r="A199" s="1031" t="s">
        <v>2266</v>
      </c>
      <c r="B199" s="1033">
        <f>'[1]PLAN DE DESARROLLO 2024 - 2027'!$K$92</f>
        <v>0.27017707911062067</v>
      </c>
      <c r="C199" s="1031" t="s">
        <v>2274</v>
      </c>
      <c r="D199" s="1034">
        <f>'[1]PLAN DE DESARROLLO 2024 - 2027'!$K$93</f>
        <v>0.3783333333333333</v>
      </c>
      <c r="E199" s="1031" t="s">
        <v>2275</v>
      </c>
      <c r="F199" s="1034">
        <f>'[1]PLAN DE DESARROLLO 2024 - 2027'!$K$94</f>
        <v>0.5</v>
      </c>
      <c r="G199" s="1031" t="s">
        <v>889</v>
      </c>
      <c r="H199" s="1031" t="s">
        <v>890</v>
      </c>
      <c r="I199" s="1063">
        <f>+'Desarrollo Economico'!Y8</f>
        <v>0.3125</v>
      </c>
      <c r="J199" s="1031" t="s">
        <v>883</v>
      </c>
      <c r="K199" s="1035" t="s">
        <v>2195</v>
      </c>
      <c r="P199"/>
    </row>
    <row r="200" spans="1:16" ht="45.75" thickBot="1" x14ac:dyDescent="0.3">
      <c r="A200" s="1031" t="s">
        <v>2266</v>
      </c>
      <c r="B200" s="1033">
        <f>'[1]PLAN DE DESARROLLO 2024 - 2027'!$K$92</f>
        <v>0.27017707911062067</v>
      </c>
      <c r="C200" s="1031" t="s">
        <v>2274</v>
      </c>
      <c r="D200" s="1034">
        <f>'[1]PLAN DE DESARROLLO 2024 - 2027'!$K$93</f>
        <v>0.3783333333333333</v>
      </c>
      <c r="E200" s="1031" t="s">
        <v>2275</v>
      </c>
      <c r="F200" s="1034">
        <f>'[1]PLAN DE DESARROLLO 2024 - 2027'!$K$94</f>
        <v>0.5</v>
      </c>
      <c r="G200" s="1031" t="s">
        <v>891</v>
      </c>
      <c r="H200" s="1031" t="s">
        <v>2276</v>
      </c>
      <c r="I200" s="1063">
        <f>+'Desarrollo Economico'!Y9</f>
        <v>0.5</v>
      </c>
      <c r="J200" s="1031" t="s">
        <v>883</v>
      </c>
      <c r="K200" s="1035" t="s">
        <v>2195</v>
      </c>
      <c r="P200"/>
    </row>
    <row r="201" spans="1:16" ht="30.75" thickBot="1" x14ac:dyDescent="0.3">
      <c r="A201" s="1031" t="s">
        <v>2266</v>
      </c>
      <c r="B201" s="1033">
        <f>'[1]PLAN DE DESARROLLO 2024 - 2027'!$K$92</f>
        <v>0.27017707911062067</v>
      </c>
      <c r="C201" s="1031" t="s">
        <v>2274</v>
      </c>
      <c r="D201" s="1034">
        <f>'[1]PLAN DE DESARROLLO 2024 - 2027'!$K$93</f>
        <v>0.3783333333333333</v>
      </c>
      <c r="E201" s="1031" t="s">
        <v>2275</v>
      </c>
      <c r="F201" s="1034">
        <f>'[1]PLAN DE DESARROLLO 2024 - 2027'!$K$94</f>
        <v>0.5</v>
      </c>
      <c r="G201" s="1031" t="s">
        <v>895</v>
      </c>
      <c r="H201" s="1031" t="s">
        <v>896</v>
      </c>
      <c r="I201" s="1063">
        <f>+'Desarrollo Economico'!Y10</f>
        <v>0.25</v>
      </c>
      <c r="J201" s="1031" t="s">
        <v>883</v>
      </c>
      <c r="K201" s="1035" t="s">
        <v>2195</v>
      </c>
      <c r="P201"/>
    </row>
    <row r="202" spans="1:16" ht="30.75" thickBot="1" x14ac:dyDescent="0.3">
      <c r="A202" s="1031" t="s">
        <v>2266</v>
      </c>
      <c r="B202" s="1033">
        <f>'[1]PLAN DE DESARROLLO 2024 - 2027'!$K$92</f>
        <v>0.27017707911062067</v>
      </c>
      <c r="C202" s="1031" t="s">
        <v>2274</v>
      </c>
      <c r="D202" s="1034">
        <f>'[1]PLAN DE DESARROLLO 2024 - 2027'!$K$93</f>
        <v>0.3783333333333333</v>
      </c>
      <c r="E202" s="1031" t="s">
        <v>2277</v>
      </c>
      <c r="F202" s="1034">
        <f>'[1]PLAN DE DESARROLLO 2024 - 2027'!$K$95</f>
        <v>0.25666666666666665</v>
      </c>
      <c r="G202" s="1031" t="s">
        <v>898</v>
      </c>
      <c r="H202" s="1031" t="s">
        <v>899</v>
      </c>
      <c r="I202" s="1063">
        <f>+'Desarrollo Economico'!Y12</f>
        <v>0.5</v>
      </c>
      <c r="J202" s="1031" t="s">
        <v>883</v>
      </c>
      <c r="K202" s="1035" t="s">
        <v>2195</v>
      </c>
      <c r="P202"/>
    </row>
    <row r="203" spans="1:16" ht="15.75" thickBot="1" x14ac:dyDescent="0.3">
      <c r="A203" s="1031" t="s">
        <v>2266</v>
      </c>
      <c r="B203" s="1033">
        <f>'[1]PLAN DE DESARROLLO 2024 - 2027'!$K$92</f>
        <v>0.27017707911062067</v>
      </c>
      <c r="C203" s="1031" t="s">
        <v>2274</v>
      </c>
      <c r="D203" s="1034">
        <f>'[1]PLAN DE DESARROLLO 2024 - 2027'!$K$93</f>
        <v>0.3783333333333333</v>
      </c>
      <c r="E203" s="1031" t="s">
        <v>2277</v>
      </c>
      <c r="F203" s="1034">
        <f>'[1]PLAN DE DESARROLLO 2024 - 2027'!$K$95</f>
        <v>0.25666666666666665</v>
      </c>
      <c r="G203" s="1031" t="s">
        <v>900</v>
      </c>
      <c r="H203" s="1031" t="s">
        <v>901</v>
      </c>
      <c r="I203" s="1063">
        <f>+'Desarrollo Economico'!Y13</f>
        <v>0.37</v>
      </c>
      <c r="J203" s="1031" t="s">
        <v>883</v>
      </c>
      <c r="K203" s="1035" t="s">
        <v>2195</v>
      </c>
      <c r="P203"/>
    </row>
    <row r="204" spans="1:16" ht="45.75" thickBot="1" x14ac:dyDescent="0.3">
      <c r="A204" s="1031" t="s">
        <v>2266</v>
      </c>
      <c r="B204" s="1033">
        <f>'[1]PLAN DE DESARROLLO 2024 - 2027'!$K$92</f>
        <v>0.27017707911062067</v>
      </c>
      <c r="C204" s="1031" t="s">
        <v>2274</v>
      </c>
      <c r="D204" s="1034">
        <f>'[1]PLAN DE DESARROLLO 2024 - 2027'!$K$93</f>
        <v>0.3783333333333333</v>
      </c>
      <c r="E204" s="1031" t="s">
        <v>2277</v>
      </c>
      <c r="F204" s="1034">
        <f>'[1]PLAN DE DESARROLLO 2024 - 2027'!$K$95</f>
        <v>0.25666666666666665</v>
      </c>
      <c r="G204" s="1031" t="s">
        <v>902</v>
      </c>
      <c r="H204" s="1031" t="s">
        <v>903</v>
      </c>
      <c r="I204" s="1063">
        <f>+'Desarrollo Economico'!Y14</f>
        <v>0.3</v>
      </c>
      <c r="J204" s="1031" t="s">
        <v>883</v>
      </c>
      <c r="K204" s="1035" t="s">
        <v>2195</v>
      </c>
      <c r="P204"/>
    </row>
    <row r="205" spans="1:16" ht="30.75" thickBot="1" x14ac:dyDescent="0.3">
      <c r="A205" s="1031" t="s">
        <v>2266</v>
      </c>
      <c r="B205" s="1033">
        <f>'[1]PLAN DE DESARROLLO 2024 - 2027'!$K$92</f>
        <v>0.27017707911062067</v>
      </c>
      <c r="C205" s="1031" t="s">
        <v>2278</v>
      </c>
      <c r="D205" s="1034">
        <f>'[1]PLAN DE DESARROLLO 2024 - 2027'!$K$96</f>
        <v>0.36955295801526716</v>
      </c>
      <c r="E205" s="1031" t="s">
        <v>2279</v>
      </c>
      <c r="F205" s="1034">
        <f>'[1]PLAN DE DESARROLLO 2024 - 2027'!$K$97</f>
        <v>0.63124999999999998</v>
      </c>
      <c r="G205" s="1031" t="s">
        <v>906</v>
      </c>
      <c r="H205" s="1031" t="s">
        <v>907</v>
      </c>
      <c r="I205" s="1063">
        <f>+'Desarrollo Economico'!Y17</f>
        <v>0.42499999999999999</v>
      </c>
      <c r="J205" s="1031" t="s">
        <v>883</v>
      </c>
      <c r="K205" s="1035" t="s">
        <v>2195</v>
      </c>
      <c r="P205"/>
    </row>
    <row r="206" spans="1:16" ht="30.75" thickBot="1" x14ac:dyDescent="0.3">
      <c r="A206" s="1031" t="s">
        <v>2266</v>
      </c>
      <c r="B206" s="1033">
        <f>'[1]PLAN DE DESARROLLO 2024 - 2027'!$K$92</f>
        <v>0.27017707911062067</v>
      </c>
      <c r="C206" s="1031" t="s">
        <v>2278</v>
      </c>
      <c r="D206" s="1034">
        <f>'[1]PLAN DE DESARROLLO 2024 - 2027'!$K$96</f>
        <v>0.36955295801526716</v>
      </c>
      <c r="E206" s="1031" t="s">
        <v>2279</v>
      </c>
      <c r="F206" s="1034">
        <f>'[1]PLAN DE DESARROLLO 2024 - 2027'!$K$97</f>
        <v>0.63124999999999998</v>
      </c>
      <c r="G206" s="1031" t="s">
        <v>908</v>
      </c>
      <c r="H206" s="1031" t="s">
        <v>909</v>
      </c>
      <c r="I206" s="1063">
        <f>+'Desarrollo Economico'!Y18</f>
        <v>0.42499999999999999</v>
      </c>
      <c r="J206" s="1031" t="s">
        <v>883</v>
      </c>
      <c r="K206" s="1035" t="s">
        <v>2195</v>
      </c>
      <c r="P206"/>
    </row>
    <row r="207" spans="1:16" ht="30.75" thickBot="1" x14ac:dyDescent="0.3">
      <c r="A207" s="1031" t="s">
        <v>2266</v>
      </c>
      <c r="B207" s="1033">
        <f>'[1]PLAN DE DESARROLLO 2024 - 2027'!$K$92</f>
        <v>0.27017707911062067</v>
      </c>
      <c r="C207" s="1031" t="s">
        <v>2278</v>
      </c>
      <c r="D207" s="1034">
        <f>'[1]PLAN DE DESARROLLO 2024 - 2027'!$K$96</f>
        <v>0.36955295801526716</v>
      </c>
      <c r="E207" s="1031" t="s">
        <v>2279</v>
      </c>
      <c r="F207" s="1034">
        <f>'[1]PLAN DE DESARROLLO 2024 - 2027'!$K$97</f>
        <v>0.63124999999999998</v>
      </c>
      <c r="G207" s="1031" t="s">
        <v>910</v>
      </c>
      <c r="H207" s="1031" t="s">
        <v>911</v>
      </c>
      <c r="I207" s="1063">
        <f>+'Desarrollo Economico'!Y19</f>
        <v>1</v>
      </c>
      <c r="J207" s="1031" t="s">
        <v>883</v>
      </c>
      <c r="K207" s="1035" t="s">
        <v>2195</v>
      </c>
      <c r="P207"/>
    </row>
    <row r="208" spans="1:16" ht="30.75" thickBot="1" x14ac:dyDescent="0.3">
      <c r="A208" s="1031" t="s">
        <v>2266</v>
      </c>
      <c r="B208" s="1033">
        <f>'[1]PLAN DE DESARROLLO 2024 - 2027'!$K$92</f>
        <v>0.27017707911062067</v>
      </c>
      <c r="C208" s="1031" t="s">
        <v>2278</v>
      </c>
      <c r="D208" s="1034">
        <f>'[1]PLAN DE DESARROLLO 2024 - 2027'!$K$96</f>
        <v>0.36955295801526716</v>
      </c>
      <c r="E208" s="1031" t="s">
        <v>2279</v>
      </c>
      <c r="F208" s="1034">
        <f>'[1]PLAN DE DESARROLLO 2024 - 2027'!$K$97</f>
        <v>0.63124999999999998</v>
      </c>
      <c r="G208" s="1031" t="s">
        <v>913</v>
      </c>
      <c r="H208" s="1031" t="s">
        <v>914</v>
      </c>
      <c r="I208" s="1063">
        <f>+'Desarrollo Economico'!Y20</f>
        <v>1</v>
      </c>
      <c r="J208" s="1031" t="s">
        <v>883</v>
      </c>
      <c r="K208" s="1035" t="s">
        <v>2195</v>
      </c>
      <c r="P208"/>
    </row>
    <row r="209" spans="1:16" ht="30.75" thickBot="1" x14ac:dyDescent="0.3">
      <c r="A209" s="1031" t="s">
        <v>2266</v>
      </c>
      <c r="B209" s="1033">
        <f>'[1]PLAN DE DESARROLLO 2024 - 2027'!$K$92</f>
        <v>0.27017707911062067</v>
      </c>
      <c r="C209" s="1031" t="s">
        <v>2278</v>
      </c>
      <c r="D209" s="1034">
        <f>'[1]PLAN DE DESARROLLO 2024 - 2027'!$K$96</f>
        <v>0.36955295801526716</v>
      </c>
      <c r="E209" s="1031" t="s">
        <v>2280</v>
      </c>
      <c r="F209" s="1034">
        <f>'[1]PLAN DE DESARROLLO 2024 - 2027'!$K$98</f>
        <v>0.35496183206106868</v>
      </c>
      <c r="G209" s="1031" t="s">
        <v>916</v>
      </c>
      <c r="H209" s="1031" t="s">
        <v>917</v>
      </c>
      <c r="I209" s="1063">
        <f>+'Desarrollo Economico'!Y22</f>
        <v>0.55000000000000004</v>
      </c>
      <c r="J209" s="1031" t="s">
        <v>658</v>
      </c>
      <c r="K209" s="1035" t="s">
        <v>2195</v>
      </c>
      <c r="P209"/>
    </row>
    <row r="210" spans="1:16" ht="30.75" thickBot="1" x14ac:dyDescent="0.3">
      <c r="A210" s="1031" t="s">
        <v>2266</v>
      </c>
      <c r="B210" s="1033">
        <f>'[1]PLAN DE DESARROLLO 2024 - 2027'!$K$92</f>
        <v>0.27017707911062067</v>
      </c>
      <c r="C210" s="1031" t="s">
        <v>2278</v>
      </c>
      <c r="D210" s="1034">
        <f>'[1]PLAN DE DESARROLLO 2024 - 2027'!$K$96</f>
        <v>0.36955295801526716</v>
      </c>
      <c r="E210" s="1031" t="s">
        <v>2280</v>
      </c>
      <c r="F210" s="1034">
        <f>'[1]PLAN DE DESARROLLO 2024 - 2027'!$K$98</f>
        <v>0.35496183206106868</v>
      </c>
      <c r="G210" s="1031" t="s">
        <v>919</v>
      </c>
      <c r="H210" s="1031" t="s">
        <v>920</v>
      </c>
      <c r="I210" s="1063">
        <f>+'Desarrollo Economico'!Y23</f>
        <v>0.26717557251908397</v>
      </c>
      <c r="J210" s="1031" t="s">
        <v>658</v>
      </c>
      <c r="K210" s="1035" t="s">
        <v>2195</v>
      </c>
      <c r="P210"/>
    </row>
    <row r="211" spans="1:16" ht="30" customHeight="1" thickBot="1" x14ac:dyDescent="0.3">
      <c r="A211" s="1031" t="s">
        <v>2266</v>
      </c>
      <c r="B211" s="1033">
        <f>'[1]PLAN DE DESARROLLO 2024 - 2027'!$K$92</f>
        <v>0.27017707911062067</v>
      </c>
      <c r="C211" s="1031" t="s">
        <v>2278</v>
      </c>
      <c r="D211" s="1034">
        <f>'[1]PLAN DE DESARROLLO 2024 - 2027'!$K$96</f>
        <v>0.36955295801526716</v>
      </c>
      <c r="E211" s="1031" t="s">
        <v>2281</v>
      </c>
      <c r="F211" s="1034">
        <f>'[1]PLAN DE DESARROLLO 2024 - 2027'!$K$99</f>
        <v>0.24199999999999999</v>
      </c>
      <c r="G211" s="1031" t="s">
        <v>923</v>
      </c>
      <c r="H211" s="1031" t="s">
        <v>924</v>
      </c>
      <c r="I211" s="1063">
        <f>+'Desarrollo Economico'!Y25</f>
        <v>0.76666666666666672</v>
      </c>
      <c r="J211" s="1031" t="s">
        <v>925</v>
      </c>
      <c r="K211" s="1035" t="s">
        <v>2195</v>
      </c>
      <c r="P211"/>
    </row>
    <row r="212" spans="1:16" ht="45.75" thickBot="1" x14ac:dyDescent="0.3">
      <c r="A212" s="1031" t="s">
        <v>2266</v>
      </c>
      <c r="B212" s="1033">
        <f>'[1]PLAN DE DESARROLLO 2024 - 2027'!$K$92</f>
        <v>0.27017707911062067</v>
      </c>
      <c r="C212" s="1031" t="s">
        <v>2278</v>
      </c>
      <c r="D212" s="1034">
        <f>'[1]PLAN DE DESARROLLO 2024 - 2027'!$K$96</f>
        <v>0.36955295801526716</v>
      </c>
      <c r="E212" s="1031" t="s">
        <v>2281</v>
      </c>
      <c r="F212" s="1034">
        <f>'[1]PLAN DE DESARROLLO 2024 - 2027'!$K$99</f>
        <v>0.24199999999999999</v>
      </c>
      <c r="G212" s="1031" t="s">
        <v>926</v>
      </c>
      <c r="H212" s="1031" t="s">
        <v>927</v>
      </c>
      <c r="I212" s="1064">
        <f>+'Desarrollo Economico'!Y26</f>
        <v>0</v>
      </c>
      <c r="J212" s="1031" t="s">
        <v>2282</v>
      </c>
      <c r="K212" s="1035" t="s">
        <v>2195</v>
      </c>
      <c r="P212"/>
    </row>
    <row r="213" spans="1:16" ht="30.75" thickBot="1" x14ac:dyDescent="0.3">
      <c r="A213" s="1031" t="s">
        <v>2266</v>
      </c>
      <c r="B213" s="1033">
        <f>'[1]PLAN DE DESARROLLO 2024 - 2027'!$K$92</f>
        <v>0.27017707911062067</v>
      </c>
      <c r="C213" s="1031" t="s">
        <v>2278</v>
      </c>
      <c r="D213" s="1034">
        <f>'[1]PLAN DE DESARROLLO 2024 - 2027'!$K$96</f>
        <v>0.36955295801526716</v>
      </c>
      <c r="E213" s="1031" t="s">
        <v>2281</v>
      </c>
      <c r="F213" s="1034">
        <f>'[1]PLAN DE DESARROLLO 2024 - 2027'!$K$99</f>
        <v>0.24199999999999999</v>
      </c>
      <c r="G213" s="1031" t="s">
        <v>930</v>
      </c>
      <c r="H213" s="1031" t="s">
        <v>931</v>
      </c>
      <c r="I213" s="1064">
        <f>+'Desarrollo Economico'!Y27</f>
        <v>0.6</v>
      </c>
      <c r="J213" s="1031" t="s">
        <v>658</v>
      </c>
      <c r="K213" s="1035" t="s">
        <v>2195</v>
      </c>
      <c r="P213"/>
    </row>
    <row r="214" spans="1:16" ht="45.75" thickBot="1" x14ac:dyDescent="0.3">
      <c r="A214" s="1031" t="s">
        <v>2266</v>
      </c>
      <c r="B214" s="1033">
        <f>'[1]PLAN DE DESARROLLO 2024 - 2027'!$K$92</f>
        <v>0.27017707911062067</v>
      </c>
      <c r="C214" s="1031" t="s">
        <v>2278</v>
      </c>
      <c r="D214" s="1034">
        <f>'[1]PLAN DE DESARROLLO 2024 - 2027'!$K$96</f>
        <v>0.36955295801526716</v>
      </c>
      <c r="E214" s="1031" t="s">
        <v>2283</v>
      </c>
      <c r="F214" s="1034">
        <f>'[1]PLAN DE DESARROLLO 2024 - 2027'!$K$100</f>
        <v>0.25</v>
      </c>
      <c r="G214" s="1031" t="s">
        <v>935</v>
      </c>
      <c r="H214" s="1031" t="s">
        <v>936</v>
      </c>
      <c r="I214" s="1063">
        <f>+'Desarrollo Economico'!Y29</f>
        <v>0.1</v>
      </c>
      <c r="J214" s="1031" t="s">
        <v>716</v>
      </c>
      <c r="K214" s="1035" t="s">
        <v>2195</v>
      </c>
      <c r="P214"/>
    </row>
    <row r="215" spans="1:16" ht="30.75" thickBot="1" x14ac:dyDescent="0.3">
      <c r="A215" s="1031" t="s">
        <v>2266</v>
      </c>
      <c r="B215" s="1033">
        <f>'[1]PLAN DE DESARROLLO 2024 - 2027'!$K$92</f>
        <v>0.27017707911062067</v>
      </c>
      <c r="C215" s="1031" t="s">
        <v>2278</v>
      </c>
      <c r="D215" s="1034">
        <f>'[1]PLAN DE DESARROLLO 2024 - 2027'!$K$96</f>
        <v>0.36955295801526716</v>
      </c>
      <c r="E215" s="1031" t="s">
        <v>2283</v>
      </c>
      <c r="F215" s="1034">
        <f>'[1]PLAN DE DESARROLLO 2024 - 2027'!$K$100</f>
        <v>0.25</v>
      </c>
      <c r="G215" s="1031" t="s">
        <v>937</v>
      </c>
      <c r="H215" s="1031" t="s">
        <v>938</v>
      </c>
      <c r="I215" s="1063">
        <f>+'Desarrollo Economico'!Y30</f>
        <v>0.1</v>
      </c>
      <c r="J215" s="1031" t="s">
        <v>716</v>
      </c>
      <c r="K215" s="1035" t="s">
        <v>2195</v>
      </c>
      <c r="P215"/>
    </row>
    <row r="216" spans="1:16" ht="45.75" thickBot="1" x14ac:dyDescent="0.3">
      <c r="A216" s="1031" t="s">
        <v>2266</v>
      </c>
      <c r="B216" s="1033">
        <f>'[1]PLAN DE DESARROLLO 2024 - 2027'!$K$92</f>
        <v>0.27017707911062067</v>
      </c>
      <c r="C216" s="1031" t="s">
        <v>2278</v>
      </c>
      <c r="D216" s="1034">
        <f>'[1]PLAN DE DESARROLLO 2024 - 2027'!$K$96</f>
        <v>0.36955295801526716</v>
      </c>
      <c r="E216" s="1031" t="s">
        <v>2283</v>
      </c>
      <c r="F216" s="1034">
        <f>'[1]PLAN DE DESARROLLO 2024 - 2027'!$K$100</f>
        <v>0.25</v>
      </c>
      <c r="G216" s="1031" t="s">
        <v>939</v>
      </c>
      <c r="H216" s="1031" t="s">
        <v>940</v>
      </c>
      <c r="I216" s="1063">
        <f>+'Desarrollo Economico'!Y31</f>
        <v>1</v>
      </c>
      <c r="J216" s="1031" t="s">
        <v>883</v>
      </c>
      <c r="K216" s="1035" t="s">
        <v>2195</v>
      </c>
      <c r="P216"/>
    </row>
    <row r="217" spans="1:16" ht="45.75" thickBot="1" x14ac:dyDescent="0.3">
      <c r="A217" s="1031" t="s">
        <v>2266</v>
      </c>
      <c r="B217" s="1033">
        <f>'[1]PLAN DE DESARROLLO 2024 - 2027'!$K$92</f>
        <v>0.27017707911062067</v>
      </c>
      <c r="C217" s="1031" t="s">
        <v>2278</v>
      </c>
      <c r="D217" s="1034">
        <f>'[1]PLAN DE DESARROLLO 2024 - 2027'!$K$96</f>
        <v>0.36955295801526716</v>
      </c>
      <c r="E217" s="1031" t="s">
        <v>2283</v>
      </c>
      <c r="F217" s="1034">
        <f>'[1]PLAN DE DESARROLLO 2024 - 2027'!$K$100</f>
        <v>0.25</v>
      </c>
      <c r="G217" s="1031" t="s">
        <v>943</v>
      </c>
      <c r="H217" s="1031" t="s">
        <v>944</v>
      </c>
      <c r="I217" s="1063">
        <f>+'Desarrollo Economico'!Y32</f>
        <v>0</v>
      </c>
      <c r="J217" s="1031" t="s">
        <v>883</v>
      </c>
      <c r="K217" s="1035" t="s">
        <v>2195</v>
      </c>
      <c r="P217"/>
    </row>
    <row r="218" spans="1:16" ht="45.75" thickBot="1" x14ac:dyDescent="0.3">
      <c r="A218" s="1031" t="s">
        <v>2266</v>
      </c>
      <c r="B218" s="1033">
        <f>'[1]PLAN DE DESARROLLO 2024 - 2027'!$K$92</f>
        <v>0.27017707911062067</v>
      </c>
      <c r="C218" s="1031" t="s">
        <v>2284</v>
      </c>
      <c r="D218" s="1034">
        <f>'[1]PLAN DE DESARROLLO 2024 - 2027'!$K$101</f>
        <v>0.31219487179487176</v>
      </c>
      <c r="E218" s="1031" t="s">
        <v>2285</v>
      </c>
      <c r="F218" s="1034">
        <f>'[1]PLAN DE DESARROLLO 2024 - 2027'!$K$102</f>
        <v>0.11370000000000001</v>
      </c>
      <c r="G218" s="1031" t="s">
        <v>948</v>
      </c>
      <c r="H218" s="1031" t="s">
        <v>949</v>
      </c>
      <c r="I218" s="1064">
        <f>+'Desarrollo Economico'!Y35</f>
        <v>0</v>
      </c>
      <c r="J218" s="1031" t="s">
        <v>950</v>
      </c>
      <c r="K218" s="1035" t="s">
        <v>2195</v>
      </c>
      <c r="P218"/>
    </row>
    <row r="219" spans="1:16" ht="45.75" thickBot="1" x14ac:dyDescent="0.3">
      <c r="A219" s="1031" t="s">
        <v>2266</v>
      </c>
      <c r="B219" s="1033">
        <f>'[1]PLAN DE DESARROLLO 2024 - 2027'!$K$92</f>
        <v>0.27017707911062067</v>
      </c>
      <c r="C219" s="1031" t="s">
        <v>2284</v>
      </c>
      <c r="D219" s="1034">
        <f>'[1]PLAN DE DESARROLLO 2024 - 2027'!$K$101</f>
        <v>0.31219487179487176</v>
      </c>
      <c r="E219" s="1031" t="s">
        <v>2285</v>
      </c>
      <c r="F219" s="1034">
        <f>'[1]PLAN DE DESARROLLO 2024 - 2027'!$K$102</f>
        <v>0.11370000000000001</v>
      </c>
      <c r="G219" s="1031" t="s">
        <v>954</v>
      </c>
      <c r="H219" s="1031" t="s">
        <v>955</v>
      </c>
      <c r="I219" s="1064">
        <f>+'Desarrollo Economico'!Y36</f>
        <v>0</v>
      </c>
      <c r="J219" s="1031" t="s">
        <v>103</v>
      </c>
      <c r="K219" s="1035" t="s">
        <v>2195</v>
      </c>
      <c r="P219"/>
    </row>
    <row r="220" spans="1:16" ht="45.75" thickBot="1" x14ac:dyDescent="0.3">
      <c r="A220" s="1031" t="s">
        <v>2266</v>
      </c>
      <c r="B220" s="1033">
        <f>'[1]PLAN DE DESARROLLO 2024 - 2027'!$K$92</f>
        <v>0.27017707911062067</v>
      </c>
      <c r="C220" s="1031" t="s">
        <v>2284</v>
      </c>
      <c r="D220" s="1034">
        <f>'[1]PLAN DE DESARROLLO 2024 - 2027'!$K$101</f>
        <v>0.31219487179487176</v>
      </c>
      <c r="E220" s="1031" t="s">
        <v>2285</v>
      </c>
      <c r="F220" s="1034">
        <f>'[1]PLAN DE DESARROLLO 2024 - 2027'!$K$102</f>
        <v>0.11370000000000001</v>
      </c>
      <c r="G220" s="1031" t="s">
        <v>958</v>
      </c>
      <c r="H220" s="1031" t="s">
        <v>959</v>
      </c>
      <c r="I220" s="1063">
        <f>+'Desarrollo Economico'!Y37</f>
        <v>0.25</v>
      </c>
      <c r="J220" s="1031" t="s">
        <v>883</v>
      </c>
      <c r="K220" s="1035" t="s">
        <v>2195</v>
      </c>
      <c r="P220"/>
    </row>
    <row r="221" spans="1:16" ht="45.75" thickBot="1" x14ac:dyDescent="0.3">
      <c r="A221" s="1031" t="s">
        <v>2266</v>
      </c>
      <c r="B221" s="1033">
        <f>'[1]PLAN DE DESARROLLO 2024 - 2027'!$K$92</f>
        <v>0.27017707911062067</v>
      </c>
      <c r="C221" s="1031" t="s">
        <v>2284</v>
      </c>
      <c r="D221" s="1034">
        <f>'[1]PLAN DE DESARROLLO 2024 - 2027'!$K$101</f>
        <v>0.31219487179487176</v>
      </c>
      <c r="E221" s="1031" t="s">
        <v>2285</v>
      </c>
      <c r="F221" s="1034">
        <f>'[1]PLAN DE DESARROLLO 2024 - 2027'!$K$102</f>
        <v>0.11370000000000001</v>
      </c>
      <c r="G221" s="1031" t="s">
        <v>961</v>
      </c>
      <c r="H221" s="1031" t="s">
        <v>962</v>
      </c>
      <c r="I221" s="1063">
        <f>+'Desarrollo Economico'!Y38</f>
        <v>0</v>
      </c>
      <c r="J221" s="1031" t="s">
        <v>883</v>
      </c>
      <c r="K221" s="1035" t="s">
        <v>2195</v>
      </c>
      <c r="P221"/>
    </row>
    <row r="222" spans="1:16" ht="30.75" thickBot="1" x14ac:dyDescent="0.3">
      <c r="A222" s="1031" t="s">
        <v>2266</v>
      </c>
      <c r="B222" s="1033">
        <f>'[1]PLAN DE DESARROLLO 2024 - 2027'!$K$92</f>
        <v>0.27017707911062067</v>
      </c>
      <c r="C222" s="1031" t="s">
        <v>2284</v>
      </c>
      <c r="D222" s="1034">
        <f>'[1]PLAN DE DESARROLLO 2024 - 2027'!$K$101</f>
        <v>0.31219487179487176</v>
      </c>
      <c r="E222" s="1031" t="s">
        <v>2285</v>
      </c>
      <c r="F222" s="1034">
        <f>'[1]PLAN DE DESARROLLO 2024 - 2027'!$K$102</f>
        <v>0.11370000000000001</v>
      </c>
      <c r="G222" s="1031" t="s">
        <v>963</v>
      </c>
      <c r="H222" s="1031" t="s">
        <v>964</v>
      </c>
      <c r="I222" s="1063">
        <f>+'Desarrollo Economico'!Y39</f>
        <v>0.24110000000000001</v>
      </c>
      <c r="J222" s="1031" t="s">
        <v>883</v>
      </c>
      <c r="K222" s="1035" t="s">
        <v>2195</v>
      </c>
      <c r="P222"/>
    </row>
    <row r="223" spans="1:16" ht="45.75" thickBot="1" x14ac:dyDescent="0.3">
      <c r="A223" s="1031" t="s">
        <v>2266</v>
      </c>
      <c r="B223" s="1033">
        <f>'[1]PLAN DE DESARROLLO 2024 - 2027'!$K$92</f>
        <v>0.27017707911062067</v>
      </c>
      <c r="C223" s="1031" t="s">
        <v>2284</v>
      </c>
      <c r="D223" s="1034">
        <f>'[1]PLAN DE DESARROLLO 2024 - 2027'!$K$101</f>
        <v>0.31219487179487176</v>
      </c>
      <c r="E223" s="1031" t="s">
        <v>2286</v>
      </c>
      <c r="F223" s="1034">
        <f>'[1]PLAN DE DESARROLLO 2024 - 2027'!$K$103</f>
        <v>0.3775</v>
      </c>
      <c r="G223" s="1031" t="s">
        <v>966</v>
      </c>
      <c r="H223" s="1031" t="s">
        <v>967</v>
      </c>
      <c r="I223" s="1063">
        <f>+'Desarrollo Economico'!Y41</f>
        <v>0.755</v>
      </c>
      <c r="J223" s="1031" t="s">
        <v>658</v>
      </c>
      <c r="K223" s="1035" t="s">
        <v>2195</v>
      </c>
      <c r="P223"/>
    </row>
    <row r="224" spans="1:16" ht="30.75" thickBot="1" x14ac:dyDescent="0.3">
      <c r="A224" s="1031" t="s">
        <v>2266</v>
      </c>
      <c r="B224" s="1033">
        <f>'[1]PLAN DE DESARROLLO 2024 - 2027'!$K$92</f>
        <v>0.27017707911062067</v>
      </c>
      <c r="C224" s="1031" t="s">
        <v>2284</v>
      </c>
      <c r="D224" s="1034">
        <f>'[1]PLAN DE DESARROLLO 2024 - 2027'!$K$101</f>
        <v>0.31219487179487176</v>
      </c>
      <c r="E224" s="1031" t="s">
        <v>2286</v>
      </c>
      <c r="F224" s="1034">
        <f>'[1]PLAN DE DESARROLLO 2024 - 2027'!$K$103</f>
        <v>0.3775</v>
      </c>
      <c r="G224" s="1031" t="s">
        <v>968</v>
      </c>
      <c r="H224" s="1031" t="s">
        <v>969</v>
      </c>
      <c r="I224" s="1063">
        <f>+'Desarrollo Economico'!Y42</f>
        <v>0.2225</v>
      </c>
      <c r="J224" s="1031" t="s">
        <v>658</v>
      </c>
      <c r="K224" s="1035" t="s">
        <v>2195</v>
      </c>
      <c r="P224"/>
    </row>
    <row r="225" spans="1:16" ht="30.75" thickBot="1" x14ac:dyDescent="0.3">
      <c r="A225" s="1031" t="s">
        <v>2266</v>
      </c>
      <c r="B225" s="1033">
        <f>'[1]PLAN DE DESARROLLO 2024 - 2027'!$K$92</f>
        <v>0.27017707911062067</v>
      </c>
      <c r="C225" s="1031" t="s">
        <v>2284</v>
      </c>
      <c r="D225" s="1034">
        <f>'[1]PLAN DE DESARROLLO 2024 - 2027'!$K$101</f>
        <v>0.31219487179487176</v>
      </c>
      <c r="E225" s="1031" t="s">
        <v>2287</v>
      </c>
      <c r="F225" s="1034">
        <f>'[1]PLAN DE DESARROLLO 2024 - 2027'!$K$104</f>
        <v>0.44538461538461538</v>
      </c>
      <c r="G225" s="1031" t="s">
        <v>972</v>
      </c>
      <c r="H225" s="1031" t="s">
        <v>973</v>
      </c>
      <c r="I225" s="1063">
        <f>+'Desarrollo Economico'!Y44</f>
        <v>0.47615384615384615</v>
      </c>
      <c r="J225" s="1031" t="s">
        <v>103</v>
      </c>
      <c r="K225" s="1035" t="s">
        <v>2195</v>
      </c>
      <c r="P225"/>
    </row>
    <row r="226" spans="1:16" ht="25.15" customHeight="1" thickBot="1" x14ac:dyDescent="0.3">
      <c r="A226" s="1031" t="s">
        <v>2266</v>
      </c>
      <c r="B226" s="1033">
        <f>'[1]PLAN DE DESARROLLO 2024 - 2027'!$K$92</f>
        <v>0.27017707911062067</v>
      </c>
      <c r="C226" s="1031" t="s">
        <v>2267</v>
      </c>
      <c r="D226" s="1034">
        <f>'[1]PLAN DE DESARROLLO 2024 - 2027'!$K$105</f>
        <v>0.13440625</v>
      </c>
      <c r="E226" s="1031" t="s">
        <v>2288</v>
      </c>
      <c r="F226" s="1034">
        <f>'[1]PLAN DE DESARROLLO 2024 - 2027'!$K$106</f>
        <v>0.185</v>
      </c>
      <c r="G226" s="1031" t="s">
        <v>977</v>
      </c>
      <c r="H226" s="1031" t="s">
        <v>978</v>
      </c>
      <c r="I226" s="1063">
        <f>+'Desarrollo Economico'!Y47</f>
        <v>0</v>
      </c>
      <c r="J226" s="1031" t="s">
        <v>883</v>
      </c>
      <c r="K226" s="1035" t="s">
        <v>2195</v>
      </c>
      <c r="P226"/>
    </row>
    <row r="227" spans="1:16" ht="30.75" thickBot="1" x14ac:dyDescent="0.3">
      <c r="A227" s="1031" t="s">
        <v>2266</v>
      </c>
      <c r="B227" s="1033">
        <f>'[1]PLAN DE DESARROLLO 2024 - 2027'!$K$92</f>
        <v>0.27017707911062067</v>
      </c>
      <c r="C227" s="1031" t="s">
        <v>2267</v>
      </c>
      <c r="D227" s="1034">
        <f>'[1]PLAN DE DESARROLLO 2024 - 2027'!$K$105</f>
        <v>0.13440625</v>
      </c>
      <c r="E227" s="1031" t="s">
        <v>2288</v>
      </c>
      <c r="F227" s="1034">
        <f>'[1]PLAN DE DESARROLLO 2024 - 2027'!$K$106</f>
        <v>0.185</v>
      </c>
      <c r="G227" s="1031" t="s">
        <v>979</v>
      </c>
      <c r="H227" s="1031" t="s">
        <v>980</v>
      </c>
      <c r="I227" s="1063">
        <f>+'Desarrollo Economico'!Y48</f>
        <v>0.32500000000000001</v>
      </c>
      <c r="J227" s="1031" t="s">
        <v>883</v>
      </c>
      <c r="K227" s="1035" t="s">
        <v>2195</v>
      </c>
      <c r="P227"/>
    </row>
    <row r="228" spans="1:16" ht="45.75" thickBot="1" x14ac:dyDescent="0.3">
      <c r="A228" s="1031" t="s">
        <v>2266</v>
      </c>
      <c r="B228" s="1033">
        <f>'[1]PLAN DE DESARROLLO 2024 - 2027'!$K$92</f>
        <v>0.27017707911062067</v>
      </c>
      <c r="C228" s="1031" t="s">
        <v>2267</v>
      </c>
      <c r="D228" s="1034">
        <f>'[1]PLAN DE DESARROLLO 2024 - 2027'!$K$105</f>
        <v>0.13440625</v>
      </c>
      <c r="E228" s="1031" t="s">
        <v>2288</v>
      </c>
      <c r="F228" s="1034">
        <f>'[1]PLAN DE DESARROLLO 2024 - 2027'!$K$106</f>
        <v>0.185</v>
      </c>
      <c r="G228" s="1031" t="s">
        <v>981</v>
      </c>
      <c r="H228" s="1031" t="s">
        <v>982</v>
      </c>
      <c r="I228" s="1063">
        <f>+'Desarrollo Economico'!Y49</f>
        <v>0.375</v>
      </c>
      <c r="J228" s="1031" t="s">
        <v>883</v>
      </c>
      <c r="K228" s="1035" t="s">
        <v>2195</v>
      </c>
      <c r="P228"/>
    </row>
    <row r="229" spans="1:16" ht="30.75" thickBot="1" x14ac:dyDescent="0.3">
      <c r="A229" s="1031" t="s">
        <v>2266</v>
      </c>
      <c r="B229" s="1033">
        <f>'[1]PLAN DE DESARROLLO 2024 - 2027'!$K$92</f>
        <v>0.27017707911062067</v>
      </c>
      <c r="C229" s="1031" t="s">
        <v>2267</v>
      </c>
      <c r="D229" s="1034">
        <f>'[1]PLAN DE DESARROLLO 2024 - 2027'!$K$105</f>
        <v>0.13440625</v>
      </c>
      <c r="E229" s="1031" t="s">
        <v>2288</v>
      </c>
      <c r="F229" s="1034">
        <f>'[1]PLAN DE DESARROLLO 2024 - 2027'!$K$106</f>
        <v>0.185</v>
      </c>
      <c r="G229" s="1031" t="s">
        <v>983</v>
      </c>
      <c r="H229" s="1031" t="s">
        <v>984</v>
      </c>
      <c r="I229" s="1064">
        <f>+'Desarrollo Economico'!Y50</f>
        <v>0.31</v>
      </c>
      <c r="J229" s="1031" t="s">
        <v>883</v>
      </c>
      <c r="K229" s="1035" t="s">
        <v>2195</v>
      </c>
      <c r="P229"/>
    </row>
    <row r="230" spans="1:16" ht="60.75" thickBot="1" x14ac:dyDescent="0.3">
      <c r="A230" s="1031" t="s">
        <v>2266</v>
      </c>
      <c r="B230" s="1033">
        <f>'[1]PLAN DE DESARROLLO 2024 - 2027'!$K$92</f>
        <v>0.27017707911062067</v>
      </c>
      <c r="C230" s="1031" t="s">
        <v>2267</v>
      </c>
      <c r="D230" s="1034">
        <f>'[1]PLAN DE DESARROLLO 2024 - 2027'!$K$105</f>
        <v>0.13440625</v>
      </c>
      <c r="E230" s="1031" t="s">
        <v>2288</v>
      </c>
      <c r="F230" s="1034">
        <f>'[1]PLAN DE DESARROLLO 2024 - 2027'!$K$106</f>
        <v>0.185</v>
      </c>
      <c r="G230" s="1031" t="s">
        <v>985</v>
      </c>
      <c r="H230" s="1031" t="s">
        <v>986</v>
      </c>
      <c r="I230" s="1063">
        <f>+'Desarrollo Economico'!Y51</f>
        <v>0.5</v>
      </c>
      <c r="J230" s="1031" t="s">
        <v>2289</v>
      </c>
      <c r="K230" s="1035" t="s">
        <v>2195</v>
      </c>
      <c r="P230"/>
    </row>
    <row r="231" spans="1:16" ht="30.75" thickBot="1" x14ac:dyDescent="0.3">
      <c r="A231" s="1031" t="s">
        <v>2266</v>
      </c>
      <c r="B231" s="1033">
        <f>'[1]PLAN DE DESARROLLO 2024 - 2027'!$K$92</f>
        <v>0.27017707911062067</v>
      </c>
      <c r="C231" s="1031" t="s">
        <v>2267</v>
      </c>
      <c r="D231" s="1034">
        <f>'[1]PLAN DE DESARROLLO 2024 - 2027'!$K$105</f>
        <v>0.13440625</v>
      </c>
      <c r="E231" s="1031" t="s">
        <v>2288</v>
      </c>
      <c r="F231" s="1034">
        <f>'[1]PLAN DE DESARROLLO 2024 - 2027'!$K$106</f>
        <v>0.185</v>
      </c>
      <c r="G231" s="1031" t="s">
        <v>2290</v>
      </c>
      <c r="H231" s="1031" t="s">
        <v>2291</v>
      </c>
      <c r="I231" s="1063">
        <f>+'Desarrollo Economico'!Y52</f>
        <v>0.125</v>
      </c>
      <c r="J231" s="1031" t="s">
        <v>883</v>
      </c>
      <c r="K231" s="1035" t="s">
        <v>2195</v>
      </c>
      <c r="P231"/>
    </row>
    <row r="232" spans="1:16" ht="40.15" customHeight="1" thickBot="1" x14ac:dyDescent="0.3">
      <c r="A232" s="1031" t="s">
        <v>2266</v>
      </c>
      <c r="B232" s="1033">
        <f>'[1]PLAN DE DESARROLLO 2024 - 2027'!$K$92</f>
        <v>0.27017707911062067</v>
      </c>
      <c r="C232" s="1031" t="s">
        <v>2267</v>
      </c>
      <c r="D232" s="1034">
        <f>'[1]PLAN DE DESARROLLO 2024 - 2027'!$K$105</f>
        <v>0.13440625</v>
      </c>
      <c r="E232" s="1031" t="s">
        <v>2288</v>
      </c>
      <c r="F232" s="1034">
        <f>'[1]PLAN DE DESARROLLO 2024 - 2027'!$K$106</f>
        <v>0.185</v>
      </c>
      <c r="G232" s="1031" t="s">
        <v>992</v>
      </c>
      <c r="H232" s="1031" t="s">
        <v>993</v>
      </c>
      <c r="I232" s="1064">
        <f>+'Desarrollo Economico'!Y53</f>
        <v>0</v>
      </c>
      <c r="J232" s="1031" t="s">
        <v>658</v>
      </c>
      <c r="K232" s="1035" t="s">
        <v>2195</v>
      </c>
      <c r="P232"/>
    </row>
    <row r="233" spans="1:16" ht="45" customHeight="1" thickBot="1" x14ac:dyDescent="0.3">
      <c r="A233" s="1031" t="s">
        <v>2266</v>
      </c>
      <c r="B233" s="1033">
        <f>'[1]PLAN DE DESARROLLO 2024 - 2027'!$K$92</f>
        <v>0.27017707911062067</v>
      </c>
      <c r="C233" s="1031" t="s">
        <v>2267</v>
      </c>
      <c r="D233" s="1034">
        <f>'[1]PLAN DE DESARROLLO 2024 - 2027'!$K$105</f>
        <v>0.13440625</v>
      </c>
      <c r="E233" s="1031" t="s">
        <v>995</v>
      </c>
      <c r="F233" s="1034">
        <f>'[1]PLAN DE DESARROLLO 2024 - 2027'!$K$107</f>
        <v>8.7124999999999994E-2</v>
      </c>
      <c r="G233" s="1031" t="s">
        <v>996</v>
      </c>
      <c r="H233" s="1031" t="s">
        <v>997</v>
      </c>
      <c r="I233" s="1063">
        <f>+'Desarrollo Economico'!Y55</f>
        <v>0</v>
      </c>
      <c r="J233" s="1031" t="s">
        <v>103</v>
      </c>
      <c r="K233" s="1035" t="s">
        <v>2195</v>
      </c>
      <c r="P233"/>
    </row>
    <row r="234" spans="1:16" ht="47.45" customHeight="1" thickBot="1" x14ac:dyDescent="0.3">
      <c r="A234" s="1031" t="s">
        <v>2266</v>
      </c>
      <c r="B234" s="1033">
        <f>'[1]PLAN DE DESARROLLO 2024 - 2027'!$K$92</f>
        <v>0.27017707911062067</v>
      </c>
      <c r="C234" s="1031" t="s">
        <v>2267</v>
      </c>
      <c r="D234" s="1034">
        <f>'[1]PLAN DE DESARROLLO 2024 - 2027'!$K$105</f>
        <v>0.13440625</v>
      </c>
      <c r="E234" s="1031" t="s">
        <v>995</v>
      </c>
      <c r="F234" s="1034">
        <f>'[1]PLAN DE DESARROLLO 2024 - 2027'!$K$107</f>
        <v>8.7124999999999994E-2</v>
      </c>
      <c r="G234" s="1031" t="s">
        <v>998</v>
      </c>
      <c r="H234" s="1031" t="s">
        <v>999</v>
      </c>
      <c r="I234" s="1063">
        <f>+'Desarrollo Economico'!Y56</f>
        <v>0.44724999999999998</v>
      </c>
      <c r="J234" s="1031" t="s">
        <v>103</v>
      </c>
      <c r="K234" s="1035" t="s">
        <v>2195</v>
      </c>
      <c r="P234"/>
    </row>
    <row r="235" spans="1:16" ht="48.6" customHeight="1" thickBot="1" x14ac:dyDescent="0.3">
      <c r="A235" s="1031" t="s">
        <v>2266</v>
      </c>
      <c r="B235" s="1033">
        <f>'[1]PLAN DE DESARROLLO 2024 - 2027'!$K$92</f>
        <v>0.27017707911062067</v>
      </c>
      <c r="C235" s="1031" t="s">
        <v>2267</v>
      </c>
      <c r="D235" s="1034">
        <f>'[1]PLAN DE DESARROLLO 2024 - 2027'!$K$105</f>
        <v>0.13440625</v>
      </c>
      <c r="E235" s="1031" t="s">
        <v>995</v>
      </c>
      <c r="F235" s="1034">
        <f>'[1]PLAN DE DESARROLLO 2024 - 2027'!$K$107</f>
        <v>8.7124999999999994E-2</v>
      </c>
      <c r="G235" s="1031" t="s">
        <v>1000</v>
      </c>
      <c r="H235" s="1031" t="s">
        <v>1001</v>
      </c>
      <c r="I235" s="1063">
        <f>+'Desarrollo Economico'!Y57</f>
        <v>0</v>
      </c>
      <c r="J235" s="1031" t="s">
        <v>103</v>
      </c>
      <c r="K235" s="1035" t="s">
        <v>2195</v>
      </c>
      <c r="P235"/>
    </row>
    <row r="236" spans="1:16" ht="60.6" customHeight="1" thickBot="1" x14ac:dyDescent="0.3">
      <c r="A236" s="1031" t="s">
        <v>2266</v>
      </c>
      <c r="B236" s="1033">
        <f>'[1]PLAN DE DESARROLLO 2024 - 2027'!$K$92</f>
        <v>0.27017707911062067</v>
      </c>
      <c r="C236" s="1031" t="s">
        <v>2267</v>
      </c>
      <c r="D236" s="1034">
        <f>'[1]PLAN DE DESARROLLO 2024 - 2027'!$K$105</f>
        <v>0.13440625</v>
      </c>
      <c r="E236" s="1031" t="s">
        <v>995</v>
      </c>
      <c r="F236" s="1034">
        <f>'[1]PLAN DE DESARROLLO 2024 - 2027'!$K$107</f>
        <v>8.7124999999999994E-2</v>
      </c>
      <c r="G236" s="1031" t="s">
        <v>1002</v>
      </c>
      <c r="H236" s="1031" t="s">
        <v>1003</v>
      </c>
      <c r="I236" s="1063">
        <f>+'Desarrollo Economico'!Y58</f>
        <v>0</v>
      </c>
      <c r="J236" s="1031" t="s">
        <v>103</v>
      </c>
      <c r="K236" s="1035" t="s">
        <v>2195</v>
      </c>
      <c r="P236"/>
    </row>
    <row r="237" spans="1:16" ht="30.75" thickBot="1" x14ac:dyDescent="0.3">
      <c r="A237" s="1031" t="s">
        <v>2266</v>
      </c>
      <c r="B237" s="1033">
        <f>'[1]PLAN DE DESARROLLO 2024 - 2027'!$K$92</f>
        <v>0.27017707911062067</v>
      </c>
      <c r="C237" s="1031" t="s">
        <v>2267</v>
      </c>
      <c r="D237" s="1034">
        <f>'[1]PLAN DE DESARROLLO 2024 - 2027'!$K$105</f>
        <v>0.13440625</v>
      </c>
      <c r="E237" s="1031" t="s">
        <v>2292</v>
      </c>
      <c r="F237" s="1034">
        <f>'[1]PLAN DE DESARROLLO 2024 - 2027'!$K$108</f>
        <v>0.26550000000000001</v>
      </c>
      <c r="G237" s="1031" t="s">
        <v>1005</v>
      </c>
      <c r="H237" s="1031" t="s">
        <v>1006</v>
      </c>
      <c r="I237" s="1063">
        <f>+'Desarrollo Economico'!Y60</f>
        <v>0.53900000000000003</v>
      </c>
      <c r="J237" s="1031" t="s">
        <v>103</v>
      </c>
      <c r="K237" s="1035" t="s">
        <v>2195</v>
      </c>
      <c r="P237"/>
    </row>
    <row r="238" spans="1:16" ht="15.75" thickBot="1" x14ac:dyDescent="0.3">
      <c r="A238" s="1031" t="s">
        <v>2266</v>
      </c>
      <c r="B238" s="1033">
        <f>'[1]PLAN DE DESARROLLO 2024 - 2027'!$K$92</f>
        <v>0.27017707911062067</v>
      </c>
      <c r="C238" s="1031" t="s">
        <v>2267</v>
      </c>
      <c r="D238" s="1034">
        <f>'[1]PLAN DE DESARROLLO 2024 - 2027'!$K$105</f>
        <v>0.13440625</v>
      </c>
      <c r="E238" s="1031" t="s">
        <v>2292</v>
      </c>
      <c r="F238" s="1034">
        <f>'[1]PLAN DE DESARROLLO 2024 - 2027'!$K$108</f>
        <v>0.26550000000000001</v>
      </c>
      <c r="G238" s="1031" t="s">
        <v>1007</v>
      </c>
      <c r="H238" s="1031" t="s">
        <v>1008</v>
      </c>
      <c r="I238" s="1064">
        <f>+'Desarrollo Economico'!Y61</f>
        <v>0</v>
      </c>
      <c r="J238" s="1031" t="s">
        <v>103</v>
      </c>
      <c r="K238" s="1035" t="s">
        <v>2195</v>
      </c>
      <c r="P238"/>
    </row>
    <row r="239" spans="1:16" ht="30.75" thickBot="1" x14ac:dyDescent="0.3">
      <c r="A239" s="1031" t="s">
        <v>2266</v>
      </c>
      <c r="B239" s="1033">
        <f>'[1]PLAN DE DESARROLLO 2024 - 2027'!$K$92</f>
        <v>0.27017707911062067</v>
      </c>
      <c r="C239" s="1031" t="s">
        <v>2267</v>
      </c>
      <c r="D239" s="1034">
        <f>'[1]PLAN DE DESARROLLO 2024 - 2027'!$K$105</f>
        <v>0.13440625</v>
      </c>
      <c r="E239" s="1031" t="s">
        <v>2292</v>
      </c>
      <c r="F239" s="1034">
        <f>'[1]PLAN DE DESARROLLO 2024 - 2027'!$K$108</f>
        <v>0.26550000000000001</v>
      </c>
      <c r="G239" s="1031" t="s">
        <v>1009</v>
      </c>
      <c r="H239" s="1031" t="s">
        <v>1010</v>
      </c>
      <c r="I239" s="1063">
        <f>+'Desarrollo Economico'!Y62</f>
        <v>0.25750000000000001</v>
      </c>
      <c r="J239" s="1031" t="s">
        <v>103</v>
      </c>
      <c r="K239" s="1035" t="s">
        <v>2195</v>
      </c>
      <c r="P239"/>
    </row>
    <row r="240" spans="1:16" ht="45.75" thickBot="1" x14ac:dyDescent="0.3">
      <c r="A240" s="1031" t="s">
        <v>2266</v>
      </c>
      <c r="B240" s="1033">
        <f>'[1]PLAN DE DESARROLLO 2024 - 2027'!$K$92</f>
        <v>0.27017707911062067</v>
      </c>
      <c r="C240" s="1031" t="s">
        <v>2267</v>
      </c>
      <c r="D240" s="1034">
        <f>'[1]PLAN DE DESARROLLO 2024 - 2027'!$K$105</f>
        <v>0.13440625</v>
      </c>
      <c r="E240" s="1031" t="s">
        <v>2292</v>
      </c>
      <c r="F240" s="1034">
        <f>'[1]PLAN DE DESARROLLO 2024 - 2027'!$K$108</f>
        <v>0.26550000000000001</v>
      </c>
      <c r="G240" s="1031" t="s">
        <v>1011</v>
      </c>
      <c r="H240" s="1031" t="s">
        <v>1012</v>
      </c>
      <c r="I240" s="1064">
        <f>+'Desarrollo Economico'!Y63</f>
        <v>0</v>
      </c>
      <c r="J240" s="1031" t="s">
        <v>103</v>
      </c>
      <c r="K240" s="1035" t="s">
        <v>2195</v>
      </c>
      <c r="P240"/>
    </row>
    <row r="241" spans="1:16" ht="30.75" thickBot="1" x14ac:dyDescent="0.3">
      <c r="A241" s="1031" t="s">
        <v>2266</v>
      </c>
      <c r="B241" s="1033">
        <f>'[1]PLAN DE DESARROLLO 2024 - 2027'!$K$92</f>
        <v>0.27017707911062067</v>
      </c>
      <c r="C241" s="1031" t="s">
        <v>2268</v>
      </c>
      <c r="D241" s="1034">
        <f>'[1]PLAN DE DESARROLLO 2024 - 2027'!$K$110</f>
        <v>0.16916666666666663</v>
      </c>
      <c r="E241" s="1031" t="s">
        <v>1062</v>
      </c>
      <c r="F241" s="1034">
        <f>'[1]PLAN DE DESARROLLO 2024 - 2027'!$K$113</f>
        <v>0.51249999999999996</v>
      </c>
      <c r="G241" s="1031" t="s">
        <v>1063</v>
      </c>
      <c r="H241" s="1031" t="s">
        <v>1064</v>
      </c>
      <c r="I241" s="1063">
        <f>+'Desarrollo Economico'!Y87</f>
        <v>0.25</v>
      </c>
      <c r="J241" s="1031" t="s">
        <v>2293</v>
      </c>
      <c r="K241" s="1035" t="s">
        <v>2195</v>
      </c>
      <c r="P241"/>
    </row>
    <row r="242" spans="1:16" ht="30.75" thickBot="1" x14ac:dyDescent="0.3">
      <c r="A242" s="1031" t="s">
        <v>2266</v>
      </c>
      <c r="B242" s="1033">
        <f>'[1]PLAN DE DESARROLLO 2024 - 2027'!$K$92</f>
        <v>0.27017707911062067</v>
      </c>
      <c r="C242" s="1031" t="s">
        <v>2268</v>
      </c>
      <c r="D242" s="1034">
        <f>'[1]PLAN DE DESARROLLO 2024 - 2027'!$K$110</f>
        <v>0.16916666666666663</v>
      </c>
      <c r="E242" s="1031" t="s">
        <v>1062</v>
      </c>
      <c r="F242" s="1034">
        <f>'[1]PLAN DE DESARROLLO 2024 - 2027'!$K$113</f>
        <v>0.51249999999999996</v>
      </c>
      <c r="G242" s="1031" t="s">
        <v>1068</v>
      </c>
      <c r="H242" s="1031" t="s">
        <v>1069</v>
      </c>
      <c r="I242" s="1063">
        <f>+'Desarrollo Economico'!Y88</f>
        <v>0.5</v>
      </c>
      <c r="J242" s="1031" t="s">
        <v>2293</v>
      </c>
      <c r="K242" s="1035" t="s">
        <v>2195</v>
      </c>
      <c r="P242"/>
    </row>
    <row r="243" spans="1:16" ht="30.75" thickBot="1" x14ac:dyDescent="0.3">
      <c r="A243" s="1031" t="s">
        <v>2266</v>
      </c>
      <c r="B243" s="1033">
        <f>'[1]PLAN DE DESARROLLO 2024 - 2027'!$K$92</f>
        <v>0.27017707911062067</v>
      </c>
      <c r="C243" s="1031" t="s">
        <v>2268</v>
      </c>
      <c r="D243" s="1034">
        <f>'[1]PLAN DE DESARROLLO 2024 - 2027'!$K$110</f>
        <v>0.16916666666666663</v>
      </c>
      <c r="E243" s="1031" t="s">
        <v>1062</v>
      </c>
      <c r="F243" s="1034">
        <f>'[1]PLAN DE DESARROLLO 2024 - 2027'!$K$113</f>
        <v>0.51249999999999996</v>
      </c>
      <c r="G243" s="1031" t="s">
        <v>1071</v>
      </c>
      <c r="H243" s="1031" t="s">
        <v>1072</v>
      </c>
      <c r="I243" s="1063">
        <f>+'Desarrollo Economico'!Y89</f>
        <v>1</v>
      </c>
      <c r="J243" s="1031" t="s">
        <v>2293</v>
      </c>
      <c r="K243" s="1035" t="s">
        <v>2195</v>
      </c>
      <c r="P243"/>
    </row>
    <row r="244" spans="1:16" ht="30.75" thickBot="1" x14ac:dyDescent="0.3">
      <c r="A244" s="1031" t="s">
        <v>2266</v>
      </c>
      <c r="B244" s="1033">
        <f>'[1]PLAN DE DESARROLLO 2024 - 2027'!$K$92</f>
        <v>0.27017707911062067</v>
      </c>
      <c r="C244" s="1031" t="s">
        <v>2268</v>
      </c>
      <c r="D244" s="1034">
        <f>'[1]PLAN DE DESARROLLO 2024 - 2027'!$K$110</f>
        <v>0.16916666666666663</v>
      </c>
      <c r="E244" s="1031" t="s">
        <v>1062</v>
      </c>
      <c r="F244" s="1034">
        <f>'[1]PLAN DE DESARROLLO 2024 - 2027'!$K$113</f>
        <v>0.51249999999999996</v>
      </c>
      <c r="G244" s="1031" t="s">
        <v>1074</v>
      </c>
      <c r="H244" s="1031" t="s">
        <v>1075</v>
      </c>
      <c r="I244" s="1063">
        <f>+'Desarrollo Economico'!Y90</f>
        <v>1</v>
      </c>
      <c r="J244" s="1031" t="s">
        <v>2293</v>
      </c>
      <c r="K244" s="1035" t="s">
        <v>2195</v>
      </c>
      <c r="P244"/>
    </row>
    <row r="245" spans="1:16" ht="30.75" thickBot="1" x14ac:dyDescent="0.3">
      <c r="A245" s="1031" t="s">
        <v>2266</v>
      </c>
      <c r="B245" s="1033">
        <f>'[1]PLAN DE DESARROLLO 2024 - 2027'!$K$92</f>
        <v>0.27017707911062067</v>
      </c>
      <c r="C245" s="1031" t="s">
        <v>2268</v>
      </c>
      <c r="D245" s="1034">
        <f>'[1]PLAN DE DESARROLLO 2024 - 2027'!$K$110</f>
        <v>0.16916666666666663</v>
      </c>
      <c r="E245" s="1031" t="s">
        <v>2294</v>
      </c>
      <c r="F245" s="1034">
        <f>'[1]PLAN DE DESARROLLO 2024 - 2027'!$K$115</f>
        <v>0.33333333333333331</v>
      </c>
      <c r="G245" s="1031" t="s">
        <v>1088</v>
      </c>
      <c r="H245" s="1031" t="s">
        <v>1089</v>
      </c>
      <c r="I245" s="1063">
        <f>+'Desarrollo Economico'!Y97</f>
        <v>1</v>
      </c>
      <c r="J245" s="1031" t="s">
        <v>1028</v>
      </c>
      <c r="K245" s="1035" t="s">
        <v>2195</v>
      </c>
      <c r="P245"/>
    </row>
    <row r="246" spans="1:16" ht="30.75" thickBot="1" x14ac:dyDescent="0.3">
      <c r="A246" s="1031" t="s">
        <v>2266</v>
      </c>
      <c r="B246" s="1033">
        <f>'[1]PLAN DE DESARROLLO 2024 - 2027'!$K$92</f>
        <v>0.27017707911062067</v>
      </c>
      <c r="C246" s="1031" t="s">
        <v>2268</v>
      </c>
      <c r="D246" s="1034">
        <f>'[1]PLAN DE DESARROLLO 2024 - 2027'!$K$110</f>
        <v>0.16916666666666663</v>
      </c>
      <c r="E246" s="1031" t="s">
        <v>2294</v>
      </c>
      <c r="F246" s="1034">
        <f>'[1]PLAN DE DESARROLLO 2024 - 2027'!$K$115</f>
        <v>0.33333333333333331</v>
      </c>
      <c r="G246" s="1031" t="s">
        <v>1092</v>
      </c>
      <c r="H246" s="1031" t="s">
        <v>1093</v>
      </c>
      <c r="I246" s="1063">
        <f>+'Desarrollo Economico'!Y98</f>
        <v>0</v>
      </c>
      <c r="J246" s="1031" t="s">
        <v>1028</v>
      </c>
      <c r="K246" s="1035" t="s">
        <v>2195</v>
      </c>
      <c r="P246"/>
    </row>
    <row r="247" spans="1:16" ht="30.75" thickBot="1" x14ac:dyDescent="0.3">
      <c r="A247" s="1031" t="s">
        <v>2266</v>
      </c>
      <c r="B247" s="1033">
        <f>'[1]PLAN DE DESARROLLO 2024 - 2027'!$K$92</f>
        <v>0.27017707911062067</v>
      </c>
      <c r="C247" s="1031" t="s">
        <v>2268</v>
      </c>
      <c r="D247" s="1034">
        <f>'[1]PLAN DE DESARROLLO 2024 - 2027'!$K$110</f>
        <v>0.16916666666666663</v>
      </c>
      <c r="E247" s="1031" t="s">
        <v>2294</v>
      </c>
      <c r="F247" s="1034">
        <f>'[1]PLAN DE DESARROLLO 2024 - 2027'!$K$115</f>
        <v>0.33333333333333331</v>
      </c>
      <c r="G247" s="1031" t="s">
        <v>1094</v>
      </c>
      <c r="H247" s="1031" t="s">
        <v>1095</v>
      </c>
      <c r="I247" s="1063">
        <f>+'Desarrollo Economico'!Y99</f>
        <v>0.4</v>
      </c>
      <c r="J247" s="1031" t="s">
        <v>1028</v>
      </c>
      <c r="K247" s="1035" t="s">
        <v>2195</v>
      </c>
      <c r="P247"/>
    </row>
    <row r="248" spans="1:16" ht="37.15" customHeight="1" thickBot="1" x14ac:dyDescent="0.3">
      <c r="A248" s="1031" t="s">
        <v>2266</v>
      </c>
      <c r="B248" s="1033">
        <f>'[1]PLAN DE DESARROLLO 2024 - 2027'!$K$92</f>
        <v>0.27017707911062067</v>
      </c>
      <c r="C248" s="1031" t="s">
        <v>2295</v>
      </c>
      <c r="D248" s="1034">
        <f>'[1]PLAN DE DESARROLLO 2024 - 2027'!$K$116</f>
        <v>0.23817818229753918</v>
      </c>
      <c r="E248" s="1031" t="s">
        <v>2296</v>
      </c>
      <c r="F248" s="1034">
        <f>'[1]PLAN DE DESARROLLO 2024 - 2027'!$K$117</f>
        <v>0.30715959252971137</v>
      </c>
      <c r="G248" s="1031" t="s">
        <v>1098</v>
      </c>
      <c r="H248" s="1031" t="s">
        <v>1099</v>
      </c>
      <c r="I248" s="1063">
        <f>+'Desarrollo Economico'!Y102</f>
        <v>0.2</v>
      </c>
      <c r="J248" s="1031" t="s">
        <v>1100</v>
      </c>
      <c r="K248" s="1035" t="s">
        <v>2195</v>
      </c>
      <c r="P248"/>
    </row>
    <row r="249" spans="1:16" ht="30.75" thickBot="1" x14ac:dyDescent="0.3">
      <c r="A249" s="1031" t="s">
        <v>2266</v>
      </c>
      <c r="B249" s="1033">
        <f>'[1]PLAN DE DESARROLLO 2024 - 2027'!$K$92</f>
        <v>0.27017707911062067</v>
      </c>
      <c r="C249" s="1031" t="s">
        <v>2295</v>
      </c>
      <c r="D249" s="1034">
        <f>'[1]PLAN DE DESARROLLO 2024 - 2027'!$K$116</f>
        <v>0.23817818229753918</v>
      </c>
      <c r="E249" s="1031" t="s">
        <v>2296</v>
      </c>
      <c r="F249" s="1034">
        <f>'[1]PLAN DE DESARROLLO 2024 - 2027'!$K$117</f>
        <v>0.30715959252971137</v>
      </c>
      <c r="G249" s="1031" t="s">
        <v>1101</v>
      </c>
      <c r="H249" s="1031" t="s">
        <v>1102</v>
      </c>
      <c r="I249" s="1063">
        <f>+'Desarrollo Economico'!Y103</f>
        <v>0.18336162988115451</v>
      </c>
      <c r="J249" s="1031" t="s">
        <v>1100</v>
      </c>
      <c r="K249" s="1035" t="s">
        <v>2195</v>
      </c>
      <c r="P249"/>
    </row>
    <row r="250" spans="1:16" ht="30.75" thickBot="1" x14ac:dyDescent="0.3">
      <c r="A250" s="1031" t="s">
        <v>2266</v>
      </c>
      <c r="B250" s="1033">
        <f>'[1]PLAN DE DESARROLLO 2024 - 2027'!$K$92</f>
        <v>0.27017707911062067</v>
      </c>
      <c r="C250" s="1031" t="s">
        <v>2295</v>
      </c>
      <c r="D250" s="1034">
        <f>'[1]PLAN DE DESARROLLO 2024 - 2027'!$K$116</f>
        <v>0.23817818229753918</v>
      </c>
      <c r="E250" s="1031" t="s">
        <v>2296</v>
      </c>
      <c r="F250" s="1034">
        <f>'[1]PLAN DE DESARROLLO 2024 - 2027'!$K$117</f>
        <v>0.30715959252971137</v>
      </c>
      <c r="G250" s="1031" t="s">
        <v>1103</v>
      </c>
      <c r="H250" s="1031" t="s">
        <v>1104</v>
      </c>
      <c r="I250" s="1063">
        <f>+'Desarrollo Economico'!Y104</f>
        <v>0.4</v>
      </c>
      <c r="J250" s="1031" t="s">
        <v>1100</v>
      </c>
      <c r="K250" s="1035" t="s">
        <v>2195</v>
      </c>
      <c r="P250"/>
    </row>
    <row r="251" spans="1:16" ht="30.75" thickBot="1" x14ac:dyDescent="0.3">
      <c r="A251" s="1031" t="s">
        <v>2266</v>
      </c>
      <c r="B251" s="1033">
        <f>'[1]PLAN DE DESARROLLO 2024 - 2027'!$K$92</f>
        <v>0.27017707911062067</v>
      </c>
      <c r="C251" s="1031" t="s">
        <v>2295</v>
      </c>
      <c r="D251" s="1034">
        <f>'[1]PLAN DE DESARROLLO 2024 - 2027'!$K$116</f>
        <v>0.23817818229753918</v>
      </c>
      <c r="E251" s="1031" t="s">
        <v>2296</v>
      </c>
      <c r="F251" s="1034">
        <f>'[1]PLAN DE DESARROLLO 2024 - 2027'!$K$117</f>
        <v>0.30715959252971137</v>
      </c>
      <c r="G251" s="1031" t="s">
        <v>1105</v>
      </c>
      <c r="H251" s="1031" t="s">
        <v>1106</v>
      </c>
      <c r="I251" s="1063">
        <f>+'Desarrollo Economico'!Y105</f>
        <v>0.55000000000000004</v>
      </c>
      <c r="J251" s="1031" t="s">
        <v>1100</v>
      </c>
      <c r="K251" s="1035" t="s">
        <v>2195</v>
      </c>
      <c r="P251"/>
    </row>
    <row r="252" spans="1:16" ht="45.75" thickBot="1" x14ac:dyDescent="0.3">
      <c r="A252" s="1031" t="s">
        <v>2266</v>
      </c>
      <c r="B252" s="1033">
        <f>'[1]PLAN DE DESARROLLO 2024 - 2027'!$K$92</f>
        <v>0.27017707911062067</v>
      </c>
      <c r="C252" s="1031" t="s">
        <v>2295</v>
      </c>
      <c r="D252" s="1034">
        <f>'[1]PLAN DE DESARROLLO 2024 - 2027'!$K$116</f>
        <v>0.23817818229753918</v>
      </c>
      <c r="E252" s="1031" t="s">
        <v>2296</v>
      </c>
      <c r="F252" s="1034">
        <f>'[1]PLAN DE DESARROLLO 2024 - 2027'!$K$117</f>
        <v>0.30715959252971137</v>
      </c>
      <c r="G252" s="1031" t="s">
        <v>1107</v>
      </c>
      <c r="H252" s="1031" t="s">
        <v>1108</v>
      </c>
      <c r="I252" s="1063">
        <f>+'Desarrollo Economico'!Y106</f>
        <v>0.66666666666666663</v>
      </c>
      <c r="J252" s="1031" t="s">
        <v>1100</v>
      </c>
      <c r="K252" s="1035" t="s">
        <v>2195</v>
      </c>
      <c r="P252"/>
    </row>
    <row r="253" spans="1:16" ht="46.9" customHeight="1" thickBot="1" x14ac:dyDescent="0.3">
      <c r="A253" s="1031" t="s">
        <v>2266</v>
      </c>
      <c r="B253" s="1033">
        <f>'[1]PLAN DE DESARROLLO 2024 - 2027'!$K$92</f>
        <v>0.27017707911062067</v>
      </c>
      <c r="C253" s="1031" t="s">
        <v>2295</v>
      </c>
      <c r="D253" s="1034">
        <f>'[1]PLAN DE DESARROLLO 2024 - 2027'!$K$116</f>
        <v>0.23817818229753918</v>
      </c>
      <c r="E253" s="1031" t="s">
        <v>2297</v>
      </c>
      <c r="F253" s="1034">
        <f>'[1]PLAN DE DESARROLLO 2024 - 2027'!$K$118</f>
        <v>0.15737495436290616</v>
      </c>
      <c r="G253" s="1031" t="s">
        <v>1110</v>
      </c>
      <c r="H253" s="1031" t="s">
        <v>1111</v>
      </c>
      <c r="I253" s="1064">
        <f>+'Desarrollo Economico'!Y108</f>
        <v>0</v>
      </c>
      <c r="J253" s="1031" t="s">
        <v>1100</v>
      </c>
      <c r="K253" s="1035" t="s">
        <v>2195</v>
      </c>
      <c r="P253"/>
    </row>
    <row r="254" spans="1:16" ht="45.75" thickBot="1" x14ac:dyDescent="0.3">
      <c r="A254" s="1031" t="s">
        <v>2266</v>
      </c>
      <c r="B254" s="1033">
        <f>'[1]PLAN DE DESARROLLO 2024 - 2027'!$K$92</f>
        <v>0.27017707911062067</v>
      </c>
      <c r="C254" s="1031" t="s">
        <v>2295</v>
      </c>
      <c r="D254" s="1034">
        <f>'[1]PLAN DE DESARROLLO 2024 - 2027'!$K$116</f>
        <v>0.23817818229753918</v>
      </c>
      <c r="E254" s="1031" t="s">
        <v>2297</v>
      </c>
      <c r="F254" s="1034">
        <f>'[1]PLAN DE DESARROLLO 2024 - 2027'!$K$118</f>
        <v>0.15737495436290616</v>
      </c>
      <c r="G254" s="1031" t="s">
        <v>1112</v>
      </c>
      <c r="H254" s="1031" t="s">
        <v>1113</v>
      </c>
      <c r="I254" s="1063">
        <f>+'Desarrollo Economico'!Y109</f>
        <v>0.49096385542168675</v>
      </c>
      <c r="J254" s="1031" t="s">
        <v>1100</v>
      </c>
      <c r="K254" s="1035" t="s">
        <v>2195</v>
      </c>
      <c r="P254"/>
    </row>
    <row r="255" spans="1:16" ht="45.75" thickBot="1" x14ac:dyDescent="0.3">
      <c r="A255" s="1031" t="s">
        <v>2266</v>
      </c>
      <c r="B255" s="1033">
        <f>'[1]PLAN DE DESARROLLO 2024 - 2027'!$K$92</f>
        <v>0.27017707911062067</v>
      </c>
      <c r="C255" s="1031" t="s">
        <v>2295</v>
      </c>
      <c r="D255" s="1034">
        <f>'[1]PLAN DE DESARROLLO 2024 - 2027'!$K$116</f>
        <v>0.23817818229753918</v>
      </c>
      <c r="E255" s="1031" t="s">
        <v>2297</v>
      </c>
      <c r="F255" s="1034">
        <f>'[1]PLAN DE DESARROLLO 2024 - 2027'!$K$118</f>
        <v>0.15737495436290616</v>
      </c>
      <c r="G255" s="1031" t="s">
        <v>1114</v>
      </c>
      <c r="H255" s="1031" t="s">
        <v>1115</v>
      </c>
      <c r="I255" s="1064">
        <f>+'Desarrollo Economico'!Y110</f>
        <v>0</v>
      </c>
      <c r="J255" s="1031" t="s">
        <v>1100</v>
      </c>
      <c r="K255" s="1035" t="s">
        <v>2195</v>
      </c>
      <c r="P255"/>
    </row>
    <row r="256" spans="1:16" ht="45.75" thickBot="1" x14ac:dyDescent="0.3">
      <c r="A256" s="1031" t="s">
        <v>2266</v>
      </c>
      <c r="B256" s="1033">
        <f>'[1]PLAN DE DESARROLLO 2024 - 2027'!$K$92</f>
        <v>0.27017707911062067</v>
      </c>
      <c r="C256" s="1031" t="s">
        <v>2295</v>
      </c>
      <c r="D256" s="1034">
        <f>'[1]PLAN DE DESARROLLO 2024 - 2027'!$K$116</f>
        <v>0.23817818229753918</v>
      </c>
      <c r="E256" s="1031" t="s">
        <v>2297</v>
      </c>
      <c r="F256" s="1034">
        <f>'[1]PLAN DE DESARROLLO 2024 - 2027'!$K$118</f>
        <v>0.15737495436290616</v>
      </c>
      <c r="G256" s="1031" t="s">
        <v>1116</v>
      </c>
      <c r="H256" s="1031" t="s">
        <v>1117</v>
      </c>
      <c r="I256" s="1063">
        <f>+'Desarrollo Economico'!Y111</f>
        <v>0.05</v>
      </c>
      <c r="J256" s="1031" t="s">
        <v>1100</v>
      </c>
      <c r="K256" s="1035" t="s">
        <v>2195</v>
      </c>
      <c r="P256"/>
    </row>
    <row r="257" spans="1:16" ht="45.75" thickBot="1" x14ac:dyDescent="0.3">
      <c r="A257" s="1031" t="s">
        <v>2266</v>
      </c>
      <c r="B257" s="1033">
        <f>'[1]PLAN DE DESARROLLO 2024 - 2027'!$K$92</f>
        <v>0.27017707911062067</v>
      </c>
      <c r="C257" s="1031" t="s">
        <v>2295</v>
      </c>
      <c r="D257" s="1034">
        <f>'[1]PLAN DE DESARROLLO 2024 - 2027'!$K$116</f>
        <v>0.23817818229753918</v>
      </c>
      <c r="E257" s="1031" t="s">
        <v>2297</v>
      </c>
      <c r="F257" s="1034">
        <f>'[1]PLAN DE DESARROLLO 2024 - 2027'!$K$118</f>
        <v>0.15737495436290616</v>
      </c>
      <c r="G257" s="1031" t="s">
        <v>1118</v>
      </c>
      <c r="H257" s="1031" t="s">
        <v>1119</v>
      </c>
      <c r="I257" s="1064">
        <f>+'Desarrollo Economico'!Y112</f>
        <v>0.33333333333333331</v>
      </c>
      <c r="J257" s="1031" t="s">
        <v>1100</v>
      </c>
      <c r="K257" s="1035" t="s">
        <v>2195</v>
      </c>
      <c r="P257"/>
    </row>
    <row r="258" spans="1:16" ht="45.75" thickBot="1" x14ac:dyDescent="0.3">
      <c r="A258" s="1031" t="s">
        <v>2266</v>
      </c>
      <c r="B258" s="1033">
        <f>'[1]PLAN DE DESARROLLO 2024 - 2027'!$K$92</f>
        <v>0.27017707911062067</v>
      </c>
      <c r="C258" s="1031" t="s">
        <v>2295</v>
      </c>
      <c r="D258" s="1034">
        <f>'[1]PLAN DE DESARROLLO 2024 - 2027'!$K$116</f>
        <v>0.23817818229753918</v>
      </c>
      <c r="E258" s="1031" t="s">
        <v>2297</v>
      </c>
      <c r="F258" s="1034">
        <f>'[1]PLAN DE DESARROLLO 2024 - 2027'!$K$118</f>
        <v>0.15737495436290616</v>
      </c>
      <c r="G258" s="1031" t="s">
        <v>1120</v>
      </c>
      <c r="H258" s="1031" t="s">
        <v>1121</v>
      </c>
      <c r="I258" s="1064">
        <f>+'Desarrollo Economico'!Y113</f>
        <v>0</v>
      </c>
      <c r="J258" s="1031" t="s">
        <v>1100</v>
      </c>
      <c r="K258" s="1035" t="s">
        <v>2195</v>
      </c>
      <c r="P258"/>
    </row>
    <row r="259" spans="1:16" ht="45.75" thickBot="1" x14ac:dyDescent="0.3">
      <c r="A259" s="1031" t="s">
        <v>2266</v>
      </c>
      <c r="B259" s="1033">
        <f>'[1]PLAN DE DESARROLLO 2024 - 2027'!$K$92</f>
        <v>0.27017707911062067</v>
      </c>
      <c r="C259" s="1031" t="s">
        <v>2295</v>
      </c>
      <c r="D259" s="1034">
        <f>'[1]PLAN DE DESARROLLO 2024 - 2027'!$K$116</f>
        <v>0.23817818229753918</v>
      </c>
      <c r="E259" s="1031" t="s">
        <v>2297</v>
      </c>
      <c r="F259" s="1034">
        <f>'[1]PLAN DE DESARROLLO 2024 - 2027'!$K$118</f>
        <v>0.15737495436290616</v>
      </c>
      <c r="G259" s="1031" t="s">
        <v>1122</v>
      </c>
      <c r="H259" s="1031" t="s">
        <v>1123</v>
      </c>
      <c r="I259" s="1063">
        <f>+'Desarrollo Economico'!Y114</f>
        <v>0.15</v>
      </c>
      <c r="J259" s="1031" t="s">
        <v>1100</v>
      </c>
      <c r="K259" s="1035" t="s">
        <v>2195</v>
      </c>
      <c r="P259"/>
    </row>
    <row r="260" spans="1:16" ht="45.75" thickBot="1" x14ac:dyDescent="0.3">
      <c r="A260" s="1031" t="s">
        <v>2266</v>
      </c>
      <c r="B260" s="1033">
        <f>'[1]PLAN DE DESARROLLO 2024 - 2027'!$K$92</f>
        <v>0.27017707911062067</v>
      </c>
      <c r="C260" s="1031" t="s">
        <v>2295</v>
      </c>
      <c r="D260" s="1034">
        <f>'[1]PLAN DE DESARROLLO 2024 - 2027'!$K$116</f>
        <v>0.23817818229753918</v>
      </c>
      <c r="E260" s="1031" t="s">
        <v>2297</v>
      </c>
      <c r="F260" s="1034">
        <f>'[1]PLAN DE DESARROLLO 2024 - 2027'!$K$118</f>
        <v>0.15737495436290616</v>
      </c>
      <c r="G260" s="1031" t="s">
        <v>1124</v>
      </c>
      <c r="H260" s="1031" t="s">
        <v>1125</v>
      </c>
      <c r="I260" s="1064">
        <f>+'Desarrollo Economico'!Y115</f>
        <v>0</v>
      </c>
      <c r="J260" s="1031" t="s">
        <v>2298</v>
      </c>
      <c r="K260" s="1035" t="s">
        <v>2195</v>
      </c>
      <c r="P260"/>
    </row>
    <row r="261" spans="1:16" ht="45.75" thickBot="1" x14ac:dyDescent="0.3">
      <c r="A261" s="1031" t="s">
        <v>2266</v>
      </c>
      <c r="B261" s="1033">
        <f>'[1]PLAN DE DESARROLLO 2024 - 2027'!$K$92</f>
        <v>0.27017707911062067</v>
      </c>
      <c r="C261" s="1031" t="s">
        <v>2295</v>
      </c>
      <c r="D261" s="1034">
        <f>'[1]PLAN DE DESARROLLO 2024 - 2027'!$K$116</f>
        <v>0.23817818229753918</v>
      </c>
      <c r="E261" s="1031" t="s">
        <v>2297</v>
      </c>
      <c r="F261" s="1034">
        <f>'[1]PLAN DE DESARROLLO 2024 - 2027'!$K$118</f>
        <v>0.15737495436290616</v>
      </c>
      <c r="G261" s="1031" t="s">
        <v>1128</v>
      </c>
      <c r="H261" s="1031" t="s">
        <v>1129</v>
      </c>
      <c r="I261" s="1064">
        <f>+'Desarrollo Economico'!Y116</f>
        <v>0</v>
      </c>
      <c r="J261" s="1031" t="s">
        <v>2299</v>
      </c>
      <c r="K261" s="1035" t="s">
        <v>2195</v>
      </c>
      <c r="P261"/>
    </row>
    <row r="262" spans="1:16" ht="15.75" thickBot="1" x14ac:dyDescent="0.3">
      <c r="A262" s="1031" t="s">
        <v>2266</v>
      </c>
      <c r="B262" s="1033">
        <f>'[1]PLAN DE DESARROLLO 2024 - 2027'!$K$92</f>
        <v>0.27017707911062067</v>
      </c>
      <c r="C262" s="1031" t="s">
        <v>2295</v>
      </c>
      <c r="D262" s="1034">
        <f>'[1]PLAN DE DESARROLLO 2024 - 2027'!$K$116</f>
        <v>0.23817818229753918</v>
      </c>
      <c r="E262" s="1031" t="s">
        <v>2300</v>
      </c>
      <c r="F262" s="1034">
        <f>'[1]PLAN DE DESARROLLO 2024 - 2027'!$K$119</f>
        <v>0.25</v>
      </c>
      <c r="G262" s="1031" t="s">
        <v>1132</v>
      </c>
      <c r="H262" s="1031" t="s">
        <v>1133</v>
      </c>
      <c r="I262" s="1063">
        <f>+'Desarrollo Economico'!Y118</f>
        <v>0</v>
      </c>
      <c r="J262" s="1031" t="s">
        <v>1100</v>
      </c>
      <c r="K262" s="1035" t="s">
        <v>2195</v>
      </c>
      <c r="P262"/>
    </row>
    <row r="263" spans="1:16" ht="30.75" thickBot="1" x14ac:dyDescent="0.3">
      <c r="A263" s="1031" t="s">
        <v>2266</v>
      </c>
      <c r="B263" s="1033">
        <f>'[1]PLAN DE DESARROLLO 2024 - 2027'!$K$92</f>
        <v>0.27017707911062067</v>
      </c>
      <c r="C263" s="1031" t="s">
        <v>2295</v>
      </c>
      <c r="D263" s="1034">
        <f>'[1]PLAN DE DESARROLLO 2024 - 2027'!$K$116</f>
        <v>0.23817818229753918</v>
      </c>
      <c r="E263" s="1031" t="s">
        <v>2300</v>
      </c>
      <c r="F263" s="1034">
        <f>'[1]PLAN DE DESARROLLO 2024 - 2027'!$K$119</f>
        <v>0.25</v>
      </c>
      <c r="G263" s="1031" t="s">
        <v>1135</v>
      </c>
      <c r="H263" s="1031" t="s">
        <v>1136</v>
      </c>
      <c r="I263" s="1063">
        <f>+'Desarrollo Economico'!Y119</f>
        <v>0.25</v>
      </c>
      <c r="J263" s="1031" t="s">
        <v>1100</v>
      </c>
      <c r="K263" s="1035" t="s">
        <v>2195</v>
      </c>
      <c r="P263"/>
    </row>
    <row r="264" spans="1:16" ht="15.75" thickBot="1" x14ac:dyDescent="0.3">
      <c r="A264" s="1031" t="s">
        <v>2266</v>
      </c>
      <c r="B264" s="1033">
        <f>'[1]PLAN DE DESARROLLO 2024 - 2027'!$K$92</f>
        <v>0.27017707911062067</v>
      </c>
      <c r="C264" s="1031" t="s">
        <v>2295</v>
      </c>
      <c r="D264" s="1034">
        <f>'[1]PLAN DE DESARROLLO 2024 - 2027'!$K$116</f>
        <v>0.23817818229753918</v>
      </c>
      <c r="E264" s="1031" t="s">
        <v>2300</v>
      </c>
      <c r="F264" s="1034">
        <f>'[1]PLAN DE DESARROLLO 2024 - 2027'!$K$119</f>
        <v>0.25</v>
      </c>
      <c r="G264" s="1031" t="s">
        <v>1137</v>
      </c>
      <c r="H264" s="1031" t="s">
        <v>1138</v>
      </c>
      <c r="I264" s="1064">
        <f>+'Desarrollo Economico'!Y120</f>
        <v>0</v>
      </c>
      <c r="J264" s="1031" t="s">
        <v>1100</v>
      </c>
      <c r="K264" s="1035" t="s">
        <v>2195</v>
      </c>
      <c r="P264"/>
    </row>
    <row r="265" spans="1:16" ht="15.75" thickBot="1" x14ac:dyDescent="0.3">
      <c r="A265" s="1031" t="s">
        <v>2266</v>
      </c>
      <c r="B265" s="1033">
        <f>'[1]PLAN DE DESARROLLO 2024 - 2027'!$K$92</f>
        <v>0.27017707911062067</v>
      </c>
      <c r="C265" s="1031" t="s">
        <v>2295</v>
      </c>
      <c r="D265" s="1034">
        <f>'[1]PLAN DE DESARROLLO 2024 - 2027'!$K$116</f>
        <v>0.23817818229753918</v>
      </c>
      <c r="E265" s="1031" t="s">
        <v>2300</v>
      </c>
      <c r="F265" s="1034">
        <f>'[1]PLAN DE DESARROLLO 2024 - 2027'!$K$119</f>
        <v>0.25</v>
      </c>
      <c r="G265" s="1031" t="s">
        <v>1139</v>
      </c>
      <c r="H265" s="1031" t="s">
        <v>1140</v>
      </c>
      <c r="I265" s="1063">
        <f>+'Desarrollo Economico'!Y121</f>
        <v>1</v>
      </c>
      <c r="J265" s="1031" t="s">
        <v>1100</v>
      </c>
      <c r="K265" s="1035" t="s">
        <v>2195</v>
      </c>
      <c r="P265"/>
    </row>
    <row r="266" spans="1:16" ht="30.75" thickBot="1" x14ac:dyDescent="0.3">
      <c r="A266" s="1031" t="s">
        <v>2266</v>
      </c>
      <c r="B266" s="1033">
        <f>'[1]PLAN DE DESARROLLO 2024 - 2027'!$K$92</f>
        <v>0.27017707911062067</v>
      </c>
      <c r="C266" s="1031" t="s">
        <v>2295</v>
      </c>
      <c r="D266" s="1034">
        <f>'[1]PLAN DE DESARROLLO 2024 - 2027'!$K$116</f>
        <v>0.23817818229753918</v>
      </c>
      <c r="E266" s="1031" t="s">
        <v>2300</v>
      </c>
      <c r="F266" s="1034">
        <f>'[1]PLAN DE DESARROLLO 2024 - 2027'!$K$119</f>
        <v>0.25</v>
      </c>
      <c r="G266" s="1031" t="s">
        <v>1141</v>
      </c>
      <c r="H266" s="1031" t="s">
        <v>1142</v>
      </c>
      <c r="I266" s="1063">
        <f>+'Desarrollo Economico'!Y122</f>
        <v>0</v>
      </c>
      <c r="J266" s="1031" t="s">
        <v>2301</v>
      </c>
      <c r="K266" s="1035" t="s">
        <v>2195</v>
      </c>
      <c r="P266"/>
    </row>
    <row r="267" spans="1:16" ht="30.75" thickBot="1" x14ac:dyDescent="0.3">
      <c r="A267" s="1031" t="s">
        <v>2266</v>
      </c>
      <c r="B267" s="1033">
        <f>'[1]PLAN DE DESARROLLO 2024 - 2027'!$K$92</f>
        <v>0.27017707911062067</v>
      </c>
      <c r="C267" s="1031" t="s">
        <v>2295</v>
      </c>
      <c r="D267" s="1034">
        <f>'[1]PLAN DE DESARROLLO 2024 - 2027'!$K$116</f>
        <v>0.23817818229753918</v>
      </c>
      <c r="E267" s="1031" t="s">
        <v>2300</v>
      </c>
      <c r="F267" s="1034">
        <f>'[1]PLAN DE DESARROLLO 2024 - 2027'!$K$119</f>
        <v>0.25</v>
      </c>
      <c r="G267" s="1031" t="s">
        <v>1143</v>
      </c>
      <c r="H267" s="1031" t="s">
        <v>1144</v>
      </c>
      <c r="I267" s="1063">
        <f>+'Desarrollo Economico'!Y123</f>
        <v>0</v>
      </c>
      <c r="J267" s="1031" t="s">
        <v>2302</v>
      </c>
      <c r="K267" s="1035" t="s">
        <v>2195</v>
      </c>
      <c r="P267"/>
    </row>
    <row r="268" spans="1:16" ht="90.75" thickBot="1" x14ac:dyDescent="0.3">
      <c r="A268" s="1031" t="s">
        <v>2266</v>
      </c>
      <c r="B268" s="1033">
        <f>'[1]PLAN DE DESARROLLO 2024 - 2027'!$K$92</f>
        <v>0.27017707911062067</v>
      </c>
      <c r="C268" s="1031" t="s">
        <v>2303</v>
      </c>
      <c r="D268" s="1034">
        <f>'[1]PLAN DE DESARROLLO 2024 - 2027'!$K$120</f>
        <v>0.24676666666666666</v>
      </c>
      <c r="E268" s="1031" t="s">
        <v>2304</v>
      </c>
      <c r="F268" s="1034">
        <f>'[1]PLAN DE DESARROLLO 2024 - 2027'!$K$121</f>
        <v>9.9999999999999992E-2</v>
      </c>
      <c r="G268" s="1031" t="s">
        <v>1148</v>
      </c>
      <c r="H268" s="1031" t="s">
        <v>2305</v>
      </c>
      <c r="I268" s="1063">
        <f>+'Desarrollo Economico'!Y126</f>
        <v>0.47666666666666663</v>
      </c>
      <c r="J268" s="1031" t="s">
        <v>2306</v>
      </c>
      <c r="K268" s="1035" t="s">
        <v>2195</v>
      </c>
      <c r="P268"/>
    </row>
    <row r="269" spans="1:16" ht="45.75" thickBot="1" x14ac:dyDescent="0.3">
      <c r="A269" s="1031" t="s">
        <v>2266</v>
      </c>
      <c r="B269" s="1033">
        <f>'[1]PLAN DE DESARROLLO 2024 - 2027'!$K$92</f>
        <v>0.27017707911062067</v>
      </c>
      <c r="C269" s="1031" t="s">
        <v>2303</v>
      </c>
      <c r="D269" s="1034">
        <f>'[1]PLAN DE DESARROLLO 2024 - 2027'!$K$120</f>
        <v>0.24676666666666666</v>
      </c>
      <c r="E269" s="1031" t="s">
        <v>2304</v>
      </c>
      <c r="F269" s="1034">
        <f>'[1]PLAN DE DESARROLLO 2024 - 2027'!$K$121</f>
        <v>9.9999999999999992E-2</v>
      </c>
      <c r="G269" s="1031" t="s">
        <v>1151</v>
      </c>
      <c r="H269" s="1031" t="s">
        <v>1152</v>
      </c>
      <c r="I269" s="1064">
        <f>+'Desarrollo Economico'!Y127</f>
        <v>0</v>
      </c>
      <c r="J269" s="1031" t="s">
        <v>1206</v>
      </c>
      <c r="K269" s="1035" t="s">
        <v>2195</v>
      </c>
      <c r="P269"/>
    </row>
    <row r="270" spans="1:16" ht="45.75" thickBot="1" x14ac:dyDescent="0.3">
      <c r="A270" s="1031" t="s">
        <v>2266</v>
      </c>
      <c r="B270" s="1033">
        <f>'[1]PLAN DE DESARROLLO 2024 - 2027'!$K$92</f>
        <v>0.27017707911062067</v>
      </c>
      <c r="C270" s="1031" t="s">
        <v>2303</v>
      </c>
      <c r="D270" s="1034">
        <f>'[1]PLAN DE DESARROLLO 2024 - 2027'!$K$120</f>
        <v>0.24676666666666666</v>
      </c>
      <c r="E270" s="1031" t="s">
        <v>2304</v>
      </c>
      <c r="F270" s="1034">
        <f>'[1]PLAN DE DESARROLLO 2024 - 2027'!$K$121</f>
        <v>9.9999999999999992E-2</v>
      </c>
      <c r="G270" s="1031" t="s">
        <v>1154</v>
      </c>
      <c r="H270" s="1031" t="s">
        <v>1155</v>
      </c>
      <c r="I270" s="1064">
        <f>+'Desarrollo Economico'!Y128</f>
        <v>0</v>
      </c>
      <c r="J270" s="1031" t="s">
        <v>1206</v>
      </c>
      <c r="K270" s="1035" t="s">
        <v>2195</v>
      </c>
      <c r="P270"/>
    </row>
    <row r="271" spans="1:16" ht="30.75" thickBot="1" x14ac:dyDescent="0.3">
      <c r="A271" s="1031" t="s">
        <v>2266</v>
      </c>
      <c r="B271" s="1033">
        <f>'[1]PLAN DE DESARROLLO 2024 - 2027'!$K$92</f>
        <v>0.27017707911062067</v>
      </c>
      <c r="C271" s="1031" t="s">
        <v>2303</v>
      </c>
      <c r="D271" s="1034">
        <f>'[1]PLAN DE DESARROLLO 2024 - 2027'!$K$120</f>
        <v>0.24676666666666666</v>
      </c>
      <c r="E271" s="1031" t="s">
        <v>2307</v>
      </c>
      <c r="F271" s="1034">
        <f>'[1]PLAN DE DESARROLLO 2024 - 2027'!$K$122</f>
        <v>0.39353333333333335</v>
      </c>
      <c r="G271" s="1031" t="s">
        <v>1157</v>
      </c>
      <c r="H271" s="1031" t="s">
        <v>1158</v>
      </c>
      <c r="I271" s="1063">
        <f>+'Desarrollo Economico'!Y130</f>
        <v>0.5</v>
      </c>
      <c r="J271" s="1031" t="s">
        <v>658</v>
      </c>
      <c r="K271" s="1035" t="s">
        <v>2195</v>
      </c>
      <c r="P271"/>
    </row>
    <row r="272" spans="1:16" ht="30.75" thickBot="1" x14ac:dyDescent="0.3">
      <c r="A272" s="1031" t="s">
        <v>2266</v>
      </c>
      <c r="B272" s="1033">
        <f>'[1]PLAN DE DESARROLLO 2024 - 2027'!$K$92</f>
        <v>0.27017707911062067</v>
      </c>
      <c r="C272" s="1031" t="s">
        <v>2303</v>
      </c>
      <c r="D272" s="1034">
        <f>'[1]PLAN DE DESARROLLO 2024 - 2027'!$K$120</f>
        <v>0.24676666666666666</v>
      </c>
      <c r="E272" s="1031" t="s">
        <v>2307</v>
      </c>
      <c r="F272" s="1034">
        <f>'[1]PLAN DE DESARROLLO 2024 - 2027'!$K$122</f>
        <v>0.39353333333333335</v>
      </c>
      <c r="G272" s="1031" t="s">
        <v>1159</v>
      </c>
      <c r="H272" s="1031" t="s">
        <v>1160</v>
      </c>
      <c r="I272" s="1063">
        <f>+'Desarrollo Economico'!Y131</f>
        <v>0.5</v>
      </c>
      <c r="J272" s="1031" t="s">
        <v>658</v>
      </c>
      <c r="K272" s="1035" t="s">
        <v>2195</v>
      </c>
      <c r="P272"/>
    </row>
    <row r="273" spans="1:16" ht="45.75" thickBot="1" x14ac:dyDescent="0.3">
      <c r="A273" s="1031" t="s">
        <v>2266</v>
      </c>
      <c r="B273" s="1033">
        <f>'[1]PLAN DE DESARROLLO 2024 - 2027'!$K$92</f>
        <v>0.27017707911062067</v>
      </c>
      <c r="C273" s="1031" t="s">
        <v>2303</v>
      </c>
      <c r="D273" s="1034">
        <f>'[1]PLAN DE DESARROLLO 2024 - 2027'!$K$120</f>
        <v>0.24676666666666666</v>
      </c>
      <c r="E273" s="1031" t="s">
        <v>2307</v>
      </c>
      <c r="F273" s="1034">
        <f>'[1]PLAN DE DESARROLLO 2024 - 2027'!$K$122</f>
        <v>0.39353333333333335</v>
      </c>
      <c r="G273" s="1031" t="s">
        <v>1161</v>
      </c>
      <c r="H273" s="1031" t="s">
        <v>1162</v>
      </c>
      <c r="I273" s="1063">
        <f>+'Desarrollo Economico'!Y132</f>
        <v>0.2306</v>
      </c>
      <c r="J273" s="1031" t="s">
        <v>658</v>
      </c>
      <c r="K273" s="1035" t="s">
        <v>2195</v>
      </c>
      <c r="P273"/>
    </row>
    <row r="274" spans="1:16" ht="30.75" thickBot="1" x14ac:dyDescent="0.3">
      <c r="A274" s="1031" t="s">
        <v>2308</v>
      </c>
      <c r="B274" s="1033">
        <f>'[1]PLAN DE DESARROLLO 2024 - 2027'!$K$161</f>
        <v>0.25845384584399683</v>
      </c>
      <c r="C274" s="1031" t="s">
        <v>2309</v>
      </c>
      <c r="D274" s="1033">
        <f>'[1]PLAN DE DESARROLLO 2024 - 2027'!$J$162</f>
        <v>0.21</v>
      </c>
      <c r="E274" s="1031" t="s">
        <v>1554</v>
      </c>
      <c r="F274" s="1034">
        <f>'[1]PLAN DE DESARROLLO 2024 - 2027'!$K$163</f>
        <v>2.5000000000000001E-2</v>
      </c>
      <c r="G274" s="1031" t="s">
        <v>1555</v>
      </c>
      <c r="H274" s="1031" t="s">
        <v>1556</v>
      </c>
      <c r="I274" s="1063">
        <f>+'Innovación Pública'!Y6</f>
        <v>0.17499999999999999</v>
      </c>
      <c r="J274" s="1031" t="s">
        <v>658</v>
      </c>
      <c r="K274" s="1035" t="s">
        <v>2195</v>
      </c>
      <c r="P274"/>
    </row>
    <row r="275" spans="1:16" ht="30.75" thickBot="1" x14ac:dyDescent="0.3">
      <c r="A275" s="1031" t="s">
        <v>2308</v>
      </c>
      <c r="B275" s="1033">
        <f>'[1]PLAN DE DESARROLLO 2024 - 2027'!$J$161</f>
        <v>0.21734598565460142</v>
      </c>
      <c r="C275" s="1031" t="s">
        <v>2309</v>
      </c>
      <c r="D275" s="1033">
        <f>'[1]PLAN DE DESARROLLO 2024 - 2027'!$K$162</f>
        <v>0.19166666666666665</v>
      </c>
      <c r="E275" s="1031" t="s">
        <v>1554</v>
      </c>
      <c r="F275" s="1034">
        <f>'[1]PLAN DE DESARROLLO 2024 - 2027'!$K$163</f>
        <v>2.5000000000000001E-2</v>
      </c>
      <c r="G275" s="1031" t="s">
        <v>1558</v>
      </c>
      <c r="H275" s="1031" t="s">
        <v>1559</v>
      </c>
      <c r="I275" s="1064">
        <f>+'Innovación Pública'!Y7</f>
        <v>0</v>
      </c>
      <c r="J275" s="1031" t="s">
        <v>658</v>
      </c>
      <c r="K275" s="1035" t="s">
        <v>2195</v>
      </c>
      <c r="P275"/>
    </row>
    <row r="276" spans="1:16" ht="30.75" thickBot="1" x14ac:dyDescent="0.3">
      <c r="A276" s="1031" t="s">
        <v>2308</v>
      </c>
      <c r="B276" s="1033">
        <f>'[1]PLAN DE DESARROLLO 2024 - 2027'!$J$161</f>
        <v>0.21734598565460142</v>
      </c>
      <c r="C276" s="1031" t="s">
        <v>2309</v>
      </c>
      <c r="D276" s="1033">
        <f>'[1]PLAN DE DESARROLLO 2024 - 2027'!$K$162</f>
        <v>0.19166666666666665</v>
      </c>
      <c r="E276" s="1031" t="s">
        <v>1554</v>
      </c>
      <c r="F276" s="1034">
        <f>'[1]PLAN DE DESARROLLO 2024 - 2027'!$K$163</f>
        <v>2.5000000000000001E-2</v>
      </c>
      <c r="G276" s="1031" t="s">
        <v>1560</v>
      </c>
      <c r="H276" s="1031" t="s">
        <v>1561</v>
      </c>
      <c r="I276" s="1064">
        <f>+'Innovación Pública'!Y8</f>
        <v>0</v>
      </c>
      <c r="J276" s="1031" t="s">
        <v>658</v>
      </c>
      <c r="K276" s="1035" t="s">
        <v>2195</v>
      </c>
      <c r="P276"/>
    </row>
    <row r="277" spans="1:16" ht="30.75" thickBot="1" x14ac:dyDescent="0.3">
      <c r="A277" s="1031" t="s">
        <v>2308</v>
      </c>
      <c r="B277" s="1033">
        <f>'[1]PLAN DE DESARROLLO 2024 - 2027'!$J$161</f>
        <v>0.21734598565460142</v>
      </c>
      <c r="C277" s="1031" t="s">
        <v>2310</v>
      </c>
      <c r="D277" s="1034">
        <f>'[1]PLAN DE DESARROLLO 2024 - 2027'!$K$166</f>
        <v>0.22116069173966579</v>
      </c>
      <c r="E277" s="1031" t="s">
        <v>2311</v>
      </c>
      <c r="F277" s="1034">
        <f>'[1]PLAN DE DESARROLLO 2024 - 2027'!$K$171</f>
        <v>0.16666666666666666</v>
      </c>
      <c r="G277" s="1031" t="s">
        <v>1613</v>
      </c>
      <c r="H277" s="1031" t="s">
        <v>1614</v>
      </c>
      <c r="I277" s="1063">
        <f>+'Innovación Pública'!Y33</f>
        <v>1</v>
      </c>
      <c r="J277" s="1031" t="s">
        <v>658</v>
      </c>
      <c r="K277" s="1035" t="s">
        <v>2195</v>
      </c>
      <c r="P277"/>
    </row>
    <row r="278" spans="1:16" ht="30.75" thickBot="1" x14ac:dyDescent="0.3">
      <c r="A278" s="1031" t="s">
        <v>2308</v>
      </c>
      <c r="B278" s="1033">
        <f>'[1]PLAN DE DESARROLLO 2024 - 2027'!$J$161</f>
        <v>0.21734598565460142</v>
      </c>
      <c r="C278" s="1031" t="s">
        <v>2310</v>
      </c>
      <c r="D278" s="1034">
        <f>'[1]PLAN DE DESARROLLO 2024 - 2027'!$K$166</f>
        <v>0.22116069173966579</v>
      </c>
      <c r="E278" s="1031" t="s">
        <v>2311</v>
      </c>
      <c r="F278" s="1034">
        <f>'[1]PLAN DE DESARROLLO 2024 - 2027'!$K$171</f>
        <v>0.16666666666666666</v>
      </c>
      <c r="G278" s="1031" t="s">
        <v>1615</v>
      </c>
      <c r="H278" s="1031" t="s">
        <v>1616</v>
      </c>
      <c r="I278" s="1063">
        <f>+'Innovación Pública'!Y34</f>
        <v>0.25</v>
      </c>
      <c r="J278" s="1031" t="s">
        <v>658</v>
      </c>
      <c r="K278" s="1035" t="s">
        <v>2195</v>
      </c>
      <c r="P278"/>
    </row>
    <row r="279" spans="1:16" ht="30.75" thickBot="1" x14ac:dyDescent="0.3">
      <c r="A279" s="1031" t="s">
        <v>2308</v>
      </c>
      <c r="B279" s="1033">
        <f>'[1]PLAN DE DESARROLLO 2024 - 2027'!$J$161</f>
        <v>0.21734598565460142</v>
      </c>
      <c r="C279" s="1031" t="s">
        <v>2310</v>
      </c>
      <c r="D279" s="1034">
        <f>'[1]PLAN DE DESARROLLO 2024 - 2027'!$K$166</f>
        <v>0.22116069173966579</v>
      </c>
      <c r="E279" s="1031" t="s">
        <v>2311</v>
      </c>
      <c r="F279" s="1034">
        <f>'[1]PLAN DE DESARROLLO 2024 - 2027'!$K$171</f>
        <v>0.16666666666666666</v>
      </c>
      <c r="G279" s="1031" t="s">
        <v>1617</v>
      </c>
      <c r="H279" s="1031" t="s">
        <v>1618</v>
      </c>
      <c r="I279" s="1063">
        <f>+'Innovación Pública'!Y35</f>
        <v>0.2</v>
      </c>
      <c r="J279" s="1031" t="s">
        <v>658</v>
      </c>
      <c r="K279" s="1035" t="s">
        <v>2195</v>
      </c>
      <c r="P279"/>
    </row>
    <row r="280" spans="1:16" ht="30.75" thickBot="1" x14ac:dyDescent="0.3">
      <c r="A280" s="1031" t="s">
        <v>2308</v>
      </c>
      <c r="B280" s="1033">
        <f>'[1]PLAN DE DESARROLLO 2024 - 2027'!$J$161</f>
        <v>0.21734598565460142</v>
      </c>
      <c r="C280" s="1031" t="s">
        <v>2310</v>
      </c>
      <c r="D280" s="1034">
        <f>'[1]PLAN DE DESARROLLO 2024 - 2027'!$K$166</f>
        <v>0.22116069173966579</v>
      </c>
      <c r="E280" s="1031" t="s">
        <v>2312</v>
      </c>
      <c r="F280" s="1034">
        <f>'[1]PLAN DE DESARROLLO 2024 - 2027'!$K$173</f>
        <v>0</v>
      </c>
      <c r="G280" s="1031" t="s">
        <v>1629</v>
      </c>
      <c r="H280" s="1031" t="s">
        <v>1630</v>
      </c>
      <c r="I280" s="1063">
        <f>+'Innovación Pública'!Y41</f>
        <v>0.1</v>
      </c>
      <c r="J280" s="1031" t="s">
        <v>2313</v>
      </c>
      <c r="K280" s="1035" t="s">
        <v>2195</v>
      </c>
      <c r="P280"/>
    </row>
    <row r="281" spans="1:16" ht="30.75" thickBot="1" x14ac:dyDescent="0.3">
      <c r="A281" s="1031" t="s">
        <v>2308</v>
      </c>
      <c r="B281" s="1033">
        <f>'[1]PLAN DE DESARROLLO 2024 - 2027'!$J$161</f>
        <v>0.21734598565460142</v>
      </c>
      <c r="C281" s="1031" t="s">
        <v>2310</v>
      </c>
      <c r="D281" s="1034">
        <f>'[1]PLAN DE DESARROLLO 2024 - 2027'!$K$166</f>
        <v>0.22116069173966579</v>
      </c>
      <c r="E281" s="1031" t="s">
        <v>2312</v>
      </c>
      <c r="F281" s="1034">
        <f>'[1]PLAN DE DESARROLLO 2024 - 2027'!$K$173</f>
        <v>0</v>
      </c>
      <c r="G281" s="1031" t="s">
        <v>1633</v>
      </c>
      <c r="H281" s="1031" t="s">
        <v>1634</v>
      </c>
      <c r="I281" s="1063">
        <f>+'Innovación Pública'!Y42</f>
        <v>0</v>
      </c>
      <c r="J281" s="1031" t="s">
        <v>2313</v>
      </c>
      <c r="K281" s="1035" t="s">
        <v>2195</v>
      </c>
      <c r="P281"/>
    </row>
    <row r="282" spans="1:16" ht="30.75" thickBot="1" x14ac:dyDescent="0.3">
      <c r="A282" s="1031" t="s">
        <v>2308</v>
      </c>
      <c r="B282" s="1033">
        <f>'[1]PLAN DE DESARROLLO 2024 - 2027'!$J$161</f>
        <v>0.21734598565460142</v>
      </c>
      <c r="C282" s="1031" t="s">
        <v>2314</v>
      </c>
      <c r="D282" s="1033">
        <f>'[1]PLAN DE DESARROLLO 2024 - 2027'!$K$175</f>
        <v>0.30645929363983626</v>
      </c>
      <c r="E282" s="1031" t="s">
        <v>2315</v>
      </c>
      <c r="F282" s="1034">
        <f>'[1]PLAN DE DESARROLLO 2024 - 2027'!$K$177</f>
        <v>0.25</v>
      </c>
      <c r="G282" s="1031" t="s">
        <v>1658</v>
      </c>
      <c r="H282" s="1031" t="s">
        <v>1659</v>
      </c>
      <c r="I282" s="1063">
        <f>+'Innovación Pública'!Y56</f>
        <v>0.5</v>
      </c>
      <c r="J282" s="1031" t="s">
        <v>883</v>
      </c>
      <c r="K282" s="1035" t="s">
        <v>2195</v>
      </c>
      <c r="P282"/>
    </row>
    <row r="283" spans="1:16" ht="30.75" thickBot="1" x14ac:dyDescent="0.3">
      <c r="A283" s="1031" t="s">
        <v>2308</v>
      </c>
      <c r="B283" s="1033">
        <f>'[1]PLAN DE DESARROLLO 2024 - 2027'!$J$161</f>
        <v>0.21734598565460142</v>
      </c>
      <c r="C283" s="1031" t="s">
        <v>2316</v>
      </c>
      <c r="D283" s="1033">
        <f>'[1]PLAN DE DESARROLLO 2024 - 2027'!$K$184</f>
        <v>0.20161705435056146</v>
      </c>
      <c r="E283" s="1031" t="s">
        <v>1731</v>
      </c>
      <c r="F283" s="1034">
        <f>'[1]PLAN DE DESARROLLO 2024 - 2027'!$K$187</f>
        <v>0</v>
      </c>
      <c r="G283" s="1031" t="s">
        <v>1732</v>
      </c>
      <c r="H283" s="1031" t="s">
        <v>1733</v>
      </c>
      <c r="I283" s="1063">
        <f>+'Innovación Pública'!Y93</f>
        <v>0</v>
      </c>
      <c r="J283" s="1031" t="s">
        <v>2317</v>
      </c>
      <c r="K283" s="1035" t="s">
        <v>2195</v>
      </c>
      <c r="P283"/>
    </row>
    <row r="284" spans="1:16" ht="45.75" thickBot="1" x14ac:dyDescent="0.3">
      <c r="A284" s="1031" t="s">
        <v>2308</v>
      </c>
      <c r="B284" s="1033">
        <f>'[1]PLAN DE DESARROLLO 2024 - 2027'!$J$161</f>
        <v>0.21734598565460142</v>
      </c>
      <c r="C284" s="1031" t="s">
        <v>2309</v>
      </c>
      <c r="D284" s="1033">
        <f>'[1]PLAN DE DESARROLLO 2024 - 2027'!$K$162</f>
        <v>0.19166666666666665</v>
      </c>
      <c r="E284" s="1031" t="s">
        <v>1562</v>
      </c>
      <c r="F284" s="1034">
        <f>'[1]PLAN DE DESARROLLO 2024 - 2027'!$K$164</f>
        <v>0.1875</v>
      </c>
      <c r="G284" s="1031" t="s">
        <v>1563</v>
      </c>
      <c r="H284" s="1031" t="s">
        <v>1564</v>
      </c>
      <c r="I284" s="1063">
        <f>+'Innovación Pública'!Y10</f>
        <v>0.43</v>
      </c>
      <c r="J284" s="1031" t="s">
        <v>658</v>
      </c>
      <c r="K284" s="1035" t="s">
        <v>2195</v>
      </c>
      <c r="P284"/>
    </row>
    <row r="285" spans="1:16" ht="30.75" thickBot="1" x14ac:dyDescent="0.3">
      <c r="A285" s="1031" t="s">
        <v>2308</v>
      </c>
      <c r="B285" s="1033">
        <f>'[1]PLAN DE DESARROLLO 2024 - 2027'!$J$161</f>
        <v>0.21734598565460142</v>
      </c>
      <c r="C285" s="1031" t="s">
        <v>2309</v>
      </c>
      <c r="D285" s="1033">
        <f>'[1]PLAN DE DESARROLLO 2024 - 2027'!$K$162</f>
        <v>0.19166666666666665</v>
      </c>
      <c r="E285" s="1031" t="s">
        <v>1562</v>
      </c>
      <c r="F285" s="1034">
        <f>'[1]PLAN DE DESARROLLO 2024 - 2027'!$K$164</f>
        <v>0.1875</v>
      </c>
      <c r="G285" s="1031" t="s">
        <v>1565</v>
      </c>
      <c r="H285" s="1031" t="s">
        <v>1566</v>
      </c>
      <c r="I285" s="1063">
        <f>+'Innovación Pública'!Y11</f>
        <v>0.25</v>
      </c>
      <c r="J285" s="1031" t="s">
        <v>2318</v>
      </c>
      <c r="K285" s="1035" t="s">
        <v>2195</v>
      </c>
      <c r="P285"/>
    </row>
    <row r="286" spans="1:16" ht="30.75" thickBot="1" x14ac:dyDescent="0.3">
      <c r="A286" s="1031" t="s">
        <v>2308</v>
      </c>
      <c r="B286" s="1033">
        <f>'[1]PLAN DE DESARROLLO 2024 - 2027'!$J$161</f>
        <v>0.21734598565460142</v>
      </c>
      <c r="C286" s="1031" t="s">
        <v>2309</v>
      </c>
      <c r="D286" s="1033">
        <f>'[1]PLAN DE DESARROLLO 2024 - 2027'!$K$162</f>
        <v>0.19166666666666665</v>
      </c>
      <c r="E286" s="1031" t="s">
        <v>1568</v>
      </c>
      <c r="F286" s="1034">
        <f>'[1]PLAN DE DESARROLLO 2024 - 2027'!$K$165</f>
        <v>0.36249999999999999</v>
      </c>
      <c r="G286" s="1031" t="s">
        <v>1569</v>
      </c>
      <c r="H286" s="1031" t="s">
        <v>1570</v>
      </c>
      <c r="I286" s="1063">
        <f>+'Innovación Pública'!Y13</f>
        <v>0.17</v>
      </c>
      <c r="J286" s="1031" t="s">
        <v>2319</v>
      </c>
      <c r="K286" s="1035" t="s">
        <v>2195</v>
      </c>
      <c r="P286"/>
    </row>
    <row r="287" spans="1:16" ht="30.75" thickBot="1" x14ac:dyDescent="0.3">
      <c r="A287" s="1031" t="s">
        <v>2308</v>
      </c>
      <c r="B287" s="1033">
        <f>'[1]PLAN DE DESARROLLO 2024 - 2027'!$J$161</f>
        <v>0.21734598565460142</v>
      </c>
      <c r="C287" s="1031" t="s">
        <v>2309</v>
      </c>
      <c r="D287" s="1033">
        <f>'[1]PLAN DE DESARROLLO 2024 - 2027'!$K$162</f>
        <v>0.19166666666666665</v>
      </c>
      <c r="E287" s="1031" t="s">
        <v>1568</v>
      </c>
      <c r="F287" s="1034">
        <f>'[1]PLAN DE DESARROLLO 2024 - 2027'!$K$165</f>
        <v>0.36249999999999999</v>
      </c>
      <c r="G287" s="1031" t="s">
        <v>1573</v>
      </c>
      <c r="H287" s="1031" t="s">
        <v>1574</v>
      </c>
      <c r="I287" s="1063">
        <f>+'Innovación Pública'!Y14</f>
        <v>0.26666666666666666</v>
      </c>
      <c r="J287" s="1031" t="s">
        <v>2320</v>
      </c>
      <c r="K287" s="1035" t="s">
        <v>2195</v>
      </c>
      <c r="P287"/>
    </row>
    <row r="288" spans="1:16" ht="30.75" thickBot="1" x14ac:dyDescent="0.3">
      <c r="A288" s="1031" t="s">
        <v>2308</v>
      </c>
      <c r="B288" s="1033">
        <f>'[1]PLAN DE DESARROLLO 2024 - 2027'!$J$161</f>
        <v>0.21734598565460142</v>
      </c>
      <c r="C288" s="1031" t="s">
        <v>2309</v>
      </c>
      <c r="D288" s="1033">
        <f>'[1]PLAN DE DESARROLLO 2024 - 2027'!$K$162</f>
        <v>0.19166666666666665</v>
      </c>
      <c r="E288" s="1031" t="s">
        <v>1568</v>
      </c>
      <c r="F288" s="1034">
        <f>'[1]PLAN DE DESARROLLO 2024 - 2027'!$K$165</f>
        <v>0.36249999999999999</v>
      </c>
      <c r="G288" s="1031" t="s">
        <v>1576</v>
      </c>
      <c r="H288" s="1031" t="s">
        <v>1577</v>
      </c>
      <c r="I288" s="1063">
        <f>+'Innovación Pública'!Y15</f>
        <v>0.25</v>
      </c>
      <c r="J288" s="1031" t="s">
        <v>2320</v>
      </c>
      <c r="K288" s="1035" t="s">
        <v>2195</v>
      </c>
      <c r="P288"/>
    </row>
    <row r="289" spans="1:16" ht="30.75" thickBot="1" x14ac:dyDescent="0.3">
      <c r="A289" s="1031" t="s">
        <v>2308</v>
      </c>
      <c r="B289" s="1033">
        <f>'[1]PLAN DE DESARROLLO 2024 - 2027'!$J$161</f>
        <v>0.21734598565460142</v>
      </c>
      <c r="C289" s="1031" t="s">
        <v>2309</v>
      </c>
      <c r="D289" s="1033">
        <f>'[1]PLAN DE DESARROLLO 2024 - 2027'!$K$162</f>
        <v>0.19166666666666665</v>
      </c>
      <c r="E289" s="1031" t="s">
        <v>1568</v>
      </c>
      <c r="F289" s="1034">
        <f>'[1]PLAN DE DESARROLLO 2024 - 2027'!$K$165</f>
        <v>0.36249999999999999</v>
      </c>
      <c r="G289" s="1031" t="s">
        <v>1578</v>
      </c>
      <c r="H289" s="1031" t="s">
        <v>1579</v>
      </c>
      <c r="I289" s="1063">
        <f>+'Innovación Pública'!Y16</f>
        <v>1</v>
      </c>
      <c r="J289" s="1031" t="s">
        <v>2320</v>
      </c>
      <c r="K289" s="1035" t="s">
        <v>2195</v>
      </c>
      <c r="P289"/>
    </row>
    <row r="290" spans="1:16" ht="30.75" thickBot="1" x14ac:dyDescent="0.3">
      <c r="A290" s="1031" t="s">
        <v>2308</v>
      </c>
      <c r="B290" s="1033">
        <f>'[1]PLAN DE DESARROLLO 2024 - 2027'!$J$161</f>
        <v>0.21734598565460142</v>
      </c>
      <c r="C290" s="1031" t="s">
        <v>2310</v>
      </c>
      <c r="D290" s="1034">
        <f>'[1]PLAN DE DESARROLLO 2024 - 2027'!$K$166</f>
        <v>0.22116069173966579</v>
      </c>
      <c r="E290" s="1031" t="s">
        <v>2321</v>
      </c>
      <c r="F290" s="1034">
        <f>'[1]PLAN DE DESARROLLO 2024 - 2027'!$K$167</f>
        <v>0.44305555555555554</v>
      </c>
      <c r="G290" s="1031" t="s">
        <v>1584</v>
      </c>
      <c r="H290" s="1031" t="s">
        <v>1585</v>
      </c>
      <c r="I290" s="1063">
        <f>+'Innovación Pública'!Y19</f>
        <v>0.43</v>
      </c>
      <c r="J290" s="1031" t="s">
        <v>658</v>
      </c>
      <c r="K290" s="1035" t="s">
        <v>2195</v>
      </c>
      <c r="P290"/>
    </row>
    <row r="291" spans="1:16" ht="30.75" thickBot="1" x14ac:dyDescent="0.3">
      <c r="A291" s="1031" t="s">
        <v>2308</v>
      </c>
      <c r="B291" s="1033">
        <f>'[1]PLAN DE DESARROLLO 2024 - 2027'!$J$161</f>
        <v>0.21734598565460142</v>
      </c>
      <c r="C291" s="1031" t="s">
        <v>2310</v>
      </c>
      <c r="D291" s="1034">
        <f>'[1]PLAN DE DESARROLLO 2024 - 2027'!$K$166</f>
        <v>0.22116069173966579</v>
      </c>
      <c r="E291" s="1031" t="s">
        <v>2321</v>
      </c>
      <c r="F291" s="1034">
        <f>'[1]PLAN DE DESARROLLO 2024 - 2027'!$K$167</f>
        <v>0.44305555555555554</v>
      </c>
      <c r="G291" s="1031" t="s">
        <v>1587</v>
      </c>
      <c r="H291" s="1031" t="s">
        <v>1588</v>
      </c>
      <c r="I291" s="1064">
        <f>+'Innovación Pública'!Y20</f>
        <v>6.4500000000000002E-2</v>
      </c>
      <c r="J291" s="1031" t="s">
        <v>658</v>
      </c>
      <c r="K291" s="1035" t="s">
        <v>2195</v>
      </c>
      <c r="P291"/>
    </row>
    <row r="292" spans="1:16" ht="30.75" thickBot="1" x14ac:dyDescent="0.3">
      <c r="A292" s="1031" t="s">
        <v>2308</v>
      </c>
      <c r="B292" s="1033">
        <f>'[1]PLAN DE DESARROLLO 2024 - 2027'!$J$161</f>
        <v>0.21734598565460142</v>
      </c>
      <c r="C292" s="1031" t="s">
        <v>2310</v>
      </c>
      <c r="D292" s="1034">
        <f>'[1]PLAN DE DESARROLLO 2024 - 2027'!$K$166</f>
        <v>0.22116069173966579</v>
      </c>
      <c r="E292" s="1031" t="s">
        <v>2321</v>
      </c>
      <c r="F292" s="1034">
        <f>'[1]PLAN DE DESARROLLO 2024 - 2027'!$K$167</f>
        <v>0.44305555555555554</v>
      </c>
      <c r="G292" s="1031" t="s">
        <v>1590</v>
      </c>
      <c r="H292" s="1031" t="s">
        <v>1591</v>
      </c>
      <c r="I292" s="1063">
        <f>+'Innovación Pública'!Y21</f>
        <v>0.73333333333333339</v>
      </c>
      <c r="J292" s="1031" t="s">
        <v>925</v>
      </c>
      <c r="K292" s="1035" t="s">
        <v>2195</v>
      </c>
      <c r="P292"/>
    </row>
    <row r="293" spans="1:16" ht="45.75" thickBot="1" x14ac:dyDescent="0.3">
      <c r="A293" s="1031" t="s">
        <v>2308</v>
      </c>
      <c r="B293" s="1033">
        <f>'[1]PLAN DE DESARROLLO 2024 - 2027'!$J$161</f>
        <v>0.21734598565460142</v>
      </c>
      <c r="C293" s="1031" t="s">
        <v>2310</v>
      </c>
      <c r="D293" s="1034">
        <f>'[1]PLAN DE DESARROLLO 2024 - 2027'!$K$166</f>
        <v>0.22116069173966579</v>
      </c>
      <c r="E293" s="1031" t="s">
        <v>2321</v>
      </c>
      <c r="F293" s="1034">
        <f>'[1]PLAN DE DESARROLLO 2024 - 2027'!$K$167</f>
        <v>0.44305555555555554</v>
      </c>
      <c r="G293" s="1031" t="s">
        <v>1592</v>
      </c>
      <c r="H293" s="1031" t="s">
        <v>1593</v>
      </c>
      <c r="I293" s="1063">
        <f>+'Innovación Pública'!Y22</f>
        <v>0.35749999999999998</v>
      </c>
      <c r="J293" s="1031" t="s">
        <v>925</v>
      </c>
      <c r="K293" s="1035" t="s">
        <v>2195</v>
      </c>
      <c r="P293"/>
    </row>
    <row r="294" spans="1:16" ht="30.75" thickBot="1" x14ac:dyDescent="0.3">
      <c r="A294" s="1031" t="s">
        <v>2308</v>
      </c>
      <c r="B294" s="1033">
        <f>'[1]PLAN DE DESARROLLO 2024 - 2027'!$J$161</f>
        <v>0.21734598565460142</v>
      </c>
      <c r="C294" s="1031" t="s">
        <v>2310</v>
      </c>
      <c r="D294" s="1034">
        <f>'[1]PLAN DE DESARROLLO 2024 - 2027'!$K$166</f>
        <v>0.22116069173966579</v>
      </c>
      <c r="E294" s="1031" t="s">
        <v>1594</v>
      </c>
      <c r="F294" s="1034">
        <f>'[1]PLAN DE DESARROLLO 2024 - 2027'!$K$168</f>
        <v>0.25</v>
      </c>
      <c r="G294" s="1031" t="s">
        <v>1595</v>
      </c>
      <c r="H294" s="1031" t="s">
        <v>1596</v>
      </c>
      <c r="I294" s="1063">
        <f>+'Innovación Pública'!Y24</f>
        <v>0.32500000000000001</v>
      </c>
      <c r="J294" s="1031" t="s">
        <v>658</v>
      </c>
      <c r="K294" s="1035" t="s">
        <v>2195</v>
      </c>
      <c r="P294"/>
    </row>
    <row r="295" spans="1:16" ht="30.75" thickBot="1" x14ac:dyDescent="0.3">
      <c r="A295" s="1031" t="s">
        <v>2308</v>
      </c>
      <c r="B295" s="1033">
        <f>'[1]PLAN DE DESARROLLO 2024 - 2027'!$J$161</f>
        <v>0.21734598565460142</v>
      </c>
      <c r="C295" s="1031" t="s">
        <v>2310</v>
      </c>
      <c r="D295" s="1034">
        <f>'[1]PLAN DE DESARROLLO 2024 - 2027'!$K$166</f>
        <v>0.22116069173966579</v>
      </c>
      <c r="E295" s="1031" t="s">
        <v>1594</v>
      </c>
      <c r="F295" s="1034">
        <f>'[1]PLAN DE DESARROLLO 2024 - 2027'!$K$168</f>
        <v>0.25</v>
      </c>
      <c r="G295" s="1031" t="s">
        <v>1598</v>
      </c>
      <c r="H295" s="1031" t="s">
        <v>1599</v>
      </c>
      <c r="I295" s="1063">
        <f>+'Innovación Pública'!Y25</f>
        <v>0.375</v>
      </c>
      <c r="J295" s="1031" t="s">
        <v>658</v>
      </c>
      <c r="K295" s="1035" t="s">
        <v>2195</v>
      </c>
      <c r="P295"/>
    </row>
    <row r="296" spans="1:16" ht="30.75" thickBot="1" x14ac:dyDescent="0.3">
      <c r="A296" s="1031" t="s">
        <v>2308</v>
      </c>
      <c r="B296" s="1033">
        <f>'[1]PLAN DE DESARROLLO 2024 - 2027'!$J$161</f>
        <v>0.21734598565460142</v>
      </c>
      <c r="C296" s="1031" t="s">
        <v>2310</v>
      </c>
      <c r="D296" s="1034">
        <f>'[1]PLAN DE DESARROLLO 2024 - 2027'!$K$166</f>
        <v>0.22116069173966579</v>
      </c>
      <c r="E296" s="1031" t="s">
        <v>1600</v>
      </c>
      <c r="F296" s="1034">
        <f>'[1]PLAN DE DESARROLLO 2024 - 2027'!$K$169</f>
        <v>0.2147249647390691</v>
      </c>
      <c r="G296" s="1031" t="s">
        <v>1601</v>
      </c>
      <c r="H296" s="1031" t="s">
        <v>1602</v>
      </c>
      <c r="I296" s="1063">
        <f>+'Innovación Pública'!Y27</f>
        <v>0.26046074283027737</v>
      </c>
      <c r="J296" s="1031" t="s">
        <v>658</v>
      </c>
      <c r="K296" s="1035" t="s">
        <v>2195</v>
      </c>
      <c r="P296"/>
    </row>
    <row r="297" spans="1:16" ht="30.75" thickBot="1" x14ac:dyDescent="0.3">
      <c r="A297" s="1031" t="s">
        <v>2308</v>
      </c>
      <c r="B297" s="1033">
        <f>'[1]PLAN DE DESARROLLO 2024 - 2027'!$J$161</f>
        <v>0.21734598565460142</v>
      </c>
      <c r="C297" s="1031" t="s">
        <v>2310</v>
      </c>
      <c r="D297" s="1034">
        <f>'[1]PLAN DE DESARROLLO 2024 - 2027'!$K$166</f>
        <v>0.22116069173966579</v>
      </c>
      <c r="E297" s="1031" t="s">
        <v>1600</v>
      </c>
      <c r="F297" s="1034">
        <f>'[1]PLAN DE DESARROLLO 2024 - 2027'!$K$169</f>
        <v>0.2147249647390691</v>
      </c>
      <c r="G297" s="1031" t="s">
        <v>1604</v>
      </c>
      <c r="H297" s="1031" t="s">
        <v>1605</v>
      </c>
      <c r="I297" s="1063">
        <f>+'Innovación Pública'!Y28</f>
        <v>0.47</v>
      </c>
      <c r="J297" s="1031" t="s">
        <v>658</v>
      </c>
      <c r="K297" s="1035" t="s">
        <v>2195</v>
      </c>
      <c r="P297"/>
    </row>
    <row r="298" spans="1:16" ht="30.75" thickBot="1" x14ac:dyDescent="0.3">
      <c r="A298" s="1031" t="s">
        <v>2308</v>
      </c>
      <c r="B298" s="1033">
        <f>'[1]PLAN DE DESARROLLO 2024 - 2027'!$J$161</f>
        <v>0.21734598565460142</v>
      </c>
      <c r="C298" s="1031" t="s">
        <v>2310</v>
      </c>
      <c r="D298" s="1034">
        <f>'[1]PLAN DE DESARROLLO 2024 - 2027'!$K$166</f>
        <v>0.22116069173966579</v>
      </c>
      <c r="E298" s="1031" t="s">
        <v>1600</v>
      </c>
      <c r="F298" s="1034">
        <f>'[1]PLAN DE DESARROLLO 2024 - 2027'!$K$169</f>
        <v>0.2147249647390691</v>
      </c>
      <c r="G298" s="1031" t="s">
        <v>1606</v>
      </c>
      <c r="H298" s="1031" t="s">
        <v>1607</v>
      </c>
      <c r="I298" s="1064">
        <f>+'Innovación Pública'!Y29</f>
        <v>0</v>
      </c>
      <c r="J298" s="1031" t="s">
        <v>658</v>
      </c>
      <c r="K298" s="1035" t="s">
        <v>2195</v>
      </c>
      <c r="P298"/>
    </row>
    <row r="299" spans="1:16" ht="45.75" thickBot="1" x14ac:dyDescent="0.3">
      <c r="A299" s="1031" t="s">
        <v>2308</v>
      </c>
      <c r="B299" s="1033">
        <f>'[1]PLAN DE DESARROLLO 2024 - 2027'!$J$161</f>
        <v>0.21734598565460142</v>
      </c>
      <c r="C299" s="1031" t="s">
        <v>2310</v>
      </c>
      <c r="D299" s="1034">
        <f>'[1]PLAN DE DESARROLLO 2024 - 2027'!$K$166</f>
        <v>0.22116069173966579</v>
      </c>
      <c r="E299" s="1031" t="s">
        <v>2322</v>
      </c>
      <c r="F299" s="1034">
        <f>'[1]PLAN DE DESARROLLO 2024 - 2027'!$K$170</f>
        <v>0.3</v>
      </c>
      <c r="G299" s="1031" t="s">
        <v>1609</v>
      </c>
      <c r="H299" s="1031" t="s">
        <v>1610</v>
      </c>
      <c r="I299" s="1063">
        <f>+'Innovación Pública'!Y31</f>
        <v>0.32184000000000001</v>
      </c>
      <c r="J299" s="1031" t="s">
        <v>658</v>
      </c>
      <c r="K299" s="1035" t="s">
        <v>2195</v>
      </c>
      <c r="P299"/>
    </row>
    <row r="300" spans="1:16" ht="30.75" thickBot="1" x14ac:dyDescent="0.3">
      <c r="A300" s="1031" t="s">
        <v>2308</v>
      </c>
      <c r="B300" s="1033">
        <f>'[1]PLAN DE DESARROLLO 2024 - 2027'!$J$161</f>
        <v>0.21734598565460142</v>
      </c>
      <c r="C300" s="1031" t="s">
        <v>2310</v>
      </c>
      <c r="D300" s="1034">
        <f>'[1]PLAN DE DESARROLLO 2024 - 2027'!$K$166</f>
        <v>0.22116069173966579</v>
      </c>
      <c r="E300" s="1031" t="s">
        <v>2323</v>
      </c>
      <c r="F300" s="1034">
        <f>'[1]PLAN DE DESARROLLO 2024 - 2027'!$K$172</f>
        <v>0.19500000000000001</v>
      </c>
      <c r="G300" s="1031" t="s">
        <v>1621</v>
      </c>
      <c r="H300" s="1031" t="s">
        <v>1622</v>
      </c>
      <c r="I300" s="1063">
        <f>+'Innovación Pública'!Y37</f>
        <v>0.33399999999999996</v>
      </c>
      <c r="J300" s="1031" t="s">
        <v>658</v>
      </c>
      <c r="K300" s="1035" t="s">
        <v>2195</v>
      </c>
      <c r="P300"/>
    </row>
    <row r="301" spans="1:16" ht="30.75" thickBot="1" x14ac:dyDescent="0.3">
      <c r="A301" s="1031" t="s">
        <v>2308</v>
      </c>
      <c r="B301" s="1033">
        <f>'[1]PLAN DE DESARROLLO 2024 - 2027'!$J$161</f>
        <v>0.21734598565460142</v>
      </c>
      <c r="C301" s="1031" t="s">
        <v>2310</v>
      </c>
      <c r="D301" s="1034">
        <f>'[1]PLAN DE DESARROLLO 2024 - 2027'!$K$166</f>
        <v>0.22116069173966579</v>
      </c>
      <c r="E301" s="1031" t="s">
        <v>2323</v>
      </c>
      <c r="F301" s="1034">
        <f>'[1]PLAN DE DESARROLLO 2024 - 2027'!$K$172</f>
        <v>0.19500000000000001</v>
      </c>
      <c r="G301" s="1031" t="s">
        <v>1623</v>
      </c>
      <c r="H301" s="1031" t="s">
        <v>1624</v>
      </c>
      <c r="I301" s="1063">
        <f>+'Innovación Pública'!Y38</f>
        <v>0.32050000000000001</v>
      </c>
      <c r="J301" s="1031" t="s">
        <v>658</v>
      </c>
      <c r="K301" s="1035" t="s">
        <v>2195</v>
      </c>
      <c r="P301"/>
    </row>
    <row r="302" spans="1:16" ht="45.75" thickBot="1" x14ac:dyDescent="0.3">
      <c r="A302" s="1031" t="s">
        <v>2308</v>
      </c>
      <c r="B302" s="1033">
        <f>'[1]PLAN DE DESARROLLO 2024 - 2027'!$J$161</f>
        <v>0.21734598565460142</v>
      </c>
      <c r="C302" s="1031" t="s">
        <v>2310</v>
      </c>
      <c r="D302" s="1034">
        <f>'[1]PLAN DE DESARROLLO 2024 - 2027'!$K$166</f>
        <v>0.22116069173966579</v>
      </c>
      <c r="E302" s="1031" t="s">
        <v>2323</v>
      </c>
      <c r="F302" s="1034">
        <f>'[1]PLAN DE DESARROLLO 2024 - 2027'!$K$172</f>
        <v>0.19500000000000001</v>
      </c>
      <c r="G302" s="1031" t="s">
        <v>1625</v>
      </c>
      <c r="H302" s="1031" t="s">
        <v>1626</v>
      </c>
      <c r="I302" s="1064">
        <f>+'Innovación Pública'!Y39</f>
        <v>7.0000000000000007E-2</v>
      </c>
      <c r="J302" s="1031" t="s">
        <v>658</v>
      </c>
      <c r="K302" s="1035" t="s">
        <v>2195</v>
      </c>
      <c r="P302"/>
    </row>
    <row r="303" spans="1:16" ht="45.75" thickBot="1" x14ac:dyDescent="0.3">
      <c r="A303" s="1031" t="s">
        <v>2308</v>
      </c>
      <c r="B303" s="1033">
        <f>'[1]PLAN DE DESARROLLO 2024 - 2027'!$J$161</f>
        <v>0.21734598565460142</v>
      </c>
      <c r="C303" s="1031" t="s">
        <v>2310</v>
      </c>
      <c r="D303" s="1034">
        <f>'[1]PLAN DE DESARROLLO 2024 - 2027'!$K$166</f>
        <v>0.22116069173966579</v>
      </c>
      <c r="E303" s="1031" t="s">
        <v>2324</v>
      </c>
      <c r="F303" s="1034">
        <f>'[1]PLAN DE DESARROLLO 2024 - 2027'!$K$174</f>
        <v>0.19983834695603492</v>
      </c>
      <c r="G303" s="1031" t="s">
        <v>1636</v>
      </c>
      <c r="H303" s="1031" t="s">
        <v>1637</v>
      </c>
      <c r="I303" s="1064">
        <f>+'Innovación Pública'!Y44</f>
        <v>0</v>
      </c>
      <c r="J303" s="1031" t="s">
        <v>92</v>
      </c>
      <c r="K303" s="1035" t="s">
        <v>2195</v>
      </c>
      <c r="P303"/>
    </row>
    <row r="304" spans="1:16" ht="45.75" thickBot="1" x14ac:dyDescent="0.3">
      <c r="A304" s="1031" t="s">
        <v>2308</v>
      </c>
      <c r="B304" s="1033">
        <f>'[1]PLAN DE DESARROLLO 2024 - 2027'!$J$161</f>
        <v>0.21734598565460142</v>
      </c>
      <c r="C304" s="1031" t="s">
        <v>2310</v>
      </c>
      <c r="D304" s="1034">
        <f>'[1]PLAN DE DESARROLLO 2024 - 2027'!$K$166</f>
        <v>0.22116069173966579</v>
      </c>
      <c r="E304" s="1031" t="s">
        <v>2324</v>
      </c>
      <c r="F304" s="1034">
        <f>'[1]PLAN DE DESARROLLO 2024 - 2027'!$K$174</f>
        <v>0.19983834695603492</v>
      </c>
      <c r="G304" s="1031" t="s">
        <v>1638</v>
      </c>
      <c r="H304" s="1031" t="s">
        <v>1639</v>
      </c>
      <c r="I304" s="1063">
        <f>+'Innovación Pública'!Y45</f>
        <v>0.5</v>
      </c>
      <c r="J304" s="1031" t="s">
        <v>92</v>
      </c>
      <c r="K304" s="1035" t="s">
        <v>2195</v>
      </c>
      <c r="P304"/>
    </row>
    <row r="305" spans="1:16" ht="45.75" thickBot="1" x14ac:dyDescent="0.3">
      <c r="A305" s="1031" t="s">
        <v>2308</v>
      </c>
      <c r="B305" s="1033">
        <f>'[1]PLAN DE DESARROLLO 2024 - 2027'!$J$161</f>
        <v>0.21734598565460142</v>
      </c>
      <c r="C305" s="1031" t="s">
        <v>2310</v>
      </c>
      <c r="D305" s="1034">
        <f>'[1]PLAN DE DESARROLLO 2024 - 2027'!$K$166</f>
        <v>0.22116069173966579</v>
      </c>
      <c r="E305" s="1031" t="s">
        <v>2324</v>
      </c>
      <c r="F305" s="1034">
        <f>'[1]PLAN DE DESARROLLO 2024 - 2027'!$K$174</f>
        <v>0.19983834695603492</v>
      </c>
      <c r="G305" s="1031" t="s">
        <v>1640</v>
      </c>
      <c r="H305" s="1031" t="s">
        <v>1641</v>
      </c>
      <c r="I305" s="1063">
        <f>+'Innovación Pública'!Y46</f>
        <v>0.14440259603340114</v>
      </c>
      <c r="J305" s="1031" t="s">
        <v>92</v>
      </c>
      <c r="K305" s="1035" t="s">
        <v>2195</v>
      </c>
      <c r="P305"/>
    </row>
    <row r="306" spans="1:16" ht="45.75" thickBot="1" x14ac:dyDescent="0.3">
      <c r="A306" s="1031" t="s">
        <v>2308</v>
      </c>
      <c r="B306" s="1033">
        <f>'[1]PLAN DE DESARROLLO 2024 - 2027'!$J$161</f>
        <v>0.21734598565460142</v>
      </c>
      <c r="C306" s="1031" t="s">
        <v>2310</v>
      </c>
      <c r="D306" s="1034">
        <f>'[1]PLAN DE DESARROLLO 2024 - 2027'!$K$166</f>
        <v>0.22116069173966579</v>
      </c>
      <c r="E306" s="1031" t="s">
        <v>2324</v>
      </c>
      <c r="F306" s="1034">
        <f>'[1]PLAN DE DESARROLLO 2024 - 2027'!$K$174</f>
        <v>0.19983834695603492</v>
      </c>
      <c r="G306" s="1031" t="s">
        <v>1642</v>
      </c>
      <c r="H306" s="1031" t="s">
        <v>1643</v>
      </c>
      <c r="I306" s="1064">
        <f>+'Innovación Pública'!Y47</f>
        <v>0</v>
      </c>
      <c r="J306" s="1031" t="s">
        <v>92</v>
      </c>
      <c r="K306" s="1035" t="s">
        <v>2195</v>
      </c>
      <c r="P306"/>
    </row>
    <row r="307" spans="1:16" ht="30.75" thickBot="1" x14ac:dyDescent="0.3">
      <c r="A307" s="1031" t="s">
        <v>2308</v>
      </c>
      <c r="B307" s="1033">
        <f>'[1]PLAN DE DESARROLLO 2024 - 2027'!$J$161</f>
        <v>0.21734598565460142</v>
      </c>
      <c r="C307" s="1031" t="s">
        <v>2314</v>
      </c>
      <c r="D307" s="1033">
        <f>'[1]PLAN DE DESARROLLO 2024 - 2027'!$K$175</f>
        <v>0.30645929363983626</v>
      </c>
      <c r="E307" s="1031" t="s">
        <v>2325</v>
      </c>
      <c r="F307" s="1034">
        <f>'[1]PLAN DE DESARROLLO 2024 - 2027'!$K$176</f>
        <v>0.36291858727967258</v>
      </c>
      <c r="G307" s="1031" t="s">
        <v>1647</v>
      </c>
      <c r="H307" s="1031" t="s">
        <v>1648</v>
      </c>
      <c r="I307" s="1063">
        <f>+'Innovación Pública'!Y50</f>
        <v>0.43664151071789248</v>
      </c>
      <c r="J307" s="1031" t="s">
        <v>883</v>
      </c>
      <c r="K307" s="1035" t="s">
        <v>2195</v>
      </c>
      <c r="P307"/>
    </row>
    <row r="308" spans="1:16" ht="30.75" thickBot="1" x14ac:dyDescent="0.3">
      <c r="A308" s="1031" t="s">
        <v>2308</v>
      </c>
      <c r="B308" s="1033">
        <f>'[1]PLAN DE DESARROLLO 2024 - 2027'!$J$161</f>
        <v>0.21734598565460142</v>
      </c>
      <c r="C308" s="1031" t="s">
        <v>2314</v>
      </c>
      <c r="D308" s="1033">
        <f>'[1]PLAN DE DESARROLLO 2024 - 2027'!$K$175</f>
        <v>0.30645929363983626</v>
      </c>
      <c r="E308" s="1031" t="s">
        <v>2325</v>
      </c>
      <c r="F308" s="1034">
        <f>'[1]PLAN DE DESARROLLO 2024 - 2027'!$K$176</f>
        <v>0.36291858727967258</v>
      </c>
      <c r="G308" s="1031" t="s">
        <v>1649</v>
      </c>
      <c r="H308" s="1031" t="s">
        <v>1650</v>
      </c>
      <c r="I308" s="1063">
        <f>+'Innovación Pública'!Y51</f>
        <v>0.29532106499313576</v>
      </c>
      <c r="J308" s="1031" t="s">
        <v>883</v>
      </c>
      <c r="K308" s="1035" t="s">
        <v>2195</v>
      </c>
      <c r="P308"/>
    </row>
    <row r="309" spans="1:16" ht="30.75" thickBot="1" x14ac:dyDescent="0.3">
      <c r="A309" s="1031" t="s">
        <v>2308</v>
      </c>
      <c r="B309" s="1033">
        <f>'[1]PLAN DE DESARROLLO 2024 - 2027'!$J$161</f>
        <v>0.21734598565460142</v>
      </c>
      <c r="C309" s="1031" t="s">
        <v>2314</v>
      </c>
      <c r="D309" s="1033">
        <f>'[1]PLAN DE DESARROLLO 2024 - 2027'!$K$175</f>
        <v>0.30645929363983626</v>
      </c>
      <c r="E309" s="1031" t="s">
        <v>2325</v>
      </c>
      <c r="F309" s="1034">
        <f>'[1]PLAN DE DESARROLLO 2024 - 2027'!$K$176</f>
        <v>0.36291858727967258</v>
      </c>
      <c r="G309" s="1031" t="s">
        <v>1651</v>
      </c>
      <c r="H309" s="1031" t="s">
        <v>1652</v>
      </c>
      <c r="I309" s="1063">
        <f>+'Innovación Pública'!Y52</f>
        <v>0.62057579770106053</v>
      </c>
      <c r="J309" s="1031" t="s">
        <v>883</v>
      </c>
      <c r="K309" s="1035" t="s">
        <v>2195</v>
      </c>
      <c r="P309"/>
    </row>
    <row r="310" spans="1:16" ht="30.75" thickBot="1" x14ac:dyDescent="0.3">
      <c r="A310" s="1031" t="s">
        <v>2308</v>
      </c>
      <c r="B310" s="1033">
        <f>'[1]PLAN DE DESARROLLO 2024 - 2027'!$J$161</f>
        <v>0.21734598565460142</v>
      </c>
      <c r="C310" s="1031" t="s">
        <v>2314</v>
      </c>
      <c r="D310" s="1033">
        <f>'[1]PLAN DE DESARROLLO 2024 - 2027'!$K$175</f>
        <v>0.30645929363983626</v>
      </c>
      <c r="E310" s="1031" t="s">
        <v>2325</v>
      </c>
      <c r="F310" s="1034">
        <f>'[1]PLAN DE DESARROLLO 2024 - 2027'!$K$176</f>
        <v>0.36291858727967258</v>
      </c>
      <c r="G310" s="1031" t="s">
        <v>1653</v>
      </c>
      <c r="H310" s="1031" t="s">
        <v>1654</v>
      </c>
      <c r="I310" s="1063">
        <f>+'Innovación Pública'!Y53</f>
        <v>0.36062443621376772</v>
      </c>
      <c r="J310" s="1031" t="s">
        <v>883</v>
      </c>
      <c r="K310" s="1035" t="s">
        <v>2195</v>
      </c>
      <c r="P310"/>
    </row>
    <row r="311" spans="1:16" ht="30.75" thickBot="1" x14ac:dyDescent="0.3">
      <c r="A311" s="1031" t="s">
        <v>2308</v>
      </c>
      <c r="B311" s="1033">
        <f>'[1]PLAN DE DESARROLLO 2024 - 2027'!$J$161</f>
        <v>0.21734598565460142</v>
      </c>
      <c r="C311" s="1031" t="s">
        <v>2314</v>
      </c>
      <c r="D311" s="1033">
        <f>'[1]PLAN DE DESARROLLO 2024 - 2027'!$K$175</f>
        <v>0.30645929363983626</v>
      </c>
      <c r="E311" s="1031" t="s">
        <v>2325</v>
      </c>
      <c r="F311" s="1034">
        <f>'[1]PLAN DE DESARROLLO 2024 - 2027'!$K$176</f>
        <v>0.36291858727967258</v>
      </c>
      <c r="G311" s="1031" t="s">
        <v>1655</v>
      </c>
      <c r="H311" s="1031" t="s">
        <v>1656</v>
      </c>
      <c r="I311" s="1063">
        <f>+'Innovación Pública'!Y54</f>
        <v>0.34375</v>
      </c>
      <c r="J311" s="1031" t="s">
        <v>883</v>
      </c>
      <c r="K311" s="1035" t="s">
        <v>2195</v>
      </c>
      <c r="P311"/>
    </row>
    <row r="312" spans="1:16" ht="30.75" thickBot="1" x14ac:dyDescent="0.3">
      <c r="A312" s="1031" t="s">
        <v>2308</v>
      </c>
      <c r="B312" s="1033">
        <f>'[1]PLAN DE DESARROLLO 2024 - 2027'!$J$161</f>
        <v>0.21734598565460142</v>
      </c>
      <c r="C312" s="1031" t="s">
        <v>2326</v>
      </c>
      <c r="D312" s="1033">
        <f>'[1]PLAN DE DESARROLLO 2024 - 2027'!$K$178</f>
        <v>0.27789168183196844</v>
      </c>
      <c r="E312" s="1031" t="s">
        <v>2327</v>
      </c>
      <c r="F312" s="1034">
        <f>'[1]PLAN DE DESARROLLO 2024 - 2027'!$K$179</f>
        <v>0.3959167424931756</v>
      </c>
      <c r="G312" s="1031" t="s">
        <v>1664</v>
      </c>
      <c r="H312" s="1031" t="s">
        <v>1665</v>
      </c>
      <c r="I312" s="1063">
        <f>+'Innovación Pública'!Y59</f>
        <v>0.60327570518653317</v>
      </c>
      <c r="J312" s="1031" t="s">
        <v>1666</v>
      </c>
      <c r="K312" s="1035" t="s">
        <v>2195</v>
      </c>
      <c r="P312"/>
    </row>
    <row r="313" spans="1:16" ht="45.75" thickBot="1" x14ac:dyDescent="0.3">
      <c r="A313" s="1031" t="s">
        <v>2308</v>
      </c>
      <c r="B313" s="1033">
        <f>'[1]PLAN DE DESARROLLO 2024 - 2027'!$J$161</f>
        <v>0.21734598565460142</v>
      </c>
      <c r="C313" s="1031" t="s">
        <v>2326</v>
      </c>
      <c r="D313" s="1033">
        <f>'[1]PLAN DE DESARROLLO 2024 - 2027'!$K$178</f>
        <v>0.27789168183196844</v>
      </c>
      <c r="E313" s="1031" t="s">
        <v>2327</v>
      </c>
      <c r="F313" s="1034">
        <f>'[1]PLAN DE DESARROLLO 2024 - 2027'!$K$179</f>
        <v>0.3959167424931756</v>
      </c>
      <c r="G313" s="1031" t="s">
        <v>1667</v>
      </c>
      <c r="H313" s="1031" t="s">
        <v>1668</v>
      </c>
      <c r="I313" s="1063">
        <f>+'Innovación Pública'!Y60</f>
        <v>0.28749999999999998</v>
      </c>
      <c r="J313" s="1031" t="s">
        <v>1666</v>
      </c>
      <c r="K313" s="1035" t="s">
        <v>2195</v>
      </c>
      <c r="P313"/>
    </row>
    <row r="314" spans="1:16" ht="30.75" thickBot="1" x14ac:dyDescent="0.3">
      <c r="A314" s="1031" t="s">
        <v>2308</v>
      </c>
      <c r="B314" s="1033">
        <f>'[1]PLAN DE DESARROLLO 2024 - 2027'!$J$161</f>
        <v>0.21734598565460142</v>
      </c>
      <c r="C314" s="1031" t="s">
        <v>2326</v>
      </c>
      <c r="D314" s="1033">
        <f>'[1]PLAN DE DESARROLLO 2024 - 2027'!$K$178</f>
        <v>0.27789168183196844</v>
      </c>
      <c r="E314" s="1031" t="s">
        <v>1669</v>
      </c>
      <c r="F314" s="1034">
        <f>'[1]PLAN DE DESARROLLO 2024 - 2027'!$K$180</f>
        <v>0.25562499999999999</v>
      </c>
      <c r="G314" s="1031" t="s">
        <v>1670</v>
      </c>
      <c r="H314" s="1031" t="s">
        <v>1671</v>
      </c>
      <c r="I314" s="1063">
        <f>+'Innovación Pública'!Y62</f>
        <v>0.57499999999999996</v>
      </c>
      <c r="J314" s="1031" t="s">
        <v>1666</v>
      </c>
      <c r="K314" s="1035" t="s">
        <v>2195</v>
      </c>
      <c r="P314"/>
    </row>
    <row r="315" spans="1:16" ht="30.75" thickBot="1" x14ac:dyDescent="0.3">
      <c r="A315" s="1031" t="s">
        <v>2308</v>
      </c>
      <c r="B315" s="1033">
        <f>'[1]PLAN DE DESARROLLO 2024 - 2027'!$J$161</f>
        <v>0.21734598565460142</v>
      </c>
      <c r="C315" s="1031" t="s">
        <v>2326</v>
      </c>
      <c r="D315" s="1033">
        <f>'[1]PLAN DE DESARROLLO 2024 - 2027'!$K$178</f>
        <v>0.27789168183196844</v>
      </c>
      <c r="E315" s="1031" t="s">
        <v>1669</v>
      </c>
      <c r="F315" s="1034">
        <f>'[1]PLAN DE DESARROLLO 2024 - 2027'!$K$180</f>
        <v>0.25562499999999999</v>
      </c>
      <c r="G315" s="1031" t="s">
        <v>1672</v>
      </c>
      <c r="H315" s="1031" t="s">
        <v>1673</v>
      </c>
      <c r="I315" s="1063">
        <f>+'Innovación Pública'!Y63</f>
        <v>0.19800000000000001</v>
      </c>
      <c r="J315" s="1031" t="s">
        <v>1666</v>
      </c>
      <c r="K315" s="1035" t="s">
        <v>2195</v>
      </c>
      <c r="P315"/>
    </row>
    <row r="316" spans="1:16" ht="45.75" thickBot="1" x14ac:dyDescent="0.3">
      <c r="A316" s="1031" t="s">
        <v>2308</v>
      </c>
      <c r="B316" s="1033">
        <f>'[1]PLAN DE DESARROLLO 2024 - 2027'!$J$161</f>
        <v>0.21734598565460142</v>
      </c>
      <c r="C316" s="1031" t="s">
        <v>2326</v>
      </c>
      <c r="D316" s="1033">
        <f>'[1]PLAN DE DESARROLLO 2024 - 2027'!$K$178</f>
        <v>0.27789168183196844</v>
      </c>
      <c r="E316" s="1031" t="s">
        <v>1669</v>
      </c>
      <c r="F316" s="1034">
        <f>'[1]PLAN DE DESARROLLO 2024 - 2027'!$K$180</f>
        <v>0.25562499999999999</v>
      </c>
      <c r="G316" s="1031" t="s">
        <v>1674</v>
      </c>
      <c r="H316" s="1031" t="s">
        <v>1675</v>
      </c>
      <c r="I316" s="1063">
        <f>+'Innovación Pública'!Y64</f>
        <v>0.4375</v>
      </c>
      <c r="J316" s="1031" t="s">
        <v>1666</v>
      </c>
      <c r="K316" s="1035" t="s">
        <v>2195</v>
      </c>
      <c r="P316"/>
    </row>
    <row r="317" spans="1:16" ht="30.75" thickBot="1" x14ac:dyDescent="0.3">
      <c r="A317" s="1031" t="s">
        <v>2308</v>
      </c>
      <c r="B317" s="1033">
        <f>'[1]PLAN DE DESARROLLO 2024 - 2027'!$J$161</f>
        <v>0.21734598565460142</v>
      </c>
      <c r="C317" s="1031" t="s">
        <v>2326</v>
      </c>
      <c r="D317" s="1033">
        <f>'[1]PLAN DE DESARROLLO 2024 - 2027'!$K$178</f>
        <v>0.27789168183196844</v>
      </c>
      <c r="E317" s="1031" t="s">
        <v>1669</v>
      </c>
      <c r="F317" s="1034">
        <f>'[1]PLAN DE DESARROLLO 2024 - 2027'!$K$180</f>
        <v>0.25562499999999999</v>
      </c>
      <c r="G317" s="1031" t="s">
        <v>1676</v>
      </c>
      <c r="H317" s="1031" t="s">
        <v>1677</v>
      </c>
      <c r="I317" s="1063">
        <f>+'Innovación Pública'!Y65</f>
        <v>0.22500000000000001</v>
      </c>
      <c r="J317" s="1031" t="s">
        <v>1666</v>
      </c>
      <c r="K317" s="1035" t="s">
        <v>2195</v>
      </c>
      <c r="P317"/>
    </row>
    <row r="318" spans="1:16" ht="45.75" thickBot="1" x14ac:dyDescent="0.3">
      <c r="A318" s="1031" t="s">
        <v>2308</v>
      </c>
      <c r="B318" s="1033">
        <f>'[1]PLAN DE DESARROLLO 2024 - 2027'!$J$161</f>
        <v>0.21734598565460142</v>
      </c>
      <c r="C318" s="1031" t="s">
        <v>2326</v>
      </c>
      <c r="D318" s="1033">
        <f>'[1]PLAN DE DESARROLLO 2024 - 2027'!$K$178</f>
        <v>0.27789168183196844</v>
      </c>
      <c r="E318" s="1031" t="s">
        <v>1678</v>
      </c>
      <c r="F318" s="1034">
        <f>'[1]PLAN DE DESARROLLO 2024 - 2027'!$K$181</f>
        <v>0.27500000000000002</v>
      </c>
      <c r="G318" s="1031" t="s">
        <v>1679</v>
      </c>
      <c r="H318" s="1031" t="s">
        <v>1680</v>
      </c>
      <c r="I318" s="1063">
        <f>+'Innovación Pública'!Y67</f>
        <v>0.33750000000000002</v>
      </c>
      <c r="J318" s="1031" t="s">
        <v>1666</v>
      </c>
      <c r="K318" s="1035" t="s">
        <v>2195</v>
      </c>
      <c r="P318"/>
    </row>
    <row r="319" spans="1:16" ht="30.75" thickBot="1" x14ac:dyDescent="0.3">
      <c r="A319" s="1031" t="s">
        <v>2308</v>
      </c>
      <c r="B319" s="1033">
        <f>'[1]PLAN DE DESARROLLO 2024 - 2027'!$J$161</f>
        <v>0.21734598565460142</v>
      </c>
      <c r="C319" s="1031" t="s">
        <v>2326</v>
      </c>
      <c r="D319" s="1033">
        <f>'[1]PLAN DE DESARROLLO 2024 - 2027'!$K$178</f>
        <v>0.27789168183196844</v>
      </c>
      <c r="E319" s="1031" t="s">
        <v>1681</v>
      </c>
      <c r="F319" s="1034">
        <f>'[1]PLAN DE DESARROLLO 2024 - 2027'!$K$182</f>
        <v>0.19416666666666665</v>
      </c>
      <c r="G319" s="1031" t="s">
        <v>1682</v>
      </c>
      <c r="H319" s="1031" t="s">
        <v>1683</v>
      </c>
      <c r="I319" s="1063">
        <f>+'Innovación Pública'!Y69</f>
        <v>0</v>
      </c>
      <c r="J319" s="1031" t="s">
        <v>1666</v>
      </c>
      <c r="K319" s="1035" t="s">
        <v>2195</v>
      </c>
      <c r="P319"/>
    </row>
    <row r="320" spans="1:16" ht="45.75" thickBot="1" x14ac:dyDescent="0.3">
      <c r="A320" s="1031" t="s">
        <v>2308</v>
      </c>
      <c r="B320" s="1033">
        <f>'[1]PLAN DE DESARROLLO 2024 - 2027'!$J$161</f>
        <v>0.21734598565460142</v>
      </c>
      <c r="C320" s="1031" t="s">
        <v>2326</v>
      </c>
      <c r="D320" s="1033">
        <f>'[1]PLAN DE DESARROLLO 2024 - 2027'!$K$178</f>
        <v>0.27789168183196844</v>
      </c>
      <c r="E320" s="1031" t="s">
        <v>1681</v>
      </c>
      <c r="F320" s="1034">
        <f>'[1]PLAN DE DESARROLLO 2024 - 2027'!$K$182</f>
        <v>0.19416666666666665</v>
      </c>
      <c r="G320" s="1031" t="s">
        <v>1684</v>
      </c>
      <c r="H320" s="1031" t="s">
        <v>1685</v>
      </c>
      <c r="I320" s="1063">
        <f>+'Innovación Pública'!Y70</f>
        <v>0.36249999999999999</v>
      </c>
      <c r="J320" s="1031" t="s">
        <v>1666</v>
      </c>
      <c r="K320" s="1035" t="s">
        <v>2195</v>
      </c>
      <c r="P320"/>
    </row>
    <row r="321" spans="1:16" ht="45.75" thickBot="1" x14ac:dyDescent="0.3">
      <c r="A321" s="1031" t="s">
        <v>2308</v>
      </c>
      <c r="B321" s="1033">
        <f>'[1]PLAN DE DESARROLLO 2024 - 2027'!$J$161</f>
        <v>0.21734598565460142</v>
      </c>
      <c r="C321" s="1031" t="s">
        <v>2326</v>
      </c>
      <c r="D321" s="1033">
        <f>'[1]PLAN DE DESARROLLO 2024 - 2027'!$K$178</f>
        <v>0.27789168183196844</v>
      </c>
      <c r="E321" s="1031" t="s">
        <v>1681</v>
      </c>
      <c r="F321" s="1034">
        <f>'[1]PLAN DE DESARROLLO 2024 - 2027'!$K$182</f>
        <v>0.19416666666666665</v>
      </c>
      <c r="G321" s="1031" t="s">
        <v>1686</v>
      </c>
      <c r="H321" s="1031" t="s">
        <v>1687</v>
      </c>
      <c r="I321" s="1063">
        <f>+'Innovación Pública'!Y71</f>
        <v>0.17499999999999999</v>
      </c>
      <c r="J321" s="1031" t="s">
        <v>1666</v>
      </c>
      <c r="K321" s="1035" t="s">
        <v>2195</v>
      </c>
      <c r="P321"/>
    </row>
    <row r="322" spans="1:16" ht="30.75" thickBot="1" x14ac:dyDescent="0.3">
      <c r="A322" s="1031" t="s">
        <v>2308</v>
      </c>
      <c r="B322" s="1033">
        <f>'[1]PLAN DE DESARROLLO 2024 - 2027'!$J$161</f>
        <v>0.21734598565460142</v>
      </c>
      <c r="C322" s="1031" t="s">
        <v>2326</v>
      </c>
      <c r="D322" s="1033">
        <f>'[1]PLAN DE DESARROLLO 2024 - 2027'!$K$178</f>
        <v>0.27789168183196844</v>
      </c>
      <c r="E322" s="1031" t="s">
        <v>1681</v>
      </c>
      <c r="F322" s="1034">
        <f>'[1]PLAN DE DESARROLLO 2024 - 2027'!$K$182</f>
        <v>0.19416666666666665</v>
      </c>
      <c r="G322" s="1031" t="s">
        <v>1688</v>
      </c>
      <c r="H322" s="1031" t="s">
        <v>1689</v>
      </c>
      <c r="I322" s="1063">
        <f>+'Innovación Pública'!Y72</f>
        <v>8.7499999999999994E-2</v>
      </c>
      <c r="J322" s="1031" t="s">
        <v>1666</v>
      </c>
      <c r="K322" s="1035" t="s">
        <v>2195</v>
      </c>
      <c r="P322"/>
    </row>
    <row r="323" spans="1:16" ht="30.75" thickBot="1" x14ac:dyDescent="0.3">
      <c r="A323" s="1031" t="s">
        <v>2308</v>
      </c>
      <c r="B323" s="1033">
        <f>'[1]PLAN DE DESARROLLO 2024 - 2027'!$J$161</f>
        <v>0.21734598565460142</v>
      </c>
      <c r="C323" s="1031" t="s">
        <v>2326</v>
      </c>
      <c r="D323" s="1033">
        <f>'[1]PLAN DE DESARROLLO 2024 - 2027'!$K$178</f>
        <v>0.27789168183196844</v>
      </c>
      <c r="E323" s="1031" t="s">
        <v>1681</v>
      </c>
      <c r="F323" s="1034">
        <f>'[1]PLAN DE DESARROLLO 2024 - 2027'!$K$182</f>
        <v>0.19416666666666665</v>
      </c>
      <c r="G323" s="1031" t="s">
        <v>1690</v>
      </c>
      <c r="H323" s="1031" t="s">
        <v>1691</v>
      </c>
      <c r="I323" s="1063">
        <f>+'Innovación Pública'!Y73</f>
        <v>0.28249999999999997</v>
      </c>
      <c r="J323" s="1031" t="s">
        <v>1666</v>
      </c>
      <c r="K323" s="1035" t="s">
        <v>2195</v>
      </c>
      <c r="P323"/>
    </row>
    <row r="324" spans="1:16" ht="30.75" thickBot="1" x14ac:dyDescent="0.3">
      <c r="A324" s="1031" t="s">
        <v>2308</v>
      </c>
      <c r="B324" s="1033">
        <f>'[1]PLAN DE DESARROLLO 2024 - 2027'!$J$161</f>
        <v>0.21734598565460142</v>
      </c>
      <c r="C324" s="1031" t="s">
        <v>2326</v>
      </c>
      <c r="D324" s="1033">
        <f>'[1]PLAN DE DESARROLLO 2024 - 2027'!$K$178</f>
        <v>0.27789168183196844</v>
      </c>
      <c r="E324" s="1031" t="s">
        <v>1692</v>
      </c>
      <c r="F324" s="1034">
        <f>'[1]PLAN DE DESARROLLO 2024 - 2027'!$K$183</f>
        <v>0.26875000000000004</v>
      </c>
      <c r="G324" s="1031" t="s">
        <v>1693</v>
      </c>
      <c r="H324" s="1031" t="s">
        <v>1694</v>
      </c>
      <c r="I324" s="1063">
        <f>+'Innovación Pública'!Y75</f>
        <v>0.3</v>
      </c>
      <c r="J324" s="1031" t="s">
        <v>1666</v>
      </c>
      <c r="K324" s="1035" t="s">
        <v>2195</v>
      </c>
      <c r="P324"/>
    </row>
    <row r="325" spans="1:16" ht="30.75" thickBot="1" x14ac:dyDescent="0.3">
      <c r="A325" s="1031" t="s">
        <v>2308</v>
      </c>
      <c r="B325" s="1033">
        <f>'[1]PLAN DE DESARROLLO 2024 - 2027'!$J$161</f>
        <v>0.21734598565460142</v>
      </c>
      <c r="C325" s="1031" t="s">
        <v>2326</v>
      </c>
      <c r="D325" s="1033">
        <f>'[1]PLAN DE DESARROLLO 2024 - 2027'!$K$178</f>
        <v>0.27789168183196844</v>
      </c>
      <c r="E325" s="1031" t="s">
        <v>1692</v>
      </c>
      <c r="F325" s="1034">
        <f>'[1]PLAN DE DESARROLLO 2024 - 2027'!$K$183</f>
        <v>0.26875000000000004</v>
      </c>
      <c r="G325" s="1031" t="s">
        <v>1695</v>
      </c>
      <c r="H325" s="1031" t="s">
        <v>1696</v>
      </c>
      <c r="I325" s="1063">
        <f>+'Innovación Pública'!Y76</f>
        <v>0.3125</v>
      </c>
      <c r="J325" s="1031" t="s">
        <v>1666</v>
      </c>
      <c r="K325" s="1035" t="s">
        <v>2195</v>
      </c>
      <c r="P325"/>
    </row>
    <row r="326" spans="1:16" ht="45.75" thickBot="1" x14ac:dyDescent="0.3">
      <c r="A326" s="1031" t="s">
        <v>2308</v>
      </c>
      <c r="B326" s="1033">
        <f>'[1]PLAN DE DESARROLLO 2024 - 2027'!$J$161</f>
        <v>0.21734598565460142</v>
      </c>
      <c r="C326" s="1031" t="s">
        <v>2316</v>
      </c>
      <c r="D326" s="1033">
        <f>'[1]PLAN DE DESARROLLO 2024 - 2027'!$K$184</f>
        <v>0.20161705435056146</v>
      </c>
      <c r="E326" s="1031" t="s">
        <v>2328</v>
      </c>
      <c r="F326" s="1034">
        <f>'[1]PLAN DE DESARROLLO 2024 - 2027'!$K$185</f>
        <v>0.41443843721447998</v>
      </c>
      <c r="G326" s="1031" t="s">
        <v>1699</v>
      </c>
      <c r="H326" s="1031" t="s">
        <v>1700</v>
      </c>
      <c r="I326" s="1063">
        <f>+'Innovación Pública'!Y79</f>
        <v>0.48325358851674644</v>
      </c>
      <c r="J326" s="1031" t="s">
        <v>1701</v>
      </c>
      <c r="K326" s="1035" t="s">
        <v>2195</v>
      </c>
      <c r="P326"/>
    </row>
    <row r="327" spans="1:16" ht="45.75" thickBot="1" x14ac:dyDescent="0.3">
      <c r="A327" s="1031" t="s">
        <v>2308</v>
      </c>
      <c r="B327" s="1033">
        <f>'[1]PLAN DE DESARROLLO 2024 - 2027'!$J$161</f>
        <v>0.21734598565460142</v>
      </c>
      <c r="C327" s="1031" t="s">
        <v>2316</v>
      </c>
      <c r="D327" s="1033">
        <f>'[1]PLAN DE DESARROLLO 2024 - 2027'!$K$184</f>
        <v>0.20161705435056146</v>
      </c>
      <c r="E327" s="1031" t="s">
        <v>2328</v>
      </c>
      <c r="F327" s="1034">
        <f>'[1]PLAN DE DESARROLLO 2024 - 2027'!$K$185</f>
        <v>0.41443843721447998</v>
      </c>
      <c r="G327" s="1031" t="s">
        <v>1702</v>
      </c>
      <c r="H327" s="1031" t="s">
        <v>1703</v>
      </c>
      <c r="I327" s="1063">
        <f>+'Innovación Pública'!Y80</f>
        <v>0.91463414634146345</v>
      </c>
      <c r="J327" s="1031" t="s">
        <v>1701</v>
      </c>
      <c r="K327" s="1035" t="s">
        <v>2195</v>
      </c>
      <c r="P327"/>
    </row>
    <row r="328" spans="1:16" ht="30.75" thickBot="1" x14ac:dyDescent="0.3">
      <c r="A328" s="1031" t="s">
        <v>2308</v>
      </c>
      <c r="B328" s="1033">
        <f>'[1]PLAN DE DESARROLLO 2024 - 2027'!$J$161</f>
        <v>0.21734598565460142</v>
      </c>
      <c r="C328" s="1031" t="s">
        <v>2316</v>
      </c>
      <c r="D328" s="1033">
        <f>'[1]PLAN DE DESARROLLO 2024 - 2027'!$K$184</f>
        <v>0.20161705435056146</v>
      </c>
      <c r="E328" s="1031" t="s">
        <v>2328</v>
      </c>
      <c r="F328" s="1034">
        <f>'[1]PLAN DE DESARROLLO 2024 - 2027'!$K$185</f>
        <v>0.41443843721447998</v>
      </c>
      <c r="G328" s="1031" t="s">
        <v>1704</v>
      </c>
      <c r="H328" s="1031" t="s">
        <v>1705</v>
      </c>
      <c r="I328" s="1063">
        <f>+'Innovación Pública'!Y81</f>
        <v>0.37064676616915421</v>
      </c>
      <c r="J328" s="1031" t="s">
        <v>1701</v>
      </c>
      <c r="K328" s="1035" t="s">
        <v>2195</v>
      </c>
      <c r="P328"/>
    </row>
    <row r="329" spans="1:16" ht="45.75" thickBot="1" x14ac:dyDescent="0.3">
      <c r="A329" s="1031" t="s">
        <v>2308</v>
      </c>
      <c r="B329" s="1033">
        <f>'[1]PLAN DE DESARROLLO 2024 - 2027'!$J$161</f>
        <v>0.21734598565460142</v>
      </c>
      <c r="C329" s="1031" t="s">
        <v>2316</v>
      </c>
      <c r="D329" s="1033">
        <f>'[1]PLAN DE DESARROLLO 2024 - 2027'!$K$184</f>
        <v>0.20161705435056146</v>
      </c>
      <c r="E329" s="1031" t="s">
        <v>2328</v>
      </c>
      <c r="F329" s="1034">
        <f>'[1]PLAN DE DESARROLLO 2024 - 2027'!$K$185</f>
        <v>0.41443843721447998</v>
      </c>
      <c r="G329" s="1031" t="s">
        <v>1706</v>
      </c>
      <c r="H329" s="1031" t="s">
        <v>1707</v>
      </c>
      <c r="I329" s="1063">
        <f>+'Innovación Pública'!Y82</f>
        <v>0.5</v>
      </c>
      <c r="J329" s="1031" t="s">
        <v>1701</v>
      </c>
      <c r="K329" s="1035" t="s">
        <v>2195</v>
      </c>
      <c r="P329"/>
    </row>
    <row r="330" spans="1:16" ht="60.75" thickBot="1" x14ac:dyDescent="0.3">
      <c r="A330" s="1031" t="s">
        <v>2308</v>
      </c>
      <c r="B330" s="1033">
        <f>'[1]PLAN DE DESARROLLO 2024 - 2027'!$J$161</f>
        <v>0.21734598565460142</v>
      </c>
      <c r="C330" s="1031" t="s">
        <v>2316</v>
      </c>
      <c r="D330" s="1033">
        <f>'[1]PLAN DE DESARROLLO 2024 - 2027'!$K$184</f>
        <v>0.20161705435056146</v>
      </c>
      <c r="E330" s="1031" t="s">
        <v>2328</v>
      </c>
      <c r="F330" s="1034">
        <f>'[1]PLAN DE DESARROLLO 2024 - 2027'!$K$185</f>
        <v>0.41443843721447998</v>
      </c>
      <c r="G330" s="1031" t="s">
        <v>1709</v>
      </c>
      <c r="H330" s="1031" t="s">
        <v>1710</v>
      </c>
      <c r="I330" s="1063">
        <f>+'Innovación Pública'!Y83</f>
        <v>0.7</v>
      </c>
      <c r="J330" s="1031" t="s">
        <v>1701</v>
      </c>
      <c r="K330" s="1035" t="s">
        <v>2195</v>
      </c>
      <c r="P330"/>
    </row>
    <row r="331" spans="1:16" ht="60.75" thickBot="1" x14ac:dyDescent="0.3">
      <c r="A331" s="1031" t="s">
        <v>2308</v>
      </c>
      <c r="B331" s="1033">
        <f>'[1]PLAN DE DESARROLLO 2024 - 2027'!$J$161</f>
        <v>0.21734598565460142</v>
      </c>
      <c r="C331" s="1031" t="s">
        <v>2316</v>
      </c>
      <c r="D331" s="1033">
        <f>'[1]PLAN DE DESARROLLO 2024 - 2027'!$K$184</f>
        <v>0.20161705435056146</v>
      </c>
      <c r="E331" s="1031" t="s">
        <v>2328</v>
      </c>
      <c r="F331" s="1034">
        <f>'[1]PLAN DE DESARROLLO 2024 - 2027'!$K$185</f>
        <v>0.41443843721447998</v>
      </c>
      <c r="G331" s="1031" t="s">
        <v>1712</v>
      </c>
      <c r="H331" s="1031" t="s">
        <v>1713</v>
      </c>
      <c r="I331" s="1063">
        <f>+'Innovación Pública'!Y84</f>
        <v>0.6</v>
      </c>
      <c r="J331" s="1031" t="s">
        <v>1701</v>
      </c>
      <c r="K331" s="1035" t="s">
        <v>2195</v>
      </c>
      <c r="P331"/>
    </row>
    <row r="332" spans="1:16" ht="45.75" thickBot="1" x14ac:dyDescent="0.3">
      <c r="A332" s="1031" t="s">
        <v>2308</v>
      </c>
      <c r="B332" s="1033">
        <f>'[1]PLAN DE DESARROLLO 2024 - 2027'!$J$161</f>
        <v>0.21734598565460142</v>
      </c>
      <c r="C332" s="1031" t="s">
        <v>2316</v>
      </c>
      <c r="D332" s="1033">
        <f>'[1]PLAN DE DESARROLLO 2024 - 2027'!$K$184</f>
        <v>0.20161705435056146</v>
      </c>
      <c r="E332" s="1031" t="s">
        <v>2329</v>
      </c>
      <c r="F332" s="1034">
        <f>'[1]PLAN DE DESARROLLO 2024 - 2027'!$K$186</f>
        <v>0.15999999999999998</v>
      </c>
      <c r="G332" s="1031" t="s">
        <v>1716</v>
      </c>
      <c r="H332" s="1031" t="s">
        <v>1717</v>
      </c>
      <c r="I332" s="1064">
        <f>+'Innovación Pública'!Y86</f>
        <v>0</v>
      </c>
      <c r="J332" s="1031" t="s">
        <v>1701</v>
      </c>
      <c r="K332" s="1035" t="s">
        <v>2195</v>
      </c>
      <c r="P332"/>
    </row>
    <row r="333" spans="1:16" ht="30.75" thickBot="1" x14ac:dyDescent="0.3">
      <c r="A333" s="1031" t="s">
        <v>2308</v>
      </c>
      <c r="B333" s="1033">
        <f>'[1]PLAN DE DESARROLLO 2024 - 2027'!$J$161</f>
        <v>0.21734598565460142</v>
      </c>
      <c r="C333" s="1031" t="s">
        <v>2316</v>
      </c>
      <c r="D333" s="1033">
        <f>'[1]PLAN DE DESARROLLO 2024 - 2027'!$K$184</f>
        <v>0.20161705435056146</v>
      </c>
      <c r="E333" s="1031" t="s">
        <v>2329</v>
      </c>
      <c r="F333" s="1034">
        <f>'[1]PLAN DE DESARROLLO 2024 - 2027'!$K$186</f>
        <v>0.15999999999999998</v>
      </c>
      <c r="G333" s="1031" t="s">
        <v>1719</v>
      </c>
      <c r="H333" s="1031" t="s">
        <v>1720</v>
      </c>
      <c r="I333" s="1063">
        <f>+'Innovación Pública'!Y87</f>
        <v>0.7</v>
      </c>
      <c r="J333" s="1031" t="s">
        <v>1701</v>
      </c>
      <c r="K333" s="1035" t="s">
        <v>2195</v>
      </c>
      <c r="P333"/>
    </row>
    <row r="334" spans="1:16" ht="30.75" thickBot="1" x14ac:dyDescent="0.3">
      <c r="A334" s="1031" t="s">
        <v>2308</v>
      </c>
      <c r="B334" s="1033">
        <f>'[1]PLAN DE DESARROLLO 2024 - 2027'!$J$161</f>
        <v>0.21734598565460142</v>
      </c>
      <c r="C334" s="1031" t="s">
        <v>2316</v>
      </c>
      <c r="D334" s="1033">
        <f>'[1]PLAN DE DESARROLLO 2024 - 2027'!$K$184</f>
        <v>0.20161705435056146</v>
      </c>
      <c r="E334" s="1031" t="s">
        <v>2329</v>
      </c>
      <c r="F334" s="1034">
        <f>'[1]PLAN DE DESARROLLO 2024 - 2027'!$K$186</f>
        <v>0.15999999999999998</v>
      </c>
      <c r="G334" s="1031" t="s">
        <v>1721</v>
      </c>
      <c r="H334" s="1031" t="s">
        <v>1722</v>
      </c>
      <c r="I334" s="1064">
        <f>+'Innovación Pública'!Y88</f>
        <v>0</v>
      </c>
      <c r="J334" s="1031" t="s">
        <v>1701</v>
      </c>
      <c r="K334" s="1035" t="s">
        <v>2195</v>
      </c>
      <c r="P334"/>
    </row>
    <row r="335" spans="1:16" ht="30.75" thickBot="1" x14ac:dyDescent="0.3">
      <c r="A335" s="1031" t="s">
        <v>2308</v>
      </c>
      <c r="B335" s="1033">
        <f>'[1]PLAN DE DESARROLLO 2024 - 2027'!$J$161</f>
        <v>0.21734598565460142</v>
      </c>
      <c r="C335" s="1031" t="s">
        <v>2316</v>
      </c>
      <c r="D335" s="1033">
        <f>'[1]PLAN DE DESARROLLO 2024 - 2027'!$K$184</f>
        <v>0.20161705435056146</v>
      </c>
      <c r="E335" s="1031" t="s">
        <v>2329</v>
      </c>
      <c r="F335" s="1034">
        <f>'[1]PLAN DE DESARROLLO 2024 - 2027'!$K$186</f>
        <v>0.15999999999999998</v>
      </c>
      <c r="G335" s="1031" t="s">
        <v>1724</v>
      </c>
      <c r="H335" s="1031" t="s">
        <v>1725</v>
      </c>
      <c r="I335" s="1064">
        <f>+'Innovación Pública'!Y89</f>
        <v>0</v>
      </c>
      <c r="J335" s="1031" t="s">
        <v>1701</v>
      </c>
      <c r="K335" s="1035" t="s">
        <v>2195</v>
      </c>
      <c r="P335"/>
    </row>
    <row r="336" spans="1:16" ht="45.75" thickBot="1" x14ac:dyDescent="0.3">
      <c r="A336" s="1031" t="s">
        <v>2308</v>
      </c>
      <c r="B336" s="1033">
        <f>'[1]PLAN DE DESARROLLO 2024 - 2027'!$J$161</f>
        <v>0.21734598565460142</v>
      </c>
      <c r="C336" s="1031" t="s">
        <v>2316</v>
      </c>
      <c r="D336" s="1033">
        <f>'[1]PLAN DE DESARROLLO 2024 - 2027'!$K$184</f>
        <v>0.20161705435056146</v>
      </c>
      <c r="E336" s="1031" t="s">
        <v>2329</v>
      </c>
      <c r="F336" s="1034">
        <f>'[1]PLAN DE DESARROLLO 2024 - 2027'!$K$186</f>
        <v>0.15999999999999998</v>
      </c>
      <c r="G336" s="1031" t="s">
        <v>1727</v>
      </c>
      <c r="H336" s="1031" t="s">
        <v>1728</v>
      </c>
      <c r="I336" s="1063">
        <f>+'Innovación Pública'!Y90</f>
        <v>0.37</v>
      </c>
      <c r="J336" s="1031" t="s">
        <v>1701</v>
      </c>
      <c r="K336" s="1035" t="s">
        <v>2195</v>
      </c>
      <c r="P336"/>
    </row>
    <row r="337" spans="1:16" ht="60.75" thickBot="1" x14ac:dyDescent="0.3">
      <c r="A337" s="1031" t="s">
        <v>2308</v>
      </c>
      <c r="B337" s="1033">
        <f>'[1]PLAN DE DESARROLLO 2024 - 2027'!$J$161</f>
        <v>0.21734598565460142</v>
      </c>
      <c r="C337" s="1031" t="s">
        <v>2316</v>
      </c>
      <c r="D337" s="1033">
        <f>'[1]PLAN DE DESARROLLO 2024 - 2027'!$K$184</f>
        <v>0.20161705435056146</v>
      </c>
      <c r="E337" s="1031" t="s">
        <v>2329</v>
      </c>
      <c r="F337" s="1034">
        <f>'[1]PLAN DE DESARROLLO 2024 - 2027'!$K$186</f>
        <v>0.15999999999999998</v>
      </c>
      <c r="G337" s="1031" t="s">
        <v>1729</v>
      </c>
      <c r="H337" s="1031" t="s">
        <v>1730</v>
      </c>
      <c r="I337" s="1064">
        <f>+'Innovación Pública'!Y91</f>
        <v>0</v>
      </c>
      <c r="J337" s="1031" t="s">
        <v>1701</v>
      </c>
      <c r="K337" s="1035" t="s">
        <v>2195</v>
      </c>
      <c r="P337"/>
    </row>
    <row r="338" spans="1:16" ht="30.75" thickBot="1" x14ac:dyDescent="0.3">
      <c r="A338" s="1031" t="s">
        <v>2308</v>
      </c>
      <c r="B338" s="1033">
        <f>'[1]PLAN DE DESARROLLO 2024 - 2027'!$J$161</f>
        <v>0.21734598565460142</v>
      </c>
      <c r="C338" s="1031" t="s">
        <v>2316</v>
      </c>
      <c r="D338" s="1033">
        <f>'[1]PLAN DE DESARROLLO 2024 - 2027'!$K$184</f>
        <v>0.20161705435056146</v>
      </c>
      <c r="E338" s="1031" t="s">
        <v>1737</v>
      </c>
      <c r="F338" s="1034">
        <f>'[1]PLAN DE DESARROLLO 2024 - 2027'!$K$188</f>
        <v>0.21366666666666667</v>
      </c>
      <c r="G338" s="1031" t="s">
        <v>1738</v>
      </c>
      <c r="H338" s="1031" t="s">
        <v>1739</v>
      </c>
      <c r="I338" s="1063">
        <f>+'Innovación Pública'!Y95</f>
        <v>0.22878000000000001</v>
      </c>
      <c r="J338" s="1031" t="s">
        <v>1701</v>
      </c>
      <c r="K338" s="1035" t="s">
        <v>2195</v>
      </c>
      <c r="P338"/>
    </row>
    <row r="339" spans="1:16" ht="30.75" thickBot="1" x14ac:dyDescent="0.3">
      <c r="A339" s="1031" t="s">
        <v>2308</v>
      </c>
      <c r="B339" s="1033">
        <f>'[1]PLAN DE DESARROLLO 2024 - 2027'!$J$161</f>
        <v>0.21734598565460142</v>
      </c>
      <c r="C339" s="1031" t="s">
        <v>2316</v>
      </c>
      <c r="D339" s="1033">
        <f>'[1]PLAN DE DESARROLLO 2024 - 2027'!$K$184</f>
        <v>0.20161705435056146</v>
      </c>
      <c r="E339" s="1031" t="s">
        <v>1737</v>
      </c>
      <c r="F339" s="1034">
        <f>'[1]PLAN DE DESARROLLO 2024 - 2027'!$K$188</f>
        <v>0.21366666666666667</v>
      </c>
      <c r="G339" s="1031" t="s">
        <v>1740</v>
      </c>
      <c r="H339" s="1031" t="s">
        <v>1741</v>
      </c>
      <c r="I339" s="1063">
        <f>+'Innovación Pública'!Y96</f>
        <v>0.25</v>
      </c>
      <c r="J339" s="1031" t="s">
        <v>1701</v>
      </c>
      <c r="K339" s="1035" t="s">
        <v>2195</v>
      </c>
      <c r="P339"/>
    </row>
    <row r="340" spans="1:16" ht="45.75" thickBot="1" x14ac:dyDescent="0.3">
      <c r="A340" s="1031" t="s">
        <v>2308</v>
      </c>
      <c r="B340" s="1033">
        <f>'[1]PLAN DE DESARROLLO 2024 - 2027'!$J$161</f>
        <v>0.21734598565460142</v>
      </c>
      <c r="C340" s="1031" t="s">
        <v>2316</v>
      </c>
      <c r="D340" s="1033">
        <f>'[1]PLAN DE DESARROLLO 2024 - 2027'!$K$184</f>
        <v>0.20161705435056146</v>
      </c>
      <c r="E340" s="1031" t="s">
        <v>1737</v>
      </c>
      <c r="F340" s="1034">
        <f>'[1]PLAN DE DESARROLLO 2024 - 2027'!$K$188</f>
        <v>0.21366666666666667</v>
      </c>
      <c r="G340" s="1031" t="s">
        <v>1742</v>
      </c>
      <c r="H340" s="1031" t="s">
        <v>1743</v>
      </c>
      <c r="I340" s="1063">
        <f>+'Innovación Pública'!Y97</f>
        <v>0.25</v>
      </c>
      <c r="J340" s="1031" t="s">
        <v>1701</v>
      </c>
      <c r="K340" s="1035" t="s">
        <v>2195</v>
      </c>
      <c r="P340"/>
    </row>
    <row r="341" spans="1:16" ht="45.75" thickBot="1" x14ac:dyDescent="0.3">
      <c r="A341" s="1031" t="s">
        <v>2308</v>
      </c>
      <c r="B341" s="1033">
        <f>'[1]PLAN DE DESARROLLO 2024 - 2027'!$J$161</f>
        <v>0.21734598565460142</v>
      </c>
      <c r="C341" s="1031" t="s">
        <v>2316</v>
      </c>
      <c r="D341" s="1033">
        <f>'[1]PLAN DE DESARROLLO 2024 - 2027'!$K$184</f>
        <v>0.20161705435056146</v>
      </c>
      <c r="E341" s="1031" t="s">
        <v>1737</v>
      </c>
      <c r="F341" s="1034">
        <f>'[1]PLAN DE DESARROLLO 2024 - 2027'!$K$188</f>
        <v>0.21366666666666667</v>
      </c>
      <c r="G341" s="1031" t="s">
        <v>1744</v>
      </c>
      <c r="H341" s="1031" t="s">
        <v>1745</v>
      </c>
      <c r="I341" s="1064">
        <f>+'Innovación Pública'!Y98</f>
        <v>0</v>
      </c>
      <c r="J341" s="1031" t="s">
        <v>1701</v>
      </c>
      <c r="K341" s="1035" t="s">
        <v>2195</v>
      </c>
      <c r="P341"/>
    </row>
    <row r="342" spans="1:16" ht="30.75" thickBot="1" x14ac:dyDescent="0.3">
      <c r="A342" s="1031" t="s">
        <v>2308</v>
      </c>
      <c r="B342" s="1033">
        <f>'[1]PLAN DE DESARROLLO 2024 - 2027'!$J$161</f>
        <v>0.21734598565460142</v>
      </c>
      <c r="C342" s="1031" t="s">
        <v>2316</v>
      </c>
      <c r="D342" s="1033">
        <f>'[1]PLAN DE DESARROLLO 2024 - 2027'!$K$184</f>
        <v>0.20161705435056146</v>
      </c>
      <c r="E342" s="1031" t="s">
        <v>2330</v>
      </c>
      <c r="F342" s="1034">
        <f>'[1]PLAN DE DESARROLLO 2024 - 2027'!$K$189</f>
        <v>0.295375</v>
      </c>
      <c r="G342" s="1031" t="s">
        <v>1747</v>
      </c>
      <c r="H342" s="1031" t="s">
        <v>1748</v>
      </c>
      <c r="I342" s="1064">
        <f>+'Innovación Pública'!Y100</f>
        <v>0.25</v>
      </c>
      <c r="J342" s="1031" t="s">
        <v>103</v>
      </c>
      <c r="K342" s="1035" t="s">
        <v>2195</v>
      </c>
      <c r="P342"/>
    </row>
    <row r="343" spans="1:16" ht="30.75" thickBot="1" x14ac:dyDescent="0.3">
      <c r="A343" s="1031" t="s">
        <v>2308</v>
      </c>
      <c r="B343" s="1033">
        <f>'[1]PLAN DE DESARROLLO 2024 - 2027'!$J$161</f>
        <v>0.21734598565460142</v>
      </c>
      <c r="C343" s="1031" t="s">
        <v>2316</v>
      </c>
      <c r="D343" s="1033">
        <f>'[1]PLAN DE DESARROLLO 2024 - 2027'!$K$184</f>
        <v>0.20161705435056146</v>
      </c>
      <c r="E343" s="1031" t="s">
        <v>2330</v>
      </c>
      <c r="F343" s="1034">
        <f>'[1]PLAN DE DESARROLLO 2024 - 2027'!$K$189</f>
        <v>0.295375</v>
      </c>
      <c r="G343" s="1031" t="s">
        <v>1749</v>
      </c>
      <c r="H343" s="1031" t="s">
        <v>1750</v>
      </c>
      <c r="I343" s="1064">
        <f>+'Innovación Pública'!Y101</f>
        <v>0.5</v>
      </c>
      <c r="J343" s="1031" t="s">
        <v>103</v>
      </c>
      <c r="K343" s="1035" t="s">
        <v>2195</v>
      </c>
      <c r="P343"/>
    </row>
    <row r="344" spans="1:16" ht="30.75" thickBot="1" x14ac:dyDescent="0.3">
      <c r="A344" s="1031" t="s">
        <v>2308</v>
      </c>
      <c r="B344" s="1033">
        <f>'[1]PLAN DE DESARROLLO 2024 - 2027'!$J$161</f>
        <v>0.21734598565460142</v>
      </c>
      <c r="C344" s="1031" t="s">
        <v>2316</v>
      </c>
      <c r="D344" s="1033">
        <f>'[1]PLAN DE DESARROLLO 2024 - 2027'!$K$184</f>
        <v>0.20161705435056146</v>
      </c>
      <c r="E344" s="1031" t="s">
        <v>2330</v>
      </c>
      <c r="F344" s="1034">
        <f>'[1]PLAN DE DESARROLLO 2024 - 2027'!$K$189</f>
        <v>0.295375</v>
      </c>
      <c r="G344" s="1031" t="s">
        <v>1751</v>
      </c>
      <c r="H344" s="1031" t="s">
        <v>1752</v>
      </c>
      <c r="I344" s="1063">
        <f>+'Innovación Pública'!Y102</f>
        <v>0.43937500000000002</v>
      </c>
      <c r="J344" s="1031" t="s">
        <v>103</v>
      </c>
      <c r="K344" s="1035" t="s">
        <v>2195</v>
      </c>
      <c r="P344"/>
    </row>
    <row r="345" spans="1:16" ht="30.75" thickBot="1" x14ac:dyDescent="0.3">
      <c r="A345" s="1031" t="s">
        <v>2308</v>
      </c>
      <c r="B345" s="1033">
        <f>'[1]PLAN DE DESARROLLO 2024 - 2027'!$J$161</f>
        <v>0.21734598565460142</v>
      </c>
      <c r="C345" s="1031" t="s">
        <v>2316</v>
      </c>
      <c r="D345" s="1033">
        <f>'[1]PLAN DE DESARROLLO 2024 - 2027'!$K$184</f>
        <v>0.20161705435056146</v>
      </c>
      <c r="E345" s="1031" t="s">
        <v>2330</v>
      </c>
      <c r="F345" s="1034">
        <f>'[1]PLAN DE DESARROLLO 2024 - 2027'!$K$189</f>
        <v>0.295375</v>
      </c>
      <c r="G345" s="1031" t="s">
        <v>1753</v>
      </c>
      <c r="H345" s="1031" t="s">
        <v>1754</v>
      </c>
      <c r="I345" s="1063">
        <f>+'Innovación Pública'!Y103</f>
        <v>0.25</v>
      </c>
      <c r="J345" s="1031" t="s">
        <v>103</v>
      </c>
      <c r="K345" s="1035" t="s">
        <v>2195</v>
      </c>
      <c r="P345"/>
    </row>
    <row r="346" spans="1:16" ht="30.75" thickBot="1" x14ac:dyDescent="0.3">
      <c r="A346" s="1031" t="s">
        <v>2308</v>
      </c>
      <c r="B346" s="1033">
        <f>'[1]PLAN DE DESARROLLO 2024 - 2027'!$J$161</f>
        <v>0.21734598565460142</v>
      </c>
      <c r="C346" s="1031" t="s">
        <v>2316</v>
      </c>
      <c r="D346" s="1033">
        <f>'[1]PLAN DE DESARROLLO 2024 - 2027'!$K$184</f>
        <v>0.20161705435056146</v>
      </c>
      <c r="E346" s="1031" t="s">
        <v>2330</v>
      </c>
      <c r="F346" s="1034">
        <f>'[1]PLAN DE DESARROLLO 2024 - 2027'!$K$189</f>
        <v>0.295375</v>
      </c>
      <c r="G346" s="1031" t="s">
        <v>1755</v>
      </c>
      <c r="H346" s="1031" t="s">
        <v>1756</v>
      </c>
      <c r="I346" s="1063">
        <f>+'Innovación Pública'!Y104</f>
        <v>0.375</v>
      </c>
      <c r="J346" s="1031" t="s">
        <v>103</v>
      </c>
      <c r="K346" s="1035" t="s">
        <v>2195</v>
      </c>
      <c r="P346"/>
    </row>
    <row r="347" spans="1:16" ht="30.75" thickBot="1" x14ac:dyDescent="0.3">
      <c r="A347" s="1031" t="s">
        <v>2308</v>
      </c>
      <c r="B347" s="1033">
        <f>'[1]PLAN DE DESARROLLO 2024 - 2027'!$J$161</f>
        <v>0.21734598565460142</v>
      </c>
      <c r="C347" s="1031" t="s">
        <v>2316</v>
      </c>
      <c r="D347" s="1033">
        <f>'[1]PLAN DE DESARROLLO 2024 - 2027'!$K$184</f>
        <v>0.20161705435056146</v>
      </c>
      <c r="E347" s="1031" t="s">
        <v>2331</v>
      </c>
      <c r="F347" s="1034">
        <f>'[1]PLAN DE DESARROLLO 2024 - 2027'!$K$190</f>
        <v>0.12622222222222224</v>
      </c>
      <c r="G347" s="1031" t="s">
        <v>1758</v>
      </c>
      <c r="H347" s="1031" t="s">
        <v>1759</v>
      </c>
      <c r="I347" s="1063">
        <f>+'Innovación Pública'!Y106</f>
        <v>0.375</v>
      </c>
      <c r="J347" s="1031" t="s">
        <v>103</v>
      </c>
      <c r="K347" s="1035" t="s">
        <v>2195</v>
      </c>
      <c r="P347"/>
    </row>
    <row r="348" spans="1:16" ht="30.75" thickBot="1" x14ac:dyDescent="0.3">
      <c r="A348" s="1031" t="s">
        <v>2308</v>
      </c>
      <c r="B348" s="1033">
        <f>'[1]PLAN DE DESARROLLO 2024 - 2027'!$J$161</f>
        <v>0.21734598565460142</v>
      </c>
      <c r="C348" s="1031" t="s">
        <v>2316</v>
      </c>
      <c r="D348" s="1033">
        <f>'[1]PLAN DE DESARROLLO 2024 - 2027'!$K$184</f>
        <v>0.20161705435056146</v>
      </c>
      <c r="E348" s="1031" t="s">
        <v>2331</v>
      </c>
      <c r="F348" s="1034">
        <f>'[1]PLAN DE DESARROLLO 2024 - 2027'!$K$190</f>
        <v>0.12622222222222224</v>
      </c>
      <c r="G348" s="1031" t="s">
        <v>1760</v>
      </c>
      <c r="H348" s="1031" t="s">
        <v>1761</v>
      </c>
      <c r="I348" s="1063">
        <f>+'Innovación Pública'!Y107</f>
        <v>0.13133333333333333</v>
      </c>
      <c r="J348" s="1031" t="s">
        <v>103</v>
      </c>
      <c r="K348" s="1035" t="s">
        <v>2195</v>
      </c>
      <c r="P348"/>
    </row>
    <row r="349" spans="1:16" ht="30.75" thickBot="1" x14ac:dyDescent="0.3">
      <c r="A349" s="1031" t="s">
        <v>2308</v>
      </c>
      <c r="B349" s="1033">
        <f>'[1]PLAN DE DESARROLLO 2024 - 2027'!$J$161</f>
        <v>0.21734598565460142</v>
      </c>
      <c r="C349" s="1031" t="s">
        <v>2316</v>
      </c>
      <c r="D349" s="1033">
        <f>'[1]PLAN DE DESARROLLO 2024 - 2027'!$K$184</f>
        <v>0.20161705435056146</v>
      </c>
      <c r="E349" s="1031" t="s">
        <v>2331</v>
      </c>
      <c r="F349" s="1034">
        <f>'[1]PLAN DE DESARROLLO 2024 - 2027'!$K$190</f>
        <v>0.12622222222222224</v>
      </c>
      <c r="G349" s="1031" t="s">
        <v>1762</v>
      </c>
      <c r="H349" s="1031" t="s">
        <v>1763</v>
      </c>
      <c r="I349" s="1064">
        <f>+'Innovación Pública'!Y108</f>
        <v>0</v>
      </c>
      <c r="J349" s="1031" t="s">
        <v>103</v>
      </c>
      <c r="K349" s="1035" t="s">
        <v>2195</v>
      </c>
      <c r="P349"/>
    </row>
    <row r="350" spans="1:16" ht="30.75" thickBot="1" x14ac:dyDescent="0.3">
      <c r="A350" s="1031" t="s">
        <v>2308</v>
      </c>
      <c r="B350" s="1033">
        <f>'[1]PLAN DE DESARROLLO 2024 - 2027'!$J$161</f>
        <v>0.21734598565460142</v>
      </c>
      <c r="C350" s="1031" t="s">
        <v>2332</v>
      </c>
      <c r="D350" s="1033">
        <f>'[1]PLAN DE DESARROLLO 2024 - 2027'!$K$191</f>
        <v>0.25033330230104422</v>
      </c>
      <c r="E350" s="1031" t="s">
        <v>2333</v>
      </c>
      <c r="F350" s="1034">
        <f>'[1]PLAN DE DESARROLLO 2024 - 2027'!$K$192</f>
        <v>0.29666666666666669</v>
      </c>
      <c r="G350" s="1031" t="s">
        <v>1766</v>
      </c>
      <c r="H350" s="1031" t="s">
        <v>1767</v>
      </c>
      <c r="I350" s="1063">
        <f>+'Innovación Pública'!Y111</f>
        <v>0.25</v>
      </c>
      <c r="J350" s="1031" t="s">
        <v>716</v>
      </c>
      <c r="K350" s="1035" t="s">
        <v>2195</v>
      </c>
      <c r="P350"/>
    </row>
    <row r="351" spans="1:16" ht="30.75" thickBot="1" x14ac:dyDescent="0.3">
      <c r="A351" s="1031" t="s">
        <v>2308</v>
      </c>
      <c r="B351" s="1033">
        <f>'[1]PLAN DE DESARROLLO 2024 - 2027'!$J$161</f>
        <v>0.21734598565460142</v>
      </c>
      <c r="C351" s="1031" t="s">
        <v>2332</v>
      </c>
      <c r="D351" s="1033">
        <f>'[1]PLAN DE DESARROLLO 2024 - 2027'!$K$191</f>
        <v>0.25033330230104422</v>
      </c>
      <c r="E351" s="1031" t="s">
        <v>2333</v>
      </c>
      <c r="F351" s="1034">
        <f>'[1]PLAN DE DESARROLLO 2024 - 2027'!$K$192</f>
        <v>0.29666666666666669</v>
      </c>
      <c r="G351" s="1031" t="s">
        <v>1768</v>
      </c>
      <c r="H351" s="1031" t="s">
        <v>1769</v>
      </c>
      <c r="I351" s="1063">
        <f>+'Innovación Pública'!Y112</f>
        <v>0.5</v>
      </c>
      <c r="J351" s="1031" t="s">
        <v>716</v>
      </c>
      <c r="K351" s="1035" t="s">
        <v>2195</v>
      </c>
      <c r="P351"/>
    </row>
    <row r="352" spans="1:16" ht="30.75" thickBot="1" x14ac:dyDescent="0.3">
      <c r="A352" s="1031" t="s">
        <v>2308</v>
      </c>
      <c r="B352" s="1033">
        <f>'[1]PLAN DE DESARROLLO 2024 - 2027'!$J$161</f>
        <v>0.21734598565460142</v>
      </c>
      <c r="C352" s="1031" t="s">
        <v>2332</v>
      </c>
      <c r="D352" s="1033">
        <f>'[1]PLAN DE DESARROLLO 2024 - 2027'!$K$191</f>
        <v>0.25033330230104422</v>
      </c>
      <c r="E352" s="1031" t="s">
        <v>2333</v>
      </c>
      <c r="F352" s="1034">
        <f>'[1]PLAN DE DESARROLLO 2024 - 2027'!$K$192</f>
        <v>0.29666666666666669</v>
      </c>
      <c r="G352" s="1031" t="s">
        <v>1770</v>
      </c>
      <c r="H352" s="1031" t="s">
        <v>1771</v>
      </c>
      <c r="I352" s="1063">
        <f>+'Innovación Pública'!Y113</f>
        <v>0.33333333333333331</v>
      </c>
      <c r="J352" s="1031" t="s">
        <v>716</v>
      </c>
      <c r="K352" s="1035" t="s">
        <v>2195</v>
      </c>
      <c r="P352"/>
    </row>
    <row r="353" spans="1:16" ht="30.75" thickBot="1" x14ac:dyDescent="0.3">
      <c r="A353" s="1031" t="s">
        <v>2308</v>
      </c>
      <c r="B353" s="1033">
        <f>'[1]PLAN DE DESARROLLO 2024 - 2027'!$J$161</f>
        <v>0.21734598565460142</v>
      </c>
      <c r="C353" s="1031" t="s">
        <v>2332</v>
      </c>
      <c r="D353" s="1033">
        <f>'[1]PLAN DE DESARROLLO 2024 - 2027'!$K$191</f>
        <v>0.25033330230104422</v>
      </c>
      <c r="E353" s="1031" t="s">
        <v>2333</v>
      </c>
      <c r="F353" s="1034">
        <f>'[1]PLAN DE DESARROLLO 2024 - 2027'!$K$192</f>
        <v>0.29666666666666669</v>
      </c>
      <c r="G353" s="1031" t="s">
        <v>1772</v>
      </c>
      <c r="H353" s="1031" t="s">
        <v>1773</v>
      </c>
      <c r="I353" s="1063">
        <f>+'Innovación Pública'!Y114</f>
        <v>1</v>
      </c>
      <c r="J353" s="1031" t="s">
        <v>716</v>
      </c>
      <c r="K353" s="1035" t="s">
        <v>2195</v>
      </c>
      <c r="P353"/>
    </row>
    <row r="354" spans="1:16" ht="30.75" thickBot="1" x14ac:dyDescent="0.3">
      <c r="A354" s="1031" t="s">
        <v>2308</v>
      </c>
      <c r="B354" s="1033">
        <f>'[1]PLAN DE DESARROLLO 2024 - 2027'!$J$161</f>
        <v>0.21734598565460142</v>
      </c>
      <c r="C354" s="1031" t="s">
        <v>2332</v>
      </c>
      <c r="D354" s="1033">
        <f>'[1]PLAN DE DESARROLLO 2024 - 2027'!$K$191</f>
        <v>0.25033330230104422</v>
      </c>
      <c r="E354" s="1031" t="s">
        <v>2333</v>
      </c>
      <c r="F354" s="1034">
        <f>'[1]PLAN DE DESARROLLO 2024 - 2027'!$K$192</f>
        <v>0.29666666666666669</v>
      </c>
      <c r="G354" s="1031" t="s">
        <v>1774</v>
      </c>
      <c r="H354" s="1031" t="s">
        <v>1775</v>
      </c>
      <c r="I354" s="1063">
        <f>+'Innovación Pública'!Y115</f>
        <v>0.1</v>
      </c>
      <c r="J354" s="1031" t="s">
        <v>716</v>
      </c>
      <c r="K354" s="1035" t="s">
        <v>2195</v>
      </c>
      <c r="P354"/>
    </row>
    <row r="355" spans="1:16" ht="30.75" thickBot="1" x14ac:dyDescent="0.3">
      <c r="A355" s="1031" t="s">
        <v>2308</v>
      </c>
      <c r="B355" s="1033">
        <f>'[1]PLAN DE DESARROLLO 2024 - 2027'!$J$161</f>
        <v>0.21734598565460142</v>
      </c>
      <c r="C355" s="1031" t="s">
        <v>2332</v>
      </c>
      <c r="D355" s="1033">
        <f>'[1]PLAN DE DESARROLLO 2024 - 2027'!$K$191</f>
        <v>0.25033330230104422</v>
      </c>
      <c r="E355" s="1031" t="s">
        <v>2334</v>
      </c>
      <c r="F355" s="1034">
        <f>'[1]PLAN DE DESARROLLO 2024 - 2027'!$K$193</f>
        <v>0.24052272727272728</v>
      </c>
      <c r="G355" s="1031" t="s">
        <v>2335</v>
      </c>
      <c r="H355" s="1031" t="s">
        <v>1778</v>
      </c>
      <c r="I355" s="1063">
        <f>+'Innovación Pública'!Y117</f>
        <v>0.253</v>
      </c>
      <c r="J355" s="1031" t="s">
        <v>716</v>
      </c>
      <c r="K355" s="1035" t="s">
        <v>2195</v>
      </c>
      <c r="P355"/>
    </row>
    <row r="356" spans="1:16" ht="30.75" thickBot="1" x14ac:dyDescent="0.3">
      <c r="A356" s="1031" t="s">
        <v>2308</v>
      </c>
      <c r="B356" s="1033">
        <f>'[1]PLAN DE DESARROLLO 2024 - 2027'!$J$161</f>
        <v>0.21734598565460142</v>
      </c>
      <c r="C356" s="1031" t="s">
        <v>2332</v>
      </c>
      <c r="D356" s="1033">
        <f>'[1]PLAN DE DESARROLLO 2024 - 2027'!$K$191</f>
        <v>0.25033330230104422</v>
      </c>
      <c r="E356" s="1031" t="s">
        <v>2334</v>
      </c>
      <c r="F356" s="1034">
        <f>'[1]PLAN DE DESARROLLO 2024 - 2027'!$K$193</f>
        <v>0.24052272727272728</v>
      </c>
      <c r="G356" s="1031" t="s">
        <v>1779</v>
      </c>
      <c r="H356" s="1031" t="s">
        <v>1780</v>
      </c>
      <c r="I356" s="1063">
        <f>+'Innovación Pública'!Y118</f>
        <v>0.127</v>
      </c>
      <c r="J356" s="1031" t="s">
        <v>716</v>
      </c>
      <c r="K356" s="1035" t="s">
        <v>2195</v>
      </c>
      <c r="P356"/>
    </row>
    <row r="357" spans="1:16" ht="30.75" thickBot="1" x14ac:dyDescent="0.3">
      <c r="A357" s="1031" t="s">
        <v>2308</v>
      </c>
      <c r="B357" s="1033">
        <f>'[1]PLAN DE DESARROLLO 2024 - 2027'!$J$161</f>
        <v>0.21734598565460142</v>
      </c>
      <c r="C357" s="1031" t="s">
        <v>2332</v>
      </c>
      <c r="D357" s="1033">
        <f>'[1]PLAN DE DESARROLLO 2024 - 2027'!$K$191</f>
        <v>0.25033330230104422</v>
      </c>
      <c r="E357" s="1031" t="s">
        <v>2334</v>
      </c>
      <c r="F357" s="1034">
        <f>'[1]PLAN DE DESARROLLO 2024 - 2027'!$K$193</f>
        <v>0.24052272727272728</v>
      </c>
      <c r="G357" s="1031" t="s">
        <v>1781</v>
      </c>
      <c r="H357" s="1031" t="s">
        <v>1782</v>
      </c>
      <c r="I357" s="1063">
        <f>+'Innovación Pública'!Y119</f>
        <v>0.32499999999999996</v>
      </c>
      <c r="J357" s="1031" t="s">
        <v>716</v>
      </c>
      <c r="K357" s="1035" t="s">
        <v>2195</v>
      </c>
      <c r="P357"/>
    </row>
    <row r="358" spans="1:16" ht="30.75" thickBot="1" x14ac:dyDescent="0.3">
      <c r="A358" s="1031" t="s">
        <v>2308</v>
      </c>
      <c r="B358" s="1033">
        <f>'[1]PLAN DE DESARROLLO 2024 - 2027'!$J$161</f>
        <v>0.21734598565460142</v>
      </c>
      <c r="C358" s="1031" t="s">
        <v>2332</v>
      </c>
      <c r="D358" s="1033">
        <f>'[1]PLAN DE DESARROLLO 2024 - 2027'!$K$191</f>
        <v>0.25033330230104422</v>
      </c>
      <c r="E358" s="1031" t="s">
        <v>2334</v>
      </c>
      <c r="F358" s="1034">
        <f>'[1]PLAN DE DESARROLLO 2024 - 2027'!$K$193</f>
        <v>0.24052272727272728</v>
      </c>
      <c r="G358" s="1031" t="s">
        <v>1783</v>
      </c>
      <c r="H358" s="1031" t="s">
        <v>1784</v>
      </c>
      <c r="I358" s="1063">
        <f>+'Innovación Pública'!Y120</f>
        <v>0.16500000000000001</v>
      </c>
      <c r="J358" s="1031" t="s">
        <v>716</v>
      </c>
      <c r="K358" s="1035" t="s">
        <v>2195</v>
      </c>
      <c r="P358"/>
    </row>
    <row r="359" spans="1:16" ht="45.75" thickBot="1" x14ac:dyDescent="0.3">
      <c r="A359" s="1031" t="s">
        <v>2308</v>
      </c>
      <c r="B359" s="1033">
        <f>'[1]PLAN DE DESARROLLO 2024 - 2027'!$J$161</f>
        <v>0.21734598565460142</v>
      </c>
      <c r="C359" s="1031" t="s">
        <v>2332</v>
      </c>
      <c r="D359" s="1033">
        <f>'[1]PLAN DE DESARROLLO 2024 - 2027'!$K$191</f>
        <v>0.25033330230104422</v>
      </c>
      <c r="E359" s="1031" t="s">
        <v>2334</v>
      </c>
      <c r="F359" s="1034">
        <f>'[1]PLAN DE DESARROLLO 2024 - 2027'!$K$193</f>
        <v>0.24052272727272728</v>
      </c>
      <c r="G359" s="1031" t="s">
        <v>1785</v>
      </c>
      <c r="H359" s="1031" t="s">
        <v>1786</v>
      </c>
      <c r="I359" s="1063">
        <f>+'Innovación Pública'!Y121</f>
        <v>0.4</v>
      </c>
      <c r="J359" s="1031" t="s">
        <v>716</v>
      </c>
      <c r="K359" s="1035" t="s">
        <v>2195</v>
      </c>
      <c r="P359"/>
    </row>
    <row r="360" spans="1:16" ht="45.75" thickBot="1" x14ac:dyDescent="0.3">
      <c r="A360" s="1031" t="s">
        <v>2308</v>
      </c>
      <c r="B360" s="1033">
        <f>'[1]PLAN DE DESARROLLO 2024 - 2027'!$J$161</f>
        <v>0.21734598565460142</v>
      </c>
      <c r="C360" s="1031" t="s">
        <v>2332</v>
      </c>
      <c r="D360" s="1033">
        <f>'[1]PLAN DE DESARROLLO 2024 - 2027'!$K$191</f>
        <v>0.25033330230104422</v>
      </c>
      <c r="E360" s="1031" t="s">
        <v>2334</v>
      </c>
      <c r="F360" s="1034">
        <f>'[1]PLAN DE DESARROLLO 2024 - 2027'!$K$193</f>
        <v>0.24052272727272728</v>
      </c>
      <c r="G360" s="1031" t="s">
        <v>1787</v>
      </c>
      <c r="H360" s="1031" t="s">
        <v>1788</v>
      </c>
      <c r="I360" s="1063">
        <f>+'Innovación Pública'!Y122</f>
        <v>0.40909090909090912</v>
      </c>
      <c r="J360" s="1031" t="s">
        <v>716</v>
      </c>
      <c r="K360" s="1035" t="s">
        <v>2195</v>
      </c>
      <c r="P360"/>
    </row>
    <row r="361" spans="1:16" ht="30.75" thickBot="1" x14ac:dyDescent="0.3">
      <c r="A361" s="1031" t="s">
        <v>2308</v>
      </c>
      <c r="B361" s="1033">
        <f>'[1]PLAN DE DESARROLLO 2024 - 2027'!$J$161</f>
        <v>0.21734598565460142</v>
      </c>
      <c r="C361" s="1031" t="s">
        <v>2332</v>
      </c>
      <c r="D361" s="1033">
        <f>'[1]PLAN DE DESARROLLO 2024 - 2027'!$K$191</f>
        <v>0.25033330230104422</v>
      </c>
      <c r="E361" s="1031" t="s">
        <v>2336</v>
      </c>
      <c r="F361" s="1034">
        <f>'[1]PLAN DE DESARROLLO 2024 - 2027'!$K$194</f>
        <v>0.26828264208909369</v>
      </c>
      <c r="G361" s="1031" t="s">
        <v>1790</v>
      </c>
      <c r="H361" s="1031" t="s">
        <v>1791</v>
      </c>
      <c r="I361" s="1063">
        <f>+'Innovación Pública'!Y124</f>
        <v>0.4375</v>
      </c>
      <c r="J361" s="1031" t="s">
        <v>716</v>
      </c>
      <c r="K361" s="1035" t="s">
        <v>2195</v>
      </c>
      <c r="P361"/>
    </row>
    <row r="362" spans="1:16" ht="30.75" thickBot="1" x14ac:dyDescent="0.3">
      <c r="A362" s="1031" t="s">
        <v>2308</v>
      </c>
      <c r="B362" s="1033">
        <f>'[1]PLAN DE DESARROLLO 2024 - 2027'!$J$161</f>
        <v>0.21734598565460142</v>
      </c>
      <c r="C362" s="1031" t="s">
        <v>2332</v>
      </c>
      <c r="D362" s="1033">
        <f>'[1]PLAN DE DESARROLLO 2024 - 2027'!$K$191</f>
        <v>0.25033330230104422</v>
      </c>
      <c r="E362" s="1031" t="s">
        <v>2336</v>
      </c>
      <c r="F362" s="1034">
        <f>'[1]PLAN DE DESARROLLO 2024 - 2027'!$K$194</f>
        <v>0.26828264208909369</v>
      </c>
      <c r="G362" s="1031" t="s">
        <v>1792</v>
      </c>
      <c r="H362" s="1031" t="s">
        <v>1793</v>
      </c>
      <c r="I362" s="1063">
        <f>+'Innovación Pública'!Y125</f>
        <v>0.378</v>
      </c>
      <c r="J362" s="1031" t="s">
        <v>716</v>
      </c>
      <c r="K362" s="1035" t="s">
        <v>2195</v>
      </c>
      <c r="P362"/>
    </row>
    <row r="363" spans="1:16" ht="30.75" thickBot="1" x14ac:dyDescent="0.3">
      <c r="A363" s="1031" t="s">
        <v>2308</v>
      </c>
      <c r="B363" s="1033">
        <f>'[1]PLAN DE DESARROLLO 2024 - 2027'!$J$161</f>
        <v>0.21734598565460142</v>
      </c>
      <c r="C363" s="1031" t="s">
        <v>2332</v>
      </c>
      <c r="D363" s="1033">
        <f>'[1]PLAN DE DESARROLLO 2024 - 2027'!$K$191</f>
        <v>0.25033330230104422</v>
      </c>
      <c r="E363" s="1031" t="s">
        <v>2336</v>
      </c>
      <c r="F363" s="1034">
        <f>'[1]PLAN DE DESARROLLO 2024 - 2027'!$K$194</f>
        <v>0.26828264208909369</v>
      </c>
      <c r="G363" s="1031" t="s">
        <v>1794</v>
      </c>
      <c r="H363" s="1031" t="s">
        <v>1795</v>
      </c>
      <c r="I363" s="1063">
        <f>+'Innovación Pública'!Y126</f>
        <v>0.67866666666666664</v>
      </c>
      <c r="J363" s="1031" t="s">
        <v>716</v>
      </c>
      <c r="K363" s="1035" t="s">
        <v>2195</v>
      </c>
      <c r="P363"/>
    </row>
    <row r="364" spans="1:16" ht="30.75" thickBot="1" x14ac:dyDescent="0.3">
      <c r="A364" s="1031" t="s">
        <v>2308</v>
      </c>
      <c r="B364" s="1033">
        <f>'[1]PLAN DE DESARROLLO 2024 - 2027'!$J$161</f>
        <v>0.21734598565460142</v>
      </c>
      <c r="C364" s="1031" t="s">
        <v>2332</v>
      </c>
      <c r="D364" s="1033">
        <f>'[1]PLAN DE DESARROLLO 2024 - 2027'!$K$191</f>
        <v>0.25033330230104422</v>
      </c>
      <c r="E364" s="1031" t="s">
        <v>2336</v>
      </c>
      <c r="F364" s="1034">
        <f>'[1]PLAN DE DESARROLLO 2024 - 2027'!$K$194</f>
        <v>0.26828264208909369</v>
      </c>
      <c r="G364" s="1031" t="s">
        <v>1796</v>
      </c>
      <c r="H364" s="1031" t="s">
        <v>1797</v>
      </c>
      <c r="I364" s="1063">
        <f>+'Innovación Pública'!Y127</f>
        <v>0.41666666666666669</v>
      </c>
      <c r="J364" s="1031" t="s">
        <v>716</v>
      </c>
      <c r="K364" s="1035" t="s">
        <v>2195</v>
      </c>
      <c r="P364"/>
    </row>
    <row r="365" spans="1:16" ht="30.75" thickBot="1" x14ac:dyDescent="0.3">
      <c r="A365" s="1031" t="s">
        <v>2308</v>
      </c>
      <c r="B365" s="1033">
        <f>'[1]PLAN DE DESARROLLO 2024 - 2027'!$J$161</f>
        <v>0.21734598565460142</v>
      </c>
      <c r="C365" s="1031" t="s">
        <v>2332</v>
      </c>
      <c r="D365" s="1033">
        <f>'[1]PLAN DE DESARROLLO 2024 - 2027'!$K$191</f>
        <v>0.25033330230104422</v>
      </c>
      <c r="E365" s="1031" t="s">
        <v>2336</v>
      </c>
      <c r="F365" s="1034">
        <f>'[1]PLAN DE DESARROLLO 2024 - 2027'!$K$194</f>
        <v>0.26828264208909369</v>
      </c>
      <c r="G365" s="1031" t="s">
        <v>1798</v>
      </c>
      <c r="H365" s="1031" t="s">
        <v>1799</v>
      </c>
      <c r="I365" s="1063">
        <f>+'Innovación Pública'!Y128</f>
        <v>0.1</v>
      </c>
      <c r="J365" s="1031" t="s">
        <v>716</v>
      </c>
      <c r="K365" s="1035" t="s">
        <v>2195</v>
      </c>
      <c r="P365"/>
    </row>
    <row r="366" spans="1:16" ht="30.75" thickBot="1" x14ac:dyDescent="0.3">
      <c r="A366" s="1031" t="s">
        <v>2308</v>
      </c>
      <c r="B366" s="1033">
        <f>'[1]PLAN DE DESARROLLO 2024 - 2027'!$J$161</f>
        <v>0.21734598565460142</v>
      </c>
      <c r="C366" s="1031" t="s">
        <v>2332</v>
      </c>
      <c r="D366" s="1033">
        <f>'[1]PLAN DE DESARROLLO 2024 - 2027'!$K$191</f>
        <v>0.25033330230104422</v>
      </c>
      <c r="E366" s="1031" t="s">
        <v>2336</v>
      </c>
      <c r="F366" s="1034">
        <f>'[1]PLAN DE DESARROLLO 2024 - 2027'!$K$194</f>
        <v>0.26828264208909369</v>
      </c>
      <c r="G366" s="1031" t="s">
        <v>1800</v>
      </c>
      <c r="H366" s="1031" t="s">
        <v>1801</v>
      </c>
      <c r="I366" s="1063">
        <f>+'Innovación Pública'!Y129</f>
        <v>0.378</v>
      </c>
      <c r="J366" s="1031" t="s">
        <v>716</v>
      </c>
      <c r="K366" s="1035" t="s">
        <v>2195</v>
      </c>
      <c r="P366"/>
    </row>
    <row r="367" spans="1:16" ht="30.75" thickBot="1" x14ac:dyDescent="0.3">
      <c r="A367" s="1031" t="s">
        <v>2308</v>
      </c>
      <c r="B367" s="1033">
        <f>'[1]PLAN DE DESARROLLO 2024 - 2027'!$J$161</f>
        <v>0.21734598565460142</v>
      </c>
      <c r="C367" s="1031" t="s">
        <v>2332</v>
      </c>
      <c r="D367" s="1033">
        <f>'[1]PLAN DE DESARROLLO 2024 - 2027'!$K$191</f>
        <v>0.25033330230104422</v>
      </c>
      <c r="E367" s="1031" t="s">
        <v>2336</v>
      </c>
      <c r="F367" s="1034">
        <f>'[1]PLAN DE DESARROLLO 2024 - 2027'!$K$194</f>
        <v>0.26828264208909369</v>
      </c>
      <c r="G367" s="1031" t="s">
        <v>1802</v>
      </c>
      <c r="H367" s="1031" t="s">
        <v>1803</v>
      </c>
      <c r="I367" s="1063">
        <f>+'Innovación Pública'!Y130</f>
        <v>0</v>
      </c>
      <c r="J367" s="1031" t="s">
        <v>716</v>
      </c>
      <c r="K367" s="1035" t="s">
        <v>2195</v>
      </c>
      <c r="P367"/>
    </row>
    <row r="368" spans="1:16" ht="30.75" thickBot="1" x14ac:dyDescent="0.3">
      <c r="A368" s="1031" t="s">
        <v>2308</v>
      </c>
      <c r="B368" s="1033">
        <f>'[1]PLAN DE DESARROLLO 2024 - 2027'!$J$161</f>
        <v>0.21734598565460142</v>
      </c>
      <c r="C368" s="1031" t="s">
        <v>2332</v>
      </c>
      <c r="D368" s="1033">
        <f>'[1]PLAN DE DESARROLLO 2024 - 2027'!$K$191</f>
        <v>0.25033330230104422</v>
      </c>
      <c r="E368" s="1031" t="s">
        <v>2337</v>
      </c>
      <c r="F368" s="1034">
        <f>'[1]PLAN DE DESARROLLO 2024 - 2027'!$K$195</f>
        <v>0.31111111111111112</v>
      </c>
      <c r="G368" s="1031" t="s">
        <v>1805</v>
      </c>
      <c r="H368" s="1031" t="s">
        <v>1806</v>
      </c>
      <c r="I368" s="1063">
        <f>+'Innovación Pública'!Y132</f>
        <v>0.22222222222222221</v>
      </c>
      <c r="J368" s="1031" t="s">
        <v>716</v>
      </c>
      <c r="K368" s="1035" t="s">
        <v>2195</v>
      </c>
      <c r="P368"/>
    </row>
    <row r="369" spans="1:16" ht="30.75" thickBot="1" x14ac:dyDescent="0.3">
      <c r="A369" s="1031" t="s">
        <v>2308</v>
      </c>
      <c r="B369" s="1033">
        <f>'[1]PLAN DE DESARROLLO 2024 - 2027'!$J$161</f>
        <v>0.21734598565460142</v>
      </c>
      <c r="C369" s="1031" t="s">
        <v>2332</v>
      </c>
      <c r="D369" s="1033">
        <f>'[1]PLAN DE DESARROLLO 2024 - 2027'!$K$191</f>
        <v>0.25033330230104422</v>
      </c>
      <c r="E369" s="1031" t="s">
        <v>2337</v>
      </c>
      <c r="F369" s="1034">
        <f>'[1]PLAN DE DESARROLLO 2024 - 2027'!$K$195</f>
        <v>0.31111111111111112</v>
      </c>
      <c r="G369" s="1031" t="s">
        <v>1807</v>
      </c>
      <c r="H369" s="1031" t="s">
        <v>1808</v>
      </c>
      <c r="I369" s="1063">
        <f>+'Innovación Pública'!Y133</f>
        <v>1</v>
      </c>
      <c r="J369" s="1031" t="s">
        <v>716</v>
      </c>
      <c r="K369" s="1035" t="s">
        <v>2195</v>
      </c>
      <c r="P369"/>
    </row>
    <row r="370" spans="1:16" ht="30.75" thickBot="1" x14ac:dyDescent="0.3">
      <c r="A370" s="1031" t="s">
        <v>2308</v>
      </c>
      <c r="B370" s="1033">
        <f>'[1]PLAN DE DESARROLLO 2024 - 2027'!$J$161</f>
        <v>0.21734598565460142</v>
      </c>
      <c r="C370" s="1031" t="s">
        <v>2332</v>
      </c>
      <c r="D370" s="1033">
        <f>'[1]PLAN DE DESARROLLO 2024 - 2027'!$K$191</f>
        <v>0.25033330230104422</v>
      </c>
      <c r="E370" s="1031" t="s">
        <v>1809</v>
      </c>
      <c r="F370" s="1034">
        <f>'[1]PLAN DE DESARROLLO 2024 - 2027'!$K$196</f>
        <v>0.19791666666666666</v>
      </c>
      <c r="G370" s="1031" t="s">
        <v>1810</v>
      </c>
      <c r="H370" s="1031" t="s">
        <v>1811</v>
      </c>
      <c r="I370" s="1064">
        <f>+'Innovación Pública'!Y135</f>
        <v>0</v>
      </c>
      <c r="J370" s="1031" t="s">
        <v>2338</v>
      </c>
      <c r="K370" s="1035" t="s">
        <v>2195</v>
      </c>
      <c r="P370"/>
    </row>
    <row r="371" spans="1:16" ht="30.75" thickBot="1" x14ac:dyDescent="0.3">
      <c r="A371" s="1031" t="s">
        <v>2308</v>
      </c>
      <c r="B371" s="1033">
        <f>'[1]PLAN DE DESARROLLO 2024 - 2027'!$J$161</f>
        <v>0.21734598565460142</v>
      </c>
      <c r="C371" s="1031" t="s">
        <v>2332</v>
      </c>
      <c r="D371" s="1033">
        <f>'[1]PLAN DE DESARROLLO 2024 - 2027'!$K$191</f>
        <v>0.25033330230104422</v>
      </c>
      <c r="E371" s="1031" t="s">
        <v>1809</v>
      </c>
      <c r="F371" s="1034">
        <f>'[1]PLAN DE DESARROLLO 2024 - 2027'!$K$196</f>
        <v>0.19791666666666666</v>
      </c>
      <c r="G371" s="1031" t="s">
        <v>1813</v>
      </c>
      <c r="H371" s="1031" t="s">
        <v>1814</v>
      </c>
      <c r="I371" s="1064">
        <f>+'Innovación Pública'!Y136</f>
        <v>0</v>
      </c>
      <c r="J371" s="1031" t="s">
        <v>716</v>
      </c>
      <c r="K371" s="1035" t="s">
        <v>2195</v>
      </c>
      <c r="P371"/>
    </row>
    <row r="372" spans="1:16" ht="30.75" thickBot="1" x14ac:dyDescent="0.3">
      <c r="A372" s="1031" t="s">
        <v>2308</v>
      </c>
      <c r="B372" s="1033">
        <f>'[1]PLAN DE DESARROLLO 2024 - 2027'!$J$161</f>
        <v>0.21734598565460142</v>
      </c>
      <c r="C372" s="1031" t="s">
        <v>2332</v>
      </c>
      <c r="D372" s="1033">
        <f>'[1]PLAN DE DESARROLLO 2024 - 2027'!$K$191</f>
        <v>0.25033330230104422</v>
      </c>
      <c r="E372" s="1031" t="s">
        <v>1809</v>
      </c>
      <c r="F372" s="1034">
        <f>'[1]PLAN DE DESARROLLO 2024 - 2027'!$K$196</f>
        <v>0.19791666666666666</v>
      </c>
      <c r="G372" s="1031" t="s">
        <v>1815</v>
      </c>
      <c r="H372" s="1031" t="s">
        <v>1816</v>
      </c>
      <c r="I372" s="1063">
        <f>+'Innovación Pública'!Y137</f>
        <v>0.27083333333333331</v>
      </c>
      <c r="J372" s="1031" t="s">
        <v>716</v>
      </c>
      <c r="K372" s="1035" t="s">
        <v>2195</v>
      </c>
      <c r="P372"/>
    </row>
    <row r="373" spans="1:16" ht="60.75" thickBot="1" x14ac:dyDescent="0.3">
      <c r="A373" s="1031" t="s">
        <v>2308</v>
      </c>
      <c r="B373" s="1033">
        <f>'[1]PLAN DE DESARROLLO 2024 - 2027'!$J$161</f>
        <v>0.21734598565460142</v>
      </c>
      <c r="C373" s="1031" t="s">
        <v>2332</v>
      </c>
      <c r="D373" s="1033">
        <f>'[1]PLAN DE DESARROLLO 2024 - 2027'!$K$191</f>
        <v>0.25033330230104422</v>
      </c>
      <c r="E373" s="1031" t="s">
        <v>1809</v>
      </c>
      <c r="F373" s="1034">
        <f>'[1]PLAN DE DESARROLLO 2024 - 2027'!$K$196</f>
        <v>0.19791666666666666</v>
      </c>
      <c r="G373" s="1031" t="s">
        <v>1817</v>
      </c>
      <c r="H373" s="1031" t="s">
        <v>1818</v>
      </c>
      <c r="I373" s="1063">
        <f>+'Innovación Pública'!Y138</f>
        <v>0.16666666666666666</v>
      </c>
      <c r="J373" s="1031" t="s">
        <v>716</v>
      </c>
      <c r="K373" s="1035" t="s">
        <v>2195</v>
      </c>
      <c r="P373"/>
    </row>
    <row r="374" spans="1:16" ht="30.75" thickBot="1" x14ac:dyDescent="0.3">
      <c r="A374" s="1031" t="s">
        <v>2308</v>
      </c>
      <c r="B374" s="1033">
        <f>'[1]PLAN DE DESARROLLO 2024 - 2027'!$J$161</f>
        <v>0.21734598565460142</v>
      </c>
      <c r="C374" s="1031" t="s">
        <v>2332</v>
      </c>
      <c r="D374" s="1033">
        <f>'[1]PLAN DE DESARROLLO 2024 - 2027'!$K$191</f>
        <v>0.25033330230104422</v>
      </c>
      <c r="E374" s="1031" t="s">
        <v>2339</v>
      </c>
      <c r="F374" s="1034">
        <f>'[1]PLAN DE DESARROLLO 2024 - 2027'!$K$197</f>
        <v>0.1875</v>
      </c>
      <c r="G374" s="1031" t="s">
        <v>1820</v>
      </c>
      <c r="H374" s="1031" t="s">
        <v>1821</v>
      </c>
      <c r="I374" s="1063">
        <f>+'Innovación Pública'!Y140</f>
        <v>8.2500000000000004E-2</v>
      </c>
      <c r="J374" s="1031" t="s">
        <v>2340</v>
      </c>
      <c r="K374" s="1035" t="s">
        <v>2195</v>
      </c>
      <c r="P374"/>
    </row>
    <row r="375" spans="1:16" ht="30.75" thickBot="1" x14ac:dyDescent="0.3">
      <c r="A375" s="1031" t="s">
        <v>2308</v>
      </c>
      <c r="B375" s="1033">
        <f>'[1]PLAN DE DESARROLLO 2024 - 2027'!$J$161</f>
        <v>0.21734598565460142</v>
      </c>
      <c r="C375" s="1031" t="s">
        <v>2332</v>
      </c>
      <c r="D375" s="1033">
        <f>'[1]PLAN DE DESARROLLO 2024 - 2027'!$K$191</f>
        <v>0.25033330230104422</v>
      </c>
      <c r="E375" s="1031" t="s">
        <v>2339</v>
      </c>
      <c r="F375" s="1034">
        <f>'[1]PLAN DE DESARROLLO 2024 - 2027'!$K$197</f>
        <v>0.1875</v>
      </c>
      <c r="G375" s="1031" t="s">
        <v>1826</v>
      </c>
      <c r="H375" s="1031" t="s">
        <v>1827</v>
      </c>
      <c r="I375" s="1063">
        <f>+'Innovación Pública'!Y141</f>
        <v>0.33</v>
      </c>
      <c r="J375" s="1031" t="s">
        <v>2340</v>
      </c>
      <c r="K375" s="1035" t="s">
        <v>2195</v>
      </c>
      <c r="P375"/>
    </row>
    <row r="376" spans="1:16" ht="30.75" thickBot="1" x14ac:dyDescent="0.3">
      <c r="A376" s="1031" t="s">
        <v>2341</v>
      </c>
      <c r="B376" s="1034">
        <f>'[1]PLAN DE DESARROLLO 2024 - 2027'!$K$4</f>
        <v>0.29293663727866731</v>
      </c>
      <c r="C376" s="1031" t="s">
        <v>2342</v>
      </c>
      <c r="D376" s="1034">
        <f>'[1]PLAN DE DESARROLLO 2024 - 2027'!$K$26</f>
        <v>0.26520247826018756</v>
      </c>
      <c r="E376" s="1031" t="s">
        <v>370</v>
      </c>
      <c r="F376" s="1034">
        <f>'[1]PLAN DE DESARROLLO 2024 - 2027'!$K$33</f>
        <v>0</v>
      </c>
      <c r="G376" s="1031" t="s">
        <v>373</v>
      </c>
      <c r="H376" s="1031" t="s">
        <v>374</v>
      </c>
      <c r="I376" s="1063">
        <f>+'Seguridad Humana'!Y167</f>
        <v>0</v>
      </c>
      <c r="J376" s="1031" t="s">
        <v>103</v>
      </c>
      <c r="K376" s="1035" t="s">
        <v>2195</v>
      </c>
      <c r="P376"/>
    </row>
    <row r="377" spans="1:16" ht="60.75" thickBot="1" x14ac:dyDescent="0.3">
      <c r="A377" s="1031" t="s">
        <v>2341</v>
      </c>
      <c r="B377" s="1034">
        <f>'[1]PLAN DE DESARROLLO 2024 - 2027'!$K$4</f>
        <v>0.29293663727866731</v>
      </c>
      <c r="C377" s="1031" t="s">
        <v>2342</v>
      </c>
      <c r="D377" s="1034">
        <f>'[1]PLAN DE DESARROLLO 2024 - 2027'!$K$26</f>
        <v>0.26520247826018756</v>
      </c>
      <c r="E377" s="1031" t="s">
        <v>370</v>
      </c>
      <c r="F377" s="1034">
        <f>'[1]PLAN DE DESARROLLO 2024 - 2027'!$K$33</f>
        <v>0</v>
      </c>
      <c r="G377" s="1031" t="s">
        <v>375</v>
      </c>
      <c r="H377" s="1031" t="s">
        <v>376</v>
      </c>
      <c r="I377" s="1063">
        <f>+'Seguridad Humana'!Y168</f>
        <v>0.2</v>
      </c>
      <c r="J377" s="1031" t="s">
        <v>103</v>
      </c>
      <c r="K377" s="1035" t="s">
        <v>2195</v>
      </c>
      <c r="P377"/>
    </row>
    <row r="378" spans="1:16" ht="45.75" thickBot="1" x14ac:dyDescent="0.3">
      <c r="A378" s="1031" t="s">
        <v>2341</v>
      </c>
      <c r="B378" s="1034">
        <f>'[1]PLAN DE DESARROLLO 2024 - 2027'!$K$4</f>
        <v>0.29293663727866731</v>
      </c>
      <c r="C378" s="1031" t="s">
        <v>2342</v>
      </c>
      <c r="D378" s="1034">
        <f>'[1]PLAN DE DESARROLLO 2024 - 2027'!$K$26</f>
        <v>0.26520247826018756</v>
      </c>
      <c r="E378" s="1031" t="s">
        <v>370</v>
      </c>
      <c r="F378" s="1034">
        <f>'[1]PLAN DE DESARROLLO 2024 - 2027'!$K$33</f>
        <v>0</v>
      </c>
      <c r="G378" s="1031" t="s">
        <v>377</v>
      </c>
      <c r="H378" s="1031" t="s">
        <v>378</v>
      </c>
      <c r="I378" s="1063">
        <f>+'Seguridad Humana'!Y169</f>
        <v>0.25</v>
      </c>
      <c r="J378" s="1031" t="s">
        <v>103</v>
      </c>
      <c r="K378" s="1035" t="s">
        <v>2195</v>
      </c>
      <c r="P378"/>
    </row>
    <row r="379" spans="1:16" ht="30.75" thickBot="1" x14ac:dyDescent="0.3">
      <c r="A379" s="1031" t="s">
        <v>2341</v>
      </c>
      <c r="B379" s="1034">
        <f>'[1]PLAN DE DESARROLLO 2024 - 2027'!$K$4</f>
        <v>0.29293663727866731</v>
      </c>
      <c r="C379" s="1031" t="s">
        <v>2342</v>
      </c>
      <c r="D379" s="1034">
        <f>'[1]PLAN DE DESARROLLO 2024 - 2027'!$K$26</f>
        <v>0.26520247826018756</v>
      </c>
      <c r="E379" s="1031" t="s">
        <v>370</v>
      </c>
      <c r="F379" s="1034">
        <f>'[1]PLAN DE DESARROLLO 2024 - 2027'!$K$33</f>
        <v>0</v>
      </c>
      <c r="G379" s="1031" t="s">
        <v>379</v>
      </c>
      <c r="H379" s="1031" t="s">
        <v>380</v>
      </c>
      <c r="I379" s="1063">
        <f>+'Seguridad Humana'!Y170</f>
        <v>0</v>
      </c>
      <c r="J379" s="1031" t="s">
        <v>103</v>
      </c>
      <c r="K379" s="1035" t="s">
        <v>2195</v>
      </c>
      <c r="P379"/>
    </row>
    <row r="380" spans="1:16" ht="30.75" thickBot="1" x14ac:dyDescent="0.3">
      <c r="A380" s="1031" t="s">
        <v>2341</v>
      </c>
      <c r="B380" s="1034">
        <f>'[1]PLAN DE DESARROLLO 2024 - 2027'!$K$4</f>
        <v>0.29293663727866731</v>
      </c>
      <c r="C380" s="1031" t="s">
        <v>2343</v>
      </c>
      <c r="D380" s="1034">
        <f>'[1]PLAN DE DESARROLLO 2024 - 2027'!$K$34</f>
        <v>0.2143569997651622</v>
      </c>
      <c r="E380" s="1031" t="s">
        <v>406</v>
      </c>
      <c r="F380" s="1034">
        <f>'[1]PLAN DE DESARROLLO 2024 - 2027'!$K$38</f>
        <v>0</v>
      </c>
      <c r="G380" s="1031" t="s">
        <v>407</v>
      </c>
      <c r="H380" s="1031" t="s">
        <v>408</v>
      </c>
      <c r="I380" s="1063">
        <f>+'Seguridad Humana'!Y185</f>
        <v>6.3399999999999998E-2</v>
      </c>
      <c r="J380" s="1031" t="s">
        <v>386</v>
      </c>
      <c r="K380" s="1035" t="s">
        <v>2195</v>
      </c>
      <c r="P380"/>
    </row>
    <row r="381" spans="1:16" ht="30.75" thickBot="1" x14ac:dyDescent="0.3">
      <c r="A381" s="1031" t="s">
        <v>2341</v>
      </c>
      <c r="B381" s="1034">
        <f>'[1]PLAN DE DESARROLLO 2024 - 2027'!$K$4</f>
        <v>0.29293663727866731</v>
      </c>
      <c r="C381" s="1031" t="s">
        <v>2344</v>
      </c>
      <c r="D381" s="1034">
        <f>'[1]PLAN DE DESARROLLO 2024 - 2027'!$K$11</f>
        <v>0.31811397569444444</v>
      </c>
      <c r="E381" s="1031" t="s">
        <v>150</v>
      </c>
      <c r="F381" s="1034">
        <f>'[1]PLAN DE DESARROLLO 2024 - 2027'!$K$17</f>
        <v>0.24445833333333333</v>
      </c>
      <c r="G381" s="1031" t="s">
        <v>155</v>
      </c>
      <c r="H381" s="1031" t="s">
        <v>2345</v>
      </c>
      <c r="I381" s="1063">
        <f>+'Seguridad Humana'!Y60</f>
        <v>0.375</v>
      </c>
      <c r="J381" s="1031" t="s">
        <v>47</v>
      </c>
      <c r="K381" s="1035" t="s">
        <v>2195</v>
      </c>
      <c r="P381"/>
    </row>
    <row r="382" spans="1:16" ht="45.75" thickBot="1" x14ac:dyDescent="0.3">
      <c r="A382" s="1031" t="s">
        <v>2341</v>
      </c>
      <c r="B382" s="1034">
        <f>'[1]PLAN DE DESARROLLO 2024 - 2027'!$K$4</f>
        <v>0.29293663727866731</v>
      </c>
      <c r="C382" s="1031" t="s">
        <v>2344</v>
      </c>
      <c r="D382" s="1034">
        <f>'[1]PLAN DE DESARROLLO 2024 - 2027'!$K$11</f>
        <v>0.31811397569444444</v>
      </c>
      <c r="E382" s="1031" t="s">
        <v>150</v>
      </c>
      <c r="F382" s="1034">
        <f>'[1]PLAN DE DESARROLLO 2024 - 2027'!$K$17</f>
        <v>0.24445833333333333</v>
      </c>
      <c r="G382" s="1031" t="s">
        <v>157</v>
      </c>
      <c r="H382" s="1031" t="s">
        <v>2346</v>
      </c>
      <c r="I382" s="1063">
        <f>+'Seguridad Humana'!Y61</f>
        <v>0.375</v>
      </c>
      <c r="J382" s="1031" t="s">
        <v>47</v>
      </c>
      <c r="K382" s="1035" t="s">
        <v>2195</v>
      </c>
      <c r="P382"/>
    </row>
    <row r="383" spans="1:16" s="1059" customFormat="1" ht="45.75" thickBot="1" x14ac:dyDescent="0.3">
      <c r="A383" s="1049" t="s">
        <v>2341</v>
      </c>
      <c r="B383" s="1057">
        <f>'[1]PLAN DE DESARROLLO 2024 - 2027'!$K$4</f>
        <v>0.29293663727866731</v>
      </c>
      <c r="C383" s="1049" t="s">
        <v>2344</v>
      </c>
      <c r="D383" s="1057">
        <f>'[1]PLAN DE DESARROLLO 2024 - 2027'!$K$11</f>
        <v>0.31811397569444444</v>
      </c>
      <c r="E383" s="1049" t="s">
        <v>150</v>
      </c>
      <c r="F383" s="1057">
        <f>'[1]PLAN DE DESARROLLO 2024 - 2027'!$K$17</f>
        <v>0.24445833333333333</v>
      </c>
      <c r="G383" s="1049" t="s">
        <v>159</v>
      </c>
      <c r="H383" s="1049" t="s">
        <v>160</v>
      </c>
      <c r="I383" s="1066">
        <f>+'Seguridad Humana'!Y62</f>
        <v>0.25</v>
      </c>
      <c r="J383" s="1049" t="s">
        <v>47</v>
      </c>
      <c r="K383" s="1058" t="s">
        <v>2195</v>
      </c>
    </row>
    <row r="384" spans="1:16" s="1059" customFormat="1" ht="30.75" thickBot="1" x14ac:dyDescent="0.3">
      <c r="A384" s="1049" t="s">
        <v>2341</v>
      </c>
      <c r="B384" s="1057">
        <f>'[1]PLAN DE DESARROLLO 2024 - 2027'!$K$4</f>
        <v>0.29293663727866731</v>
      </c>
      <c r="C384" s="1049" t="s">
        <v>2344</v>
      </c>
      <c r="D384" s="1057">
        <f>'[1]PLAN DE DESARROLLO 2024 - 2027'!$K$11</f>
        <v>0.31811397569444444</v>
      </c>
      <c r="E384" s="1049" t="s">
        <v>150</v>
      </c>
      <c r="F384" s="1057">
        <f>'[1]PLAN DE DESARROLLO 2024 - 2027'!$K$17</f>
        <v>0.24445833333333333</v>
      </c>
      <c r="G384" s="1049" t="s">
        <v>161</v>
      </c>
      <c r="H384" s="1049" t="s">
        <v>162</v>
      </c>
      <c r="I384" s="1064">
        <f>+'Seguridad Humana'!Y63</f>
        <v>0</v>
      </c>
      <c r="J384" s="1049" t="s">
        <v>47</v>
      </c>
      <c r="K384" s="1058" t="s">
        <v>2195</v>
      </c>
    </row>
    <row r="385" spans="1:16" s="1059" customFormat="1" ht="30.75" thickBot="1" x14ac:dyDescent="0.3">
      <c r="A385" s="1049" t="s">
        <v>2341</v>
      </c>
      <c r="B385" s="1057">
        <f>'[1]PLAN DE DESARROLLO 2024 - 2027'!$K$4</f>
        <v>0.29293663727866731</v>
      </c>
      <c r="C385" s="1049" t="s">
        <v>2344</v>
      </c>
      <c r="D385" s="1057">
        <f>'[1]PLAN DE DESARROLLO 2024 - 2027'!$K$11</f>
        <v>0.31811397569444444</v>
      </c>
      <c r="E385" s="1049" t="s">
        <v>150</v>
      </c>
      <c r="F385" s="1057">
        <f>'[1]PLAN DE DESARROLLO 2024 - 2027'!$K$17</f>
        <v>0.24445833333333333</v>
      </c>
      <c r="G385" s="1049" t="s">
        <v>163</v>
      </c>
      <c r="H385" s="1049" t="s">
        <v>164</v>
      </c>
      <c r="I385" s="1064">
        <f>+'Seguridad Humana'!Y64</f>
        <v>0</v>
      </c>
      <c r="J385" s="1049" t="s">
        <v>47</v>
      </c>
      <c r="K385" s="1058" t="s">
        <v>2195</v>
      </c>
    </row>
    <row r="386" spans="1:16" s="1059" customFormat="1" ht="30.75" thickBot="1" x14ac:dyDescent="0.3">
      <c r="A386" s="1049" t="s">
        <v>2341</v>
      </c>
      <c r="B386" s="1057">
        <f>'[1]PLAN DE DESARROLLO 2024 - 2027'!$K$4</f>
        <v>0.29293663727866731</v>
      </c>
      <c r="C386" s="1049" t="s">
        <v>2344</v>
      </c>
      <c r="D386" s="1057">
        <f>'[1]PLAN DE DESARROLLO 2024 - 2027'!$K$11</f>
        <v>0.31811397569444444</v>
      </c>
      <c r="E386" s="1049" t="s">
        <v>150</v>
      </c>
      <c r="F386" s="1057">
        <f>'[1]PLAN DE DESARROLLO 2024 - 2027'!$K$17</f>
        <v>0.24445833333333333</v>
      </c>
      <c r="G386" s="1049" t="s">
        <v>165</v>
      </c>
      <c r="H386" s="1049" t="s">
        <v>166</v>
      </c>
      <c r="I386" s="1064">
        <f>+'Seguridad Humana'!Y65</f>
        <v>0</v>
      </c>
      <c r="J386" s="1049" t="s">
        <v>47</v>
      </c>
      <c r="K386" s="1058" t="s">
        <v>2195</v>
      </c>
    </row>
    <row r="387" spans="1:16" s="1059" customFormat="1" ht="45.75" thickBot="1" x14ac:dyDescent="0.3">
      <c r="A387" s="1049" t="s">
        <v>2341</v>
      </c>
      <c r="B387" s="1057">
        <f>'[1]PLAN DE DESARROLLO 2024 - 2027'!$K$4</f>
        <v>0.29293663727866731</v>
      </c>
      <c r="C387" s="1049" t="s">
        <v>2344</v>
      </c>
      <c r="D387" s="1057">
        <f>'[1]PLAN DE DESARROLLO 2024 - 2027'!$K$11</f>
        <v>0.31811397569444444</v>
      </c>
      <c r="E387" s="1049" t="s">
        <v>150</v>
      </c>
      <c r="F387" s="1057">
        <f>'[1]PLAN DE DESARROLLO 2024 - 2027'!$K$17</f>
        <v>0.24445833333333333</v>
      </c>
      <c r="G387" s="1049" t="s">
        <v>167</v>
      </c>
      <c r="H387" s="1049" t="s">
        <v>168</v>
      </c>
      <c r="I387" s="1066">
        <f>+'Seguridad Humana'!Y66</f>
        <v>0.375</v>
      </c>
      <c r="J387" s="1049" t="s">
        <v>47</v>
      </c>
      <c r="K387" s="1058" t="s">
        <v>2195</v>
      </c>
    </row>
    <row r="388" spans="1:16" s="1059" customFormat="1" ht="30.75" thickBot="1" x14ac:dyDescent="0.3">
      <c r="A388" s="1049" t="s">
        <v>2341</v>
      </c>
      <c r="B388" s="1057">
        <f>'[1]PLAN DE DESARROLLO 2024 - 2027'!$K$4</f>
        <v>0.29293663727866731</v>
      </c>
      <c r="C388" s="1049" t="s">
        <v>2344</v>
      </c>
      <c r="D388" s="1057">
        <f>'[1]PLAN DE DESARROLLO 2024 - 2027'!$K$11</f>
        <v>0.31811397569444444</v>
      </c>
      <c r="E388" s="1049" t="s">
        <v>150</v>
      </c>
      <c r="F388" s="1057">
        <f>'[1]PLAN DE DESARROLLO 2024 - 2027'!$K$17</f>
        <v>0.24445833333333333</v>
      </c>
      <c r="G388" s="1049" t="s">
        <v>169</v>
      </c>
      <c r="H388" s="1049" t="s">
        <v>170</v>
      </c>
      <c r="I388" s="1066">
        <f>+'Seguridad Humana'!Y67</f>
        <v>0.375</v>
      </c>
      <c r="J388" s="1049" t="s">
        <v>47</v>
      </c>
      <c r="K388" s="1058" t="s">
        <v>2195</v>
      </c>
    </row>
    <row r="389" spans="1:16" s="1059" customFormat="1" ht="30.75" thickBot="1" x14ac:dyDescent="0.3">
      <c r="A389" s="1049" t="s">
        <v>2341</v>
      </c>
      <c r="B389" s="1057">
        <f>'[1]PLAN DE DESARROLLO 2024 - 2027'!$K$4</f>
        <v>0.29293663727866731</v>
      </c>
      <c r="C389" s="1049" t="s">
        <v>2344</v>
      </c>
      <c r="D389" s="1057">
        <f>'[1]PLAN DE DESARROLLO 2024 - 2027'!$K$11</f>
        <v>0.31811397569444444</v>
      </c>
      <c r="E389" s="1049" t="s">
        <v>150</v>
      </c>
      <c r="F389" s="1057">
        <f>'[1]PLAN DE DESARROLLO 2024 - 2027'!$K$17</f>
        <v>0.24445833333333333</v>
      </c>
      <c r="G389" s="1049" t="s">
        <v>171</v>
      </c>
      <c r="H389" s="1049" t="s">
        <v>172</v>
      </c>
      <c r="I389" s="1066">
        <f>+'Seguridad Humana'!Y68</f>
        <v>0.375</v>
      </c>
      <c r="J389" s="1049" t="s">
        <v>47</v>
      </c>
      <c r="K389" s="1058" t="s">
        <v>2195</v>
      </c>
    </row>
    <row r="390" spans="1:16" s="1059" customFormat="1" ht="30.75" thickBot="1" x14ac:dyDescent="0.3">
      <c r="A390" s="1049" t="s">
        <v>2341</v>
      </c>
      <c r="B390" s="1057">
        <f>'[1]PLAN DE DESARROLLO 2024 - 2027'!$K$4</f>
        <v>0.29293663727866731</v>
      </c>
      <c r="C390" s="1049" t="s">
        <v>2344</v>
      </c>
      <c r="D390" s="1057">
        <f>'[1]PLAN DE DESARROLLO 2024 - 2027'!$K$11</f>
        <v>0.31811397569444444</v>
      </c>
      <c r="E390" s="1049" t="s">
        <v>150</v>
      </c>
      <c r="F390" s="1057">
        <f>'[1]PLAN DE DESARROLLO 2024 - 2027'!$K$17</f>
        <v>0.24445833333333333</v>
      </c>
      <c r="G390" s="1049" t="s">
        <v>173</v>
      </c>
      <c r="H390" s="1049" t="s">
        <v>174</v>
      </c>
      <c r="I390" s="1066">
        <f>+'Seguridad Humana'!Y69</f>
        <v>0.25</v>
      </c>
      <c r="J390" s="1049" t="s">
        <v>47</v>
      </c>
      <c r="K390" s="1058" t="s">
        <v>2195</v>
      </c>
    </row>
    <row r="391" spans="1:16" s="1059" customFormat="1" ht="30.75" thickBot="1" x14ac:dyDescent="0.3">
      <c r="A391" s="1049" t="s">
        <v>2341</v>
      </c>
      <c r="B391" s="1057">
        <f>'[1]PLAN DE DESARROLLO 2024 - 2027'!$K$4</f>
        <v>0.29293663727866731</v>
      </c>
      <c r="C391" s="1049" t="s">
        <v>2344</v>
      </c>
      <c r="D391" s="1057">
        <f>'[1]PLAN DE DESARROLLO 2024 - 2027'!$K$11</f>
        <v>0.31811397569444444</v>
      </c>
      <c r="E391" s="1049" t="s">
        <v>150</v>
      </c>
      <c r="F391" s="1057">
        <f>'[1]PLAN DE DESARROLLO 2024 - 2027'!$K$17</f>
        <v>0.24445833333333333</v>
      </c>
      <c r="G391" s="1049" t="s">
        <v>175</v>
      </c>
      <c r="H391" s="1049" t="s">
        <v>176</v>
      </c>
      <c r="I391" s="1066">
        <f>+'Seguridad Humana'!Y70</f>
        <v>0.375</v>
      </c>
      <c r="J391" s="1049" t="s">
        <v>47</v>
      </c>
      <c r="K391" s="1058" t="s">
        <v>2195</v>
      </c>
    </row>
    <row r="392" spans="1:16" s="1059" customFormat="1" ht="30.75" thickBot="1" x14ac:dyDescent="0.3">
      <c r="A392" s="1049" t="s">
        <v>2341</v>
      </c>
      <c r="B392" s="1057">
        <f>'[1]PLAN DE DESARROLLO 2024 - 2027'!$K$4</f>
        <v>0.29293663727866731</v>
      </c>
      <c r="C392" s="1049" t="s">
        <v>2344</v>
      </c>
      <c r="D392" s="1057">
        <f>'[1]PLAN DE DESARROLLO 2024 - 2027'!$K$11</f>
        <v>0.31811397569444444</v>
      </c>
      <c r="E392" s="1049" t="s">
        <v>150</v>
      </c>
      <c r="F392" s="1057">
        <f>'[1]PLAN DE DESARROLLO 2024 - 2027'!$K$17</f>
        <v>0.24445833333333333</v>
      </c>
      <c r="G392" s="1049" t="s">
        <v>177</v>
      </c>
      <c r="H392" s="1049" t="s">
        <v>178</v>
      </c>
      <c r="I392" s="1066">
        <f>+'Seguridad Humana'!Y71</f>
        <v>0.25</v>
      </c>
      <c r="J392" s="1049" t="s">
        <v>47</v>
      </c>
      <c r="K392" s="1058" t="s">
        <v>2195</v>
      </c>
    </row>
    <row r="393" spans="1:16" s="1059" customFormat="1" ht="45.75" thickBot="1" x14ac:dyDescent="0.3">
      <c r="A393" s="1049" t="s">
        <v>2341</v>
      </c>
      <c r="B393" s="1057">
        <f>'[1]PLAN DE DESARROLLO 2024 - 2027'!$K$4</f>
        <v>0.29293663727866731</v>
      </c>
      <c r="C393" s="1049" t="s">
        <v>2344</v>
      </c>
      <c r="D393" s="1057">
        <f>'[1]PLAN DE DESARROLLO 2024 - 2027'!$K$11</f>
        <v>0.31811397569444444</v>
      </c>
      <c r="E393" s="1049" t="s">
        <v>150</v>
      </c>
      <c r="F393" s="1057">
        <f>'[1]PLAN DE DESARROLLO 2024 - 2027'!$K$17</f>
        <v>0.24445833333333333</v>
      </c>
      <c r="G393" s="1049" t="s">
        <v>179</v>
      </c>
      <c r="H393" s="1049" t="s">
        <v>180</v>
      </c>
      <c r="I393" s="1064">
        <f>+'Seguridad Humana'!Y72</f>
        <v>0</v>
      </c>
      <c r="J393" s="1049" t="s">
        <v>47</v>
      </c>
      <c r="K393" s="1058" t="s">
        <v>2195</v>
      </c>
    </row>
    <row r="394" spans="1:16" s="1059" customFormat="1" ht="45.75" thickBot="1" x14ac:dyDescent="0.3">
      <c r="A394" s="1049" t="s">
        <v>2341</v>
      </c>
      <c r="B394" s="1057">
        <f>'[1]PLAN DE DESARROLLO 2024 - 2027'!$K$4</f>
        <v>0.29293663727866731</v>
      </c>
      <c r="C394" s="1049" t="s">
        <v>2344</v>
      </c>
      <c r="D394" s="1057">
        <f>'[1]PLAN DE DESARROLLO 2024 - 2027'!$K$11</f>
        <v>0.31811397569444444</v>
      </c>
      <c r="E394" s="1049" t="s">
        <v>150</v>
      </c>
      <c r="F394" s="1057">
        <f>'[1]PLAN DE DESARROLLO 2024 - 2027'!$K$17</f>
        <v>0.24445833333333333</v>
      </c>
      <c r="G394" s="1049" t="s">
        <v>181</v>
      </c>
      <c r="H394" s="1049" t="s">
        <v>182</v>
      </c>
      <c r="I394" s="1066">
        <f>+'Seguridad Humana'!Y73</f>
        <v>0.625</v>
      </c>
      <c r="J394" s="1049" t="s">
        <v>47</v>
      </c>
      <c r="K394" s="1058" t="s">
        <v>2195</v>
      </c>
    </row>
    <row r="395" spans="1:16" s="1059" customFormat="1" ht="30.75" thickBot="1" x14ac:dyDescent="0.3">
      <c r="A395" s="1049" t="s">
        <v>2341</v>
      </c>
      <c r="B395" s="1057">
        <f>'[1]PLAN DE DESARROLLO 2024 - 2027'!$K$4</f>
        <v>0.29293663727866731</v>
      </c>
      <c r="C395" s="1049" t="s">
        <v>2344</v>
      </c>
      <c r="D395" s="1057">
        <f>'[1]PLAN DE DESARROLLO 2024 - 2027'!$K$11</f>
        <v>0.31811397569444444</v>
      </c>
      <c r="E395" s="1049" t="s">
        <v>150</v>
      </c>
      <c r="F395" s="1057">
        <f>'[1]PLAN DE DESARROLLO 2024 - 2027'!$K$17</f>
        <v>0.24445833333333333</v>
      </c>
      <c r="G395" s="1049" t="s">
        <v>183</v>
      </c>
      <c r="H395" s="1049" t="s">
        <v>184</v>
      </c>
      <c r="I395" s="1064">
        <f>+'Seguridad Humana'!Y74</f>
        <v>0.5</v>
      </c>
      <c r="J395" s="1049" t="s">
        <v>47</v>
      </c>
      <c r="K395" s="1058" t="s">
        <v>2195</v>
      </c>
    </row>
    <row r="396" spans="1:16" s="1059" customFormat="1" ht="30.75" thickBot="1" x14ac:dyDescent="0.3">
      <c r="A396" s="1049" t="s">
        <v>2341</v>
      </c>
      <c r="B396" s="1057">
        <f>'[1]PLAN DE DESARROLLO 2024 - 2027'!$K$4</f>
        <v>0.29293663727866731</v>
      </c>
      <c r="C396" s="1049" t="s">
        <v>2344</v>
      </c>
      <c r="D396" s="1057">
        <f>'[1]PLAN DE DESARROLLO 2024 - 2027'!$K$11</f>
        <v>0.31811397569444444</v>
      </c>
      <c r="E396" s="1049" t="s">
        <v>150</v>
      </c>
      <c r="F396" s="1057">
        <f>'[1]PLAN DE DESARROLLO 2024 - 2027'!$K$17</f>
        <v>0.24445833333333333</v>
      </c>
      <c r="G396" s="1049" t="s">
        <v>185</v>
      </c>
      <c r="H396" s="1049" t="s">
        <v>186</v>
      </c>
      <c r="I396" s="1064">
        <f>+'Seguridad Humana'!Y75</f>
        <v>0</v>
      </c>
      <c r="J396" s="1049" t="s">
        <v>47</v>
      </c>
      <c r="K396" s="1058" t="s">
        <v>2195</v>
      </c>
    </row>
    <row r="397" spans="1:16" s="1059" customFormat="1" ht="45.75" thickBot="1" x14ac:dyDescent="0.3">
      <c r="A397" s="1049" t="s">
        <v>2341</v>
      </c>
      <c r="B397" s="1057">
        <f>'[1]PLAN DE DESARROLLO 2024 - 2027'!$K$4</f>
        <v>0.29293663727866731</v>
      </c>
      <c r="C397" s="1049" t="s">
        <v>2344</v>
      </c>
      <c r="D397" s="1057">
        <f>'[1]PLAN DE DESARROLLO 2024 - 2027'!$K$11</f>
        <v>0.31811397569444444</v>
      </c>
      <c r="E397" s="1049" t="s">
        <v>150</v>
      </c>
      <c r="F397" s="1057">
        <f>'[1]PLAN DE DESARROLLO 2024 - 2027'!$K$17</f>
        <v>0.24445833333333333</v>
      </c>
      <c r="G397" s="1049" t="s">
        <v>187</v>
      </c>
      <c r="H397" s="1049" t="s">
        <v>188</v>
      </c>
      <c r="I397" s="1064">
        <f>+'Seguridad Humana'!Y76</f>
        <v>0</v>
      </c>
      <c r="J397" s="1049" t="s">
        <v>47</v>
      </c>
      <c r="K397" s="1058" t="s">
        <v>2195</v>
      </c>
    </row>
    <row r="398" spans="1:16" ht="30.75" thickBot="1" x14ac:dyDescent="0.3">
      <c r="A398" s="1031" t="s">
        <v>2341</v>
      </c>
      <c r="B398" s="1034">
        <f>'[1]PLAN DE DESARROLLO 2024 - 2027'!$K$4</f>
        <v>0.29293663727866731</v>
      </c>
      <c r="C398" s="1031" t="s">
        <v>2344</v>
      </c>
      <c r="D398" s="1034">
        <f>'[1]PLAN DE DESARROLLO 2024 - 2027'!$K$11</f>
        <v>0.31811397569444444</v>
      </c>
      <c r="E398" s="1031" t="s">
        <v>189</v>
      </c>
      <c r="F398" s="1034">
        <f>'[1]PLAN DE DESARROLLO 2024 - 2027'!$K$18</f>
        <v>0.31953124999999999</v>
      </c>
      <c r="G398" s="1031" t="s">
        <v>190</v>
      </c>
      <c r="H398" s="1031" t="s">
        <v>191</v>
      </c>
      <c r="I398" s="1063">
        <f>+'Seguridad Humana'!Y78</f>
        <v>0.5</v>
      </c>
      <c r="J398" s="1031" t="s">
        <v>47</v>
      </c>
      <c r="K398" s="1035" t="s">
        <v>2195</v>
      </c>
      <c r="P398"/>
    </row>
    <row r="399" spans="1:16" ht="30.75" thickBot="1" x14ac:dyDescent="0.3">
      <c r="A399" s="1031" t="s">
        <v>2341</v>
      </c>
      <c r="B399" s="1034">
        <f>'[1]PLAN DE DESARROLLO 2024 - 2027'!$K$4</f>
        <v>0.29293663727866731</v>
      </c>
      <c r="C399" s="1031" t="s">
        <v>2344</v>
      </c>
      <c r="D399" s="1034">
        <f>'[1]PLAN DE DESARROLLO 2024 - 2027'!$K$11</f>
        <v>0.31811397569444444</v>
      </c>
      <c r="E399" s="1031" t="s">
        <v>189</v>
      </c>
      <c r="F399" s="1034">
        <f>'[1]PLAN DE DESARROLLO 2024 - 2027'!$K$18</f>
        <v>0.31953124999999999</v>
      </c>
      <c r="G399" s="1031" t="s">
        <v>192</v>
      </c>
      <c r="H399" s="1031" t="s">
        <v>193</v>
      </c>
      <c r="I399" s="1063">
        <f>+'Seguridad Humana'!Y79</f>
        <v>0.378</v>
      </c>
      <c r="J399" s="1031" t="s">
        <v>47</v>
      </c>
      <c r="K399" s="1035" t="s">
        <v>2195</v>
      </c>
      <c r="P399"/>
    </row>
    <row r="400" spans="1:16" ht="30.75" thickBot="1" x14ac:dyDescent="0.3">
      <c r="A400" s="1031" t="s">
        <v>2341</v>
      </c>
      <c r="B400" s="1034">
        <f>'[1]PLAN DE DESARROLLO 2024 - 2027'!$K$4</f>
        <v>0.29293663727866731</v>
      </c>
      <c r="C400" s="1031" t="s">
        <v>2344</v>
      </c>
      <c r="D400" s="1034">
        <f>'[1]PLAN DE DESARROLLO 2024 - 2027'!$K$11</f>
        <v>0.31811397569444444</v>
      </c>
      <c r="E400" s="1031" t="s">
        <v>189</v>
      </c>
      <c r="F400" s="1034">
        <f>'[1]PLAN DE DESARROLLO 2024 - 2027'!$K$18</f>
        <v>0.31953124999999999</v>
      </c>
      <c r="G400" s="1031" t="s">
        <v>194</v>
      </c>
      <c r="H400" s="1031" t="s">
        <v>195</v>
      </c>
      <c r="I400" s="1064">
        <f>+'Seguridad Humana'!Y80</f>
        <v>0</v>
      </c>
      <c r="J400" s="1031" t="s">
        <v>47</v>
      </c>
      <c r="K400" s="1035" t="s">
        <v>2195</v>
      </c>
      <c r="P400"/>
    </row>
    <row r="401" spans="1:16" ht="45.75" thickBot="1" x14ac:dyDescent="0.3">
      <c r="A401" s="1031" t="s">
        <v>2341</v>
      </c>
      <c r="B401" s="1034">
        <f>'[1]PLAN DE DESARROLLO 2024 - 2027'!$K$4</f>
        <v>0.29293663727866731</v>
      </c>
      <c r="C401" s="1031" t="s">
        <v>2344</v>
      </c>
      <c r="D401" s="1034">
        <f>'[1]PLAN DE DESARROLLO 2024 - 2027'!$K$11</f>
        <v>0.31811397569444444</v>
      </c>
      <c r="E401" s="1031" t="s">
        <v>189</v>
      </c>
      <c r="F401" s="1034">
        <f>'[1]PLAN DE DESARROLLO 2024 - 2027'!$K$18</f>
        <v>0.31953124999999999</v>
      </c>
      <c r="G401" s="1031" t="s">
        <v>196</v>
      </c>
      <c r="H401" s="1031" t="s">
        <v>197</v>
      </c>
      <c r="I401" s="1064">
        <f>+'Seguridad Humana'!Y81</f>
        <v>0</v>
      </c>
      <c r="J401" s="1031" t="s">
        <v>47</v>
      </c>
      <c r="K401" s="1035" t="s">
        <v>2195</v>
      </c>
      <c r="P401"/>
    </row>
    <row r="402" spans="1:16" ht="45.75" thickBot="1" x14ac:dyDescent="0.3">
      <c r="A402" s="1031" t="s">
        <v>2341</v>
      </c>
      <c r="B402" s="1034">
        <f>'[1]PLAN DE DESARROLLO 2024 - 2027'!$K$4</f>
        <v>0.29293663727866731</v>
      </c>
      <c r="C402" s="1031" t="s">
        <v>2344</v>
      </c>
      <c r="D402" s="1034">
        <f>'[1]PLAN DE DESARROLLO 2024 - 2027'!$K$11</f>
        <v>0.31811397569444444</v>
      </c>
      <c r="E402" s="1031" t="s">
        <v>189</v>
      </c>
      <c r="F402" s="1034">
        <f>'[1]PLAN DE DESARROLLO 2024 - 2027'!$K$18</f>
        <v>0.31953124999999999</v>
      </c>
      <c r="G402" s="1031" t="s">
        <v>198</v>
      </c>
      <c r="H402" s="1031" t="s">
        <v>199</v>
      </c>
      <c r="I402" s="1063">
        <f>+'Seguridad Humana'!Y82</f>
        <v>0.5</v>
      </c>
      <c r="J402" s="1031" t="s">
        <v>47</v>
      </c>
      <c r="K402" s="1035" t="s">
        <v>2195</v>
      </c>
      <c r="P402"/>
    </row>
    <row r="403" spans="1:16" ht="30.75" thickBot="1" x14ac:dyDescent="0.3">
      <c r="A403" s="1031" t="s">
        <v>2341</v>
      </c>
      <c r="B403" s="1034">
        <f>'[1]PLAN DE DESARROLLO 2024 - 2027'!$K$4</f>
        <v>0.29293663727866731</v>
      </c>
      <c r="C403" s="1031" t="s">
        <v>2344</v>
      </c>
      <c r="D403" s="1034">
        <f>'[1]PLAN DE DESARROLLO 2024 - 2027'!$K$11</f>
        <v>0.31811397569444444</v>
      </c>
      <c r="E403" s="1031" t="s">
        <v>189</v>
      </c>
      <c r="F403" s="1034">
        <f>'[1]PLAN DE DESARROLLO 2024 - 2027'!$K$18</f>
        <v>0.31953124999999999</v>
      </c>
      <c r="G403" s="1031" t="s">
        <v>200</v>
      </c>
      <c r="H403" s="1031" t="s">
        <v>201</v>
      </c>
      <c r="I403" s="1063">
        <f>+'Seguridad Humana'!Y83</f>
        <v>0.375</v>
      </c>
      <c r="J403" s="1031" t="s">
        <v>47</v>
      </c>
      <c r="K403" s="1035" t="s">
        <v>2195</v>
      </c>
      <c r="P403"/>
    </row>
    <row r="404" spans="1:16" ht="30.75" thickBot="1" x14ac:dyDescent="0.3">
      <c r="A404" s="1031" t="s">
        <v>2341</v>
      </c>
      <c r="B404" s="1034">
        <f>'[1]PLAN DE DESARROLLO 2024 - 2027'!$K$4</f>
        <v>0.29293663727866731</v>
      </c>
      <c r="C404" s="1031" t="s">
        <v>2344</v>
      </c>
      <c r="D404" s="1034">
        <f>'[1]PLAN DE DESARROLLO 2024 - 2027'!$K$11</f>
        <v>0.31811397569444444</v>
      </c>
      <c r="E404" s="1031" t="s">
        <v>189</v>
      </c>
      <c r="F404" s="1034">
        <f>'[1]PLAN DE DESARROLLO 2024 - 2027'!$K$18</f>
        <v>0.31953124999999999</v>
      </c>
      <c r="G404" s="1031" t="s">
        <v>202</v>
      </c>
      <c r="H404" s="1031" t="s">
        <v>203</v>
      </c>
      <c r="I404" s="1063">
        <f>+'Seguridad Humana'!Y84</f>
        <v>0.375</v>
      </c>
      <c r="J404" s="1031" t="s">
        <v>47</v>
      </c>
      <c r="K404" s="1035" t="s">
        <v>2195</v>
      </c>
      <c r="P404"/>
    </row>
    <row r="405" spans="1:16" ht="45.75" thickBot="1" x14ac:dyDescent="0.3">
      <c r="A405" s="1031" t="s">
        <v>2341</v>
      </c>
      <c r="B405" s="1034">
        <f>'[1]PLAN DE DESARROLLO 2024 - 2027'!$K$4</f>
        <v>0.29293663727866731</v>
      </c>
      <c r="C405" s="1031" t="s">
        <v>2344</v>
      </c>
      <c r="D405" s="1034">
        <f>'[1]PLAN DE DESARROLLO 2024 - 2027'!$K$11</f>
        <v>0.31811397569444444</v>
      </c>
      <c r="E405" s="1031" t="s">
        <v>189</v>
      </c>
      <c r="F405" s="1034">
        <f>'[1]PLAN DE DESARROLLO 2024 - 2027'!$K$18</f>
        <v>0.31953124999999999</v>
      </c>
      <c r="G405" s="1031" t="s">
        <v>204</v>
      </c>
      <c r="H405" s="1031" t="s">
        <v>205</v>
      </c>
      <c r="I405" s="1064">
        <f>+'Seguridad Humana'!Y85</f>
        <v>0</v>
      </c>
      <c r="J405" s="1031" t="s">
        <v>47</v>
      </c>
      <c r="K405" s="1035" t="s">
        <v>2195</v>
      </c>
      <c r="P405"/>
    </row>
    <row r="406" spans="1:16" ht="30.75" thickBot="1" x14ac:dyDescent="0.3">
      <c r="A406" s="1031" t="s">
        <v>2341</v>
      </c>
      <c r="B406" s="1034">
        <f>'[1]PLAN DE DESARROLLO 2024 - 2027'!$K$4</f>
        <v>0.29293663727866731</v>
      </c>
      <c r="C406" s="1031" t="s">
        <v>2344</v>
      </c>
      <c r="D406" s="1034">
        <f>'[1]PLAN DE DESARROLLO 2024 - 2027'!$K$11</f>
        <v>0.31811397569444444</v>
      </c>
      <c r="E406" s="1031" t="s">
        <v>189</v>
      </c>
      <c r="F406" s="1034">
        <f>'[1]PLAN DE DESARROLLO 2024 - 2027'!$K$18</f>
        <v>0.31953124999999999</v>
      </c>
      <c r="G406" s="1031" t="s">
        <v>206</v>
      </c>
      <c r="H406" s="1031" t="s">
        <v>207</v>
      </c>
      <c r="I406" s="1063">
        <f>+'Seguridad Humana'!Y86</f>
        <v>0.375</v>
      </c>
      <c r="J406" s="1031" t="s">
        <v>47</v>
      </c>
      <c r="K406" s="1035" t="s">
        <v>2195</v>
      </c>
      <c r="P406"/>
    </row>
    <row r="407" spans="1:16" ht="45.75" thickBot="1" x14ac:dyDescent="0.3">
      <c r="A407" s="1031" t="s">
        <v>2341</v>
      </c>
      <c r="B407" s="1034">
        <f>'[1]PLAN DE DESARROLLO 2024 - 2027'!$K$4</f>
        <v>0.29293663727866731</v>
      </c>
      <c r="C407" s="1031" t="s">
        <v>2344</v>
      </c>
      <c r="D407" s="1034">
        <f>'[1]PLAN DE DESARROLLO 2024 - 2027'!$K$11</f>
        <v>0.31811397569444444</v>
      </c>
      <c r="E407" s="1031" t="s">
        <v>208</v>
      </c>
      <c r="F407" s="1034">
        <f>'[1]PLAN DE DESARROLLO 2024 - 2027'!$K$19</f>
        <v>0.375</v>
      </c>
      <c r="G407" s="1031" t="s">
        <v>209</v>
      </c>
      <c r="H407" s="1031" t="s">
        <v>210</v>
      </c>
      <c r="I407" s="1064">
        <f>+'Seguridad Humana'!Y88</f>
        <v>0</v>
      </c>
      <c r="J407" s="1031" t="s">
        <v>47</v>
      </c>
      <c r="K407" s="1035" t="s">
        <v>2195</v>
      </c>
      <c r="P407"/>
    </row>
    <row r="408" spans="1:16" ht="30.75" thickBot="1" x14ac:dyDescent="0.3">
      <c r="A408" s="1031" t="s">
        <v>2341</v>
      </c>
      <c r="B408" s="1034">
        <f>'[1]PLAN DE DESARROLLO 2024 - 2027'!$K$4</f>
        <v>0.29293663727866731</v>
      </c>
      <c r="C408" s="1031" t="s">
        <v>2344</v>
      </c>
      <c r="D408" s="1034">
        <f>'[1]PLAN DE DESARROLLO 2024 - 2027'!$K$11</f>
        <v>0.31811397569444444</v>
      </c>
      <c r="E408" s="1031" t="s">
        <v>208</v>
      </c>
      <c r="F408" s="1034">
        <f>'[1]PLAN DE DESARROLLO 2024 - 2027'!$K$19</f>
        <v>0.375</v>
      </c>
      <c r="G408" s="1031" t="s">
        <v>211</v>
      </c>
      <c r="H408" s="1031" t="s">
        <v>212</v>
      </c>
      <c r="I408" s="1063">
        <f>+'Seguridad Humana'!Y89</f>
        <v>0.5</v>
      </c>
      <c r="J408" s="1031" t="s">
        <v>47</v>
      </c>
      <c r="K408" s="1035" t="s">
        <v>2195</v>
      </c>
      <c r="P408"/>
    </row>
    <row r="409" spans="1:16" ht="30.75" thickBot="1" x14ac:dyDescent="0.3">
      <c r="A409" s="1031" t="s">
        <v>2341</v>
      </c>
      <c r="B409" s="1034">
        <f>'[1]PLAN DE DESARROLLO 2024 - 2027'!$K$4</f>
        <v>0.29293663727866731</v>
      </c>
      <c r="C409" s="1031" t="s">
        <v>2344</v>
      </c>
      <c r="D409" s="1034">
        <f>'[1]PLAN DE DESARROLLO 2024 - 2027'!$K$11</f>
        <v>0.31811397569444444</v>
      </c>
      <c r="E409" s="1031" t="s">
        <v>208</v>
      </c>
      <c r="F409" s="1034">
        <f>'[1]PLAN DE DESARROLLO 2024 - 2027'!$K$19</f>
        <v>0.375</v>
      </c>
      <c r="G409" s="1031" t="s">
        <v>213</v>
      </c>
      <c r="H409" s="1031" t="s">
        <v>214</v>
      </c>
      <c r="I409" s="1063">
        <f>+'Seguridad Humana'!Y90</f>
        <v>0.25</v>
      </c>
      <c r="J409" s="1031" t="s">
        <v>47</v>
      </c>
      <c r="K409" s="1035" t="s">
        <v>2195</v>
      </c>
      <c r="P409"/>
    </row>
    <row r="410" spans="1:16" ht="45.75" thickBot="1" x14ac:dyDescent="0.3">
      <c r="A410" s="1031" t="s">
        <v>2341</v>
      </c>
      <c r="B410" s="1034">
        <f>'[1]PLAN DE DESARROLLO 2024 - 2027'!$K$4</f>
        <v>0.29293663727866731</v>
      </c>
      <c r="C410" s="1031" t="s">
        <v>2347</v>
      </c>
      <c r="D410" s="1034">
        <f>'[1]PLAN DE DESARROLLO 2024 - 2027'!$K$20</f>
        <v>0.23527151611744229</v>
      </c>
      <c r="E410" s="1031" t="s">
        <v>2348</v>
      </c>
      <c r="F410" s="1034">
        <f>'[1]PLAN DE DESARROLLO 2024 - 2027'!$K$21</f>
        <v>0.26717664873866304</v>
      </c>
      <c r="G410" s="1031" t="s">
        <v>217</v>
      </c>
      <c r="H410" s="1031" t="s">
        <v>218</v>
      </c>
      <c r="I410" s="1063">
        <f>+'Seguridad Humana'!Y93</f>
        <v>0.38219698920617168</v>
      </c>
      <c r="J410" s="1031" t="s">
        <v>219</v>
      </c>
      <c r="K410" s="1035" t="s">
        <v>2195</v>
      </c>
      <c r="P410"/>
    </row>
    <row r="411" spans="1:16" ht="30.75" thickBot="1" x14ac:dyDescent="0.3">
      <c r="A411" s="1031" t="s">
        <v>2341</v>
      </c>
      <c r="B411" s="1034">
        <f>'[1]PLAN DE DESARROLLO 2024 - 2027'!$K$4</f>
        <v>0.29293663727866731</v>
      </c>
      <c r="C411" s="1031" t="s">
        <v>2347</v>
      </c>
      <c r="D411" s="1034">
        <f>'[1]PLAN DE DESARROLLO 2024 - 2027'!$K$20</f>
        <v>0.23527151611744229</v>
      </c>
      <c r="E411" s="1031" t="s">
        <v>2348</v>
      </c>
      <c r="F411" s="1034">
        <f>'[1]PLAN DE DESARROLLO 2024 - 2027'!$K$21</f>
        <v>0.26717664873866304</v>
      </c>
      <c r="G411" s="1031" t="s">
        <v>221</v>
      </c>
      <c r="H411" s="1031" t="s">
        <v>222</v>
      </c>
      <c r="I411" s="1063">
        <f>+'Seguridad Humana'!Y94</f>
        <v>0.44645000000000001</v>
      </c>
      <c r="J411" s="1031" t="s">
        <v>219</v>
      </c>
      <c r="K411" s="1035" t="s">
        <v>2195</v>
      </c>
      <c r="P411"/>
    </row>
    <row r="412" spans="1:16" ht="30.75" thickBot="1" x14ac:dyDescent="0.3">
      <c r="A412" s="1031" t="s">
        <v>2341</v>
      </c>
      <c r="B412" s="1034">
        <f>'[1]PLAN DE DESARROLLO 2024 - 2027'!$K$4</f>
        <v>0.29293663727866731</v>
      </c>
      <c r="C412" s="1031" t="s">
        <v>2347</v>
      </c>
      <c r="D412" s="1034">
        <f>'[1]PLAN DE DESARROLLO 2024 - 2027'!$K$20</f>
        <v>0.23527151611744229</v>
      </c>
      <c r="E412" s="1031" t="s">
        <v>2348</v>
      </c>
      <c r="F412" s="1034">
        <f>'[1]PLAN DE DESARROLLO 2024 - 2027'!$K$21</f>
        <v>0.26717664873866304</v>
      </c>
      <c r="G412" s="1031" t="s">
        <v>223</v>
      </c>
      <c r="H412" s="1031" t="s">
        <v>224</v>
      </c>
      <c r="I412" s="1063">
        <f>+'Seguridad Humana'!Y95</f>
        <v>0.375</v>
      </c>
      <c r="J412" s="1031" t="s">
        <v>219</v>
      </c>
      <c r="K412" s="1035" t="s">
        <v>2195</v>
      </c>
      <c r="P412"/>
    </row>
    <row r="413" spans="1:16" ht="30.75" thickBot="1" x14ac:dyDescent="0.3">
      <c r="A413" s="1031" t="s">
        <v>2341</v>
      </c>
      <c r="B413" s="1034">
        <f>'[1]PLAN DE DESARROLLO 2024 - 2027'!$K$4</f>
        <v>0.29293663727866731</v>
      </c>
      <c r="C413" s="1031" t="s">
        <v>2347</v>
      </c>
      <c r="D413" s="1034">
        <f>'[1]PLAN DE DESARROLLO 2024 - 2027'!$K$20</f>
        <v>0.23527151611744229</v>
      </c>
      <c r="E413" s="1031" t="s">
        <v>2348</v>
      </c>
      <c r="F413" s="1034">
        <f>'[1]PLAN DE DESARROLLO 2024 - 2027'!$K$21</f>
        <v>0.26717664873866304</v>
      </c>
      <c r="G413" s="1031" t="s">
        <v>225</v>
      </c>
      <c r="H413" s="1031" t="s">
        <v>226</v>
      </c>
      <c r="I413" s="1063">
        <f>+'Seguridad Humana'!Y96</f>
        <v>0.37903225806451613</v>
      </c>
      <c r="J413" s="1031" t="s">
        <v>219</v>
      </c>
      <c r="K413" s="1035" t="s">
        <v>2195</v>
      </c>
      <c r="P413"/>
    </row>
    <row r="414" spans="1:16" ht="60.75" thickBot="1" x14ac:dyDescent="0.3">
      <c r="A414" s="1031" t="s">
        <v>2341</v>
      </c>
      <c r="B414" s="1034">
        <f>'[1]PLAN DE DESARROLLO 2024 - 2027'!$K$4</f>
        <v>0.29293663727866731</v>
      </c>
      <c r="C414" s="1031" t="s">
        <v>2347</v>
      </c>
      <c r="D414" s="1034">
        <f>'[1]PLAN DE DESARROLLO 2024 - 2027'!$K$20</f>
        <v>0.23527151611744229</v>
      </c>
      <c r="E414" s="1031" t="s">
        <v>2348</v>
      </c>
      <c r="F414" s="1034">
        <f>'[1]PLAN DE DESARROLLO 2024 - 2027'!$K$21</f>
        <v>0.26717664873866304</v>
      </c>
      <c r="G414" s="1031" t="s">
        <v>228</v>
      </c>
      <c r="H414" s="1031" t="s">
        <v>229</v>
      </c>
      <c r="I414" s="1063">
        <f>+'Seguridad Humana'!Y97</f>
        <v>0.38333333333333336</v>
      </c>
      <c r="J414" s="1031" t="s">
        <v>219</v>
      </c>
      <c r="K414" s="1035" t="s">
        <v>2195</v>
      </c>
      <c r="P414"/>
    </row>
    <row r="415" spans="1:16" ht="49.15" customHeight="1" thickBot="1" x14ac:dyDescent="0.3">
      <c r="A415" s="1031" t="s">
        <v>2341</v>
      </c>
      <c r="B415" s="1034">
        <f>'[1]PLAN DE DESARROLLO 2024 - 2027'!$K$4</f>
        <v>0.29293663727866731</v>
      </c>
      <c r="C415" s="1031" t="s">
        <v>2347</v>
      </c>
      <c r="D415" s="1034">
        <f>'[1]PLAN DE DESARROLLO 2024 - 2027'!$K$20</f>
        <v>0.23527151611744229</v>
      </c>
      <c r="E415" s="1031" t="s">
        <v>2348</v>
      </c>
      <c r="F415" s="1034">
        <f>'[1]PLAN DE DESARROLLO 2024 - 2027'!$K$21</f>
        <v>0.26717664873866304</v>
      </c>
      <c r="G415" s="1031" t="s">
        <v>230</v>
      </c>
      <c r="H415" s="1031" t="s">
        <v>231</v>
      </c>
      <c r="I415" s="1063">
        <f>+'Seguridad Humana'!Y98</f>
        <v>0</v>
      </c>
      <c r="J415" s="1031" t="s">
        <v>2349</v>
      </c>
      <c r="K415" s="1035" t="s">
        <v>2195</v>
      </c>
      <c r="P415"/>
    </row>
    <row r="416" spans="1:16" ht="70.150000000000006" customHeight="1" thickBot="1" x14ac:dyDescent="0.3">
      <c r="A416" s="1031" t="s">
        <v>2341</v>
      </c>
      <c r="B416" s="1034">
        <f>'[1]PLAN DE DESARROLLO 2024 - 2027'!$K$4</f>
        <v>0.29293663727866731</v>
      </c>
      <c r="C416" s="1031" t="s">
        <v>2347</v>
      </c>
      <c r="D416" s="1034">
        <f>'[1]PLAN DE DESARROLLO 2024 - 2027'!$K$20</f>
        <v>0.23527151611744229</v>
      </c>
      <c r="E416" s="1031" t="s">
        <v>2350</v>
      </c>
      <c r="F416" s="1034">
        <f>'[1]PLAN DE DESARROLLO 2024 - 2027'!$K$22</f>
        <v>0.21388333333333334</v>
      </c>
      <c r="G416" s="1031" t="s">
        <v>234</v>
      </c>
      <c r="H416" s="1031" t="s">
        <v>235</v>
      </c>
      <c r="I416" s="1063">
        <f>+'Seguridad Humana'!Y100</f>
        <v>0.13750000000000001</v>
      </c>
      <c r="J416" s="1031" t="s">
        <v>219</v>
      </c>
      <c r="K416" s="1035" t="s">
        <v>2195</v>
      </c>
      <c r="P416"/>
    </row>
    <row r="417" spans="1:16" ht="45.75" thickBot="1" x14ac:dyDescent="0.3">
      <c r="A417" s="1031" t="s">
        <v>2341</v>
      </c>
      <c r="B417" s="1034">
        <f>'[1]PLAN DE DESARROLLO 2024 - 2027'!$K$4</f>
        <v>0.29293663727866731</v>
      </c>
      <c r="C417" s="1031" t="s">
        <v>2347</v>
      </c>
      <c r="D417" s="1034">
        <f>'[1]PLAN DE DESARROLLO 2024 - 2027'!$K$20</f>
        <v>0.23527151611744229</v>
      </c>
      <c r="E417" s="1031" t="s">
        <v>2350</v>
      </c>
      <c r="F417" s="1034">
        <f>'[1]PLAN DE DESARROLLO 2024 - 2027'!$K$22</f>
        <v>0.21388333333333334</v>
      </c>
      <c r="G417" s="1031" t="s">
        <v>2351</v>
      </c>
      <c r="H417" s="1031" t="s">
        <v>237</v>
      </c>
      <c r="I417" s="1063">
        <f>+'Seguridad Humana'!Y101</f>
        <v>0.31769999999999998</v>
      </c>
      <c r="J417" s="1031" t="s">
        <v>219</v>
      </c>
      <c r="K417" s="1035" t="s">
        <v>2195</v>
      </c>
      <c r="P417"/>
    </row>
    <row r="418" spans="1:16" ht="60.75" thickBot="1" x14ac:dyDescent="0.3">
      <c r="A418" s="1031" t="s">
        <v>2341</v>
      </c>
      <c r="B418" s="1034">
        <f>'[1]PLAN DE DESARROLLO 2024 - 2027'!$K$4</f>
        <v>0.29293663727866731</v>
      </c>
      <c r="C418" s="1031" t="s">
        <v>2347</v>
      </c>
      <c r="D418" s="1034">
        <f>'[1]PLAN DE DESARROLLO 2024 - 2027'!$K$20</f>
        <v>0.23527151611744229</v>
      </c>
      <c r="E418" s="1031" t="s">
        <v>2352</v>
      </c>
      <c r="F418" s="1034">
        <f>'[1]PLAN DE DESARROLLO 2024 - 2027'!$K$23</f>
        <v>0.15948275862068967</v>
      </c>
      <c r="G418" s="1031" t="s">
        <v>2353</v>
      </c>
      <c r="H418" s="1031" t="s">
        <v>240</v>
      </c>
      <c r="I418" s="1063">
        <f>+'Seguridad Humana'!Y103</f>
        <v>0.46551724137931033</v>
      </c>
      <c r="J418" s="1031" t="s">
        <v>219</v>
      </c>
      <c r="K418" s="1035" t="s">
        <v>2195</v>
      </c>
      <c r="P418"/>
    </row>
    <row r="419" spans="1:16" ht="45.75" thickBot="1" x14ac:dyDescent="0.3">
      <c r="A419" s="1031" t="s">
        <v>2341</v>
      </c>
      <c r="B419" s="1034">
        <f>'[1]PLAN DE DESARROLLO 2024 - 2027'!$K$4</f>
        <v>0.29293663727866731</v>
      </c>
      <c r="C419" s="1031" t="s">
        <v>2347</v>
      </c>
      <c r="D419" s="1034">
        <f>'[1]PLAN DE DESARROLLO 2024 - 2027'!$K$20</f>
        <v>0.23527151611744229</v>
      </c>
      <c r="E419" s="1031" t="s">
        <v>2352</v>
      </c>
      <c r="F419" s="1034">
        <f>'[1]PLAN DE DESARROLLO 2024 - 2027'!$K$23</f>
        <v>0.15948275862068967</v>
      </c>
      <c r="G419" s="1031" t="s">
        <v>241</v>
      </c>
      <c r="H419" s="1031" t="s">
        <v>242</v>
      </c>
      <c r="I419" s="1063">
        <f>+'Seguridad Humana'!Y104</f>
        <v>0</v>
      </c>
      <c r="J419" s="1031" t="s">
        <v>219</v>
      </c>
      <c r="K419" s="1035" t="s">
        <v>2195</v>
      </c>
      <c r="P419"/>
    </row>
    <row r="420" spans="1:16" ht="45.75" thickBot="1" x14ac:dyDescent="0.3">
      <c r="A420" s="1031" t="s">
        <v>2341</v>
      </c>
      <c r="B420" s="1034">
        <f>'[1]PLAN DE DESARROLLO 2024 - 2027'!$K$4</f>
        <v>0.29293663727866731</v>
      </c>
      <c r="C420" s="1031" t="s">
        <v>2347</v>
      </c>
      <c r="D420" s="1034">
        <f>'[1]PLAN DE DESARROLLO 2024 - 2027'!$K$20</f>
        <v>0.23527151611744229</v>
      </c>
      <c r="E420" s="1031" t="s">
        <v>1954</v>
      </c>
      <c r="F420" s="1034">
        <f>'[1]PLAN DE DESARROLLO 2024 - 2027'!$K$24</f>
        <v>0.26081483989452564</v>
      </c>
      <c r="G420" s="1031" t="s">
        <v>244</v>
      </c>
      <c r="H420" s="1031" t="s">
        <v>245</v>
      </c>
      <c r="I420" s="1063">
        <f>+'Seguridad Humana'!Y106</f>
        <v>0.28749999999999998</v>
      </c>
      <c r="J420" s="1031" t="s">
        <v>219</v>
      </c>
      <c r="K420" s="1035" t="s">
        <v>2195</v>
      </c>
      <c r="P420"/>
    </row>
    <row r="421" spans="1:16" ht="30.75" thickBot="1" x14ac:dyDescent="0.3">
      <c r="A421" s="1031" t="s">
        <v>2341</v>
      </c>
      <c r="B421" s="1034">
        <f>'[1]PLAN DE DESARROLLO 2024 - 2027'!$K$4</f>
        <v>0.29293663727866731</v>
      </c>
      <c r="C421" s="1031" t="s">
        <v>2347</v>
      </c>
      <c r="D421" s="1034">
        <f>'[1]PLAN DE DESARROLLO 2024 - 2027'!$K$20</f>
        <v>0.23527151611744229</v>
      </c>
      <c r="E421" s="1031" t="s">
        <v>1954</v>
      </c>
      <c r="F421" s="1034">
        <f>'[1]PLAN DE DESARROLLO 2024 - 2027'!$K$24</f>
        <v>0.26081483989452564</v>
      </c>
      <c r="G421" s="1031" t="s">
        <v>246</v>
      </c>
      <c r="H421" s="1031" t="s">
        <v>247</v>
      </c>
      <c r="I421" s="1063">
        <f>+'Seguridad Humana'!Y107</f>
        <v>0.31642857142857145</v>
      </c>
      <c r="J421" s="1031" t="s">
        <v>219</v>
      </c>
      <c r="K421" s="1035" t="s">
        <v>2195</v>
      </c>
      <c r="P421"/>
    </row>
    <row r="422" spans="1:16" ht="45.75" thickBot="1" x14ac:dyDescent="0.3">
      <c r="A422" s="1031" t="s">
        <v>2341</v>
      </c>
      <c r="B422" s="1034">
        <f>'[1]PLAN DE DESARROLLO 2024 - 2027'!$K$4</f>
        <v>0.29293663727866731</v>
      </c>
      <c r="C422" s="1031" t="s">
        <v>2347</v>
      </c>
      <c r="D422" s="1034">
        <f>'[1]PLAN DE DESARROLLO 2024 - 2027'!$K$20</f>
        <v>0.23527151611744229</v>
      </c>
      <c r="E422" s="1031" t="s">
        <v>1954</v>
      </c>
      <c r="F422" s="1034">
        <f>'[1]PLAN DE DESARROLLO 2024 - 2027'!$K$24</f>
        <v>0.26081483989452564</v>
      </c>
      <c r="G422" s="1031" t="s">
        <v>248</v>
      </c>
      <c r="H422" s="1031" t="s">
        <v>249</v>
      </c>
      <c r="I422" s="1063">
        <f>+'Seguridad Humana'!Y108</f>
        <v>0.32845238095238094</v>
      </c>
      <c r="J422" s="1031" t="s">
        <v>219</v>
      </c>
      <c r="K422" s="1035" t="s">
        <v>2195</v>
      </c>
      <c r="P422"/>
    </row>
    <row r="423" spans="1:16" ht="60.75" thickBot="1" x14ac:dyDescent="0.3">
      <c r="A423" s="1031" t="s">
        <v>2341</v>
      </c>
      <c r="B423" s="1034">
        <f>'[1]PLAN DE DESARROLLO 2024 - 2027'!$K$4</f>
        <v>0.29293663727866731</v>
      </c>
      <c r="C423" s="1031" t="s">
        <v>2347</v>
      </c>
      <c r="D423" s="1034">
        <f>'[1]PLAN DE DESARROLLO 2024 - 2027'!$K$20</f>
        <v>0.23527151611744229</v>
      </c>
      <c r="E423" s="1031" t="s">
        <v>1954</v>
      </c>
      <c r="F423" s="1034">
        <f>'[1]PLAN DE DESARROLLO 2024 - 2027'!$K$24</f>
        <v>0.26081483989452564</v>
      </c>
      <c r="G423" s="1031" t="s">
        <v>250</v>
      </c>
      <c r="H423" s="1031" t="s">
        <v>251</v>
      </c>
      <c r="I423" s="1063">
        <f>+'Seguridad Humana'!Y109</f>
        <v>0.54019736842105259</v>
      </c>
      <c r="J423" s="1031" t="s">
        <v>219</v>
      </c>
      <c r="K423" s="1035" t="s">
        <v>2195</v>
      </c>
      <c r="P423"/>
    </row>
    <row r="424" spans="1:16" ht="30.75" thickBot="1" x14ac:dyDescent="0.3">
      <c r="A424" s="1031" t="s">
        <v>2341</v>
      </c>
      <c r="B424" s="1034">
        <f>'[1]PLAN DE DESARROLLO 2024 - 2027'!$K$4</f>
        <v>0.29293663727866731</v>
      </c>
      <c r="C424" s="1031" t="s">
        <v>2347</v>
      </c>
      <c r="D424" s="1034">
        <f>'[1]PLAN DE DESARROLLO 2024 - 2027'!$K$20</f>
        <v>0.23527151611744229</v>
      </c>
      <c r="E424" s="1031" t="s">
        <v>1954</v>
      </c>
      <c r="F424" s="1034">
        <f>'[1]PLAN DE DESARROLLO 2024 - 2027'!$K$24</f>
        <v>0.26081483989452564</v>
      </c>
      <c r="G424" s="1031" t="s">
        <v>2354</v>
      </c>
      <c r="H424" s="1031" t="s">
        <v>253</v>
      </c>
      <c r="I424" s="1063">
        <f>+'Seguridad Humana'!Y110</f>
        <v>0.2603388888888889</v>
      </c>
      <c r="J424" s="1031" t="s">
        <v>219</v>
      </c>
      <c r="K424" s="1035" t="s">
        <v>2195</v>
      </c>
      <c r="P424"/>
    </row>
    <row r="425" spans="1:16" ht="45.75" thickBot="1" x14ac:dyDescent="0.3">
      <c r="A425" s="1031" t="s">
        <v>2341</v>
      </c>
      <c r="B425" s="1034">
        <f>'[1]PLAN DE DESARROLLO 2024 - 2027'!$K$4</f>
        <v>0.29293663727866731</v>
      </c>
      <c r="C425" s="1031" t="s">
        <v>2347</v>
      </c>
      <c r="D425" s="1034">
        <f>'[1]PLAN DE DESARROLLO 2024 - 2027'!$K$20</f>
        <v>0.23527151611744229</v>
      </c>
      <c r="E425" s="1031" t="s">
        <v>1954</v>
      </c>
      <c r="F425" s="1034">
        <f>'[1]PLAN DE DESARROLLO 2024 - 2027'!$K$24</f>
        <v>0.26081483989452564</v>
      </c>
      <c r="G425" s="1031" t="s">
        <v>254</v>
      </c>
      <c r="H425" s="1031" t="s">
        <v>255</v>
      </c>
      <c r="I425" s="1063">
        <f>+'Seguridad Humana'!Y111</f>
        <v>0.4375</v>
      </c>
      <c r="J425" s="1031" t="s">
        <v>219</v>
      </c>
      <c r="K425" s="1035" t="s">
        <v>2195</v>
      </c>
      <c r="P425"/>
    </row>
    <row r="426" spans="1:16" ht="60.75" thickBot="1" x14ac:dyDescent="0.3">
      <c r="A426" s="1031" t="s">
        <v>2341</v>
      </c>
      <c r="B426" s="1034">
        <f>'[1]PLAN DE DESARROLLO 2024 - 2027'!$K$4</f>
        <v>0.29293663727866731</v>
      </c>
      <c r="C426" s="1031" t="s">
        <v>2347</v>
      </c>
      <c r="D426" s="1034">
        <f>'[1]PLAN DE DESARROLLO 2024 - 2027'!$K$20</f>
        <v>0.23527151611744229</v>
      </c>
      <c r="E426" s="1031" t="s">
        <v>1954</v>
      </c>
      <c r="F426" s="1034">
        <f>'[1]PLAN DE DESARROLLO 2024 - 2027'!$K$24</f>
        <v>0.26081483989452564</v>
      </c>
      <c r="G426" s="1031" t="s">
        <v>256</v>
      </c>
      <c r="H426" s="1031" t="s">
        <v>257</v>
      </c>
      <c r="I426" s="1063">
        <f>+'Seguridad Humana'!Y112</f>
        <v>0.318</v>
      </c>
      <c r="J426" s="1031" t="s">
        <v>219</v>
      </c>
      <c r="K426" s="1035" t="s">
        <v>2195</v>
      </c>
      <c r="P426"/>
    </row>
    <row r="427" spans="1:16" ht="45.75" thickBot="1" x14ac:dyDescent="0.3">
      <c r="A427" s="1031" t="s">
        <v>2341</v>
      </c>
      <c r="B427" s="1034">
        <f>'[1]PLAN DE DESARROLLO 2024 - 2027'!$K$4</f>
        <v>0.29293663727866731</v>
      </c>
      <c r="C427" s="1031" t="s">
        <v>2347</v>
      </c>
      <c r="D427" s="1034">
        <f>'[1]PLAN DE DESARROLLO 2024 - 2027'!$K$20</f>
        <v>0.23527151611744229</v>
      </c>
      <c r="E427" s="1031" t="s">
        <v>1954</v>
      </c>
      <c r="F427" s="1034">
        <f>'[1]PLAN DE DESARROLLO 2024 - 2027'!$K$24</f>
        <v>0.26081483989452564</v>
      </c>
      <c r="G427" s="1031" t="s">
        <v>258</v>
      </c>
      <c r="H427" s="1031" t="s">
        <v>259</v>
      </c>
      <c r="I427" s="1063">
        <f>+'Seguridad Humana'!Y113</f>
        <v>0.26470588235294118</v>
      </c>
      <c r="J427" s="1031" t="s">
        <v>219</v>
      </c>
      <c r="K427" s="1035" t="s">
        <v>2195</v>
      </c>
      <c r="P427"/>
    </row>
    <row r="428" spans="1:16" ht="60.75" thickBot="1" x14ac:dyDescent="0.3">
      <c r="A428" s="1031" t="s">
        <v>2341</v>
      </c>
      <c r="B428" s="1034">
        <f>'[1]PLAN DE DESARROLLO 2024 - 2027'!$K$4</f>
        <v>0.29293663727866731</v>
      </c>
      <c r="C428" s="1031" t="s">
        <v>2347</v>
      </c>
      <c r="D428" s="1034">
        <f>'[1]PLAN DE DESARROLLO 2024 - 2027'!$K$20</f>
        <v>0.23527151611744229</v>
      </c>
      <c r="E428" s="1031" t="s">
        <v>1954</v>
      </c>
      <c r="F428" s="1034">
        <f>'[1]PLAN DE DESARROLLO 2024 - 2027'!$K$24</f>
        <v>0.26081483989452564</v>
      </c>
      <c r="G428" s="1031" t="s">
        <v>260</v>
      </c>
      <c r="H428" s="1031" t="s">
        <v>261</v>
      </c>
      <c r="I428" s="1063">
        <f>+'Seguridad Humana'!Y114</f>
        <v>0.45624999999999999</v>
      </c>
      <c r="J428" s="1031" t="s">
        <v>219</v>
      </c>
      <c r="K428" s="1035" t="s">
        <v>2195</v>
      </c>
      <c r="P428"/>
    </row>
    <row r="429" spans="1:16" ht="30.75" thickBot="1" x14ac:dyDescent="0.3">
      <c r="A429" s="1031" t="s">
        <v>2341</v>
      </c>
      <c r="B429" s="1034">
        <f>'[1]PLAN DE DESARROLLO 2024 - 2027'!$K$4</f>
        <v>0.29293663727866731</v>
      </c>
      <c r="C429" s="1031" t="s">
        <v>2347</v>
      </c>
      <c r="D429" s="1034">
        <f>'[1]PLAN DE DESARROLLO 2024 - 2027'!$K$20</f>
        <v>0.23527151611744229</v>
      </c>
      <c r="E429" s="1031" t="s">
        <v>1954</v>
      </c>
      <c r="F429" s="1034">
        <f>'[1]PLAN DE DESARROLLO 2024 - 2027'!$K$24</f>
        <v>0.26081483989452564</v>
      </c>
      <c r="G429" s="1031" t="s">
        <v>262</v>
      </c>
      <c r="H429" s="1031" t="s">
        <v>263</v>
      </c>
      <c r="I429" s="1063">
        <f>+'Seguridad Humana'!Y115</f>
        <v>0.372</v>
      </c>
      <c r="J429" s="1031" t="s">
        <v>219</v>
      </c>
      <c r="K429" s="1035" t="s">
        <v>2195</v>
      </c>
      <c r="P429"/>
    </row>
    <row r="430" spans="1:16" ht="45.75" thickBot="1" x14ac:dyDescent="0.3">
      <c r="A430" s="1031" t="s">
        <v>2341</v>
      </c>
      <c r="B430" s="1034">
        <f>'[1]PLAN DE DESARROLLO 2024 - 2027'!$K$4</f>
        <v>0.29293663727866731</v>
      </c>
      <c r="C430" s="1031" t="s">
        <v>2347</v>
      </c>
      <c r="D430" s="1034">
        <f>'[1]PLAN DE DESARROLLO 2024 - 2027'!$K$20</f>
        <v>0.23527151611744229</v>
      </c>
      <c r="E430" s="1031" t="s">
        <v>1954</v>
      </c>
      <c r="F430" s="1034">
        <f>'[1]PLAN DE DESARROLLO 2024 - 2027'!$K$24</f>
        <v>0.26081483989452564</v>
      </c>
      <c r="G430" s="1031" t="s">
        <v>264</v>
      </c>
      <c r="H430" s="1031" t="s">
        <v>265</v>
      </c>
      <c r="I430" s="1063">
        <f>+'Seguridad Humana'!Y116</f>
        <v>0.32894736842105265</v>
      </c>
      <c r="J430" s="1031" t="s">
        <v>219</v>
      </c>
      <c r="K430" s="1035" t="s">
        <v>2195</v>
      </c>
      <c r="P430"/>
    </row>
    <row r="431" spans="1:16" ht="60.75" thickBot="1" x14ac:dyDescent="0.3">
      <c r="A431" s="1031" t="s">
        <v>2341</v>
      </c>
      <c r="B431" s="1034">
        <f>'[1]PLAN DE DESARROLLO 2024 - 2027'!$K$4</f>
        <v>0.29293663727866731</v>
      </c>
      <c r="C431" s="1031" t="s">
        <v>2347</v>
      </c>
      <c r="D431" s="1034">
        <f>'[1]PLAN DE DESARROLLO 2024 - 2027'!$K$20</f>
        <v>0.23527151611744229</v>
      </c>
      <c r="E431" s="1031" t="s">
        <v>1954</v>
      </c>
      <c r="F431" s="1034">
        <f>'[1]PLAN DE DESARROLLO 2024 - 2027'!$K$24</f>
        <v>0.26081483989452564</v>
      </c>
      <c r="G431" s="1031" t="s">
        <v>266</v>
      </c>
      <c r="H431" s="1031" t="s">
        <v>267</v>
      </c>
      <c r="I431" s="1063">
        <f>+'Seguridad Humana'!Y117</f>
        <v>0.33074074074074072</v>
      </c>
      <c r="J431" s="1031" t="s">
        <v>219</v>
      </c>
      <c r="K431" s="1035" t="s">
        <v>2195</v>
      </c>
      <c r="P431"/>
    </row>
    <row r="432" spans="1:16" ht="45.75" thickBot="1" x14ac:dyDescent="0.3">
      <c r="A432" s="1031" t="s">
        <v>2341</v>
      </c>
      <c r="B432" s="1034">
        <f>'[1]PLAN DE DESARROLLO 2024 - 2027'!$K$4</f>
        <v>0.29293663727866731</v>
      </c>
      <c r="C432" s="1031" t="s">
        <v>2347</v>
      </c>
      <c r="D432" s="1034">
        <f>'[1]PLAN DE DESARROLLO 2024 - 2027'!$K$20</f>
        <v>0.23527151611744229</v>
      </c>
      <c r="E432" s="1031" t="s">
        <v>1954</v>
      </c>
      <c r="F432" s="1034">
        <f>'[1]PLAN DE DESARROLLO 2024 - 2027'!$K$24</f>
        <v>0.26081483989452564</v>
      </c>
      <c r="G432" s="1031" t="s">
        <v>268</v>
      </c>
      <c r="H432" s="1031" t="s">
        <v>269</v>
      </c>
      <c r="I432" s="1063">
        <f>+'Seguridad Humana'!Y118</f>
        <v>0.30175385239253855</v>
      </c>
      <c r="J432" s="1031" t="s">
        <v>219</v>
      </c>
      <c r="K432" s="1035" t="s">
        <v>2195</v>
      </c>
      <c r="P432"/>
    </row>
    <row r="433" spans="1:16" ht="45.75" thickBot="1" x14ac:dyDescent="0.3">
      <c r="A433" s="1031" t="s">
        <v>2341</v>
      </c>
      <c r="B433" s="1034">
        <f>'[1]PLAN DE DESARROLLO 2024 - 2027'!$K$4</f>
        <v>0.29293663727866731</v>
      </c>
      <c r="C433" s="1031" t="s">
        <v>2347</v>
      </c>
      <c r="D433" s="1034">
        <f>'[1]PLAN DE DESARROLLO 2024 - 2027'!$K$20</f>
        <v>0.23527151611744229</v>
      </c>
      <c r="E433" s="1031" t="s">
        <v>1954</v>
      </c>
      <c r="F433" s="1034">
        <f>'[1]PLAN DE DESARROLLO 2024 - 2027'!$K$24</f>
        <v>0.26081483989452564</v>
      </c>
      <c r="G433" s="1031" t="s">
        <v>270</v>
      </c>
      <c r="H433" s="1031" t="s">
        <v>271</v>
      </c>
      <c r="I433" s="1063">
        <f>+'Seguridad Humana'!Y119</f>
        <v>0.38214285714285712</v>
      </c>
      <c r="J433" s="1031" t="s">
        <v>219</v>
      </c>
      <c r="K433" s="1035" t="s">
        <v>2195</v>
      </c>
      <c r="P433"/>
    </row>
    <row r="434" spans="1:16" ht="60.75" thickBot="1" x14ac:dyDescent="0.3">
      <c r="A434" s="1031" t="s">
        <v>2341</v>
      </c>
      <c r="B434" s="1034">
        <f>'[1]PLAN DE DESARROLLO 2024 - 2027'!$K$4</f>
        <v>0.29293663727866731</v>
      </c>
      <c r="C434" s="1031" t="s">
        <v>2347</v>
      </c>
      <c r="D434" s="1034">
        <f>'[1]PLAN DE DESARROLLO 2024 - 2027'!$K$20</f>
        <v>0.23527151611744229</v>
      </c>
      <c r="E434" s="1031" t="s">
        <v>1954</v>
      </c>
      <c r="F434" s="1034">
        <f>'[1]PLAN DE DESARROLLO 2024 - 2027'!$K$24</f>
        <v>0.26081483989452564</v>
      </c>
      <c r="G434" s="1031" t="s">
        <v>272</v>
      </c>
      <c r="H434" s="1031" t="s">
        <v>273</v>
      </c>
      <c r="I434" s="1063">
        <f>+'Seguridad Humana'!Y120</f>
        <v>0.625</v>
      </c>
      <c r="J434" s="1031" t="s">
        <v>219</v>
      </c>
      <c r="K434" s="1035" t="s">
        <v>2195</v>
      </c>
      <c r="P434"/>
    </row>
    <row r="435" spans="1:16" ht="75.75" thickBot="1" x14ac:dyDescent="0.3">
      <c r="A435" s="1031" t="s">
        <v>2341</v>
      </c>
      <c r="B435" s="1034">
        <f>'[1]PLAN DE DESARROLLO 2024 - 2027'!$K$4</f>
        <v>0.29293663727866731</v>
      </c>
      <c r="C435" s="1031" t="s">
        <v>2347</v>
      </c>
      <c r="D435" s="1034">
        <f>'[1]PLAN DE DESARROLLO 2024 - 2027'!$K$20</f>
        <v>0.23527151611744229</v>
      </c>
      <c r="E435" s="1031" t="s">
        <v>1954</v>
      </c>
      <c r="F435" s="1034">
        <f>'[1]PLAN DE DESARROLLO 2024 - 2027'!$K$24</f>
        <v>0.26081483989452564</v>
      </c>
      <c r="G435" s="1031" t="s">
        <v>275</v>
      </c>
      <c r="H435" s="1031" t="s">
        <v>276</v>
      </c>
      <c r="I435" s="1063">
        <f>+'Seguridad Humana'!Y121</f>
        <v>0.36805555555555558</v>
      </c>
      <c r="J435" s="1031" t="s">
        <v>219</v>
      </c>
      <c r="K435" s="1035" t="s">
        <v>2195</v>
      </c>
      <c r="P435"/>
    </row>
    <row r="436" spans="1:16" ht="60.75" thickBot="1" x14ac:dyDescent="0.3">
      <c r="A436" s="1031" t="s">
        <v>2341</v>
      </c>
      <c r="B436" s="1034">
        <f>'[1]PLAN DE DESARROLLO 2024 - 2027'!$K$4</f>
        <v>0.29293663727866731</v>
      </c>
      <c r="C436" s="1031" t="s">
        <v>2347</v>
      </c>
      <c r="D436" s="1034">
        <f>'[1]PLAN DE DESARROLLO 2024 - 2027'!$K$20</f>
        <v>0.23527151611744229</v>
      </c>
      <c r="E436" s="1031" t="s">
        <v>1954</v>
      </c>
      <c r="F436" s="1034">
        <f>'[1]PLAN DE DESARROLLO 2024 - 2027'!$K$24</f>
        <v>0.26081483989452564</v>
      </c>
      <c r="G436" s="1031" t="s">
        <v>2355</v>
      </c>
      <c r="H436" s="1031" t="s">
        <v>2356</v>
      </c>
      <c r="I436" s="1063">
        <f>+'Seguridad Humana'!Y122</f>
        <v>0.31666666666666665</v>
      </c>
      <c r="J436" s="1031" t="s">
        <v>219</v>
      </c>
      <c r="K436" s="1035" t="s">
        <v>2195</v>
      </c>
      <c r="P436"/>
    </row>
    <row r="437" spans="1:16" ht="45.75" thickBot="1" x14ac:dyDescent="0.3">
      <c r="A437" s="1031" t="s">
        <v>2341</v>
      </c>
      <c r="B437" s="1034">
        <f>'[1]PLAN DE DESARROLLO 2024 - 2027'!$K$4</f>
        <v>0.29293663727866731</v>
      </c>
      <c r="C437" s="1031" t="s">
        <v>2347</v>
      </c>
      <c r="D437" s="1034">
        <f>'[1]PLAN DE DESARROLLO 2024 - 2027'!$K$20</f>
        <v>0.23527151611744229</v>
      </c>
      <c r="E437" s="1031" t="s">
        <v>1954</v>
      </c>
      <c r="F437" s="1034">
        <f>'[1]PLAN DE DESARROLLO 2024 - 2027'!$K$24</f>
        <v>0.26081483989452564</v>
      </c>
      <c r="G437" s="1031" t="s">
        <v>279</v>
      </c>
      <c r="H437" s="1031" t="s">
        <v>280</v>
      </c>
      <c r="I437" s="1063">
        <f>+'Seguridad Humana'!Y123</f>
        <v>0.31333333333333335</v>
      </c>
      <c r="J437" s="1031" t="s">
        <v>219</v>
      </c>
      <c r="K437" s="1035" t="s">
        <v>2195</v>
      </c>
      <c r="P437"/>
    </row>
    <row r="438" spans="1:16" ht="45.75" thickBot="1" x14ac:dyDescent="0.3">
      <c r="A438" s="1031" t="s">
        <v>2341</v>
      </c>
      <c r="B438" s="1034">
        <f>'[1]PLAN DE DESARROLLO 2024 - 2027'!$K$4</f>
        <v>0.29293663727866731</v>
      </c>
      <c r="C438" s="1031" t="s">
        <v>2347</v>
      </c>
      <c r="D438" s="1034">
        <f>'[1]PLAN DE DESARROLLO 2024 - 2027'!$K$20</f>
        <v>0.23527151611744229</v>
      </c>
      <c r="E438" s="1031" t="s">
        <v>1954</v>
      </c>
      <c r="F438" s="1034">
        <f>'[1]PLAN DE DESARROLLO 2024 - 2027'!$K$24</f>
        <v>0.26081483989452564</v>
      </c>
      <c r="G438" s="1031" t="s">
        <v>281</v>
      </c>
      <c r="H438" s="1031" t="s">
        <v>282</v>
      </c>
      <c r="I438" s="1063">
        <f>+'Seguridad Humana'!Y124</f>
        <v>0.42083333333333334</v>
      </c>
      <c r="J438" s="1031" t="s">
        <v>219</v>
      </c>
      <c r="K438" s="1035" t="s">
        <v>2195</v>
      </c>
      <c r="P438"/>
    </row>
    <row r="439" spans="1:16" ht="45.75" thickBot="1" x14ac:dyDescent="0.3">
      <c r="A439" s="1031" t="s">
        <v>2341</v>
      </c>
      <c r="B439" s="1034">
        <f>'[1]PLAN DE DESARROLLO 2024 - 2027'!$K$4</f>
        <v>0.29293663727866731</v>
      </c>
      <c r="C439" s="1031" t="s">
        <v>2347</v>
      </c>
      <c r="D439" s="1034">
        <f>'[1]PLAN DE DESARROLLO 2024 - 2027'!$K$20</f>
        <v>0.23527151611744229</v>
      </c>
      <c r="E439" s="1031" t="s">
        <v>1955</v>
      </c>
      <c r="F439" s="1034">
        <f>'[1]PLAN DE DESARROLLO 2024 - 2027'!$K$25</f>
        <v>0.27500000000000002</v>
      </c>
      <c r="G439" s="1031" t="s">
        <v>285</v>
      </c>
      <c r="H439" s="1031" t="s">
        <v>286</v>
      </c>
      <c r="I439" s="1064">
        <f>+'Seguridad Humana'!Y126</f>
        <v>0</v>
      </c>
      <c r="J439" s="1031" t="s">
        <v>658</v>
      </c>
      <c r="K439" s="1035" t="s">
        <v>2195</v>
      </c>
      <c r="P439"/>
    </row>
    <row r="440" spans="1:16" ht="45.75" thickBot="1" x14ac:dyDescent="0.3">
      <c r="A440" s="1031" t="s">
        <v>2341</v>
      </c>
      <c r="B440" s="1034">
        <f>'[1]PLAN DE DESARROLLO 2024 - 2027'!$K$4</f>
        <v>0.29293663727866731</v>
      </c>
      <c r="C440" s="1031" t="s">
        <v>2347</v>
      </c>
      <c r="D440" s="1034">
        <f>'[1]PLAN DE DESARROLLO 2024 - 2027'!$K$20</f>
        <v>0.23527151611744229</v>
      </c>
      <c r="E440" s="1031" t="s">
        <v>1955</v>
      </c>
      <c r="F440" s="1034">
        <f>'[1]PLAN DE DESARROLLO 2024 - 2027'!$K$25</f>
        <v>0.27500000000000002</v>
      </c>
      <c r="G440" s="1031" t="s">
        <v>288</v>
      </c>
      <c r="H440" s="1031" t="s">
        <v>289</v>
      </c>
      <c r="I440" s="1063">
        <f>+'Seguridad Humana'!Y127</f>
        <v>0.375</v>
      </c>
      <c r="J440" s="1031" t="s">
        <v>658</v>
      </c>
      <c r="K440" s="1035" t="s">
        <v>2195</v>
      </c>
      <c r="P440"/>
    </row>
    <row r="441" spans="1:16" ht="30.75" thickBot="1" x14ac:dyDescent="0.3">
      <c r="A441" s="1031" t="s">
        <v>2341</v>
      </c>
      <c r="B441" s="1034">
        <f>'[1]PLAN DE DESARROLLO 2024 - 2027'!$K$4</f>
        <v>0.29293663727866731</v>
      </c>
      <c r="C441" s="1031" t="s">
        <v>2347</v>
      </c>
      <c r="D441" s="1034">
        <f>'[1]PLAN DE DESARROLLO 2024 - 2027'!$K$20</f>
        <v>0.23527151611744229</v>
      </c>
      <c r="E441" s="1031" t="s">
        <v>1955</v>
      </c>
      <c r="F441" s="1034">
        <f>'[1]PLAN DE DESARROLLO 2024 - 2027'!$K$25</f>
        <v>0.27500000000000002</v>
      </c>
      <c r="G441" s="1031" t="s">
        <v>290</v>
      </c>
      <c r="H441" s="1031" t="s">
        <v>291</v>
      </c>
      <c r="I441" s="1064">
        <f>+'Seguridad Humana'!Y128</f>
        <v>0</v>
      </c>
      <c r="J441" s="1031" t="s">
        <v>658</v>
      </c>
      <c r="K441" s="1035" t="s">
        <v>2195</v>
      </c>
      <c r="P441"/>
    </row>
    <row r="442" spans="1:16" ht="30.75" thickBot="1" x14ac:dyDescent="0.3">
      <c r="A442" s="1031" t="s">
        <v>2341</v>
      </c>
      <c r="B442" s="1034">
        <f>'[1]PLAN DE DESARROLLO 2024 - 2027'!$K$4</f>
        <v>0.29293663727866731</v>
      </c>
      <c r="C442" s="1031" t="s">
        <v>2347</v>
      </c>
      <c r="D442" s="1034">
        <f>'[1]PLAN DE DESARROLLO 2024 - 2027'!$K$20</f>
        <v>0.23527151611744229</v>
      </c>
      <c r="E442" s="1031" t="s">
        <v>1955</v>
      </c>
      <c r="F442" s="1034">
        <f>'[1]PLAN DE DESARROLLO 2024 - 2027'!$K$25</f>
        <v>0.27500000000000002</v>
      </c>
      <c r="G442" s="1031" t="s">
        <v>292</v>
      </c>
      <c r="H442" s="1031" t="s">
        <v>293</v>
      </c>
      <c r="I442" s="1063">
        <f>+'Seguridad Humana'!Y129</f>
        <v>0</v>
      </c>
      <c r="J442" s="1031" t="s">
        <v>658</v>
      </c>
      <c r="K442" s="1035" t="s">
        <v>2195</v>
      </c>
      <c r="P442"/>
    </row>
    <row r="443" spans="1:16" ht="30.75" thickBot="1" x14ac:dyDescent="0.3">
      <c r="A443" s="1031" t="s">
        <v>2341</v>
      </c>
      <c r="B443" s="1034">
        <f>'[1]PLAN DE DESARROLLO 2024 - 2027'!$K$4</f>
        <v>0.29293663727866731</v>
      </c>
      <c r="C443" s="1031" t="s">
        <v>2342</v>
      </c>
      <c r="D443" s="1034">
        <f>'[1]PLAN DE DESARROLLO 2024 - 2027'!$K$26</f>
        <v>0.26520247826018756</v>
      </c>
      <c r="E443" s="1031" t="s">
        <v>2357</v>
      </c>
      <c r="F443" s="1034">
        <f>'[1]PLAN DE DESARROLLO 2024 - 2027'!$K$27</f>
        <v>0.30297379192497215</v>
      </c>
      <c r="G443" s="1031" t="s">
        <v>296</v>
      </c>
      <c r="H443" s="1031" t="s">
        <v>297</v>
      </c>
      <c r="I443" s="1063">
        <f>+'Seguridad Humana'!Y132</f>
        <v>0.36826418693371482</v>
      </c>
      <c r="J443" s="1031" t="s">
        <v>103</v>
      </c>
      <c r="K443" s="1035" t="s">
        <v>2195</v>
      </c>
      <c r="P443"/>
    </row>
    <row r="444" spans="1:16" ht="30.75" thickBot="1" x14ac:dyDescent="0.3">
      <c r="A444" s="1031" t="s">
        <v>2341</v>
      </c>
      <c r="B444" s="1034">
        <f>'[1]PLAN DE DESARROLLO 2024 - 2027'!$K$4</f>
        <v>0.29293663727866731</v>
      </c>
      <c r="C444" s="1031" t="s">
        <v>2342</v>
      </c>
      <c r="D444" s="1034">
        <f>'[1]PLAN DE DESARROLLO 2024 - 2027'!$K$26</f>
        <v>0.26520247826018756</v>
      </c>
      <c r="E444" s="1031" t="s">
        <v>2357</v>
      </c>
      <c r="F444" s="1034">
        <f>'[1]PLAN DE DESARROLLO 2024 - 2027'!$K$27</f>
        <v>0.30297379192497215</v>
      </c>
      <c r="G444" s="1031" t="s">
        <v>299</v>
      </c>
      <c r="H444" s="1031" t="s">
        <v>300</v>
      </c>
      <c r="I444" s="1063">
        <f>+'Seguridad Humana'!Y133</f>
        <v>0.49005456785777152</v>
      </c>
      <c r="J444" s="1031" t="s">
        <v>103</v>
      </c>
      <c r="K444" s="1035" t="s">
        <v>2195</v>
      </c>
      <c r="P444"/>
    </row>
    <row r="445" spans="1:16" ht="30.75" thickBot="1" x14ac:dyDescent="0.3">
      <c r="A445" s="1031" t="s">
        <v>2341</v>
      </c>
      <c r="B445" s="1034">
        <f>'[1]PLAN DE DESARROLLO 2024 - 2027'!$K$4</f>
        <v>0.29293663727866731</v>
      </c>
      <c r="C445" s="1031" t="s">
        <v>2342</v>
      </c>
      <c r="D445" s="1034">
        <f>'[1]PLAN DE DESARROLLO 2024 - 2027'!$K$26</f>
        <v>0.26520247826018756</v>
      </c>
      <c r="E445" s="1031" t="s">
        <v>2357</v>
      </c>
      <c r="F445" s="1034">
        <f>'[1]PLAN DE DESARROLLO 2024 - 2027'!$K$27</f>
        <v>0.30297379192497215</v>
      </c>
      <c r="G445" s="1031" t="s">
        <v>301</v>
      </c>
      <c r="H445" s="1031" t="s">
        <v>302</v>
      </c>
      <c r="I445" s="1063">
        <f>+'Seguridad Humana'!Y134</f>
        <v>0.44833333333333331</v>
      </c>
      <c r="J445" s="1031" t="s">
        <v>103</v>
      </c>
      <c r="K445" s="1035" t="s">
        <v>2195</v>
      </c>
      <c r="P445"/>
    </row>
    <row r="446" spans="1:16" ht="30.75" thickBot="1" x14ac:dyDescent="0.3">
      <c r="A446" s="1031" t="s">
        <v>2341</v>
      </c>
      <c r="B446" s="1034">
        <f>'[1]PLAN DE DESARROLLO 2024 - 2027'!$K$4</f>
        <v>0.29293663727866731</v>
      </c>
      <c r="C446" s="1031" t="s">
        <v>2342</v>
      </c>
      <c r="D446" s="1034">
        <f>'[1]PLAN DE DESARROLLO 2024 - 2027'!$K$26</f>
        <v>0.26520247826018756</v>
      </c>
      <c r="E446" s="1031" t="s">
        <v>2357</v>
      </c>
      <c r="F446" s="1034">
        <f>'[1]PLAN DE DESARROLLO 2024 - 2027'!$K$27</f>
        <v>0.30297379192497215</v>
      </c>
      <c r="G446" s="1031" t="s">
        <v>303</v>
      </c>
      <c r="H446" s="1031" t="s">
        <v>304</v>
      </c>
      <c r="I446" s="1063">
        <f>+'Seguridad Humana'!Y135</f>
        <v>0</v>
      </c>
      <c r="J446" s="1031" t="s">
        <v>103</v>
      </c>
      <c r="K446" s="1035" t="s">
        <v>2195</v>
      </c>
      <c r="P446"/>
    </row>
    <row r="447" spans="1:16" ht="30.75" thickBot="1" x14ac:dyDescent="0.3">
      <c r="A447" s="1031" t="s">
        <v>2341</v>
      </c>
      <c r="B447" s="1034">
        <f>'[1]PLAN DE DESARROLLO 2024 - 2027'!$K$4</f>
        <v>0.29293663727866731</v>
      </c>
      <c r="C447" s="1031" t="s">
        <v>2342</v>
      </c>
      <c r="D447" s="1034">
        <f>'[1]PLAN DE DESARROLLO 2024 - 2027'!$K$26</f>
        <v>0.26520247826018756</v>
      </c>
      <c r="E447" s="1031" t="s">
        <v>2357</v>
      </c>
      <c r="F447" s="1034">
        <f>'[1]PLAN DE DESARROLLO 2024 - 2027'!$K$27</f>
        <v>0.30297379192497215</v>
      </c>
      <c r="G447" s="1031" t="s">
        <v>305</v>
      </c>
      <c r="H447" s="1031" t="s">
        <v>306</v>
      </c>
      <c r="I447" s="1064">
        <f>+'Seguridad Humana'!Y136</f>
        <v>0</v>
      </c>
      <c r="J447" s="1031" t="s">
        <v>103</v>
      </c>
      <c r="K447" s="1035" t="s">
        <v>2195</v>
      </c>
      <c r="P447"/>
    </row>
    <row r="448" spans="1:16" ht="30.75" thickBot="1" x14ac:dyDescent="0.3">
      <c r="A448" s="1031" t="s">
        <v>2341</v>
      </c>
      <c r="B448" s="1034">
        <f>'[1]PLAN DE DESARROLLO 2024 - 2027'!$K$4</f>
        <v>0.29293663727866731</v>
      </c>
      <c r="C448" s="1031" t="s">
        <v>2342</v>
      </c>
      <c r="D448" s="1034">
        <f>'[1]PLAN DE DESARROLLO 2024 - 2027'!$K$26</f>
        <v>0.26520247826018756</v>
      </c>
      <c r="E448" s="1031" t="s">
        <v>2357</v>
      </c>
      <c r="F448" s="1034">
        <f>'[1]PLAN DE DESARROLLO 2024 - 2027'!$K$27</f>
        <v>0.30297379192497215</v>
      </c>
      <c r="G448" s="1031" t="s">
        <v>307</v>
      </c>
      <c r="H448" s="1031" t="s">
        <v>308</v>
      </c>
      <c r="I448" s="1063">
        <f>+'Seguridad Humana'!Y137</f>
        <v>0.7</v>
      </c>
      <c r="J448" s="1031" t="s">
        <v>103</v>
      </c>
      <c r="K448" s="1035" t="s">
        <v>2195</v>
      </c>
      <c r="P448"/>
    </row>
    <row r="449" spans="1:16" ht="30.75" thickBot="1" x14ac:dyDescent="0.3">
      <c r="A449" s="1031" t="s">
        <v>2341</v>
      </c>
      <c r="B449" s="1034">
        <f>'[1]PLAN DE DESARROLLO 2024 - 2027'!$K$4</f>
        <v>0.29293663727866731</v>
      </c>
      <c r="C449" s="1031" t="s">
        <v>2342</v>
      </c>
      <c r="D449" s="1034">
        <f>'[1]PLAN DE DESARROLLO 2024 - 2027'!$K$26</f>
        <v>0.26520247826018756</v>
      </c>
      <c r="E449" s="1031" t="s">
        <v>2357</v>
      </c>
      <c r="F449" s="1034">
        <f>'[1]PLAN DE DESARROLLO 2024 - 2027'!$K$27</f>
        <v>0.30297379192497215</v>
      </c>
      <c r="G449" s="1031" t="s">
        <v>2358</v>
      </c>
      <c r="H449" s="1031" t="s">
        <v>2359</v>
      </c>
      <c r="I449" s="1064">
        <f>+'Seguridad Humana'!Y138</f>
        <v>0</v>
      </c>
      <c r="J449" s="1031" t="s">
        <v>103</v>
      </c>
      <c r="K449" s="1035" t="s">
        <v>2195</v>
      </c>
      <c r="P449"/>
    </row>
    <row r="450" spans="1:16" ht="45.75" thickBot="1" x14ac:dyDescent="0.3">
      <c r="A450" s="1031" t="s">
        <v>2341</v>
      </c>
      <c r="B450" s="1034">
        <f>'[1]PLAN DE DESARROLLO 2024 - 2027'!$K$4</f>
        <v>0.29293663727866731</v>
      </c>
      <c r="C450" s="1031" t="s">
        <v>2342</v>
      </c>
      <c r="D450" s="1034">
        <f>'[1]PLAN DE DESARROLLO 2024 - 2027'!$K$26</f>
        <v>0.26520247826018756</v>
      </c>
      <c r="E450" s="1031" t="s">
        <v>2357</v>
      </c>
      <c r="F450" s="1034">
        <f>'[1]PLAN DE DESARROLLO 2024 - 2027'!$K$27</f>
        <v>0.30297379192497215</v>
      </c>
      <c r="G450" s="1031" t="s">
        <v>311</v>
      </c>
      <c r="H450" s="1031" t="s">
        <v>312</v>
      </c>
      <c r="I450" s="1063">
        <f>+'Seguridad Humana'!Y139</f>
        <v>0</v>
      </c>
      <c r="J450" s="1031" t="s">
        <v>103</v>
      </c>
      <c r="K450" s="1035" t="s">
        <v>2195</v>
      </c>
      <c r="P450"/>
    </row>
    <row r="451" spans="1:16" ht="45.75" thickBot="1" x14ac:dyDescent="0.3">
      <c r="A451" s="1031" t="s">
        <v>2341</v>
      </c>
      <c r="B451" s="1034">
        <f>'[1]PLAN DE DESARROLLO 2024 - 2027'!$K$4</f>
        <v>0.29293663727866731</v>
      </c>
      <c r="C451" s="1031" t="s">
        <v>2342</v>
      </c>
      <c r="D451" s="1034">
        <f>'[1]PLAN DE DESARROLLO 2024 - 2027'!$K$26</f>
        <v>0.26520247826018756</v>
      </c>
      <c r="E451" s="1031" t="s">
        <v>2360</v>
      </c>
      <c r="F451" s="1034">
        <f>'[1]PLAN DE DESARROLLO 2024 - 2027'!$K$28</f>
        <v>0.13789107763615296</v>
      </c>
      <c r="G451" s="1031" t="s">
        <v>314</v>
      </c>
      <c r="H451" s="1031" t="s">
        <v>315</v>
      </c>
      <c r="I451" s="1063">
        <f>+'Seguridad Humana'!Y141</f>
        <v>0.37659327925840091</v>
      </c>
      <c r="J451" s="1031" t="s">
        <v>103</v>
      </c>
      <c r="K451" s="1035" t="s">
        <v>2195</v>
      </c>
      <c r="P451"/>
    </row>
    <row r="452" spans="1:16" ht="45.75" thickBot="1" x14ac:dyDescent="0.3">
      <c r="A452" s="1031" t="s">
        <v>2341</v>
      </c>
      <c r="B452" s="1034">
        <f>'[1]PLAN DE DESARROLLO 2024 - 2027'!$K$4</f>
        <v>0.29293663727866731</v>
      </c>
      <c r="C452" s="1031" t="s">
        <v>2342</v>
      </c>
      <c r="D452" s="1034">
        <f>'[1]PLAN DE DESARROLLO 2024 - 2027'!$K$26</f>
        <v>0.26520247826018756</v>
      </c>
      <c r="E452" s="1031" t="s">
        <v>2360</v>
      </c>
      <c r="F452" s="1034">
        <f>'[1]PLAN DE DESARROLLO 2024 - 2027'!$K$28</f>
        <v>0.13789107763615296</v>
      </c>
      <c r="G452" s="1031" t="s">
        <v>316</v>
      </c>
      <c r="H452" s="1031" t="s">
        <v>2361</v>
      </c>
      <c r="I452" s="1063">
        <f>+'Seguridad Humana'!Y142</f>
        <v>0</v>
      </c>
      <c r="J452" s="1031" t="s">
        <v>103</v>
      </c>
      <c r="K452" s="1035" t="s">
        <v>2195</v>
      </c>
      <c r="P452"/>
    </row>
    <row r="453" spans="1:16" ht="30.75" thickBot="1" x14ac:dyDescent="0.3">
      <c r="A453" s="1031" t="s">
        <v>2341</v>
      </c>
      <c r="B453" s="1034">
        <f>'[1]PLAN DE DESARROLLO 2024 - 2027'!$K$4</f>
        <v>0.29293663727866731</v>
      </c>
      <c r="C453" s="1031" t="s">
        <v>2342</v>
      </c>
      <c r="D453" s="1034">
        <f>'[1]PLAN DE DESARROLLO 2024 - 2027'!$K$26</f>
        <v>0.26520247826018756</v>
      </c>
      <c r="E453" s="1031" t="s">
        <v>2362</v>
      </c>
      <c r="F453" s="1034">
        <f>'[1]PLAN DE DESARROLLO 2024 - 2027'!$K$29</f>
        <v>0.20291666666666666</v>
      </c>
      <c r="G453" s="1031" t="s">
        <v>319</v>
      </c>
      <c r="H453" s="1031" t="s">
        <v>320</v>
      </c>
      <c r="I453" s="1063">
        <f>+'Seguridad Humana'!Y144</f>
        <v>0.19500000000000001</v>
      </c>
      <c r="J453" s="1031" t="s">
        <v>103</v>
      </c>
      <c r="K453" s="1035" t="s">
        <v>2195</v>
      </c>
      <c r="P453"/>
    </row>
    <row r="454" spans="1:16" ht="30.75" thickBot="1" x14ac:dyDescent="0.3">
      <c r="A454" s="1031" t="s">
        <v>2341</v>
      </c>
      <c r="B454" s="1034">
        <f>'[1]PLAN DE DESARROLLO 2024 - 2027'!$K$4</f>
        <v>0.29293663727866731</v>
      </c>
      <c r="C454" s="1031" t="s">
        <v>2342</v>
      </c>
      <c r="D454" s="1034">
        <f>'[1]PLAN DE DESARROLLO 2024 - 2027'!$K$26</f>
        <v>0.26520247826018756</v>
      </c>
      <c r="E454" s="1031" t="s">
        <v>2362</v>
      </c>
      <c r="F454" s="1034">
        <f>'[1]PLAN DE DESARROLLO 2024 - 2027'!$K$29</f>
        <v>0.20291666666666666</v>
      </c>
      <c r="G454" s="1031" t="s">
        <v>321</v>
      </c>
      <c r="H454" s="1031" t="s">
        <v>322</v>
      </c>
      <c r="I454" s="1063">
        <f>+'Seguridad Humana'!Y145</f>
        <v>0.25</v>
      </c>
      <c r="J454" s="1031" t="s">
        <v>103</v>
      </c>
      <c r="K454" s="1035" t="s">
        <v>2195</v>
      </c>
      <c r="P454"/>
    </row>
    <row r="455" spans="1:16" ht="30.75" thickBot="1" x14ac:dyDescent="0.3">
      <c r="A455" s="1031" t="s">
        <v>2341</v>
      </c>
      <c r="B455" s="1034">
        <f>'[1]PLAN DE DESARROLLO 2024 - 2027'!$K$4</f>
        <v>0.29293663727866731</v>
      </c>
      <c r="C455" s="1031" t="s">
        <v>2342</v>
      </c>
      <c r="D455" s="1034">
        <f>'[1]PLAN DE DESARROLLO 2024 - 2027'!$K$26</f>
        <v>0.26520247826018756</v>
      </c>
      <c r="E455" s="1031" t="s">
        <v>2362</v>
      </c>
      <c r="F455" s="1034">
        <f>'[1]PLAN DE DESARROLLO 2024 - 2027'!$K$29</f>
        <v>0.20291666666666666</v>
      </c>
      <c r="G455" s="1031" t="s">
        <v>323</v>
      </c>
      <c r="H455" s="1031" t="s">
        <v>324</v>
      </c>
      <c r="I455" s="1063">
        <f>+'Seguridad Humana'!Y146</f>
        <v>0.15</v>
      </c>
      <c r="J455" s="1031" t="s">
        <v>103</v>
      </c>
      <c r="K455" s="1035" t="s">
        <v>2195</v>
      </c>
      <c r="P455"/>
    </row>
    <row r="456" spans="1:16" ht="30.75" thickBot="1" x14ac:dyDescent="0.3">
      <c r="A456" s="1031" t="s">
        <v>2341</v>
      </c>
      <c r="B456" s="1034">
        <f>'[1]PLAN DE DESARROLLO 2024 - 2027'!$K$4</f>
        <v>0.29293663727866731</v>
      </c>
      <c r="C456" s="1031" t="s">
        <v>2342</v>
      </c>
      <c r="D456" s="1034">
        <f>'[1]PLAN DE DESARROLLO 2024 - 2027'!$K$26</f>
        <v>0.26520247826018756</v>
      </c>
      <c r="E456" s="1031" t="s">
        <v>2362</v>
      </c>
      <c r="F456" s="1034">
        <f>'[1]PLAN DE DESARROLLO 2024 - 2027'!$K$29</f>
        <v>0.20291666666666666</v>
      </c>
      <c r="G456" s="1031" t="s">
        <v>325</v>
      </c>
      <c r="H456" s="1031" t="s">
        <v>326</v>
      </c>
      <c r="I456" s="1063">
        <f>+'Seguridad Humana'!Y147</f>
        <v>0.43333333333333335</v>
      </c>
      <c r="J456" s="1031" t="s">
        <v>103</v>
      </c>
      <c r="K456" s="1035" t="s">
        <v>2195</v>
      </c>
      <c r="P456"/>
    </row>
    <row r="457" spans="1:16" ht="30.75" thickBot="1" x14ac:dyDescent="0.3">
      <c r="A457" s="1031" t="s">
        <v>2341</v>
      </c>
      <c r="B457" s="1034">
        <f>'[1]PLAN DE DESARROLLO 2024 - 2027'!$K$4</f>
        <v>0.29293663727866731</v>
      </c>
      <c r="C457" s="1031" t="s">
        <v>2342</v>
      </c>
      <c r="D457" s="1034">
        <f>'[1]PLAN DE DESARROLLO 2024 - 2027'!$K$26</f>
        <v>0.26520247826018756</v>
      </c>
      <c r="E457" s="1031" t="s">
        <v>2363</v>
      </c>
      <c r="F457" s="1034">
        <f>'[1]PLAN DE DESARROLLO 2024 - 2027'!$K$30</f>
        <v>0.44583333333333341</v>
      </c>
      <c r="G457" s="1031" t="s">
        <v>330</v>
      </c>
      <c r="H457" s="1031" t="s">
        <v>331</v>
      </c>
      <c r="I457" s="1063">
        <f>+'Seguridad Humana'!Y149</f>
        <v>0.5</v>
      </c>
      <c r="J457" s="1031" t="s">
        <v>103</v>
      </c>
      <c r="K457" s="1035" t="s">
        <v>2195</v>
      </c>
      <c r="P457"/>
    </row>
    <row r="458" spans="1:16" ht="30.75" thickBot="1" x14ac:dyDescent="0.3">
      <c r="A458" s="1031" t="s">
        <v>2341</v>
      </c>
      <c r="B458" s="1034">
        <f>'[1]PLAN DE DESARROLLO 2024 - 2027'!$K$4</f>
        <v>0.29293663727866731</v>
      </c>
      <c r="C458" s="1031" t="s">
        <v>2342</v>
      </c>
      <c r="D458" s="1034">
        <f>'[1]PLAN DE DESARROLLO 2024 - 2027'!$K$26</f>
        <v>0.26520247826018756</v>
      </c>
      <c r="E458" s="1031" t="s">
        <v>2363</v>
      </c>
      <c r="F458" s="1034">
        <f>'[1]PLAN DE DESARROLLO 2024 - 2027'!$K$30</f>
        <v>0.44583333333333341</v>
      </c>
      <c r="G458" s="1031" t="s">
        <v>332</v>
      </c>
      <c r="H458" s="1031" t="s">
        <v>333</v>
      </c>
      <c r="I458" s="1063">
        <f>+'Seguridad Humana'!Y150</f>
        <v>0.875</v>
      </c>
      <c r="J458" s="1031" t="s">
        <v>103</v>
      </c>
      <c r="K458" s="1035" t="s">
        <v>2195</v>
      </c>
      <c r="P458"/>
    </row>
    <row r="459" spans="1:16" ht="30.75" thickBot="1" x14ac:dyDescent="0.3">
      <c r="A459" s="1031" t="s">
        <v>2341</v>
      </c>
      <c r="B459" s="1034">
        <f>'[1]PLAN DE DESARROLLO 2024 - 2027'!$K$4</f>
        <v>0.29293663727866731</v>
      </c>
      <c r="C459" s="1031" t="s">
        <v>2342</v>
      </c>
      <c r="D459" s="1034">
        <f>'[1]PLAN DE DESARROLLO 2024 - 2027'!$K$26</f>
        <v>0.26520247826018756</v>
      </c>
      <c r="E459" s="1031" t="s">
        <v>2363</v>
      </c>
      <c r="F459" s="1034">
        <f>'[1]PLAN DE DESARROLLO 2024 - 2027'!$K$30</f>
        <v>0.44583333333333341</v>
      </c>
      <c r="G459" s="1031" t="s">
        <v>334</v>
      </c>
      <c r="H459" s="1031" t="s">
        <v>335</v>
      </c>
      <c r="I459" s="1063">
        <f>+'Seguridad Humana'!Y151</f>
        <v>0.375</v>
      </c>
      <c r="J459" s="1031" t="s">
        <v>103</v>
      </c>
      <c r="K459" s="1035" t="s">
        <v>2195</v>
      </c>
      <c r="P459"/>
    </row>
    <row r="460" spans="1:16" ht="30.75" thickBot="1" x14ac:dyDescent="0.3">
      <c r="A460" s="1031" t="s">
        <v>2341</v>
      </c>
      <c r="B460" s="1034">
        <f>'[1]PLAN DE DESARROLLO 2024 - 2027'!$K$4</f>
        <v>0.29293663727866731</v>
      </c>
      <c r="C460" s="1031" t="s">
        <v>2342</v>
      </c>
      <c r="D460" s="1034">
        <f>'[1]PLAN DE DESARROLLO 2024 - 2027'!$K$26</f>
        <v>0.26520247826018756</v>
      </c>
      <c r="E460" s="1031" t="s">
        <v>2363</v>
      </c>
      <c r="F460" s="1034">
        <f>'[1]PLAN DE DESARROLLO 2024 - 2027'!$K$30</f>
        <v>0.44583333333333341</v>
      </c>
      <c r="G460" s="1031" t="s">
        <v>337</v>
      </c>
      <c r="H460" s="1031" t="s">
        <v>338</v>
      </c>
      <c r="I460" s="1063">
        <f>+'Seguridad Humana'!Y152</f>
        <v>0.125</v>
      </c>
      <c r="J460" s="1031" t="s">
        <v>103</v>
      </c>
      <c r="K460" s="1035" t="s">
        <v>2195</v>
      </c>
      <c r="P460"/>
    </row>
    <row r="461" spans="1:16" ht="39.6" customHeight="1" thickBot="1" x14ac:dyDescent="0.3">
      <c r="A461" s="1031" t="s">
        <v>2341</v>
      </c>
      <c r="B461" s="1034">
        <f>'[1]PLAN DE DESARROLLO 2024 - 2027'!$K$4</f>
        <v>0.29293663727866731</v>
      </c>
      <c r="C461" s="1031" t="s">
        <v>2342</v>
      </c>
      <c r="D461" s="1034">
        <f>'[1]PLAN DE DESARROLLO 2024 - 2027'!$K$26</f>
        <v>0.26520247826018756</v>
      </c>
      <c r="E461" s="1031" t="s">
        <v>339</v>
      </c>
      <c r="F461" s="1034">
        <f>'[1]PLAN DE DESARROLLO 2024 - 2027'!$K$31</f>
        <v>0.25</v>
      </c>
      <c r="G461" s="1031" t="s">
        <v>340</v>
      </c>
      <c r="H461" s="1031" t="s">
        <v>341</v>
      </c>
      <c r="I461" s="1063">
        <f>+'Seguridad Humana'!Y154</f>
        <v>1</v>
      </c>
      <c r="J461" s="1031" t="s">
        <v>47</v>
      </c>
      <c r="K461" s="1035" t="s">
        <v>2195</v>
      </c>
      <c r="P461"/>
    </row>
    <row r="462" spans="1:16" ht="30.75" thickBot="1" x14ac:dyDescent="0.3">
      <c r="A462" s="1031" t="s">
        <v>2341</v>
      </c>
      <c r="B462" s="1034">
        <f>'[1]PLAN DE DESARROLLO 2024 - 2027'!$K$4</f>
        <v>0.29293663727866731</v>
      </c>
      <c r="C462" s="1031" t="s">
        <v>2342</v>
      </c>
      <c r="D462" s="1034">
        <f>'[1]PLAN DE DESARROLLO 2024 - 2027'!$K$26</f>
        <v>0.26520247826018756</v>
      </c>
      <c r="E462" s="1031" t="s">
        <v>339</v>
      </c>
      <c r="F462" s="1034">
        <f>'[1]PLAN DE DESARROLLO 2024 - 2027'!$K$31</f>
        <v>0.25</v>
      </c>
      <c r="G462" s="1031" t="s">
        <v>342</v>
      </c>
      <c r="H462" s="1031" t="s">
        <v>343</v>
      </c>
      <c r="I462" s="1063">
        <f>+'Seguridad Humana'!Y155</f>
        <v>0.75</v>
      </c>
      <c r="J462" s="1031" t="s">
        <v>47</v>
      </c>
      <c r="K462" s="1035" t="s">
        <v>2195</v>
      </c>
      <c r="P462"/>
    </row>
    <row r="463" spans="1:16" ht="15" customHeight="1" thickBot="1" x14ac:dyDescent="0.3">
      <c r="A463" s="1031" t="s">
        <v>2341</v>
      </c>
      <c r="B463" s="1034">
        <f>'[1]PLAN DE DESARROLLO 2024 - 2027'!$K$4</f>
        <v>0.29293663727866731</v>
      </c>
      <c r="C463" s="1031" t="s">
        <v>2342</v>
      </c>
      <c r="D463" s="1034">
        <f>'[1]PLAN DE DESARROLLO 2024 - 2027'!$K$26</f>
        <v>0.26520247826018756</v>
      </c>
      <c r="E463" s="1031" t="s">
        <v>339</v>
      </c>
      <c r="F463" s="1034">
        <f>'[1]PLAN DE DESARROLLO 2024 - 2027'!$K$31</f>
        <v>0.25</v>
      </c>
      <c r="G463" s="1031" t="s">
        <v>344</v>
      </c>
      <c r="H463" s="1031" t="s">
        <v>345</v>
      </c>
      <c r="I463" s="1063">
        <f>+'Seguridad Humana'!Y156</f>
        <v>9.9886813808715336E-2</v>
      </c>
      <c r="J463" s="1031" t="s">
        <v>2364</v>
      </c>
      <c r="K463" s="1035" t="s">
        <v>2195</v>
      </c>
      <c r="P463"/>
    </row>
    <row r="464" spans="1:16" ht="45.75" thickBot="1" x14ac:dyDescent="0.3">
      <c r="A464" s="1031" t="s">
        <v>2341</v>
      </c>
      <c r="B464" s="1034">
        <f>'[1]PLAN DE DESARROLLO 2024 - 2027'!$K$4</f>
        <v>0.29293663727866731</v>
      </c>
      <c r="C464" s="1031" t="s">
        <v>2342</v>
      </c>
      <c r="D464" s="1034">
        <f>'[1]PLAN DE DESARROLLO 2024 - 2027'!$K$26</f>
        <v>0.26520247826018756</v>
      </c>
      <c r="E464" s="1031" t="s">
        <v>339</v>
      </c>
      <c r="F464" s="1034">
        <f>'[1]PLAN DE DESARROLLO 2024 - 2027'!$K$31</f>
        <v>0.25</v>
      </c>
      <c r="G464" s="1031" t="s">
        <v>348</v>
      </c>
      <c r="H464" s="1031" t="s">
        <v>349</v>
      </c>
      <c r="I464" s="1063">
        <f>+'Seguridad Humana'!Y157</f>
        <v>0</v>
      </c>
      <c r="J464" s="1031" t="s">
        <v>47</v>
      </c>
      <c r="K464" s="1035" t="s">
        <v>2195</v>
      </c>
      <c r="P464"/>
    </row>
    <row r="465" spans="1:16" ht="30.75" thickBot="1" x14ac:dyDescent="0.3">
      <c r="A465" s="1031" t="s">
        <v>2341</v>
      </c>
      <c r="B465" s="1034">
        <f>'[1]PLAN DE DESARROLLO 2024 - 2027'!$K$4</f>
        <v>0.29293663727866731</v>
      </c>
      <c r="C465" s="1031" t="s">
        <v>2342</v>
      </c>
      <c r="D465" s="1034">
        <f>'[1]PLAN DE DESARROLLO 2024 - 2027'!$K$26</f>
        <v>0.26520247826018756</v>
      </c>
      <c r="E465" s="1031" t="s">
        <v>339</v>
      </c>
      <c r="F465" s="1034">
        <f>'[1]PLAN DE DESARROLLO 2024 - 2027'!$K$31</f>
        <v>0.25</v>
      </c>
      <c r="G465" s="1031" t="s">
        <v>352</v>
      </c>
      <c r="H465" s="1031" t="s">
        <v>353</v>
      </c>
      <c r="I465" s="1063">
        <f>+'Seguridad Humana'!Y158</f>
        <v>0</v>
      </c>
      <c r="J465" s="1031" t="s">
        <v>219</v>
      </c>
      <c r="K465" s="1035" t="s">
        <v>2195</v>
      </c>
      <c r="P465"/>
    </row>
    <row r="466" spans="1:16" ht="30.75" thickBot="1" x14ac:dyDescent="0.3">
      <c r="A466" s="1031" t="s">
        <v>2341</v>
      </c>
      <c r="B466" s="1034">
        <f>'[1]PLAN DE DESARROLLO 2024 - 2027'!$K$4</f>
        <v>0.29293663727866731</v>
      </c>
      <c r="C466" s="1031" t="s">
        <v>2342</v>
      </c>
      <c r="D466" s="1034">
        <f>'[1]PLAN DE DESARROLLO 2024 - 2027'!$K$26</f>
        <v>0.26520247826018756</v>
      </c>
      <c r="E466" s="1031" t="s">
        <v>339</v>
      </c>
      <c r="F466" s="1034">
        <f>'[1]PLAN DE DESARROLLO 2024 - 2027'!$K$31</f>
        <v>0.25</v>
      </c>
      <c r="G466" s="1031" t="s">
        <v>355</v>
      </c>
      <c r="H466" s="1031" t="s">
        <v>356</v>
      </c>
      <c r="I466" s="1063">
        <f>+'Seguridad Humana'!Y159</f>
        <v>0.25575471698113206</v>
      </c>
      <c r="J466" s="1031" t="s">
        <v>658</v>
      </c>
      <c r="K466" s="1035" t="s">
        <v>2195</v>
      </c>
      <c r="P466"/>
    </row>
    <row r="467" spans="1:16" ht="45.75" thickBot="1" x14ac:dyDescent="0.3">
      <c r="A467" s="1031" t="s">
        <v>2341</v>
      </c>
      <c r="B467" s="1034">
        <f>'[1]PLAN DE DESARROLLO 2024 - 2027'!$K$4</f>
        <v>0.29293663727866731</v>
      </c>
      <c r="C467" s="1031" t="s">
        <v>2342</v>
      </c>
      <c r="D467" s="1034">
        <f>'[1]PLAN DE DESARROLLO 2024 - 2027'!$K$26</f>
        <v>0.26520247826018756</v>
      </c>
      <c r="E467" s="1031" t="s">
        <v>359</v>
      </c>
      <c r="F467" s="1034">
        <f>'[1]PLAN DE DESARROLLO 2024 - 2027'!$K$32</f>
        <v>0.25159999999999999</v>
      </c>
      <c r="G467" s="1031" t="s">
        <v>360</v>
      </c>
      <c r="H467" s="1031" t="s">
        <v>361</v>
      </c>
      <c r="I467" s="1063">
        <f>+'Seguridad Humana'!Y161</f>
        <v>0.192</v>
      </c>
      <c r="J467" s="1031" t="s">
        <v>103</v>
      </c>
      <c r="K467" s="1035" t="s">
        <v>2195</v>
      </c>
      <c r="P467"/>
    </row>
    <row r="468" spans="1:16" ht="45.75" thickBot="1" x14ac:dyDescent="0.3">
      <c r="A468" s="1031" t="s">
        <v>2341</v>
      </c>
      <c r="B468" s="1034">
        <f>'[1]PLAN DE DESARROLLO 2024 - 2027'!$K$4</f>
        <v>0.29293663727866731</v>
      </c>
      <c r="C468" s="1031" t="s">
        <v>2342</v>
      </c>
      <c r="D468" s="1034">
        <f>'[1]PLAN DE DESARROLLO 2024 - 2027'!$K$26</f>
        <v>0.26520247826018756</v>
      </c>
      <c r="E468" s="1031" t="s">
        <v>359</v>
      </c>
      <c r="F468" s="1034">
        <f>'[1]PLAN DE DESARROLLO 2024 - 2027'!$K$32</f>
        <v>0.25159999999999999</v>
      </c>
      <c r="G468" s="1031" t="s">
        <v>362</v>
      </c>
      <c r="H468" s="1031" t="s">
        <v>363</v>
      </c>
      <c r="I468" s="1063">
        <f>+'Seguridad Humana'!Y162</f>
        <v>0.13</v>
      </c>
      <c r="J468" s="1031" t="s">
        <v>103</v>
      </c>
      <c r="K468" s="1035" t="s">
        <v>2195</v>
      </c>
      <c r="P468"/>
    </row>
    <row r="469" spans="1:16" ht="45.75" thickBot="1" x14ac:dyDescent="0.3">
      <c r="A469" s="1031" t="s">
        <v>2341</v>
      </c>
      <c r="B469" s="1034">
        <f>'[1]PLAN DE DESARROLLO 2024 - 2027'!$K$4</f>
        <v>0.29293663727866731</v>
      </c>
      <c r="C469" s="1031" t="s">
        <v>2342</v>
      </c>
      <c r="D469" s="1034">
        <f>'[1]PLAN DE DESARROLLO 2024 - 2027'!$K$26</f>
        <v>0.26520247826018756</v>
      </c>
      <c r="E469" s="1031" t="s">
        <v>359</v>
      </c>
      <c r="F469" s="1034">
        <f>'[1]PLAN DE DESARROLLO 2024 - 2027'!$K$32</f>
        <v>0.25159999999999999</v>
      </c>
      <c r="G469" s="1031" t="s">
        <v>364</v>
      </c>
      <c r="H469" s="1031" t="s">
        <v>365</v>
      </c>
      <c r="I469" s="1063">
        <f>+'Seguridad Humana'!Y163</f>
        <v>0.5</v>
      </c>
      <c r="J469" s="1031" t="s">
        <v>103</v>
      </c>
      <c r="K469" s="1035" t="s">
        <v>2195</v>
      </c>
      <c r="P469"/>
    </row>
    <row r="470" spans="1:16" ht="75.75" thickBot="1" x14ac:dyDescent="0.3">
      <c r="A470" s="1031" t="s">
        <v>2341</v>
      </c>
      <c r="B470" s="1034">
        <f>'[1]PLAN DE DESARROLLO 2024 - 2027'!$K$4</f>
        <v>0.29293663727866731</v>
      </c>
      <c r="C470" s="1031" t="s">
        <v>2342</v>
      </c>
      <c r="D470" s="1034">
        <f>'[1]PLAN DE DESARROLLO 2024 - 2027'!$K$26</f>
        <v>0.26520247826018756</v>
      </c>
      <c r="E470" s="1031" t="s">
        <v>359</v>
      </c>
      <c r="F470" s="1034">
        <f>'[1]PLAN DE DESARROLLO 2024 - 2027'!$K$32</f>
        <v>0.25159999999999999</v>
      </c>
      <c r="G470" s="1031" t="s">
        <v>2365</v>
      </c>
      <c r="H470" s="1031" t="s">
        <v>367</v>
      </c>
      <c r="I470" s="1063">
        <f>+'Seguridad Humana'!Y164</f>
        <v>0.625</v>
      </c>
      <c r="J470" s="1031" t="s">
        <v>103</v>
      </c>
      <c r="K470" s="1035" t="s">
        <v>2195</v>
      </c>
      <c r="P470"/>
    </row>
    <row r="471" spans="1:16" ht="60.75" thickBot="1" x14ac:dyDescent="0.3">
      <c r="A471" s="1031" t="s">
        <v>2341</v>
      </c>
      <c r="B471" s="1034">
        <f>'[1]PLAN DE DESARROLLO 2024 - 2027'!$K$4</f>
        <v>0.29293663727866731</v>
      </c>
      <c r="C471" s="1031" t="s">
        <v>2342</v>
      </c>
      <c r="D471" s="1034">
        <f>'[1]PLAN DE DESARROLLO 2024 - 2027'!$K$26</f>
        <v>0.26520247826018756</v>
      </c>
      <c r="E471" s="1031" t="s">
        <v>359</v>
      </c>
      <c r="F471" s="1034">
        <f>'[1]PLAN DE DESARROLLO 2024 - 2027'!$K$32</f>
        <v>0.25159999999999999</v>
      </c>
      <c r="G471" s="1031" t="s">
        <v>368</v>
      </c>
      <c r="H471" s="1031" t="s">
        <v>369</v>
      </c>
      <c r="I471" s="1063">
        <f>+'Seguridad Humana'!Y165</f>
        <v>0.375</v>
      </c>
      <c r="J471" s="1031" t="s">
        <v>103</v>
      </c>
      <c r="K471" s="1035" t="s">
        <v>2195</v>
      </c>
      <c r="P471"/>
    </row>
    <row r="472" spans="1:16" ht="30.75" thickBot="1" x14ac:dyDescent="0.3">
      <c r="A472" s="1031" t="s">
        <v>2341</v>
      </c>
      <c r="B472" s="1034">
        <f>'[1]PLAN DE DESARROLLO 2024 - 2027'!$K$4</f>
        <v>0.29293663727866731</v>
      </c>
      <c r="C472" s="1031" t="s">
        <v>2343</v>
      </c>
      <c r="D472" s="1034">
        <f>'[1]PLAN DE DESARROLLO 2024 - 2027'!$K$34</f>
        <v>0.2143569997651622</v>
      </c>
      <c r="E472" s="1031" t="s">
        <v>2366</v>
      </c>
      <c r="F472" s="1034">
        <f>'[1]PLAN DE DESARROLLO 2024 - 2027'!$K$35</f>
        <v>0.21968750000000001</v>
      </c>
      <c r="G472" s="1031" t="s">
        <v>384</v>
      </c>
      <c r="H472" s="1031" t="s">
        <v>385</v>
      </c>
      <c r="I472" s="1063">
        <f>+'Seguridad Humana'!Y173</f>
        <v>0.270125</v>
      </c>
      <c r="J472" s="1031" t="s">
        <v>386</v>
      </c>
      <c r="K472" s="1035" t="s">
        <v>2195</v>
      </c>
      <c r="P472"/>
    </row>
    <row r="473" spans="1:16" ht="30.75" thickBot="1" x14ac:dyDescent="0.3">
      <c r="A473" s="1031" t="s">
        <v>2341</v>
      </c>
      <c r="B473" s="1034">
        <f>'[1]PLAN DE DESARROLLO 2024 - 2027'!$K$4</f>
        <v>0.29293663727866731</v>
      </c>
      <c r="C473" s="1031" t="s">
        <v>2343</v>
      </c>
      <c r="D473" s="1034">
        <f>'[1]PLAN DE DESARROLLO 2024 - 2027'!$K$34</f>
        <v>0.2143569997651622</v>
      </c>
      <c r="E473" s="1031" t="s">
        <v>2366</v>
      </c>
      <c r="F473" s="1034">
        <f>'[1]PLAN DE DESARROLLO 2024 - 2027'!$K$35</f>
        <v>0.21968750000000001</v>
      </c>
      <c r="G473" s="1031" t="s">
        <v>387</v>
      </c>
      <c r="H473" s="1031" t="s">
        <v>388</v>
      </c>
      <c r="I473" s="1064">
        <f>+'Seguridad Humana'!Y174</f>
        <v>0.10454545454545454</v>
      </c>
      <c r="J473" s="1031" t="s">
        <v>386</v>
      </c>
      <c r="K473" s="1035" t="s">
        <v>2195</v>
      </c>
      <c r="P473"/>
    </row>
    <row r="474" spans="1:16" ht="45.75" thickBot="1" x14ac:dyDescent="0.3">
      <c r="A474" s="1031" t="s">
        <v>2341</v>
      </c>
      <c r="B474" s="1034">
        <f>'[1]PLAN DE DESARROLLO 2024 - 2027'!$K$4</f>
        <v>0.29293663727866731</v>
      </c>
      <c r="C474" s="1031" t="s">
        <v>2343</v>
      </c>
      <c r="D474" s="1034">
        <f>'[1]PLAN DE DESARROLLO 2024 - 2027'!$K$34</f>
        <v>0.2143569997651622</v>
      </c>
      <c r="E474" s="1031" t="s">
        <v>2367</v>
      </c>
      <c r="F474" s="1034">
        <f>'[1]PLAN DE DESARROLLO 2024 - 2027'!$K$36</f>
        <v>0.47095833333333337</v>
      </c>
      <c r="G474" s="1031" t="s">
        <v>391</v>
      </c>
      <c r="H474" s="1031" t="s">
        <v>392</v>
      </c>
      <c r="I474" s="1063">
        <f>+'Seguridad Humana'!Y176</f>
        <v>0.56820000000000004</v>
      </c>
      <c r="J474" s="1031" t="s">
        <v>386</v>
      </c>
      <c r="K474" s="1035" t="s">
        <v>2195</v>
      </c>
      <c r="P474"/>
    </row>
    <row r="475" spans="1:16" ht="30.75" thickBot="1" x14ac:dyDescent="0.3">
      <c r="A475" s="1031" t="s">
        <v>2341</v>
      </c>
      <c r="B475" s="1034">
        <f>'[1]PLAN DE DESARROLLO 2024 - 2027'!$K$4</f>
        <v>0.29293663727866731</v>
      </c>
      <c r="C475" s="1031" t="s">
        <v>2343</v>
      </c>
      <c r="D475" s="1034">
        <f>'[1]PLAN DE DESARROLLO 2024 - 2027'!$K$34</f>
        <v>0.2143569997651622</v>
      </c>
      <c r="E475" s="1031" t="s">
        <v>2367</v>
      </c>
      <c r="F475" s="1034">
        <f>'[1]PLAN DE DESARROLLO 2024 - 2027'!$K$36</f>
        <v>0.47095833333333337</v>
      </c>
      <c r="G475" s="1031" t="s">
        <v>393</v>
      </c>
      <c r="H475" s="1031" t="s">
        <v>394</v>
      </c>
      <c r="I475" s="1063">
        <f>+'Seguridad Humana'!Y177</f>
        <v>0.55966666666666665</v>
      </c>
      <c r="J475" s="1031" t="s">
        <v>386</v>
      </c>
      <c r="K475" s="1035" t="s">
        <v>2195</v>
      </c>
      <c r="P475"/>
    </row>
    <row r="476" spans="1:16" ht="45.75" thickBot="1" x14ac:dyDescent="0.3">
      <c r="A476" s="1031" t="s">
        <v>2341</v>
      </c>
      <c r="B476" s="1034">
        <f>'[1]PLAN DE DESARROLLO 2024 - 2027'!$K$4</f>
        <v>0.29293663727866731</v>
      </c>
      <c r="C476" s="1031" t="s">
        <v>2343</v>
      </c>
      <c r="D476" s="1034">
        <f>'[1]PLAN DE DESARROLLO 2024 - 2027'!$K$34</f>
        <v>0.2143569997651622</v>
      </c>
      <c r="E476" s="1031" t="s">
        <v>2367</v>
      </c>
      <c r="F476" s="1034">
        <f>'[1]PLAN DE DESARROLLO 2024 - 2027'!$K$36</f>
        <v>0.47095833333333337</v>
      </c>
      <c r="G476" s="1031" t="s">
        <v>395</v>
      </c>
      <c r="H476" s="1031" t="s">
        <v>396</v>
      </c>
      <c r="I476" s="1064">
        <f>+'Seguridad Humana'!Y178</f>
        <v>1</v>
      </c>
      <c r="J476" s="1031" t="s">
        <v>386</v>
      </c>
      <c r="K476" s="1035" t="s">
        <v>2195</v>
      </c>
      <c r="P476"/>
    </row>
    <row r="477" spans="1:16" ht="30.75" thickBot="1" x14ac:dyDescent="0.3">
      <c r="A477" s="1031" t="s">
        <v>2341</v>
      </c>
      <c r="B477" s="1034">
        <f>'[1]PLAN DE DESARROLLO 2024 - 2027'!$K$4</f>
        <v>0.29293663727866731</v>
      </c>
      <c r="C477" s="1031" t="s">
        <v>2343</v>
      </c>
      <c r="D477" s="1034">
        <f>'[1]PLAN DE DESARROLLO 2024 - 2027'!$K$34</f>
        <v>0.2143569997651622</v>
      </c>
      <c r="E477" s="1031" t="s">
        <v>397</v>
      </c>
      <c r="F477" s="1034">
        <f>'[1]PLAN DE DESARROLLO 2024 - 2027'!$K$37</f>
        <v>0.13305328807981076</v>
      </c>
      <c r="G477" s="1031" t="s">
        <v>398</v>
      </c>
      <c r="H477" s="1031" t="s">
        <v>399</v>
      </c>
      <c r="I477" s="1063">
        <f>+'Seguridad Humana'!Y180</f>
        <v>0.13768898488120951</v>
      </c>
      <c r="J477" s="1031" t="s">
        <v>386</v>
      </c>
      <c r="K477" s="1035" t="s">
        <v>2195</v>
      </c>
      <c r="P477"/>
    </row>
    <row r="478" spans="1:16" ht="30.75" thickBot="1" x14ac:dyDescent="0.3">
      <c r="A478" s="1031" t="s">
        <v>2341</v>
      </c>
      <c r="B478" s="1034">
        <f>'[1]PLAN DE DESARROLLO 2024 - 2027'!$K$4</f>
        <v>0.29293663727866731</v>
      </c>
      <c r="C478" s="1031" t="s">
        <v>2343</v>
      </c>
      <c r="D478" s="1034">
        <f>'[1]PLAN DE DESARROLLO 2024 - 2027'!$K$34</f>
        <v>0.2143569997651622</v>
      </c>
      <c r="E478" s="1031" t="s">
        <v>397</v>
      </c>
      <c r="F478" s="1034">
        <f>'[1]PLAN DE DESARROLLO 2024 - 2027'!$K$37</f>
        <v>0.13305328807981076</v>
      </c>
      <c r="G478" s="1031" t="s">
        <v>400</v>
      </c>
      <c r="H478" s="1031" t="s">
        <v>401</v>
      </c>
      <c r="I478" s="1063">
        <f>+'Seguridad Humana'!Y181</f>
        <v>0.22378571428571428</v>
      </c>
      <c r="J478" s="1031" t="s">
        <v>386</v>
      </c>
      <c r="K478" s="1035" t="s">
        <v>2195</v>
      </c>
      <c r="P478"/>
    </row>
    <row r="479" spans="1:16" ht="30.75" thickBot="1" x14ac:dyDescent="0.3">
      <c r="A479" s="1031" t="s">
        <v>2341</v>
      </c>
      <c r="B479" s="1034">
        <f>'[1]PLAN DE DESARROLLO 2024 - 2027'!$K$4</f>
        <v>0.29293663727866731</v>
      </c>
      <c r="C479" s="1031" t="s">
        <v>2343</v>
      </c>
      <c r="D479" s="1034">
        <f>'[1]PLAN DE DESARROLLO 2024 - 2027'!$K$34</f>
        <v>0.2143569997651622</v>
      </c>
      <c r="E479" s="1031" t="s">
        <v>397</v>
      </c>
      <c r="F479" s="1034">
        <f>'[1]PLAN DE DESARROLLO 2024 - 2027'!$K$37</f>
        <v>0.13305328807981076</v>
      </c>
      <c r="G479" s="1031" t="s">
        <v>402</v>
      </c>
      <c r="H479" s="1031" t="s">
        <v>2368</v>
      </c>
      <c r="I479" s="1063">
        <f>+'Seguridad Humana'!Y182</f>
        <v>9.776E-2</v>
      </c>
      <c r="J479" s="1031" t="s">
        <v>386</v>
      </c>
      <c r="K479" s="1035" t="s">
        <v>2195</v>
      </c>
      <c r="P479"/>
    </row>
    <row r="480" spans="1:16" ht="30.75" thickBot="1" x14ac:dyDescent="0.3">
      <c r="A480" s="1031" t="s">
        <v>2341</v>
      </c>
      <c r="B480" s="1034">
        <f>'[1]PLAN DE DESARROLLO 2024 - 2027'!$K$4</f>
        <v>0.29293663727866731</v>
      </c>
      <c r="C480" s="1031" t="s">
        <v>2343</v>
      </c>
      <c r="D480" s="1034">
        <f>'[1]PLAN DE DESARROLLO 2024 - 2027'!$K$34</f>
        <v>0.2143569997651622</v>
      </c>
      <c r="E480" s="1031" t="s">
        <v>397</v>
      </c>
      <c r="F480" s="1034">
        <f>'[1]PLAN DE DESARROLLO 2024 - 2027'!$K$37</f>
        <v>0.13305328807981076</v>
      </c>
      <c r="G480" s="1031" t="s">
        <v>404</v>
      </c>
      <c r="H480" s="1031" t="s">
        <v>405</v>
      </c>
      <c r="I480" s="1063">
        <f>+'Seguridad Humana'!Y183</f>
        <v>0.36</v>
      </c>
      <c r="J480" s="1031" t="s">
        <v>386</v>
      </c>
      <c r="K480" s="1035" t="s">
        <v>2195</v>
      </c>
      <c r="P480"/>
    </row>
    <row r="481" spans="1:16" ht="30.75" thickBot="1" x14ac:dyDescent="0.3">
      <c r="A481" s="1031" t="s">
        <v>2341</v>
      </c>
      <c r="B481" s="1034">
        <f>'[1]PLAN DE DESARROLLO 2024 - 2027'!$K$4</f>
        <v>0.29293663727866731</v>
      </c>
      <c r="C481" s="1031" t="s">
        <v>2343</v>
      </c>
      <c r="D481" s="1034">
        <f>'[1]PLAN DE DESARROLLO 2024 - 2027'!$K$34</f>
        <v>0.2143569997651622</v>
      </c>
      <c r="E481" s="1031" t="s">
        <v>409</v>
      </c>
      <c r="F481" s="1034">
        <f>'[1]PLAN DE DESARROLLO 2024 - 2027'!$K$39</f>
        <v>0.20016200657894737</v>
      </c>
      <c r="G481" s="1031" t="s">
        <v>410</v>
      </c>
      <c r="H481" s="1031" t="s">
        <v>411</v>
      </c>
      <c r="I481" s="1063">
        <f>+'Seguridad Humana'!Y187</f>
        <v>0.12612499999999999</v>
      </c>
      <c r="J481" s="1031" t="s">
        <v>386</v>
      </c>
      <c r="K481" s="1035" t="s">
        <v>2195</v>
      </c>
      <c r="P481"/>
    </row>
    <row r="482" spans="1:16" ht="30.75" thickBot="1" x14ac:dyDescent="0.3">
      <c r="A482" s="1031" t="s">
        <v>2341</v>
      </c>
      <c r="B482" s="1034">
        <f>'[1]PLAN DE DESARROLLO 2024 - 2027'!$K$4</f>
        <v>0.29293663727866731</v>
      </c>
      <c r="C482" s="1031" t="s">
        <v>2343</v>
      </c>
      <c r="D482" s="1034">
        <f>'[1]PLAN DE DESARROLLO 2024 - 2027'!$K$34</f>
        <v>0.2143569997651622</v>
      </c>
      <c r="E482" s="1031" t="s">
        <v>409</v>
      </c>
      <c r="F482" s="1034">
        <f>'[1]PLAN DE DESARROLLO 2024 - 2027'!$K$39</f>
        <v>0.20016200657894737</v>
      </c>
      <c r="G482" s="1031" t="s">
        <v>412</v>
      </c>
      <c r="H482" s="1031" t="s">
        <v>413</v>
      </c>
      <c r="I482" s="1064">
        <f>+'Seguridad Humana'!Y188</f>
        <v>0</v>
      </c>
      <c r="J482" s="1031" t="s">
        <v>386</v>
      </c>
      <c r="K482" s="1035" t="s">
        <v>2195</v>
      </c>
      <c r="P482"/>
    </row>
    <row r="483" spans="1:16" ht="30.75" thickBot="1" x14ac:dyDescent="0.3">
      <c r="A483" s="1031" t="s">
        <v>2341</v>
      </c>
      <c r="B483" s="1034">
        <f>'[1]PLAN DE DESARROLLO 2024 - 2027'!$K$4</f>
        <v>0.29293663727866731</v>
      </c>
      <c r="C483" s="1031" t="s">
        <v>2343</v>
      </c>
      <c r="D483" s="1034">
        <f>'[1]PLAN DE DESARROLLO 2024 - 2027'!$K$34</f>
        <v>0.2143569997651622</v>
      </c>
      <c r="E483" s="1031" t="s">
        <v>409</v>
      </c>
      <c r="F483" s="1034">
        <f>'[1]PLAN DE DESARROLLO 2024 - 2027'!$K$39</f>
        <v>0.20016200657894737</v>
      </c>
      <c r="G483" s="1031" t="s">
        <v>415</v>
      </c>
      <c r="H483" s="1031" t="s">
        <v>416</v>
      </c>
      <c r="I483" s="1063">
        <f>+'Seguridad Humana'!Y189</f>
        <v>0.18657894736842107</v>
      </c>
      <c r="J483" s="1031" t="s">
        <v>386</v>
      </c>
      <c r="K483" s="1035" t="s">
        <v>2195</v>
      </c>
      <c r="P483"/>
    </row>
    <row r="484" spans="1:16" ht="45.75" thickBot="1" x14ac:dyDescent="0.3">
      <c r="A484" s="1031" t="s">
        <v>2341</v>
      </c>
      <c r="B484" s="1034">
        <f>'[1]PLAN DE DESARROLLO 2024 - 2027'!$K$4</f>
        <v>0.29293663727866731</v>
      </c>
      <c r="C484" s="1031" t="s">
        <v>2343</v>
      </c>
      <c r="D484" s="1034">
        <f>'[1]PLAN DE DESARROLLO 2024 - 2027'!$K$34</f>
        <v>0.2143569997651622</v>
      </c>
      <c r="E484" s="1031" t="s">
        <v>409</v>
      </c>
      <c r="F484" s="1034">
        <f>'[1]PLAN DE DESARROLLO 2024 - 2027'!$K$39</f>
        <v>0.20016200657894737</v>
      </c>
      <c r="G484" s="1031" t="s">
        <v>417</v>
      </c>
      <c r="H484" s="1031" t="s">
        <v>418</v>
      </c>
      <c r="I484" s="1063">
        <f>+'Seguridad Humana'!Y190</f>
        <v>0.47499999999999998</v>
      </c>
      <c r="J484" s="1031" t="s">
        <v>386</v>
      </c>
      <c r="K484" s="1035" t="s">
        <v>2195</v>
      </c>
      <c r="P484"/>
    </row>
    <row r="485" spans="1:16" ht="30.75" thickBot="1" x14ac:dyDescent="0.3">
      <c r="A485" s="1031" t="s">
        <v>2341</v>
      </c>
      <c r="B485" s="1034">
        <f>'[1]PLAN DE DESARROLLO 2024 - 2027'!$K$4</f>
        <v>0.29293663727866731</v>
      </c>
      <c r="C485" s="1031" t="s">
        <v>2343</v>
      </c>
      <c r="D485" s="1034">
        <f>'[1]PLAN DE DESARROLLO 2024 - 2027'!$K$34</f>
        <v>0.2143569997651622</v>
      </c>
      <c r="E485" s="1031" t="s">
        <v>409</v>
      </c>
      <c r="F485" s="1034">
        <f>'[1]PLAN DE DESARROLLO 2024 - 2027'!$K$39</f>
        <v>0.20016200657894737</v>
      </c>
      <c r="G485" s="1031" t="s">
        <v>419</v>
      </c>
      <c r="H485" s="1031" t="s">
        <v>420</v>
      </c>
      <c r="I485" s="1063">
        <f>+'Seguridad Humana'!Y191</f>
        <v>0.1928125</v>
      </c>
      <c r="J485" s="1031" t="s">
        <v>386</v>
      </c>
      <c r="K485" s="1035" t="s">
        <v>2195</v>
      </c>
      <c r="P485"/>
    </row>
    <row r="486" spans="1:16" ht="30.75" thickBot="1" x14ac:dyDescent="0.3">
      <c r="A486" s="1031" t="s">
        <v>2341</v>
      </c>
      <c r="B486" s="1034">
        <f>'[1]PLAN DE DESARROLLO 2024 - 2027'!$K$4</f>
        <v>0.29293663727866731</v>
      </c>
      <c r="C486" s="1031" t="s">
        <v>2343</v>
      </c>
      <c r="D486" s="1034">
        <f>'[1]PLAN DE DESARROLLO 2024 - 2027'!$K$34</f>
        <v>0.2143569997651622</v>
      </c>
      <c r="E486" s="1031" t="s">
        <v>2369</v>
      </c>
      <c r="F486" s="1034">
        <f>'[1]PLAN DE DESARROLLO 2024 - 2027'!$K$40</f>
        <v>2.3449999999999999E-2</v>
      </c>
      <c r="G486" s="1031" t="s">
        <v>422</v>
      </c>
      <c r="H486" s="1031" t="s">
        <v>423</v>
      </c>
      <c r="I486" s="1063">
        <f>+'Seguridad Humana'!Y193</f>
        <v>0.04</v>
      </c>
      <c r="J486" s="1031" t="s">
        <v>386</v>
      </c>
      <c r="K486" s="1035" t="s">
        <v>2195</v>
      </c>
      <c r="P486"/>
    </row>
    <row r="487" spans="1:16" ht="30.75" thickBot="1" x14ac:dyDescent="0.3">
      <c r="A487" s="1031" t="s">
        <v>2341</v>
      </c>
      <c r="B487" s="1034">
        <f>'[1]PLAN DE DESARROLLO 2024 - 2027'!$K$4</f>
        <v>0.29293663727866731</v>
      </c>
      <c r="C487" s="1031" t="s">
        <v>2343</v>
      </c>
      <c r="D487" s="1034">
        <f>'[1]PLAN DE DESARROLLO 2024 - 2027'!$K$34</f>
        <v>0.2143569997651622</v>
      </c>
      <c r="E487" s="1031" t="s">
        <v>2369</v>
      </c>
      <c r="F487" s="1034">
        <f>'[1]PLAN DE DESARROLLO 2024 - 2027'!$K$40</f>
        <v>2.3449999999999999E-2</v>
      </c>
      <c r="G487" s="1031" t="s">
        <v>424</v>
      </c>
      <c r="H487" s="1031" t="s">
        <v>425</v>
      </c>
      <c r="I487" s="1064">
        <f>+'Seguridad Humana'!Y194</f>
        <v>0</v>
      </c>
      <c r="J487" s="1031" t="s">
        <v>386</v>
      </c>
      <c r="K487" s="1035" t="s">
        <v>2195</v>
      </c>
      <c r="P487"/>
    </row>
    <row r="488" spans="1:16" ht="45.75" thickBot="1" x14ac:dyDescent="0.3">
      <c r="A488" s="1031" t="s">
        <v>2341</v>
      </c>
      <c r="B488" s="1034">
        <f>'[1]PLAN DE DESARROLLO 2024 - 2027'!$K$4</f>
        <v>0.29293663727866731</v>
      </c>
      <c r="C488" s="1031" t="s">
        <v>2343</v>
      </c>
      <c r="D488" s="1034">
        <f>'[1]PLAN DE DESARROLLO 2024 - 2027'!$K$34</f>
        <v>0.2143569997651622</v>
      </c>
      <c r="E488" s="1031" t="s">
        <v>2370</v>
      </c>
      <c r="F488" s="1034">
        <f>'[1]PLAN DE DESARROLLO 2024 - 2027'!$K$41</f>
        <v>0.32221001221001222</v>
      </c>
      <c r="G488" s="1031" t="s">
        <v>427</v>
      </c>
      <c r="H488" s="1031" t="s">
        <v>428</v>
      </c>
      <c r="I488" s="1063">
        <f>+'Seguridad Humana'!Y196</f>
        <v>0.32783882783882784</v>
      </c>
      <c r="J488" s="1031" t="s">
        <v>386</v>
      </c>
      <c r="K488" s="1035" t="s">
        <v>2195</v>
      </c>
      <c r="P488"/>
    </row>
    <row r="489" spans="1:16" ht="30.75" thickBot="1" x14ac:dyDescent="0.3">
      <c r="A489" s="1031" t="s">
        <v>2341</v>
      </c>
      <c r="B489" s="1034">
        <f>'[1]PLAN DE DESARROLLO 2024 - 2027'!$K$4</f>
        <v>0.29293663727866731</v>
      </c>
      <c r="C489" s="1031" t="s">
        <v>2343</v>
      </c>
      <c r="D489" s="1034">
        <f>'[1]PLAN DE DESARROLLO 2024 - 2027'!$K$34</f>
        <v>0.2143569997651622</v>
      </c>
      <c r="E489" s="1031" t="s">
        <v>2370</v>
      </c>
      <c r="F489" s="1034">
        <f>'[1]PLAN DE DESARROLLO 2024 - 2027'!$K$41</f>
        <v>0.32221001221001222</v>
      </c>
      <c r="G489" s="1031" t="s">
        <v>429</v>
      </c>
      <c r="H489" s="1031" t="s">
        <v>430</v>
      </c>
      <c r="I489" s="1063">
        <f>+'Seguridad Humana'!Y197</f>
        <v>0.5</v>
      </c>
      <c r="J489" s="1031" t="s">
        <v>386</v>
      </c>
      <c r="K489" s="1035" t="s">
        <v>2195</v>
      </c>
      <c r="P489"/>
    </row>
    <row r="490" spans="1:16" ht="45.75" thickBot="1" x14ac:dyDescent="0.3">
      <c r="A490" s="1031" t="s">
        <v>2341</v>
      </c>
      <c r="B490" s="1034">
        <f>'[1]PLAN DE DESARROLLO 2024 - 2027'!$K$4</f>
        <v>0.29293663727866731</v>
      </c>
      <c r="C490" s="1031" t="s">
        <v>2343</v>
      </c>
      <c r="D490" s="1034">
        <f>'[1]PLAN DE DESARROLLO 2024 - 2027'!$K$34</f>
        <v>0.2143569997651622</v>
      </c>
      <c r="E490" s="1031" t="s">
        <v>2370</v>
      </c>
      <c r="F490" s="1034">
        <f>'[1]PLAN DE DESARROLLO 2024 - 2027'!$K$41</f>
        <v>0.32221001221001222</v>
      </c>
      <c r="G490" s="1031" t="s">
        <v>431</v>
      </c>
      <c r="H490" s="1031" t="s">
        <v>432</v>
      </c>
      <c r="I490" s="1063">
        <f>+'Seguridad Humana'!Y198</f>
        <v>0.22</v>
      </c>
      <c r="J490" s="1031" t="s">
        <v>386</v>
      </c>
      <c r="K490" s="1035" t="s">
        <v>2195</v>
      </c>
      <c r="P490"/>
    </row>
    <row r="491" spans="1:16" ht="45.75" thickBot="1" x14ac:dyDescent="0.3">
      <c r="A491" s="1031" t="s">
        <v>2341</v>
      </c>
      <c r="B491" s="1034">
        <f>'[1]PLAN DE DESARROLLO 2024 - 2027'!$K$4</f>
        <v>0.29293663727866731</v>
      </c>
      <c r="C491" s="1031" t="s">
        <v>2343</v>
      </c>
      <c r="D491" s="1034">
        <f>'[1]PLAN DE DESARROLLO 2024 - 2027'!$K$34</f>
        <v>0.2143569997651622</v>
      </c>
      <c r="E491" s="1031" t="s">
        <v>2371</v>
      </c>
      <c r="F491" s="1034">
        <f>'[1]PLAN DE DESARROLLO 2024 - 2027'!$K$42</f>
        <v>0.25741666666666668</v>
      </c>
      <c r="G491" s="1031" t="s">
        <v>434</v>
      </c>
      <c r="H491" s="1031" t="s">
        <v>435</v>
      </c>
      <c r="I491" s="1063">
        <f>+'Seguridad Humana'!Y200</f>
        <v>0.43149999999999999</v>
      </c>
      <c r="J491" s="1031" t="s">
        <v>386</v>
      </c>
      <c r="K491" s="1035" t="s">
        <v>2195</v>
      </c>
      <c r="P491"/>
    </row>
    <row r="492" spans="1:16" ht="30.75" thickBot="1" x14ac:dyDescent="0.3">
      <c r="A492" s="1031" t="s">
        <v>2341</v>
      </c>
      <c r="B492" s="1034">
        <f>'[1]PLAN DE DESARROLLO 2024 - 2027'!$K$4</f>
        <v>0.29293663727866731</v>
      </c>
      <c r="C492" s="1031" t="s">
        <v>2343</v>
      </c>
      <c r="D492" s="1034">
        <f>'[1]PLAN DE DESARROLLO 2024 - 2027'!$K$34</f>
        <v>0.2143569997651622</v>
      </c>
      <c r="E492" s="1031" t="s">
        <v>2371</v>
      </c>
      <c r="F492" s="1034">
        <f>'[1]PLAN DE DESARROLLO 2024 - 2027'!$K$42</f>
        <v>0.25741666666666668</v>
      </c>
      <c r="G492" s="1031" t="s">
        <v>436</v>
      </c>
      <c r="H492" s="1031" t="s">
        <v>437</v>
      </c>
      <c r="I492" s="1063">
        <f>+'Seguridad Humana'!Y201</f>
        <v>0.14583333333333334</v>
      </c>
      <c r="J492" s="1031" t="s">
        <v>386</v>
      </c>
      <c r="K492" s="1035" t="s">
        <v>2195</v>
      </c>
      <c r="P492"/>
    </row>
    <row r="493" spans="1:16" ht="30.75" thickBot="1" x14ac:dyDescent="0.3">
      <c r="A493" s="1031" t="s">
        <v>2341</v>
      </c>
      <c r="B493" s="1034">
        <f>'[1]PLAN DE DESARROLLO 2024 - 2027'!$K$4</f>
        <v>0.29293663727866731</v>
      </c>
      <c r="C493" s="1031" t="s">
        <v>2343</v>
      </c>
      <c r="D493" s="1034">
        <f>'[1]PLAN DE DESARROLLO 2024 - 2027'!$K$34</f>
        <v>0.2143569997651622</v>
      </c>
      <c r="E493" s="1031" t="s">
        <v>2371</v>
      </c>
      <c r="F493" s="1034">
        <f>'[1]PLAN DE DESARROLLO 2024 - 2027'!$K$42</f>
        <v>0.25741666666666668</v>
      </c>
      <c r="G493" s="1031" t="s">
        <v>438</v>
      </c>
      <c r="H493" s="1031" t="s">
        <v>439</v>
      </c>
      <c r="I493" s="1064">
        <f>+'Seguridad Humana'!Y202</f>
        <v>0</v>
      </c>
      <c r="J493" s="1031" t="s">
        <v>386</v>
      </c>
      <c r="K493" s="1035" t="s">
        <v>2195</v>
      </c>
      <c r="P493"/>
    </row>
    <row r="494" spans="1:16" ht="45.75" thickBot="1" x14ac:dyDescent="0.3">
      <c r="A494" s="1031" t="s">
        <v>2341</v>
      </c>
      <c r="B494" s="1034">
        <f>'[1]PLAN DE DESARROLLO 2024 - 2027'!$K$4</f>
        <v>0.29293663727866731</v>
      </c>
      <c r="C494" s="1031" t="s">
        <v>2343</v>
      </c>
      <c r="D494" s="1034">
        <f>'[1]PLAN DE DESARROLLO 2024 - 2027'!$K$34</f>
        <v>0.2143569997651622</v>
      </c>
      <c r="E494" s="1031" t="s">
        <v>440</v>
      </c>
      <c r="F494" s="1034">
        <f>'[1]PLAN DE DESARROLLO 2024 - 2027'!$K$43</f>
        <v>0.33088235294117646</v>
      </c>
      <c r="G494" s="1031" t="s">
        <v>441</v>
      </c>
      <c r="H494" s="1031" t="s">
        <v>442</v>
      </c>
      <c r="I494" s="1063">
        <f>+'Seguridad Humana'!Y204</f>
        <v>0.6470588235294118</v>
      </c>
      <c r="J494" s="1031" t="s">
        <v>386</v>
      </c>
      <c r="K494" s="1035" t="s">
        <v>2195</v>
      </c>
      <c r="P494"/>
    </row>
    <row r="495" spans="1:16" ht="30.75" thickBot="1" x14ac:dyDescent="0.3">
      <c r="A495" s="1031" t="s">
        <v>2341</v>
      </c>
      <c r="B495" s="1034">
        <f>'[1]PLAN DE DESARROLLO 2024 - 2027'!$K$4</f>
        <v>0.29293663727866731</v>
      </c>
      <c r="C495" s="1031" t="s">
        <v>2343</v>
      </c>
      <c r="D495" s="1034">
        <f>'[1]PLAN DE DESARROLLO 2024 - 2027'!$K$34</f>
        <v>0.2143569997651622</v>
      </c>
      <c r="E495" s="1031" t="s">
        <v>440</v>
      </c>
      <c r="F495" s="1034">
        <f>'[1]PLAN DE DESARROLLO 2024 - 2027'!$K$43</f>
        <v>0.33088235294117646</v>
      </c>
      <c r="G495" s="1031" t="s">
        <v>443</v>
      </c>
      <c r="H495" s="1031" t="s">
        <v>444</v>
      </c>
      <c r="I495" s="1063">
        <f>+'Seguridad Humana'!Y205</f>
        <v>0.5</v>
      </c>
      <c r="J495" s="1031" t="s">
        <v>386</v>
      </c>
      <c r="K495" s="1035" t="s">
        <v>2195</v>
      </c>
      <c r="P495"/>
    </row>
    <row r="496" spans="1:16" ht="30.75" thickBot="1" x14ac:dyDescent="0.3">
      <c r="A496" s="1031" t="s">
        <v>2341</v>
      </c>
      <c r="B496" s="1034">
        <f>'[1]PLAN DE DESARROLLO 2024 - 2027'!$K$4</f>
        <v>0.29293663727866731</v>
      </c>
      <c r="C496" s="1031" t="s">
        <v>2343</v>
      </c>
      <c r="D496" s="1034">
        <f>'[1]PLAN DE DESARROLLO 2024 - 2027'!$K$34</f>
        <v>0.2143569997651622</v>
      </c>
      <c r="E496" s="1031" t="s">
        <v>2372</v>
      </c>
      <c r="F496" s="1034">
        <f>'[1]PLAN DE DESARROLLO 2024 - 2027'!$K$44</f>
        <v>0.15972222222222221</v>
      </c>
      <c r="G496" s="1031" t="s">
        <v>446</v>
      </c>
      <c r="H496" s="1031" t="s">
        <v>447</v>
      </c>
      <c r="I496" s="1063">
        <f>+'Seguridad Humana'!Y207</f>
        <v>0.30833333333333335</v>
      </c>
      <c r="J496" s="1031" t="s">
        <v>386</v>
      </c>
      <c r="K496" s="1035" t="s">
        <v>2195</v>
      </c>
      <c r="P496"/>
    </row>
    <row r="497" spans="1:16" ht="30.75" thickBot="1" x14ac:dyDescent="0.3">
      <c r="A497" s="1031" t="s">
        <v>2341</v>
      </c>
      <c r="B497" s="1034">
        <f>'[1]PLAN DE DESARROLLO 2024 - 2027'!$K$4</f>
        <v>0.29293663727866731</v>
      </c>
      <c r="C497" s="1031" t="s">
        <v>2343</v>
      </c>
      <c r="D497" s="1034">
        <f>'[1]PLAN DE DESARROLLO 2024 - 2027'!$K$34</f>
        <v>0.2143569997651622</v>
      </c>
      <c r="E497" s="1031" t="s">
        <v>2372</v>
      </c>
      <c r="F497" s="1034">
        <f>'[1]PLAN DE DESARROLLO 2024 - 2027'!$K$44</f>
        <v>0.15972222222222221</v>
      </c>
      <c r="G497" s="1031" t="s">
        <v>448</v>
      </c>
      <c r="H497" s="1031" t="s">
        <v>449</v>
      </c>
      <c r="I497" s="1063">
        <f>+'Seguridad Humana'!Y208</f>
        <v>0.2361111111111111</v>
      </c>
      <c r="J497" s="1031" t="s">
        <v>386</v>
      </c>
      <c r="K497" s="1035" t="s">
        <v>2195</v>
      </c>
      <c r="P497"/>
    </row>
    <row r="498" spans="1:16" ht="45.75" thickBot="1" x14ac:dyDescent="0.3">
      <c r="A498" s="1031" t="s">
        <v>2341</v>
      </c>
      <c r="B498" s="1034">
        <f>'[1]PLAN DE DESARROLLO 2024 - 2027'!$K$4</f>
        <v>0.29293663727866731</v>
      </c>
      <c r="C498" s="1031" t="s">
        <v>2343</v>
      </c>
      <c r="D498" s="1034">
        <f>'[1]PLAN DE DESARROLLO 2024 - 2027'!$K$34</f>
        <v>0.2143569997651622</v>
      </c>
      <c r="E498" s="1031" t="s">
        <v>2373</v>
      </c>
      <c r="F498" s="1034">
        <f>'[1]PLAN DE DESARROLLO 2024 - 2027'!$K$45</f>
        <v>0.24038461538461539</v>
      </c>
      <c r="G498" s="1031" t="s">
        <v>451</v>
      </c>
      <c r="H498" s="1031" t="s">
        <v>452</v>
      </c>
      <c r="I498" s="1063">
        <f>+'Seguridad Humana'!Y210</f>
        <v>0.23076923076923078</v>
      </c>
      <c r="J498" s="1031" t="s">
        <v>658</v>
      </c>
      <c r="K498" s="1035" t="s">
        <v>2195</v>
      </c>
      <c r="P498"/>
    </row>
    <row r="499" spans="1:16" ht="45.75" thickBot="1" x14ac:dyDescent="0.3">
      <c r="A499" s="1031" t="s">
        <v>2341</v>
      </c>
      <c r="B499" s="1034">
        <f>'[1]PLAN DE DESARROLLO 2024 - 2027'!$K$4</f>
        <v>0.29293663727866731</v>
      </c>
      <c r="C499" s="1031" t="s">
        <v>2343</v>
      </c>
      <c r="D499" s="1034">
        <f>'[1]PLAN DE DESARROLLO 2024 - 2027'!$K$34</f>
        <v>0.2143569997651622</v>
      </c>
      <c r="E499" s="1031" t="s">
        <v>2373</v>
      </c>
      <c r="F499" s="1034">
        <f>'[1]PLAN DE DESARROLLO 2024 - 2027'!$K$45</f>
        <v>0.24038461538461539</v>
      </c>
      <c r="G499" s="1031" t="s">
        <v>456</v>
      </c>
      <c r="H499" s="1031" t="s">
        <v>457</v>
      </c>
      <c r="I499" s="1063">
        <f>+'Seguridad Humana'!Y211</f>
        <v>0.25</v>
      </c>
      <c r="J499" s="1031" t="s">
        <v>658</v>
      </c>
      <c r="K499" s="1035" t="s">
        <v>2195</v>
      </c>
      <c r="P499"/>
    </row>
    <row r="500" spans="1:16" ht="45.75" thickBot="1" x14ac:dyDescent="0.3">
      <c r="A500" s="1031" t="s">
        <v>2341</v>
      </c>
      <c r="B500" s="1034">
        <f>'[1]PLAN DE DESARROLLO 2024 - 2027'!$K$4</f>
        <v>0.29293663727866731</v>
      </c>
      <c r="C500" s="1031" t="s">
        <v>2374</v>
      </c>
      <c r="D500" s="1034">
        <f>'[1]PLAN DE DESARROLLO 2024 - 2027'!$K$5</f>
        <v>0.43173821655610001</v>
      </c>
      <c r="E500" s="1031" t="s">
        <v>2375</v>
      </c>
      <c r="F500" s="1034">
        <f>'[1]PLAN DE DESARROLLO 2024 - 2027'!$K$6</f>
        <v>0.35</v>
      </c>
      <c r="G500" s="1031" t="s">
        <v>33</v>
      </c>
      <c r="H500" s="1031" t="s">
        <v>34</v>
      </c>
      <c r="I500" s="1063">
        <f>+'Seguridad Humana'!Y6</f>
        <v>1</v>
      </c>
      <c r="J500" s="1031" t="s">
        <v>2376</v>
      </c>
      <c r="K500" s="1035" t="s">
        <v>2195</v>
      </c>
    </row>
    <row r="501" spans="1:16" ht="45.75" thickBot="1" x14ac:dyDescent="0.3">
      <c r="A501" s="1031" t="s">
        <v>2341</v>
      </c>
      <c r="B501" s="1034">
        <f>'[1]PLAN DE DESARROLLO 2024 - 2027'!$K$4</f>
        <v>0.29293663727866731</v>
      </c>
      <c r="C501" s="1031" t="s">
        <v>2374</v>
      </c>
      <c r="D501" s="1034">
        <f>'[1]PLAN DE DESARROLLO 2024 - 2027'!$K$5</f>
        <v>0.43173821655610001</v>
      </c>
      <c r="E501" s="1031" t="s">
        <v>2375</v>
      </c>
      <c r="F501" s="1034">
        <f>'[1]PLAN DE DESARROLLO 2024 - 2027'!$K$6</f>
        <v>0.35</v>
      </c>
      <c r="G501" s="1031" t="s">
        <v>2377</v>
      </c>
      <c r="H501" s="1031" t="s">
        <v>2378</v>
      </c>
      <c r="I501" s="1063">
        <f>+'Seguridad Humana'!Y7</f>
        <v>0.5</v>
      </c>
      <c r="J501" s="1031" t="s">
        <v>2379</v>
      </c>
      <c r="K501" s="1035" t="s">
        <v>2195</v>
      </c>
    </row>
    <row r="502" spans="1:16" ht="30.75" thickBot="1" x14ac:dyDescent="0.3">
      <c r="A502" s="1031" t="s">
        <v>2341</v>
      </c>
      <c r="B502" s="1034">
        <f>'[1]PLAN DE DESARROLLO 2024 - 2027'!$K$4</f>
        <v>0.29293663727866731</v>
      </c>
      <c r="C502" s="1031" t="s">
        <v>2374</v>
      </c>
      <c r="D502" s="1034">
        <f>'[1]PLAN DE DESARROLLO 2024 - 2027'!$K$5</f>
        <v>0.43173821655610001</v>
      </c>
      <c r="E502" s="1031" t="s">
        <v>2375</v>
      </c>
      <c r="F502" s="1034">
        <f>'[1]PLAN DE DESARROLLO 2024 - 2027'!$K$6</f>
        <v>0.35</v>
      </c>
      <c r="G502" s="1031" t="s">
        <v>2380</v>
      </c>
      <c r="H502" s="1031" t="s">
        <v>46</v>
      </c>
      <c r="I502" s="1063">
        <f>+'Seguridad Humana'!Y8</f>
        <v>0.35</v>
      </c>
      <c r="J502" s="1031" t="s">
        <v>47</v>
      </c>
      <c r="K502" s="1035" t="s">
        <v>2195</v>
      </c>
    </row>
    <row r="503" spans="1:16" ht="48.6" customHeight="1" thickBot="1" x14ac:dyDescent="0.3">
      <c r="A503" s="1031" t="s">
        <v>2341</v>
      </c>
      <c r="B503" s="1034">
        <f>'[1]PLAN DE DESARROLLO 2024 - 2027'!$K$4</f>
        <v>0.29293663727866731</v>
      </c>
      <c r="C503" s="1031" t="s">
        <v>2374</v>
      </c>
      <c r="D503" s="1034">
        <f>'[1]PLAN DE DESARROLLO 2024 - 2027'!$K$5</f>
        <v>0.43173821655610001</v>
      </c>
      <c r="E503" s="1031" t="s">
        <v>2375</v>
      </c>
      <c r="F503" s="1034">
        <f>'[1]PLAN DE DESARROLLO 2024 - 2027'!$K$6</f>
        <v>0.35</v>
      </c>
      <c r="G503" s="1031" t="s">
        <v>49</v>
      </c>
      <c r="H503" s="1031" t="s">
        <v>50</v>
      </c>
      <c r="I503" s="1063">
        <f>+'Seguridad Humana'!Y9</f>
        <v>0</v>
      </c>
      <c r="J503" s="1031" t="s">
        <v>2381</v>
      </c>
      <c r="K503" s="1035" t="s">
        <v>2195</v>
      </c>
    </row>
    <row r="504" spans="1:16" ht="33" customHeight="1" thickBot="1" x14ac:dyDescent="0.3">
      <c r="A504" s="1031" t="s">
        <v>2341</v>
      </c>
      <c r="B504" s="1034">
        <f>'[1]PLAN DE DESARROLLO 2024 - 2027'!$K$4</f>
        <v>0.29293663727866731</v>
      </c>
      <c r="C504" s="1031" t="s">
        <v>2374</v>
      </c>
      <c r="D504" s="1034">
        <f>'[1]PLAN DE DESARROLLO 2024 - 2027'!$K$5</f>
        <v>0.43173821655610001</v>
      </c>
      <c r="E504" s="1031" t="s">
        <v>2375</v>
      </c>
      <c r="F504" s="1034">
        <f>'[1]PLAN DE DESARROLLO 2024 - 2027'!$K$6</f>
        <v>0.35</v>
      </c>
      <c r="G504" s="1031" t="s">
        <v>2382</v>
      </c>
      <c r="H504" s="1031" t="s">
        <v>2383</v>
      </c>
      <c r="I504" s="1064">
        <f>+'Seguridad Humana'!Y10</f>
        <v>0</v>
      </c>
      <c r="J504" s="1031" t="s">
        <v>47</v>
      </c>
      <c r="K504" s="1035" t="s">
        <v>2195</v>
      </c>
    </row>
    <row r="505" spans="1:16" ht="45.6" customHeight="1" thickBot="1" x14ac:dyDescent="0.3">
      <c r="A505" s="1031" t="s">
        <v>2341</v>
      </c>
      <c r="B505" s="1034">
        <f>'[1]PLAN DE DESARROLLO 2024 - 2027'!$K$4</f>
        <v>0.29293663727866731</v>
      </c>
      <c r="C505" s="1031" t="s">
        <v>2374</v>
      </c>
      <c r="D505" s="1034">
        <f>'[1]PLAN DE DESARROLLO 2024 - 2027'!$K$5</f>
        <v>0.43173821655610001</v>
      </c>
      <c r="E505" s="1031" t="s">
        <v>2375</v>
      </c>
      <c r="F505" s="1034">
        <f>'[1]PLAN DE DESARROLLO 2024 - 2027'!$K$6</f>
        <v>0.35</v>
      </c>
      <c r="G505" s="1031" t="s">
        <v>54</v>
      </c>
      <c r="H505" s="1031" t="s">
        <v>55</v>
      </c>
      <c r="I505" s="1063">
        <f>+'Seguridad Humana'!Y11</f>
        <v>0</v>
      </c>
      <c r="J505" s="1031" t="s">
        <v>2384</v>
      </c>
      <c r="K505" s="1035" t="s">
        <v>2195</v>
      </c>
    </row>
    <row r="506" spans="1:16" ht="24" customHeight="1" thickBot="1" x14ac:dyDescent="0.3">
      <c r="A506" s="1031" t="s">
        <v>2341</v>
      </c>
      <c r="B506" s="1034">
        <f>'[1]PLAN DE DESARROLLO 2024 - 2027'!$K$4</f>
        <v>0.29293663727866731</v>
      </c>
      <c r="C506" s="1031" t="s">
        <v>2374</v>
      </c>
      <c r="D506" s="1034">
        <f>'[1]PLAN DE DESARROLLO 2024 - 2027'!$K$5</f>
        <v>0.43173821655610001</v>
      </c>
      <c r="E506" s="1031" t="s">
        <v>58</v>
      </c>
      <c r="F506" s="1034">
        <f>'[1]PLAN DE DESARROLLO 2024 - 2027'!$K$7</f>
        <v>0.66666666666666663</v>
      </c>
      <c r="G506" s="1031" t="s">
        <v>60</v>
      </c>
      <c r="H506" s="1031" t="s">
        <v>61</v>
      </c>
      <c r="I506" s="1063">
        <f>+'Seguridad Humana'!Y13</f>
        <v>0</v>
      </c>
      <c r="J506" s="1031" t="s">
        <v>47</v>
      </c>
      <c r="K506" s="1035" t="s">
        <v>2195</v>
      </c>
    </row>
    <row r="507" spans="1:16" ht="20.45" customHeight="1" thickBot="1" x14ac:dyDescent="0.3">
      <c r="A507" s="1031" t="s">
        <v>2341</v>
      </c>
      <c r="B507" s="1034">
        <f>'[1]PLAN DE DESARROLLO 2024 - 2027'!$K$4</f>
        <v>0.29293663727866731</v>
      </c>
      <c r="C507" s="1031" t="s">
        <v>2374</v>
      </c>
      <c r="D507" s="1034">
        <f>'[1]PLAN DE DESARROLLO 2024 - 2027'!$K$5</f>
        <v>0.43173821655610001</v>
      </c>
      <c r="E507" s="1031" t="s">
        <v>58</v>
      </c>
      <c r="F507" s="1034">
        <f>'[1]PLAN DE DESARROLLO 2024 - 2027'!$K$7</f>
        <v>0.66666666666666663</v>
      </c>
      <c r="G507" s="1031" t="s">
        <v>62</v>
      </c>
      <c r="H507" s="1031" t="s">
        <v>63</v>
      </c>
      <c r="I507" s="1063">
        <f>+'Seguridad Humana'!Y14</f>
        <v>1</v>
      </c>
      <c r="J507" s="1031" t="s">
        <v>47</v>
      </c>
      <c r="K507" s="1035" t="s">
        <v>2195</v>
      </c>
    </row>
    <row r="508" spans="1:16" ht="30.75" thickBot="1" x14ac:dyDescent="0.3">
      <c r="A508" s="1031" t="s">
        <v>2341</v>
      </c>
      <c r="B508" s="1034">
        <f>'[1]PLAN DE DESARROLLO 2024 - 2027'!$K$4</f>
        <v>0.29293663727866731</v>
      </c>
      <c r="C508" s="1031" t="s">
        <v>2374</v>
      </c>
      <c r="D508" s="1034">
        <f>'[1]PLAN DE DESARROLLO 2024 - 2027'!$K$5</f>
        <v>0.43173821655610001</v>
      </c>
      <c r="E508" s="1031" t="s">
        <v>58</v>
      </c>
      <c r="F508" s="1034">
        <f>'[1]PLAN DE DESARROLLO 2024 - 2027'!$K$7</f>
        <v>0.66666666666666663</v>
      </c>
      <c r="G508" s="1031" t="s">
        <v>64</v>
      </c>
      <c r="H508" s="1031" t="s">
        <v>65</v>
      </c>
      <c r="I508" s="1063">
        <f>+'Seguridad Humana'!Y15</f>
        <v>1</v>
      </c>
      <c r="J508" s="1031" t="s">
        <v>47</v>
      </c>
      <c r="K508" s="1035" t="s">
        <v>2195</v>
      </c>
    </row>
    <row r="509" spans="1:16" ht="45.75" thickBot="1" x14ac:dyDescent="0.3">
      <c r="A509" s="1031" t="s">
        <v>2341</v>
      </c>
      <c r="B509" s="1034">
        <f>'[1]PLAN DE DESARROLLO 2024 - 2027'!$K$4</f>
        <v>0.29293663727866731</v>
      </c>
      <c r="C509" s="1031" t="s">
        <v>2374</v>
      </c>
      <c r="D509" s="1034">
        <f>'[1]PLAN DE DESARROLLO 2024 - 2027'!$K$5</f>
        <v>0.43173821655610001</v>
      </c>
      <c r="E509" s="1031" t="s">
        <v>66</v>
      </c>
      <c r="F509" s="1034">
        <f>'[1]PLAN DE DESARROLLO 2024 - 2027'!$K$8</f>
        <v>0.25781052722494452</v>
      </c>
      <c r="G509" s="1031" t="s">
        <v>67</v>
      </c>
      <c r="H509" s="1031" t="s">
        <v>68</v>
      </c>
      <c r="I509" s="1063">
        <f>+'Seguridad Humana'!Y17</f>
        <v>0.77815699658703075</v>
      </c>
      <c r="J509" s="1031" t="s">
        <v>69</v>
      </c>
      <c r="K509" s="1035" t="s">
        <v>2195</v>
      </c>
    </row>
    <row r="510" spans="1:16" ht="45.75" thickBot="1" x14ac:dyDescent="0.3">
      <c r="A510" s="1031" t="s">
        <v>2341</v>
      </c>
      <c r="B510" s="1034">
        <f>'[1]PLAN DE DESARROLLO 2024 - 2027'!$K$4</f>
        <v>0.29293663727866731</v>
      </c>
      <c r="C510" s="1031" t="s">
        <v>2374</v>
      </c>
      <c r="D510" s="1034">
        <f>'[1]PLAN DE DESARROLLO 2024 - 2027'!$K$5</f>
        <v>0.43173821655610001</v>
      </c>
      <c r="E510" s="1031" t="s">
        <v>66</v>
      </c>
      <c r="F510" s="1034">
        <f>'[1]PLAN DE DESARROLLO 2024 - 2027'!$K$8</f>
        <v>0.25781052722494452</v>
      </c>
      <c r="G510" s="1031" t="s">
        <v>72</v>
      </c>
      <c r="H510" s="1031" t="s">
        <v>73</v>
      </c>
      <c r="I510" s="1063">
        <f>+'Seguridad Humana'!Y18</f>
        <v>0.22025912838633688</v>
      </c>
      <c r="J510" s="1031" t="s">
        <v>69</v>
      </c>
      <c r="K510" s="1035" t="s">
        <v>2195</v>
      </c>
    </row>
    <row r="511" spans="1:16" ht="45.75" thickBot="1" x14ac:dyDescent="0.3">
      <c r="A511" s="1031" t="s">
        <v>2341</v>
      </c>
      <c r="B511" s="1034">
        <f>'[1]PLAN DE DESARROLLO 2024 - 2027'!$K$4</f>
        <v>0.29293663727866731</v>
      </c>
      <c r="C511" s="1031" t="s">
        <v>2374</v>
      </c>
      <c r="D511" s="1034">
        <f>'[1]PLAN DE DESARROLLO 2024 - 2027'!$K$5</f>
        <v>0.43173821655610001</v>
      </c>
      <c r="E511" s="1031" t="s">
        <v>66</v>
      </c>
      <c r="F511" s="1034">
        <f>'[1]PLAN DE DESARROLLO 2024 - 2027'!$K$8</f>
        <v>0.25781052722494452</v>
      </c>
      <c r="G511" s="1031" t="s">
        <v>74</v>
      </c>
      <c r="H511" s="1031" t="s">
        <v>2385</v>
      </c>
      <c r="I511" s="1063">
        <f>+'Seguridad Humana'!Y19</f>
        <v>7.4999999999999997E-2</v>
      </c>
      <c r="J511" s="1031" t="s">
        <v>69</v>
      </c>
      <c r="K511" s="1035" t="s">
        <v>2195</v>
      </c>
    </row>
    <row r="512" spans="1:16" ht="45.75" thickBot="1" x14ac:dyDescent="0.3">
      <c r="A512" s="1031" t="s">
        <v>2341</v>
      </c>
      <c r="B512" s="1034">
        <f>'[1]PLAN DE DESARROLLO 2024 - 2027'!$K$4</f>
        <v>0.29293663727866731</v>
      </c>
      <c r="C512" s="1031" t="s">
        <v>2374</v>
      </c>
      <c r="D512" s="1034">
        <f>'[1]PLAN DE DESARROLLO 2024 - 2027'!$K$5</f>
        <v>0.43173821655610001</v>
      </c>
      <c r="E512" s="1031" t="s">
        <v>66</v>
      </c>
      <c r="F512" s="1034">
        <f>'[1]PLAN DE DESARROLLO 2024 - 2027'!$K$8</f>
        <v>0.25781052722494452</v>
      </c>
      <c r="G512" s="1031" t="s">
        <v>76</v>
      </c>
      <c r="H512" s="1031" t="s">
        <v>2386</v>
      </c>
      <c r="I512" s="1063">
        <f>+'Seguridad Humana'!Y20</f>
        <v>0</v>
      </c>
      <c r="J512" s="1031" t="s">
        <v>69</v>
      </c>
      <c r="K512" s="1035" t="s">
        <v>2195</v>
      </c>
    </row>
    <row r="513" spans="1:16" ht="45.75" thickBot="1" x14ac:dyDescent="0.3">
      <c r="A513" s="1031" t="s">
        <v>2341</v>
      </c>
      <c r="B513" s="1034">
        <f>'[1]PLAN DE DESARROLLO 2024 - 2027'!$K$4</f>
        <v>0.29293663727866731</v>
      </c>
      <c r="C513" s="1031" t="s">
        <v>2374</v>
      </c>
      <c r="D513" s="1034">
        <f>'[1]PLAN DE DESARROLLO 2024 - 2027'!$K$5</f>
        <v>0.43173821655610001</v>
      </c>
      <c r="E513" s="1031" t="s">
        <v>66</v>
      </c>
      <c r="F513" s="1034">
        <f>'[1]PLAN DE DESARROLLO 2024 - 2027'!$K$8</f>
        <v>0.25781052722494452</v>
      </c>
      <c r="G513" s="1031" t="s">
        <v>78</v>
      </c>
      <c r="H513" s="1031" t="s">
        <v>2387</v>
      </c>
      <c r="I513" s="1063">
        <f>+'Seguridad Humana'!Y21</f>
        <v>0</v>
      </c>
      <c r="J513" s="1031" t="s">
        <v>69</v>
      </c>
      <c r="K513" s="1035" t="s">
        <v>2195</v>
      </c>
    </row>
    <row r="514" spans="1:16" ht="45.75" thickBot="1" x14ac:dyDescent="0.3">
      <c r="A514" s="1031" t="s">
        <v>2341</v>
      </c>
      <c r="B514" s="1034">
        <f>'[1]PLAN DE DESARROLLO 2024 - 2027'!$K$4</f>
        <v>0.29293663727866731</v>
      </c>
      <c r="C514" s="1031" t="s">
        <v>2374</v>
      </c>
      <c r="D514" s="1034">
        <f>'[1]PLAN DE DESARROLLO 2024 - 2027'!$K$5</f>
        <v>0.43173821655610001</v>
      </c>
      <c r="E514" s="1031" t="s">
        <v>66</v>
      </c>
      <c r="F514" s="1034">
        <f>'[1]PLAN DE DESARROLLO 2024 - 2027'!$K$8</f>
        <v>0.25781052722494452</v>
      </c>
      <c r="G514" s="1031" t="s">
        <v>80</v>
      </c>
      <c r="H514" s="1031" t="s">
        <v>81</v>
      </c>
      <c r="I514" s="1063">
        <f>+'Seguridad Humana'!Y22</f>
        <v>0.95149253731343286</v>
      </c>
      <c r="J514" s="1031" t="s">
        <v>69</v>
      </c>
      <c r="K514" s="1035" t="s">
        <v>2195</v>
      </c>
    </row>
    <row r="515" spans="1:16" ht="30.75" thickBot="1" x14ac:dyDescent="0.3">
      <c r="A515" s="1031" t="s">
        <v>2341</v>
      </c>
      <c r="B515" s="1034">
        <f>'[1]PLAN DE DESARROLLO 2024 - 2027'!$K$4</f>
        <v>0.29293663727866731</v>
      </c>
      <c r="C515" s="1031" t="s">
        <v>2374</v>
      </c>
      <c r="D515" s="1034">
        <f>'[1]PLAN DE DESARROLLO 2024 - 2027'!$K$5</f>
        <v>0.43173821655610001</v>
      </c>
      <c r="E515" s="1031" t="s">
        <v>2388</v>
      </c>
      <c r="F515" s="1034">
        <f>'[1]PLAN DE DESARROLLO 2024 - 2027'!$K$9</f>
        <v>0.625</v>
      </c>
      <c r="G515" s="1031" t="s">
        <v>83</v>
      </c>
      <c r="H515" s="1031" t="s">
        <v>84</v>
      </c>
      <c r="I515" s="1063">
        <f>+'Seguridad Humana'!Y24</f>
        <v>0.25</v>
      </c>
      <c r="J515" s="1031" t="s">
        <v>2389</v>
      </c>
      <c r="K515" s="1035" t="s">
        <v>2195</v>
      </c>
    </row>
    <row r="516" spans="1:16" ht="30.75" thickBot="1" x14ac:dyDescent="0.3">
      <c r="A516" s="1031" t="s">
        <v>2341</v>
      </c>
      <c r="B516" s="1034">
        <f>'[1]PLAN DE DESARROLLO 2024 - 2027'!$K$4</f>
        <v>0.29293663727866731</v>
      </c>
      <c r="C516" s="1031" t="s">
        <v>2374</v>
      </c>
      <c r="D516" s="1034">
        <f>'[1]PLAN DE DESARROLLO 2024 - 2027'!$K$5</f>
        <v>0.43173821655610001</v>
      </c>
      <c r="E516" s="1031" t="s">
        <v>2388</v>
      </c>
      <c r="F516" s="1034">
        <f>'[1]PLAN DE DESARROLLO 2024 - 2027'!$K$9</f>
        <v>0.625</v>
      </c>
      <c r="G516" s="1031" t="s">
        <v>86</v>
      </c>
      <c r="H516" s="1031" t="s">
        <v>87</v>
      </c>
      <c r="I516" s="1063">
        <f>+'Seguridad Humana'!Y25</f>
        <v>1</v>
      </c>
      <c r="J516" s="1031" t="s">
        <v>2389</v>
      </c>
      <c r="K516" s="1035" t="s">
        <v>2195</v>
      </c>
    </row>
    <row r="517" spans="1:16" ht="30.75" thickBot="1" x14ac:dyDescent="0.3">
      <c r="A517" s="1031" t="s">
        <v>2341</v>
      </c>
      <c r="B517" s="1034">
        <f>'[1]PLAN DE DESARROLLO 2024 - 2027'!$K$4</f>
        <v>0.29293663727866731</v>
      </c>
      <c r="C517" s="1031" t="s">
        <v>2374</v>
      </c>
      <c r="D517" s="1034">
        <f>'[1]PLAN DE DESARROLLO 2024 - 2027'!$K$5</f>
        <v>0.43173821655610001</v>
      </c>
      <c r="E517" s="1031" t="s">
        <v>2390</v>
      </c>
      <c r="F517" s="1034">
        <f>'[1]PLAN DE DESARROLLO 2024 - 2027'!$K$10</f>
        <v>0.25921388888888885</v>
      </c>
      <c r="G517" s="1031" t="s">
        <v>90</v>
      </c>
      <c r="H517" s="1031" t="s">
        <v>91</v>
      </c>
      <c r="I517" s="1063">
        <f>+'Seguridad Humana'!Y27</f>
        <v>0.70814999999999995</v>
      </c>
      <c r="J517" s="1031" t="s">
        <v>92</v>
      </c>
      <c r="K517" s="1035" t="s">
        <v>2195</v>
      </c>
    </row>
    <row r="518" spans="1:16" ht="30.75" thickBot="1" x14ac:dyDescent="0.3">
      <c r="A518" s="1031" t="s">
        <v>2341</v>
      </c>
      <c r="B518" s="1034">
        <f>'[1]PLAN DE DESARROLLO 2024 - 2027'!$K$4</f>
        <v>0.29293663727866731</v>
      </c>
      <c r="C518" s="1031" t="s">
        <v>2374</v>
      </c>
      <c r="D518" s="1034">
        <f>'[1]PLAN DE DESARROLLO 2024 - 2027'!$K$5</f>
        <v>0.43173821655610001</v>
      </c>
      <c r="E518" s="1031" t="s">
        <v>2390</v>
      </c>
      <c r="F518" s="1034">
        <f>'[1]PLAN DE DESARROLLO 2024 - 2027'!$K$10</f>
        <v>0.25921388888888885</v>
      </c>
      <c r="G518" s="1031" t="s">
        <v>93</v>
      </c>
      <c r="H518" s="1031" t="s">
        <v>94</v>
      </c>
      <c r="I518" s="1063">
        <f>+'Seguridad Humana'!Y28</f>
        <v>0.1875</v>
      </c>
      <c r="J518" s="1031" t="s">
        <v>92</v>
      </c>
      <c r="K518" s="1035" t="s">
        <v>2195</v>
      </c>
    </row>
    <row r="519" spans="1:16" ht="31.9" customHeight="1" thickBot="1" x14ac:dyDescent="0.3">
      <c r="A519" s="1031" t="s">
        <v>2341</v>
      </c>
      <c r="B519" s="1034">
        <f>'[1]PLAN DE DESARROLLO 2024 - 2027'!$K$4</f>
        <v>0.29293663727866731</v>
      </c>
      <c r="C519" s="1031" t="s">
        <v>2374</v>
      </c>
      <c r="D519" s="1034">
        <f>'[1]PLAN DE DESARROLLO 2024 - 2027'!$K$5</f>
        <v>0.43173821655610001</v>
      </c>
      <c r="E519" s="1031" t="s">
        <v>2390</v>
      </c>
      <c r="F519" s="1034">
        <f>'[1]PLAN DE DESARROLLO 2024 - 2027'!$K$10</f>
        <v>0.25921388888888885</v>
      </c>
      <c r="G519" s="1031" t="s">
        <v>95</v>
      </c>
      <c r="H519" s="1031" t="s">
        <v>96</v>
      </c>
      <c r="I519" s="1063">
        <f>+'Seguridad Humana'!Y29</f>
        <v>0.4</v>
      </c>
      <c r="J519" s="1031" t="s">
        <v>92</v>
      </c>
      <c r="K519" s="1035" t="s">
        <v>2195</v>
      </c>
    </row>
    <row r="520" spans="1:16" ht="30.75" thickBot="1" x14ac:dyDescent="0.3">
      <c r="A520" s="1031" t="s">
        <v>2341</v>
      </c>
      <c r="B520" s="1034">
        <f>'[1]PLAN DE DESARROLLO 2024 - 2027'!$K$4</f>
        <v>0.29293663727866731</v>
      </c>
      <c r="C520" s="1031" t="s">
        <v>2374</v>
      </c>
      <c r="D520" s="1034">
        <f>'[1]PLAN DE DESARROLLO 2024 - 2027'!$K$5</f>
        <v>0.43173821655610001</v>
      </c>
      <c r="E520" s="1031" t="s">
        <v>2390</v>
      </c>
      <c r="F520" s="1034">
        <f>'[1]PLAN DE DESARROLLO 2024 - 2027'!$K$10</f>
        <v>0.25921388888888885</v>
      </c>
      <c r="G520" s="1031" t="s">
        <v>97</v>
      </c>
      <c r="H520" s="1031" t="s">
        <v>98</v>
      </c>
      <c r="I520" s="1063">
        <f>+'Seguridad Humana'!Y30</f>
        <v>0.6</v>
      </c>
      <c r="J520" s="1031" t="s">
        <v>92</v>
      </c>
      <c r="K520" s="1035" t="s">
        <v>2195</v>
      </c>
    </row>
    <row r="521" spans="1:16" ht="45.75" thickBot="1" x14ac:dyDescent="0.3">
      <c r="A521" s="1031" t="s">
        <v>2341</v>
      </c>
      <c r="B521" s="1034">
        <f>'[1]PLAN DE DESARROLLO 2024 - 2027'!$K$4</f>
        <v>0.29293663727866731</v>
      </c>
      <c r="C521" s="1031" t="s">
        <v>2344</v>
      </c>
      <c r="D521" s="1034">
        <f>'[1]PLAN DE DESARROLLO 2024 - 2027'!$K$11</f>
        <v>0.31811397569444444</v>
      </c>
      <c r="E521" s="1031" t="s">
        <v>2391</v>
      </c>
      <c r="F521" s="1034">
        <f>'[1]PLAN DE DESARROLLO 2024 - 2027'!$K$12</f>
        <v>0.47753333333333331</v>
      </c>
      <c r="G521" s="1031" t="s">
        <v>101</v>
      </c>
      <c r="H521" s="1031" t="s">
        <v>102</v>
      </c>
      <c r="I521" s="1063">
        <f>+'Seguridad Humana'!Y33</f>
        <v>0.68479999999999996</v>
      </c>
      <c r="J521" s="1031" t="s">
        <v>103</v>
      </c>
      <c r="K521" s="1035" t="s">
        <v>2195</v>
      </c>
      <c r="P521"/>
    </row>
    <row r="522" spans="1:16" ht="30.75" thickBot="1" x14ac:dyDescent="0.3">
      <c r="A522" s="1031" t="s">
        <v>2341</v>
      </c>
      <c r="B522" s="1034">
        <f>'[1]PLAN DE DESARROLLO 2024 - 2027'!$K$4</f>
        <v>0.29293663727866731</v>
      </c>
      <c r="C522" s="1031" t="s">
        <v>2344</v>
      </c>
      <c r="D522" s="1034">
        <f>'[1]PLAN DE DESARROLLO 2024 - 2027'!$K$11</f>
        <v>0.31811397569444444</v>
      </c>
      <c r="E522" s="1031" t="s">
        <v>2391</v>
      </c>
      <c r="F522" s="1034">
        <f>'[1]PLAN DE DESARROLLO 2024 - 2027'!$K$12</f>
        <v>0.47753333333333331</v>
      </c>
      <c r="G522" s="1031" t="s">
        <v>104</v>
      </c>
      <c r="H522" s="1031" t="s">
        <v>105</v>
      </c>
      <c r="I522" s="1063">
        <f>+'Seguridad Humana'!Y34</f>
        <v>0.745</v>
      </c>
      <c r="J522" s="1031" t="s">
        <v>103</v>
      </c>
      <c r="K522" s="1035" t="s">
        <v>2195</v>
      </c>
      <c r="P522"/>
    </row>
    <row r="523" spans="1:16" ht="45.75" thickBot="1" x14ac:dyDescent="0.3">
      <c r="A523" s="1031" t="s">
        <v>2341</v>
      </c>
      <c r="B523" s="1034">
        <f>'[1]PLAN DE DESARROLLO 2024 - 2027'!$K$4</f>
        <v>0.29293663727866731</v>
      </c>
      <c r="C523" s="1031" t="s">
        <v>2344</v>
      </c>
      <c r="D523" s="1034">
        <f>'[1]PLAN DE DESARROLLO 2024 - 2027'!$K$11</f>
        <v>0.31811397569444444</v>
      </c>
      <c r="E523" s="1031" t="s">
        <v>2391</v>
      </c>
      <c r="F523" s="1034">
        <f>'[1]PLAN DE DESARROLLO 2024 - 2027'!$K$12</f>
        <v>0.47753333333333331</v>
      </c>
      <c r="G523" s="1031" t="s">
        <v>106</v>
      </c>
      <c r="H523" s="1031" t="s">
        <v>107</v>
      </c>
      <c r="I523" s="1063">
        <f>+'Seguridad Humana'!Y35</f>
        <v>0.25</v>
      </c>
      <c r="J523" s="1031" t="s">
        <v>103</v>
      </c>
      <c r="K523" s="1035" t="s">
        <v>2195</v>
      </c>
      <c r="P523"/>
    </row>
    <row r="524" spans="1:16" ht="45.75" thickBot="1" x14ac:dyDescent="0.3">
      <c r="A524" s="1031" t="s">
        <v>2341</v>
      </c>
      <c r="B524" s="1034">
        <f>'[1]PLAN DE DESARROLLO 2024 - 2027'!$K$4</f>
        <v>0.29293663727866731</v>
      </c>
      <c r="C524" s="1031" t="s">
        <v>2344</v>
      </c>
      <c r="D524" s="1034">
        <f>'[1]PLAN DE DESARROLLO 2024 - 2027'!$K$11</f>
        <v>0.31811397569444444</v>
      </c>
      <c r="E524" s="1031" t="s">
        <v>2392</v>
      </c>
      <c r="F524" s="1034">
        <f>'[1]PLAN DE DESARROLLO 2024 - 2027'!$K$13</f>
        <v>0.33499999999999996</v>
      </c>
      <c r="G524" s="1031" t="s">
        <v>109</v>
      </c>
      <c r="H524" s="1031" t="s">
        <v>110</v>
      </c>
      <c r="I524" s="1063">
        <f>+'Seguridad Humana'!Y37</f>
        <v>0.42</v>
      </c>
      <c r="J524" s="1031" t="s">
        <v>103</v>
      </c>
      <c r="K524" s="1035" t="s">
        <v>2195</v>
      </c>
      <c r="P524"/>
    </row>
    <row r="525" spans="1:16" ht="45.75" thickBot="1" x14ac:dyDescent="0.3">
      <c r="A525" s="1031" t="s">
        <v>2341</v>
      </c>
      <c r="B525" s="1034">
        <f>'[1]PLAN DE DESARROLLO 2024 - 2027'!$K$4</f>
        <v>0.29293663727866731</v>
      </c>
      <c r="C525" s="1031" t="s">
        <v>2344</v>
      </c>
      <c r="D525" s="1034">
        <f>'[1]PLAN DE DESARROLLO 2024 - 2027'!$K$11</f>
        <v>0.31811397569444444</v>
      </c>
      <c r="E525" s="1031" t="s">
        <v>2392</v>
      </c>
      <c r="F525" s="1034">
        <f>'[1]PLAN DE DESARROLLO 2024 - 2027'!$K$13</f>
        <v>0.33499999999999996</v>
      </c>
      <c r="G525" s="1031" t="s">
        <v>111</v>
      </c>
      <c r="H525" s="1031" t="s">
        <v>112</v>
      </c>
      <c r="I525" s="1063">
        <f>+'Seguridad Humana'!Y38</f>
        <v>0.25</v>
      </c>
      <c r="J525" s="1031" t="s">
        <v>103</v>
      </c>
      <c r="K525" s="1035" t="s">
        <v>2195</v>
      </c>
      <c r="P525"/>
    </row>
    <row r="526" spans="1:16" ht="45.75" thickBot="1" x14ac:dyDescent="0.3">
      <c r="A526" s="1031" t="s">
        <v>2341</v>
      </c>
      <c r="B526" s="1034">
        <f>'[1]PLAN DE DESARROLLO 2024 - 2027'!$K$4</f>
        <v>0.29293663727866731</v>
      </c>
      <c r="C526" s="1031" t="s">
        <v>2344</v>
      </c>
      <c r="D526" s="1034">
        <f>'[1]PLAN DE DESARROLLO 2024 - 2027'!$K$11</f>
        <v>0.31811397569444444</v>
      </c>
      <c r="E526" s="1031" t="s">
        <v>113</v>
      </c>
      <c r="F526" s="1034">
        <f>'[1]PLAN DE DESARROLLO 2024 - 2027'!$K$14</f>
        <v>0.27083333333333337</v>
      </c>
      <c r="G526" s="1031" t="s">
        <v>114</v>
      </c>
      <c r="H526" s="1031" t="s">
        <v>115</v>
      </c>
      <c r="I526" s="1063">
        <f>+'Seguridad Humana'!Y40</f>
        <v>0.5</v>
      </c>
      <c r="J526" s="1031" t="s">
        <v>47</v>
      </c>
      <c r="K526" s="1035" t="s">
        <v>2195</v>
      </c>
      <c r="P526"/>
    </row>
    <row r="527" spans="1:16" ht="30.75" thickBot="1" x14ac:dyDescent="0.3">
      <c r="A527" s="1031" t="s">
        <v>2341</v>
      </c>
      <c r="B527" s="1034">
        <f>'[1]PLAN DE DESARROLLO 2024 - 2027'!$K$4</f>
        <v>0.29293663727866731</v>
      </c>
      <c r="C527" s="1031" t="s">
        <v>2344</v>
      </c>
      <c r="D527" s="1034">
        <f>'[1]PLAN DE DESARROLLO 2024 - 2027'!$K$11</f>
        <v>0.31811397569444444</v>
      </c>
      <c r="E527" s="1031" t="s">
        <v>113</v>
      </c>
      <c r="F527" s="1034">
        <f>'[1]PLAN DE DESARROLLO 2024 - 2027'!$K$14</f>
        <v>0.27083333333333337</v>
      </c>
      <c r="G527" s="1031" t="s">
        <v>116</v>
      </c>
      <c r="H527" s="1031" t="s">
        <v>117</v>
      </c>
      <c r="I527" s="1063">
        <f>+'Seguridad Humana'!Y41</f>
        <v>0.25</v>
      </c>
      <c r="J527" s="1031" t="s">
        <v>47</v>
      </c>
      <c r="K527" s="1035" t="s">
        <v>2195</v>
      </c>
      <c r="P527"/>
    </row>
    <row r="528" spans="1:16" ht="30.75" thickBot="1" x14ac:dyDescent="0.3">
      <c r="A528" s="1031" t="s">
        <v>2341</v>
      </c>
      <c r="B528" s="1034">
        <f>'[1]PLAN DE DESARROLLO 2024 - 2027'!$K$4</f>
        <v>0.29293663727866731</v>
      </c>
      <c r="C528" s="1031" t="s">
        <v>2344</v>
      </c>
      <c r="D528" s="1034">
        <f>'[1]PLAN DE DESARROLLO 2024 - 2027'!$K$11</f>
        <v>0.31811397569444444</v>
      </c>
      <c r="E528" s="1031" t="s">
        <v>113</v>
      </c>
      <c r="F528" s="1034">
        <f>'[1]PLAN DE DESARROLLO 2024 - 2027'!$K$14</f>
        <v>0.27083333333333337</v>
      </c>
      <c r="G528" s="1031" t="s">
        <v>118</v>
      </c>
      <c r="H528" s="1031" t="s">
        <v>119</v>
      </c>
      <c r="I528" s="1063">
        <f>+'Seguridad Humana'!Y42</f>
        <v>0.25</v>
      </c>
      <c r="J528" s="1031" t="s">
        <v>47</v>
      </c>
      <c r="K528" s="1035" t="s">
        <v>2195</v>
      </c>
      <c r="P528"/>
    </row>
    <row r="529" spans="1:16" ht="30.75" thickBot="1" x14ac:dyDescent="0.3">
      <c r="A529" s="1031" t="s">
        <v>2341</v>
      </c>
      <c r="B529" s="1034">
        <f>'[1]PLAN DE DESARROLLO 2024 - 2027'!$K$4</f>
        <v>0.29293663727866731</v>
      </c>
      <c r="C529" s="1031" t="s">
        <v>2344</v>
      </c>
      <c r="D529" s="1034">
        <f>'[1]PLAN DE DESARROLLO 2024 - 2027'!$K$11</f>
        <v>0.31811397569444444</v>
      </c>
      <c r="E529" s="1031" t="s">
        <v>113</v>
      </c>
      <c r="F529" s="1034">
        <f>'[1]PLAN DE DESARROLLO 2024 - 2027'!$K$14</f>
        <v>0.27083333333333337</v>
      </c>
      <c r="G529" s="1031" t="s">
        <v>120</v>
      </c>
      <c r="H529" s="1031" t="s">
        <v>121</v>
      </c>
      <c r="I529" s="1063">
        <f>+'Seguridad Humana'!Y43</f>
        <v>0.75</v>
      </c>
      <c r="J529" s="1031" t="s">
        <v>69</v>
      </c>
      <c r="K529" s="1035" t="s">
        <v>2195</v>
      </c>
      <c r="P529"/>
    </row>
    <row r="530" spans="1:16" ht="30.75" thickBot="1" x14ac:dyDescent="0.3">
      <c r="A530" s="1031" t="s">
        <v>2341</v>
      </c>
      <c r="B530" s="1034">
        <f>'[1]PLAN DE DESARROLLO 2024 - 2027'!$K$4</f>
        <v>0.29293663727866731</v>
      </c>
      <c r="C530" s="1031" t="s">
        <v>2344</v>
      </c>
      <c r="D530" s="1034">
        <f>'[1]PLAN DE DESARROLLO 2024 - 2027'!$K$11</f>
        <v>0.31811397569444444</v>
      </c>
      <c r="E530" s="1031" t="s">
        <v>2393</v>
      </c>
      <c r="F530" s="1034">
        <f>'[1]PLAN DE DESARROLLO 2024 - 2027'!$K$15</f>
        <v>0.22055555555555553</v>
      </c>
      <c r="G530" s="1031" t="s">
        <v>123</v>
      </c>
      <c r="H530" s="1031" t="s">
        <v>124</v>
      </c>
      <c r="I530" s="1063">
        <f>+'Seguridad Humana'!Y45</f>
        <v>0</v>
      </c>
      <c r="J530" s="1031" t="s">
        <v>47</v>
      </c>
      <c r="K530" s="1035" t="s">
        <v>2195</v>
      </c>
      <c r="P530"/>
    </row>
    <row r="531" spans="1:16" ht="30.75" thickBot="1" x14ac:dyDescent="0.3">
      <c r="A531" s="1031" t="s">
        <v>2341</v>
      </c>
      <c r="B531" s="1034">
        <f>'[1]PLAN DE DESARROLLO 2024 - 2027'!$K$4</f>
        <v>0.29293663727866731</v>
      </c>
      <c r="C531" s="1031" t="s">
        <v>2344</v>
      </c>
      <c r="D531" s="1034">
        <f>'[1]PLAN DE DESARROLLO 2024 - 2027'!$K$11</f>
        <v>0.31811397569444444</v>
      </c>
      <c r="E531" s="1031" t="s">
        <v>2393</v>
      </c>
      <c r="F531" s="1034">
        <f>'[1]PLAN DE DESARROLLO 2024 - 2027'!$K$15</f>
        <v>0.22055555555555553</v>
      </c>
      <c r="G531" s="1031" t="s">
        <v>125</v>
      </c>
      <c r="H531" s="1031" t="s">
        <v>126</v>
      </c>
      <c r="I531" s="1064">
        <f>+'Seguridad Humana'!Y46</f>
        <v>0</v>
      </c>
      <c r="J531" s="1031" t="s">
        <v>47</v>
      </c>
      <c r="K531" s="1035" t="s">
        <v>2195</v>
      </c>
      <c r="P531"/>
    </row>
    <row r="532" spans="1:16" ht="30.75" thickBot="1" x14ac:dyDescent="0.3">
      <c r="A532" s="1031" t="s">
        <v>2341</v>
      </c>
      <c r="B532" s="1034">
        <f>'[1]PLAN DE DESARROLLO 2024 - 2027'!$K$4</f>
        <v>0.29293663727866731</v>
      </c>
      <c r="C532" s="1031" t="s">
        <v>2344</v>
      </c>
      <c r="D532" s="1034">
        <f>'[1]PLAN DE DESARROLLO 2024 - 2027'!$K$11</f>
        <v>0.31811397569444444</v>
      </c>
      <c r="E532" s="1031" t="s">
        <v>2393</v>
      </c>
      <c r="F532" s="1034">
        <f>'[1]PLAN DE DESARROLLO 2024 - 2027'!$K$15</f>
        <v>0.22055555555555553</v>
      </c>
      <c r="G532" s="1031" t="s">
        <v>128</v>
      </c>
      <c r="H532" s="1031" t="s">
        <v>129</v>
      </c>
      <c r="I532" s="1063">
        <f>+'Seguridad Humana'!Y47</f>
        <v>0.16166666666666665</v>
      </c>
      <c r="J532" s="1031" t="s">
        <v>47</v>
      </c>
      <c r="K532" s="1035" t="s">
        <v>2195</v>
      </c>
      <c r="P532"/>
    </row>
    <row r="533" spans="1:16" ht="45.75" thickBot="1" x14ac:dyDescent="0.3">
      <c r="A533" s="1031" t="s">
        <v>2341</v>
      </c>
      <c r="B533" s="1034">
        <f>'[1]PLAN DE DESARROLLO 2024 - 2027'!$K$4</f>
        <v>0.29293663727866731</v>
      </c>
      <c r="C533" s="1031" t="s">
        <v>2344</v>
      </c>
      <c r="D533" s="1034">
        <f>'[1]PLAN DE DESARROLLO 2024 - 2027'!$K$11</f>
        <v>0.31811397569444444</v>
      </c>
      <c r="E533" s="1031" t="s">
        <v>2393</v>
      </c>
      <c r="F533" s="1034">
        <f>'[1]PLAN DE DESARROLLO 2024 - 2027'!$K$15</f>
        <v>0.22055555555555553</v>
      </c>
      <c r="G533" s="1031" t="s">
        <v>131</v>
      </c>
      <c r="H533" s="1031" t="s">
        <v>132</v>
      </c>
      <c r="I533" s="1064">
        <f>+'Seguridad Humana'!Y48</f>
        <v>0</v>
      </c>
      <c r="J533" s="1031" t="s">
        <v>47</v>
      </c>
      <c r="K533" s="1035" t="s">
        <v>2195</v>
      </c>
      <c r="P533"/>
    </row>
    <row r="534" spans="1:16" ht="30.75" thickBot="1" x14ac:dyDescent="0.3">
      <c r="A534" s="1031" t="s">
        <v>2341</v>
      </c>
      <c r="B534" s="1034">
        <f>'[1]PLAN DE DESARROLLO 2024 - 2027'!$K$4</f>
        <v>0.29293663727866731</v>
      </c>
      <c r="C534" s="1031" t="s">
        <v>2344</v>
      </c>
      <c r="D534" s="1034">
        <f>'[1]PLAN DE DESARROLLO 2024 - 2027'!$K$11</f>
        <v>0.31811397569444444</v>
      </c>
      <c r="E534" s="1031" t="s">
        <v>2393</v>
      </c>
      <c r="F534" s="1034">
        <f>'[1]PLAN DE DESARROLLO 2024 - 2027'!$K$15</f>
        <v>0.22055555555555553</v>
      </c>
      <c r="G534" s="1031" t="s">
        <v>135</v>
      </c>
      <c r="H534" s="1031" t="s">
        <v>136</v>
      </c>
      <c r="I534" s="1064">
        <f>+'Seguridad Humana'!Y49</f>
        <v>0</v>
      </c>
      <c r="J534" s="1031" t="s">
        <v>47</v>
      </c>
      <c r="K534" s="1035" t="s">
        <v>2195</v>
      </c>
      <c r="P534"/>
    </row>
    <row r="535" spans="1:16" ht="30.75" thickBot="1" x14ac:dyDescent="0.3">
      <c r="A535" s="1031" t="s">
        <v>2341</v>
      </c>
      <c r="B535" s="1034">
        <f>'[1]PLAN DE DESARROLLO 2024 - 2027'!$K$4</f>
        <v>0.29293663727866731</v>
      </c>
      <c r="C535" s="1031" t="s">
        <v>2344</v>
      </c>
      <c r="D535" s="1034">
        <f>'[1]PLAN DE DESARROLLO 2024 - 2027'!$K$11</f>
        <v>0.31811397569444444</v>
      </c>
      <c r="E535" s="1031" t="s">
        <v>2393</v>
      </c>
      <c r="F535" s="1034">
        <f>'[1]PLAN DE DESARROLLO 2024 - 2027'!$K$15</f>
        <v>0.22055555555555553</v>
      </c>
      <c r="G535" s="1031" t="s">
        <v>137</v>
      </c>
      <c r="H535" s="1031" t="s">
        <v>138</v>
      </c>
      <c r="I535" s="1064">
        <f>+'Seguridad Humana'!Y50</f>
        <v>0</v>
      </c>
      <c r="J535" s="1031" t="s">
        <v>47</v>
      </c>
      <c r="K535" s="1035" t="s">
        <v>2195</v>
      </c>
      <c r="P535"/>
    </row>
    <row r="536" spans="1:16" ht="30.75" thickBot="1" x14ac:dyDescent="0.3">
      <c r="A536" s="1031" t="s">
        <v>2341</v>
      </c>
      <c r="B536" s="1034">
        <f>'[1]PLAN DE DESARROLLO 2024 - 2027'!$K$4</f>
        <v>0.29293663727866731</v>
      </c>
      <c r="C536" s="1031" t="s">
        <v>2344</v>
      </c>
      <c r="D536" s="1034">
        <f>'[1]PLAN DE DESARROLLO 2024 - 2027'!$K$11</f>
        <v>0.31811397569444444</v>
      </c>
      <c r="E536" s="1031" t="s">
        <v>2393</v>
      </c>
      <c r="F536" s="1034">
        <f>'[1]PLAN DE DESARROLLO 2024 - 2027'!$K$15</f>
        <v>0.22055555555555553</v>
      </c>
      <c r="G536" s="1031" t="s">
        <v>139</v>
      </c>
      <c r="H536" s="1031" t="s">
        <v>140</v>
      </c>
      <c r="I536" s="1063">
        <f>+'Seguridad Humana'!Y51</f>
        <v>0.375</v>
      </c>
      <c r="J536" s="1031" t="s">
        <v>47</v>
      </c>
      <c r="K536" s="1035" t="s">
        <v>2195</v>
      </c>
      <c r="P536"/>
    </row>
    <row r="537" spans="1:16" ht="45.75" thickBot="1" x14ac:dyDescent="0.3">
      <c r="A537" s="1031" t="s">
        <v>2341</v>
      </c>
      <c r="B537" s="1034">
        <f>'[1]PLAN DE DESARROLLO 2024 - 2027'!$K$4</f>
        <v>0.29293663727866731</v>
      </c>
      <c r="C537" s="1031" t="s">
        <v>2344</v>
      </c>
      <c r="D537" s="1034">
        <f>'[1]PLAN DE DESARROLLO 2024 - 2027'!$K$11</f>
        <v>0.31811397569444444</v>
      </c>
      <c r="E537" s="1031" t="s">
        <v>2394</v>
      </c>
      <c r="F537" s="1034">
        <f>'[1]PLAN DE DESARROLLO 2024 - 2027'!$K$16</f>
        <v>0.30199999999999999</v>
      </c>
      <c r="G537" s="1031" t="s">
        <v>142</v>
      </c>
      <c r="H537" s="1031" t="s">
        <v>143</v>
      </c>
      <c r="I537" s="1064">
        <f>+'Seguridad Humana'!Y53</f>
        <v>0.122</v>
      </c>
      <c r="J537" s="1031" t="s">
        <v>47</v>
      </c>
      <c r="K537" s="1035" t="s">
        <v>2195</v>
      </c>
      <c r="P537"/>
    </row>
    <row r="538" spans="1:16" ht="30.75" thickBot="1" x14ac:dyDescent="0.3">
      <c r="A538" s="1031" t="s">
        <v>2341</v>
      </c>
      <c r="B538" s="1034">
        <f>'[1]PLAN DE DESARROLLO 2024 - 2027'!$K$4</f>
        <v>0.29293663727866731</v>
      </c>
      <c r="C538" s="1031" t="s">
        <v>2344</v>
      </c>
      <c r="D538" s="1034">
        <f>'[1]PLAN DE DESARROLLO 2024 - 2027'!$K$11</f>
        <v>0.31811397569444444</v>
      </c>
      <c r="E538" s="1031" t="s">
        <v>2394</v>
      </c>
      <c r="F538" s="1034">
        <f>'[1]PLAN DE DESARROLLO 2024 - 2027'!$K$16</f>
        <v>0.30199999999999999</v>
      </c>
      <c r="G538" s="1031" t="s">
        <v>144</v>
      </c>
      <c r="H538" s="1031" t="s">
        <v>145</v>
      </c>
      <c r="I538" s="1064">
        <f>+'Seguridad Humana'!Y54</f>
        <v>0</v>
      </c>
      <c r="J538" s="1031" t="s">
        <v>47</v>
      </c>
      <c r="K538" s="1035" t="s">
        <v>2195</v>
      </c>
      <c r="P538"/>
    </row>
    <row r="539" spans="1:16" ht="60.75" thickBot="1" x14ac:dyDescent="0.3">
      <c r="A539" s="1031" t="s">
        <v>2341</v>
      </c>
      <c r="B539" s="1034">
        <f>'[1]PLAN DE DESARROLLO 2024 - 2027'!$K$4</f>
        <v>0.29293663727866731</v>
      </c>
      <c r="C539" s="1031" t="s">
        <v>2344</v>
      </c>
      <c r="D539" s="1034">
        <f>'[1]PLAN DE DESARROLLO 2024 - 2027'!$K$11</f>
        <v>0.31811397569444444</v>
      </c>
      <c r="E539" s="1031" t="s">
        <v>2394</v>
      </c>
      <c r="F539" s="1034">
        <f>'[1]PLAN DE DESARROLLO 2024 - 2027'!$K$16</f>
        <v>0.30199999999999999</v>
      </c>
      <c r="G539" s="1031" t="s">
        <v>146</v>
      </c>
      <c r="H539" s="1031" t="s">
        <v>147</v>
      </c>
      <c r="I539" s="1063">
        <f>+'Seguridad Humana'!Y55</f>
        <v>0.5716</v>
      </c>
      <c r="J539" s="1031" t="s">
        <v>47</v>
      </c>
      <c r="K539" s="1035" t="s">
        <v>2195</v>
      </c>
      <c r="P539"/>
    </row>
    <row r="540" spans="1:16" ht="45.75" thickBot="1" x14ac:dyDescent="0.3">
      <c r="A540" s="1031" t="s">
        <v>2341</v>
      </c>
      <c r="B540" s="1034">
        <f>'[1]PLAN DE DESARROLLO 2024 - 2027'!$K$4</f>
        <v>0.29293663727866731</v>
      </c>
      <c r="C540" s="1031" t="s">
        <v>2344</v>
      </c>
      <c r="D540" s="1034">
        <f>'[1]PLAN DE DESARROLLO 2024 - 2027'!$K$11</f>
        <v>0.31811397569444444</v>
      </c>
      <c r="E540" s="1031" t="s">
        <v>2394</v>
      </c>
      <c r="F540" s="1034">
        <f>'[1]PLAN DE DESARROLLO 2024 - 2027'!$K$16</f>
        <v>0.30199999999999999</v>
      </c>
      <c r="G540" s="1031" t="s">
        <v>148</v>
      </c>
      <c r="H540" s="1031" t="s">
        <v>149</v>
      </c>
      <c r="I540" s="1063">
        <f>+'Seguridad Humana'!Y56</f>
        <v>0.25</v>
      </c>
      <c r="J540" s="1031" t="s">
        <v>47</v>
      </c>
      <c r="K540" s="1035" t="s">
        <v>2195</v>
      </c>
      <c r="P540"/>
    </row>
    <row r="541" spans="1:16" ht="30.75" thickBot="1" x14ac:dyDescent="0.3">
      <c r="A541" s="1031" t="s">
        <v>2341</v>
      </c>
      <c r="B541" s="1034">
        <f>'[1]PLAN DE DESARROLLO 2024 - 2027'!$K$4</f>
        <v>0.29293663727866731</v>
      </c>
      <c r="C541" s="1031" t="s">
        <v>2344</v>
      </c>
      <c r="D541" s="1034">
        <f>'[1]PLAN DE DESARROLLO 2024 - 2027'!$K$11</f>
        <v>0.31811397569444444</v>
      </c>
      <c r="E541" s="1031" t="s">
        <v>150</v>
      </c>
      <c r="F541" s="1034">
        <f>'[1]PLAN DE DESARROLLO 2024 - 2027'!$K$16</f>
        <v>0.30199999999999999</v>
      </c>
      <c r="G541" s="1031" t="s">
        <v>151</v>
      </c>
      <c r="H541" s="1031" t="s">
        <v>152</v>
      </c>
      <c r="I541" s="1064">
        <f>+'Seguridad Humana'!Y58</f>
        <v>0</v>
      </c>
      <c r="J541" s="1031" t="s">
        <v>47</v>
      </c>
      <c r="K541" s="1035" t="s">
        <v>2195</v>
      </c>
      <c r="P541"/>
    </row>
    <row r="542" spans="1:16" ht="30.75" thickBot="1" x14ac:dyDescent="0.3">
      <c r="A542" s="1031" t="s">
        <v>2341</v>
      </c>
      <c r="B542" s="1034">
        <f>'[1]PLAN DE DESARROLLO 2024 - 2027'!$K$4</f>
        <v>0.29293663727866731</v>
      </c>
      <c r="C542" s="1031" t="s">
        <v>2344</v>
      </c>
      <c r="D542" s="1034">
        <f>'[1]PLAN DE DESARROLLO 2024 - 2027'!$K$11</f>
        <v>0.31811397569444444</v>
      </c>
      <c r="E542" s="1031" t="s">
        <v>150</v>
      </c>
      <c r="F542" s="1034">
        <f>'[1]PLAN DE DESARROLLO 2024 - 2027'!$K$16</f>
        <v>0.30199999999999999</v>
      </c>
      <c r="G542" s="1031" t="s">
        <v>153</v>
      </c>
      <c r="H542" s="1031" t="s">
        <v>154</v>
      </c>
      <c r="I542" s="1063">
        <f>+'Seguridad Humana'!Y59</f>
        <v>0.222</v>
      </c>
      <c r="J542" s="1031" t="s">
        <v>47</v>
      </c>
      <c r="K542" s="1035" t="s">
        <v>2195</v>
      </c>
      <c r="P542"/>
    </row>
    <row r="543" spans="1:16" ht="45.75" thickBot="1" x14ac:dyDescent="0.3">
      <c r="A543" s="1031" t="s">
        <v>2395</v>
      </c>
      <c r="B543" s="1034">
        <f>'[1]PLAN DE DESARROLLO 2024 - 2027'!$K$46</f>
        <v>0.28357478219025023</v>
      </c>
      <c r="C543" s="1031" t="s">
        <v>2396</v>
      </c>
      <c r="D543" s="1034">
        <f>'[1]PLAN DE DESARROLLO 2024 - 2027'!$K$47</f>
        <v>0.29578926734134092</v>
      </c>
      <c r="E543" s="1031" t="s">
        <v>2128</v>
      </c>
      <c r="F543" s="1034">
        <f>'[1]PLAN DE DESARROLLO 2024 - 2027'!$K$62</f>
        <v>0</v>
      </c>
      <c r="G543" s="1031" t="s">
        <v>557</v>
      </c>
      <c r="H543" s="1031" t="s">
        <v>558</v>
      </c>
      <c r="I543" s="1063">
        <f>+'Vida Digna'!Y50</f>
        <v>0</v>
      </c>
      <c r="J543" s="1031" t="s">
        <v>2397</v>
      </c>
      <c r="K543" s="1035" t="s">
        <v>2195</v>
      </c>
      <c r="P543"/>
    </row>
    <row r="544" spans="1:16" ht="45.75" thickBot="1" x14ac:dyDescent="0.3">
      <c r="A544" s="1031" t="s">
        <v>2395</v>
      </c>
      <c r="B544" s="1034">
        <f>'[1]PLAN DE DESARROLLO 2024 - 2027'!$K$46</f>
        <v>0.28357478219025023</v>
      </c>
      <c r="C544" s="1031" t="s">
        <v>2396</v>
      </c>
      <c r="D544" s="1034">
        <f>'[1]PLAN DE DESARROLLO 2024 - 2027'!$K$47</f>
        <v>0.29578926734134092</v>
      </c>
      <c r="E544" s="1031" t="s">
        <v>2128</v>
      </c>
      <c r="F544" s="1034">
        <f>'[1]PLAN DE DESARROLLO 2024 - 2027'!$K$62</f>
        <v>0</v>
      </c>
      <c r="G544" s="1031" t="s">
        <v>559</v>
      </c>
      <c r="H544" s="1031" t="s">
        <v>560</v>
      </c>
      <c r="I544" s="1063">
        <f>+'Vida Digna'!Y51</f>
        <v>0</v>
      </c>
      <c r="J544" s="1031" t="s">
        <v>2397</v>
      </c>
      <c r="K544" s="1035" t="s">
        <v>2195</v>
      </c>
      <c r="P544"/>
    </row>
    <row r="545" spans="1:16" ht="30.75" thickBot="1" x14ac:dyDescent="0.3">
      <c r="A545" s="1031" t="s">
        <v>2395</v>
      </c>
      <c r="B545" s="1034">
        <f>'[1]PLAN DE DESARROLLO 2024 - 2027'!$K$46</f>
        <v>0.28357478219025023</v>
      </c>
      <c r="C545" s="1031" t="s">
        <v>2396</v>
      </c>
      <c r="D545" s="1034">
        <f>'[1]PLAN DE DESARROLLO 2024 - 2027'!$K$47</f>
        <v>0.29578926734134092</v>
      </c>
      <c r="E545" s="1031" t="s">
        <v>608</v>
      </c>
      <c r="F545" s="1034">
        <f>'[1]PLAN DE DESARROLLO 2024 - 2027'!$K$62</f>
        <v>0</v>
      </c>
      <c r="G545" s="1031" t="s">
        <v>609</v>
      </c>
      <c r="H545" s="1031" t="s">
        <v>610</v>
      </c>
      <c r="I545" s="1063">
        <f>+'Vida Digna'!Y78</f>
        <v>0</v>
      </c>
      <c r="J545" s="1031" t="s">
        <v>2398</v>
      </c>
      <c r="K545" s="1035" t="s">
        <v>2195</v>
      </c>
      <c r="P545"/>
    </row>
    <row r="546" spans="1:16" ht="15.75" thickBot="1" x14ac:dyDescent="0.3">
      <c r="A546" s="1031" t="s">
        <v>2395</v>
      </c>
      <c r="B546" s="1034">
        <f>'[1]PLAN DE DESARROLLO 2024 - 2027'!$K$46</f>
        <v>0.28357478219025023</v>
      </c>
      <c r="C546" s="1031" t="s">
        <v>2396</v>
      </c>
      <c r="D546" s="1034">
        <f>'[1]PLAN DE DESARROLLO 2024 - 2027'!$K$47</f>
        <v>0.29578926734134092</v>
      </c>
      <c r="E546" s="1031" t="s">
        <v>608</v>
      </c>
      <c r="F546" s="1034">
        <f>'[1]PLAN DE DESARROLLO 2024 - 2027'!$K$62</f>
        <v>0</v>
      </c>
      <c r="G546" s="1031" t="s">
        <v>613</v>
      </c>
      <c r="H546" s="1031" t="s">
        <v>614</v>
      </c>
      <c r="I546" s="1063">
        <f>+'Vida Digna'!Y79</f>
        <v>0</v>
      </c>
      <c r="J546" s="1031" t="s">
        <v>2398</v>
      </c>
      <c r="K546" s="1035" t="s">
        <v>2195</v>
      </c>
      <c r="P546"/>
    </row>
    <row r="547" spans="1:16" ht="30.75" thickBot="1" x14ac:dyDescent="0.3">
      <c r="A547" s="1031" t="s">
        <v>2395</v>
      </c>
      <c r="B547" s="1034">
        <f>'[1]PLAN DE DESARROLLO 2024 - 2027'!$K$46</f>
        <v>0.28357478219025023</v>
      </c>
      <c r="C547" s="1031" t="s">
        <v>2396</v>
      </c>
      <c r="D547" s="1034">
        <f>'[1]PLAN DE DESARROLLO 2024 - 2027'!$K$47</f>
        <v>0.29578926734134092</v>
      </c>
      <c r="E547" s="1031" t="s">
        <v>608</v>
      </c>
      <c r="F547" s="1034">
        <f>'[1]PLAN DE DESARROLLO 2024 - 2027'!$K$62</f>
        <v>0</v>
      </c>
      <c r="G547" s="1031" t="s">
        <v>615</v>
      </c>
      <c r="H547" s="1031" t="s">
        <v>616</v>
      </c>
      <c r="I547" s="1064">
        <f>+'Vida Digna'!Y80</f>
        <v>0</v>
      </c>
      <c r="J547" s="1031" t="s">
        <v>2398</v>
      </c>
      <c r="K547" s="1035" t="s">
        <v>2195</v>
      </c>
      <c r="P547"/>
    </row>
    <row r="548" spans="1:16" ht="30.75" thickBot="1" x14ac:dyDescent="0.3">
      <c r="A548" s="1031" t="s">
        <v>2395</v>
      </c>
      <c r="B548" s="1034">
        <f>'[1]PLAN DE DESARROLLO 2024 - 2027'!$K$46</f>
        <v>0.28357478219025023</v>
      </c>
      <c r="C548" s="1031" t="s">
        <v>2396</v>
      </c>
      <c r="D548" s="1034">
        <f>'[1]PLAN DE DESARROLLO 2024 - 2027'!$K$47</f>
        <v>0.29578926734134092</v>
      </c>
      <c r="E548" s="1031" t="s">
        <v>608</v>
      </c>
      <c r="F548" s="1034">
        <f>'[1]PLAN DE DESARROLLO 2024 - 2027'!$K$62</f>
        <v>0</v>
      </c>
      <c r="G548" s="1031" t="s">
        <v>617</v>
      </c>
      <c r="H548" s="1031" t="s">
        <v>618</v>
      </c>
      <c r="I548" s="1063">
        <f>+'Vida Digna'!Y81</f>
        <v>0</v>
      </c>
      <c r="J548" s="1031" t="s">
        <v>2398</v>
      </c>
      <c r="K548" s="1035" t="s">
        <v>2195</v>
      </c>
      <c r="P548"/>
    </row>
    <row r="549" spans="1:16" ht="15.75" thickBot="1" x14ac:dyDescent="0.3">
      <c r="A549" s="1031" t="s">
        <v>2395</v>
      </c>
      <c r="B549" s="1034">
        <f>'[1]PLAN DE DESARROLLO 2024 - 2027'!$K$46</f>
        <v>0.28357478219025023</v>
      </c>
      <c r="C549" s="1031" t="s">
        <v>2396</v>
      </c>
      <c r="D549" s="1034">
        <f>'[1]PLAN DE DESARROLLO 2024 - 2027'!$K$47</f>
        <v>0.29578926734134092</v>
      </c>
      <c r="E549" s="1031" t="s">
        <v>608</v>
      </c>
      <c r="F549" s="1034">
        <f>'[1]PLAN DE DESARROLLO 2024 - 2027'!$K$62</f>
        <v>0</v>
      </c>
      <c r="G549" s="1031" t="s">
        <v>619</v>
      </c>
      <c r="H549" s="1031" t="s">
        <v>620</v>
      </c>
      <c r="I549" s="1063">
        <f>+'Vida Digna'!Y82</f>
        <v>0</v>
      </c>
      <c r="J549" s="1031" t="s">
        <v>2398</v>
      </c>
      <c r="K549" s="1035" t="s">
        <v>2195</v>
      </c>
      <c r="P549"/>
    </row>
    <row r="550" spans="1:16" ht="15.75" thickBot="1" x14ac:dyDescent="0.3">
      <c r="A550" s="1031" t="s">
        <v>2395</v>
      </c>
      <c r="B550" s="1034">
        <f>'[1]PLAN DE DESARROLLO 2024 - 2027'!$K$46</f>
        <v>0.28357478219025023</v>
      </c>
      <c r="C550" s="1031" t="s">
        <v>2396</v>
      </c>
      <c r="D550" s="1034">
        <f>'[1]PLAN DE DESARROLLO 2024 - 2027'!$K$47</f>
        <v>0.29578926734134092</v>
      </c>
      <c r="E550" s="1031" t="s">
        <v>608</v>
      </c>
      <c r="F550" s="1034">
        <f>'[1]PLAN DE DESARROLLO 2024 - 2027'!$K$62</f>
        <v>0</v>
      </c>
      <c r="G550" s="1031" t="s">
        <v>621</v>
      </c>
      <c r="H550" s="1031" t="s">
        <v>622</v>
      </c>
      <c r="I550" s="1063">
        <f>+'Vida Digna'!Y83</f>
        <v>0</v>
      </c>
      <c r="J550" s="1031" t="s">
        <v>2398</v>
      </c>
      <c r="K550" s="1035" t="s">
        <v>2195</v>
      </c>
      <c r="P550"/>
    </row>
    <row r="551" spans="1:16" ht="30.75" thickBot="1" x14ac:dyDescent="0.3">
      <c r="A551" s="1031" t="s">
        <v>2395</v>
      </c>
      <c r="B551" s="1034">
        <f>'[1]PLAN DE DESARROLLO 2024 - 2027'!$K$46</f>
        <v>0.28357478219025023</v>
      </c>
      <c r="C551" s="1031" t="s">
        <v>2396</v>
      </c>
      <c r="D551" s="1034">
        <f>'[1]PLAN DE DESARROLLO 2024 - 2027'!$K$47</f>
        <v>0.29578926734134092</v>
      </c>
      <c r="E551" s="1031" t="s">
        <v>608</v>
      </c>
      <c r="F551" s="1034">
        <f>'[1]PLAN DE DESARROLLO 2024 - 2027'!$K$62</f>
        <v>0</v>
      </c>
      <c r="G551" s="1031" t="s">
        <v>623</v>
      </c>
      <c r="H551" s="1031" t="s">
        <v>624</v>
      </c>
      <c r="I551" s="1063">
        <f>+'Vida Digna'!Y84</f>
        <v>0</v>
      </c>
      <c r="J551" s="1031" t="s">
        <v>2398</v>
      </c>
      <c r="K551" s="1035" t="s">
        <v>2195</v>
      </c>
      <c r="P551"/>
    </row>
    <row r="552" spans="1:16" ht="30.75" thickBot="1" x14ac:dyDescent="0.3">
      <c r="A552" s="1031" t="s">
        <v>2395</v>
      </c>
      <c r="B552" s="1034">
        <f>'[1]PLAN DE DESARROLLO 2024 - 2027'!$K$46</f>
        <v>0.28357478219025023</v>
      </c>
      <c r="C552" s="1031" t="s">
        <v>2399</v>
      </c>
      <c r="D552" s="1034">
        <f>'[1]PLAN DE DESARROLLO 2024 - 2027'!$K$73</f>
        <v>0.30468955227047623</v>
      </c>
      <c r="E552" s="1031" t="s">
        <v>2400</v>
      </c>
      <c r="F552" s="1034">
        <f>'[1]PLAN DE DESARROLLO 2024 - 2027'!$K$79</f>
        <v>0</v>
      </c>
      <c r="G552" s="1031" t="s">
        <v>783</v>
      </c>
      <c r="H552" s="1031" t="s">
        <v>784</v>
      </c>
      <c r="I552" s="1063">
        <f>+'Vida Digna'!Y161</f>
        <v>0</v>
      </c>
      <c r="J552" s="1031" t="s">
        <v>2401</v>
      </c>
      <c r="K552" s="1035" t="s">
        <v>2195</v>
      </c>
      <c r="P552"/>
    </row>
    <row r="553" spans="1:16" ht="30.75" thickBot="1" x14ac:dyDescent="0.3">
      <c r="A553" s="1031" t="s">
        <v>2395</v>
      </c>
      <c r="B553" s="1034">
        <f>'[1]PLAN DE DESARROLLO 2024 - 2027'!$K$46</f>
        <v>0.28357478219025023</v>
      </c>
      <c r="C553" s="1031" t="s">
        <v>2399</v>
      </c>
      <c r="D553" s="1034">
        <f>'[1]PLAN DE DESARROLLO 2024 - 2027'!$K$73</f>
        <v>0.30468955227047623</v>
      </c>
      <c r="E553" s="1031" t="s">
        <v>2400</v>
      </c>
      <c r="F553" s="1034">
        <f>'[1]PLAN DE DESARROLLO 2024 - 2027'!$K$79</f>
        <v>0</v>
      </c>
      <c r="G553" s="1031" t="s">
        <v>786</v>
      </c>
      <c r="H553" s="1031" t="s">
        <v>787</v>
      </c>
      <c r="I553" s="1064">
        <f>+'Vida Digna'!Y162</f>
        <v>0</v>
      </c>
      <c r="J553" s="1031" t="s">
        <v>2401</v>
      </c>
      <c r="K553" s="1035" t="s">
        <v>2195</v>
      </c>
      <c r="P553"/>
    </row>
    <row r="554" spans="1:16" ht="30.75" thickBot="1" x14ac:dyDescent="0.3">
      <c r="A554" s="1031" t="s">
        <v>2395</v>
      </c>
      <c r="B554" s="1034">
        <f>'[1]PLAN DE DESARROLLO 2024 - 2027'!$K$46</f>
        <v>0.28357478219025023</v>
      </c>
      <c r="C554" s="1031" t="s">
        <v>2399</v>
      </c>
      <c r="D554" s="1034">
        <f>'[1]PLAN DE DESARROLLO 2024 - 2027'!$K$73</f>
        <v>0.30468955227047623</v>
      </c>
      <c r="E554" s="1031" t="s">
        <v>2400</v>
      </c>
      <c r="F554" s="1034">
        <f>'[1]PLAN DE DESARROLLO 2024 - 2027'!$K$79</f>
        <v>0</v>
      </c>
      <c r="G554" s="1031" t="s">
        <v>788</v>
      </c>
      <c r="H554" s="1031" t="s">
        <v>789</v>
      </c>
      <c r="I554" s="1063">
        <f>+'Vida Digna'!Y163</f>
        <v>0</v>
      </c>
      <c r="J554" s="1031" t="s">
        <v>2401</v>
      </c>
      <c r="K554" s="1035" t="s">
        <v>2195</v>
      </c>
      <c r="P554"/>
    </row>
    <row r="555" spans="1:16" ht="30.75" thickBot="1" x14ac:dyDescent="0.3">
      <c r="A555" s="1031" t="s">
        <v>2395</v>
      </c>
      <c r="B555" s="1034">
        <f>'[1]PLAN DE DESARROLLO 2024 - 2027'!$K$46</f>
        <v>0.28357478219025023</v>
      </c>
      <c r="C555" s="1031" t="s">
        <v>2396</v>
      </c>
      <c r="D555" s="1034">
        <f>'[1]PLAN DE DESARROLLO 2024 - 2027'!$K$47</f>
        <v>0.29578926734134092</v>
      </c>
      <c r="E555" s="1031" t="s">
        <v>464</v>
      </c>
      <c r="F555" s="1034">
        <f>'[1]PLAN DE DESARROLLO 2024 - 2027'!$K$48</f>
        <v>0.15</v>
      </c>
      <c r="G555" s="1031" t="s">
        <v>465</v>
      </c>
      <c r="H555" s="1031" t="s">
        <v>466</v>
      </c>
      <c r="I555" s="1063">
        <f>+'Vida Digna'!Y6</f>
        <v>0.1</v>
      </c>
      <c r="J555" s="1031" t="s">
        <v>2397</v>
      </c>
      <c r="K555" s="1035" t="s">
        <v>2195</v>
      </c>
      <c r="P555"/>
    </row>
    <row r="556" spans="1:16" ht="15.75" thickBot="1" x14ac:dyDescent="0.3">
      <c r="A556" s="1031" t="s">
        <v>2395</v>
      </c>
      <c r="B556" s="1034">
        <f>'[1]PLAN DE DESARROLLO 2024 - 2027'!$K$46</f>
        <v>0.28357478219025023</v>
      </c>
      <c r="C556" s="1031" t="s">
        <v>2396</v>
      </c>
      <c r="D556" s="1034">
        <f>'[1]PLAN DE DESARROLLO 2024 - 2027'!$K$47</f>
        <v>0.29578926734134092</v>
      </c>
      <c r="E556" s="1031" t="s">
        <v>464</v>
      </c>
      <c r="F556" s="1034">
        <f>'[1]PLAN DE DESARROLLO 2024 - 2027'!$K$48</f>
        <v>0.15</v>
      </c>
      <c r="G556" s="1031" t="s">
        <v>470</v>
      </c>
      <c r="H556" s="1031" t="s">
        <v>471</v>
      </c>
      <c r="I556" s="1063">
        <f>+'Vida Digna'!Y7</f>
        <v>1.6666666666666666E-2</v>
      </c>
      <c r="J556" s="1031" t="s">
        <v>2397</v>
      </c>
      <c r="K556" s="1035" t="s">
        <v>2195</v>
      </c>
      <c r="P556"/>
    </row>
    <row r="557" spans="1:16" ht="30.75" thickBot="1" x14ac:dyDescent="0.3">
      <c r="A557" s="1031" t="s">
        <v>2395</v>
      </c>
      <c r="B557" s="1034">
        <f>'[1]PLAN DE DESARROLLO 2024 - 2027'!$K$46</f>
        <v>0.28357478219025023</v>
      </c>
      <c r="C557" s="1031" t="s">
        <v>2396</v>
      </c>
      <c r="D557" s="1034">
        <f>'[1]PLAN DE DESARROLLO 2024 - 2027'!$K$47</f>
        <v>0.29578926734134092</v>
      </c>
      <c r="E557" s="1031" t="s">
        <v>464</v>
      </c>
      <c r="F557" s="1034">
        <f>'[1]PLAN DE DESARROLLO 2024 - 2027'!$K$48</f>
        <v>0.15</v>
      </c>
      <c r="G557" s="1031" t="s">
        <v>472</v>
      </c>
      <c r="H557" s="1031" t="s">
        <v>473</v>
      </c>
      <c r="I557" s="1063">
        <f>+'Vida Digna'!Y8</f>
        <v>0.27999999999999997</v>
      </c>
      <c r="J557" s="1031" t="s">
        <v>2397</v>
      </c>
      <c r="K557" s="1035" t="s">
        <v>2195</v>
      </c>
      <c r="P557"/>
    </row>
    <row r="558" spans="1:16" ht="30.75" thickBot="1" x14ac:dyDescent="0.3">
      <c r="A558" s="1031" t="s">
        <v>2395</v>
      </c>
      <c r="B558" s="1034">
        <f>'[1]PLAN DE DESARROLLO 2024 - 2027'!$K$46</f>
        <v>0.28357478219025023</v>
      </c>
      <c r="C558" s="1031" t="s">
        <v>2396</v>
      </c>
      <c r="D558" s="1034">
        <f>'[1]PLAN DE DESARROLLO 2024 - 2027'!$K$47</f>
        <v>0.29578926734134092</v>
      </c>
      <c r="E558" s="1031" t="s">
        <v>464</v>
      </c>
      <c r="F558" s="1034">
        <f>'[1]PLAN DE DESARROLLO 2024 - 2027'!$K$48</f>
        <v>0.15</v>
      </c>
      <c r="G558" s="1031" t="s">
        <v>474</v>
      </c>
      <c r="H558" s="1031" t="s">
        <v>475</v>
      </c>
      <c r="I558" s="1063">
        <f>+'Vida Digna'!Y9</f>
        <v>0.2</v>
      </c>
      <c r="J558" s="1031" t="s">
        <v>2397</v>
      </c>
      <c r="K558" s="1035" t="s">
        <v>2195</v>
      </c>
      <c r="P558"/>
    </row>
    <row r="559" spans="1:16" ht="15.75" thickBot="1" x14ac:dyDescent="0.3">
      <c r="A559" s="1031" t="s">
        <v>2395</v>
      </c>
      <c r="B559" s="1034">
        <f>'[1]PLAN DE DESARROLLO 2024 - 2027'!$K$46</f>
        <v>0.28357478219025023</v>
      </c>
      <c r="C559" s="1031" t="s">
        <v>2396</v>
      </c>
      <c r="D559" s="1034">
        <f>'[1]PLAN DE DESARROLLO 2024 - 2027'!$K$47</f>
        <v>0.29578926734134092</v>
      </c>
      <c r="E559" s="1031" t="s">
        <v>464</v>
      </c>
      <c r="F559" s="1034">
        <f>'[1]PLAN DE DESARROLLO 2024 - 2027'!$K$48</f>
        <v>0.15</v>
      </c>
      <c r="G559" s="1031" t="s">
        <v>476</v>
      </c>
      <c r="H559" s="1031" t="s">
        <v>477</v>
      </c>
      <c r="I559" s="1063">
        <f>+'Vida Digna'!Y10</f>
        <v>0.25</v>
      </c>
      <c r="J559" s="1031" t="s">
        <v>2397</v>
      </c>
      <c r="K559" s="1035" t="s">
        <v>2195</v>
      </c>
      <c r="P559"/>
    </row>
    <row r="560" spans="1:16" ht="30.75" thickBot="1" x14ac:dyDescent="0.3">
      <c r="A560" s="1031" t="s">
        <v>2395</v>
      </c>
      <c r="B560" s="1034">
        <f>'[1]PLAN DE DESARROLLO 2024 - 2027'!$K$46</f>
        <v>0.28357478219025023</v>
      </c>
      <c r="C560" s="1031" t="s">
        <v>2396</v>
      </c>
      <c r="D560" s="1034">
        <f>'[1]PLAN DE DESARROLLO 2024 - 2027'!$K$47</f>
        <v>0.29578926734134092</v>
      </c>
      <c r="E560" s="1031" t="s">
        <v>464</v>
      </c>
      <c r="F560" s="1034">
        <f>'[1]PLAN DE DESARROLLO 2024 - 2027'!$K$48</f>
        <v>0.15</v>
      </c>
      <c r="G560" s="1031" t="s">
        <v>478</v>
      </c>
      <c r="H560" s="1031" t="s">
        <v>479</v>
      </c>
      <c r="I560" s="1063">
        <f>+'Vida Digna'!Y11</f>
        <v>0.27500000000000002</v>
      </c>
      <c r="J560" s="1031" t="s">
        <v>2397</v>
      </c>
      <c r="K560" s="1035" t="s">
        <v>2195</v>
      </c>
      <c r="P560"/>
    </row>
    <row r="561" spans="1:16" ht="45.75" thickBot="1" x14ac:dyDescent="0.3">
      <c r="A561" s="1031" t="s">
        <v>2395</v>
      </c>
      <c r="B561" s="1034">
        <f>'[1]PLAN DE DESARROLLO 2024 - 2027'!$K$46</f>
        <v>0.28357478219025023</v>
      </c>
      <c r="C561" s="1031" t="s">
        <v>2396</v>
      </c>
      <c r="D561" s="1034">
        <f>'[1]PLAN DE DESARROLLO 2024 - 2027'!$K$47</f>
        <v>0.29578926734134092</v>
      </c>
      <c r="E561" s="1031" t="s">
        <v>2402</v>
      </c>
      <c r="F561" s="1034">
        <f>'[1]PLAN DE DESARROLLO 2024 - 2027'!$K$49</f>
        <v>0.69047619047619047</v>
      </c>
      <c r="G561" s="1031" t="s">
        <v>2403</v>
      </c>
      <c r="H561" s="1031" t="s">
        <v>2404</v>
      </c>
      <c r="I561" s="1063">
        <f>+'Vida Digna'!Y13</f>
        <v>0.625</v>
      </c>
      <c r="J561" s="1031" t="s">
        <v>2397</v>
      </c>
      <c r="K561" s="1035" t="s">
        <v>2195</v>
      </c>
      <c r="P561"/>
    </row>
    <row r="562" spans="1:16" ht="75.75" thickBot="1" x14ac:dyDescent="0.3">
      <c r="A562" s="1031" t="s">
        <v>2395</v>
      </c>
      <c r="B562" s="1034">
        <f>'[1]PLAN DE DESARROLLO 2024 - 2027'!$K$46</f>
        <v>0.28357478219025023</v>
      </c>
      <c r="C562" s="1031" t="s">
        <v>2396</v>
      </c>
      <c r="D562" s="1034">
        <f>'[1]PLAN DE DESARROLLO 2024 - 2027'!$K$47</f>
        <v>0.29578926734134092</v>
      </c>
      <c r="E562" s="1031" t="s">
        <v>2402</v>
      </c>
      <c r="F562" s="1034">
        <f>'[1]PLAN DE DESARROLLO 2024 - 2027'!$K$49</f>
        <v>0.69047619047619047</v>
      </c>
      <c r="G562" s="1031" t="s">
        <v>484</v>
      </c>
      <c r="H562" s="1031" t="s">
        <v>485</v>
      </c>
      <c r="I562" s="1063">
        <f>+'Vida Digna'!Y14</f>
        <v>0.34285714285714286</v>
      </c>
      <c r="J562" s="1031" t="s">
        <v>2397</v>
      </c>
      <c r="K562" s="1035" t="s">
        <v>2195</v>
      </c>
      <c r="P562"/>
    </row>
    <row r="563" spans="1:16" ht="30.75" thickBot="1" x14ac:dyDescent="0.3">
      <c r="A563" s="1031" t="s">
        <v>2395</v>
      </c>
      <c r="B563" s="1034">
        <f>'[1]PLAN DE DESARROLLO 2024 - 2027'!$K$46</f>
        <v>0.28357478219025023</v>
      </c>
      <c r="C563" s="1031" t="s">
        <v>2396</v>
      </c>
      <c r="D563" s="1034">
        <f>'[1]PLAN DE DESARROLLO 2024 - 2027'!$K$47</f>
        <v>0.29578926734134092</v>
      </c>
      <c r="E563" s="1031" t="s">
        <v>487</v>
      </c>
      <c r="F563" s="1034">
        <f>'[1]PLAN DE DESARROLLO 2024 - 2027'!$K$50</f>
        <v>0.31760453817784751</v>
      </c>
      <c r="G563" s="1031" t="s">
        <v>488</v>
      </c>
      <c r="H563" s="1031" t="s">
        <v>489</v>
      </c>
      <c r="I563" s="1064">
        <f>+'Vida Digna'!Y16</f>
        <v>0</v>
      </c>
      <c r="J563" s="1031" t="s">
        <v>2397</v>
      </c>
      <c r="K563" s="1035" t="s">
        <v>2195</v>
      </c>
      <c r="P563"/>
    </row>
    <row r="564" spans="1:16" ht="45.75" thickBot="1" x14ac:dyDescent="0.3">
      <c r="A564" s="1031" t="s">
        <v>2395</v>
      </c>
      <c r="B564" s="1034">
        <f>'[1]PLAN DE DESARROLLO 2024 - 2027'!$K$46</f>
        <v>0.28357478219025023</v>
      </c>
      <c r="C564" s="1031" t="s">
        <v>2396</v>
      </c>
      <c r="D564" s="1034">
        <f>'[1]PLAN DE DESARROLLO 2024 - 2027'!$K$47</f>
        <v>0.29578926734134092</v>
      </c>
      <c r="E564" s="1031" t="s">
        <v>487</v>
      </c>
      <c r="F564" s="1034">
        <f>'[1]PLAN DE DESARROLLO 2024 - 2027'!$K$50</f>
        <v>0.31760453817784751</v>
      </c>
      <c r="G564" s="1031" t="s">
        <v>491</v>
      </c>
      <c r="H564" s="1031" t="s">
        <v>492</v>
      </c>
      <c r="I564" s="1063">
        <f>+'Vida Digna'!Y17</f>
        <v>0.35700308488360083</v>
      </c>
      <c r="J564" s="1031" t="s">
        <v>2397</v>
      </c>
      <c r="K564" s="1035" t="s">
        <v>2195</v>
      </c>
      <c r="P564"/>
    </row>
    <row r="565" spans="1:16" ht="30.75" thickBot="1" x14ac:dyDescent="0.3">
      <c r="A565" s="1031" t="s">
        <v>2395</v>
      </c>
      <c r="B565" s="1034">
        <f>'[1]PLAN DE DESARROLLO 2024 - 2027'!$K$46</f>
        <v>0.28357478219025023</v>
      </c>
      <c r="C565" s="1031" t="s">
        <v>2396</v>
      </c>
      <c r="D565" s="1034">
        <f>'[1]PLAN DE DESARROLLO 2024 - 2027'!$K$47</f>
        <v>0.29578926734134092</v>
      </c>
      <c r="E565" s="1031" t="s">
        <v>487</v>
      </c>
      <c r="F565" s="1034">
        <f>'[1]PLAN DE DESARROLLO 2024 - 2027'!$K$50</f>
        <v>0.31760453817784751</v>
      </c>
      <c r="G565" s="1031" t="s">
        <v>494</v>
      </c>
      <c r="H565" s="1031" t="s">
        <v>495</v>
      </c>
      <c r="I565" s="1063">
        <f>+'Vida Digna'!Y18</f>
        <v>0.309</v>
      </c>
      <c r="J565" s="1031" t="s">
        <v>2397</v>
      </c>
      <c r="K565" s="1035" t="s">
        <v>2195</v>
      </c>
      <c r="P565"/>
    </row>
    <row r="566" spans="1:16" ht="60.75" thickBot="1" x14ac:dyDescent="0.3">
      <c r="A566" s="1031" t="s">
        <v>2395</v>
      </c>
      <c r="B566" s="1034">
        <f>'[1]PLAN DE DESARROLLO 2024 - 2027'!$K$46</f>
        <v>0.28357478219025023</v>
      </c>
      <c r="C566" s="1031" t="s">
        <v>2396</v>
      </c>
      <c r="D566" s="1034">
        <f>'[1]PLAN DE DESARROLLO 2024 - 2027'!$K$47</f>
        <v>0.29578926734134092</v>
      </c>
      <c r="E566" s="1031" t="s">
        <v>487</v>
      </c>
      <c r="F566" s="1034">
        <f>'[1]PLAN DE DESARROLLO 2024 - 2027'!$K$50</f>
        <v>0.31760453817784751</v>
      </c>
      <c r="G566" s="1031" t="s">
        <v>496</v>
      </c>
      <c r="H566" s="1031" t="s">
        <v>497</v>
      </c>
      <c r="I566" s="1063">
        <f>+'Vida Digna'!Y19</f>
        <v>0.47965000000000002</v>
      </c>
      <c r="J566" s="1031" t="s">
        <v>2397</v>
      </c>
      <c r="K566" s="1035" t="s">
        <v>2195</v>
      </c>
      <c r="P566"/>
    </row>
    <row r="567" spans="1:16" ht="45.75" thickBot="1" x14ac:dyDescent="0.3">
      <c r="A567" s="1031" t="s">
        <v>2395</v>
      </c>
      <c r="B567" s="1034">
        <f>'[1]PLAN DE DESARROLLO 2024 - 2027'!$K$46</f>
        <v>0.28357478219025023</v>
      </c>
      <c r="C567" s="1031" t="s">
        <v>2396</v>
      </c>
      <c r="D567" s="1034">
        <f>'[1]PLAN DE DESARROLLO 2024 - 2027'!$K$47</f>
        <v>0.29578926734134092</v>
      </c>
      <c r="E567" s="1031" t="s">
        <v>487</v>
      </c>
      <c r="F567" s="1034">
        <f>'[1]PLAN DE DESARROLLO 2024 - 2027'!$K$50</f>
        <v>0.31760453817784751</v>
      </c>
      <c r="G567" s="1031" t="s">
        <v>498</v>
      </c>
      <c r="H567" s="1031" t="s">
        <v>499</v>
      </c>
      <c r="I567" s="1063">
        <f>+'Vida Digna'!Y20</f>
        <v>0.22222222222222221</v>
      </c>
      <c r="J567" s="1031" t="s">
        <v>2397</v>
      </c>
      <c r="K567" s="1035" t="s">
        <v>2195</v>
      </c>
      <c r="P567"/>
    </row>
    <row r="568" spans="1:16" ht="45.75" thickBot="1" x14ac:dyDescent="0.3">
      <c r="A568" s="1031" t="s">
        <v>2395</v>
      </c>
      <c r="B568" s="1034">
        <f>'[1]PLAN DE DESARROLLO 2024 - 2027'!$K$46</f>
        <v>0.28357478219025023</v>
      </c>
      <c r="C568" s="1031" t="s">
        <v>2396</v>
      </c>
      <c r="D568" s="1034">
        <f>'[1]PLAN DE DESARROLLO 2024 - 2027'!$K$47</f>
        <v>0.29578926734134092</v>
      </c>
      <c r="E568" s="1031" t="s">
        <v>2405</v>
      </c>
      <c r="F568" s="1034">
        <f>'[1]PLAN DE DESARROLLO 2024 - 2027'!$K$51</f>
        <v>0.43130491491989748</v>
      </c>
      <c r="G568" s="1031" t="s">
        <v>2406</v>
      </c>
      <c r="H568" s="1031" t="s">
        <v>2407</v>
      </c>
      <c r="I568" s="1063">
        <f>+'Vida Digna'!Y22</f>
        <v>0.77777777777777779</v>
      </c>
      <c r="J568" s="1031" t="s">
        <v>2397</v>
      </c>
      <c r="K568" s="1035" t="s">
        <v>2195</v>
      </c>
      <c r="P568"/>
    </row>
    <row r="569" spans="1:16" ht="45.75" thickBot="1" x14ac:dyDescent="0.3">
      <c r="A569" s="1031" t="s">
        <v>2395</v>
      </c>
      <c r="B569" s="1034">
        <f>'[1]PLAN DE DESARROLLO 2024 - 2027'!$K$46</f>
        <v>0.28357478219025023</v>
      </c>
      <c r="C569" s="1031" t="s">
        <v>2396</v>
      </c>
      <c r="D569" s="1034">
        <f>'[1]PLAN DE DESARROLLO 2024 - 2027'!$K$47</f>
        <v>0.29578926734134092</v>
      </c>
      <c r="E569" s="1031" t="s">
        <v>2405</v>
      </c>
      <c r="F569" s="1034">
        <f>'[1]PLAN DE DESARROLLO 2024 - 2027'!$K$51</f>
        <v>0.43130491491989748</v>
      </c>
      <c r="G569" s="1031" t="s">
        <v>503</v>
      </c>
      <c r="H569" s="1031" t="s">
        <v>504</v>
      </c>
      <c r="I569" s="1063">
        <f>+'Vida Digna'!Y23</f>
        <v>0.75</v>
      </c>
      <c r="J569" s="1031" t="s">
        <v>2397</v>
      </c>
      <c r="K569" s="1035" t="s">
        <v>2195</v>
      </c>
      <c r="P569"/>
    </row>
    <row r="570" spans="1:16" ht="30.75" thickBot="1" x14ac:dyDescent="0.3">
      <c r="A570" s="1031" t="s">
        <v>2395</v>
      </c>
      <c r="B570" s="1034">
        <f>'[1]PLAN DE DESARROLLO 2024 - 2027'!$K$46</f>
        <v>0.28357478219025023</v>
      </c>
      <c r="C570" s="1031" t="s">
        <v>2396</v>
      </c>
      <c r="D570" s="1034">
        <f>'[1]PLAN DE DESARROLLO 2024 - 2027'!$K$47</f>
        <v>0.29578926734134092</v>
      </c>
      <c r="E570" s="1031" t="s">
        <v>2405</v>
      </c>
      <c r="F570" s="1034">
        <f>'[1]PLAN DE DESARROLLO 2024 - 2027'!$K$51</f>
        <v>0.43130491491989748</v>
      </c>
      <c r="G570" s="1031" t="s">
        <v>506</v>
      </c>
      <c r="H570" s="1031" t="s">
        <v>507</v>
      </c>
      <c r="I570" s="1063">
        <f>+'Vida Digna'!Y24</f>
        <v>0.92592592592592593</v>
      </c>
      <c r="J570" s="1031" t="s">
        <v>2397</v>
      </c>
      <c r="K570" s="1035" t="s">
        <v>2195</v>
      </c>
      <c r="P570"/>
    </row>
    <row r="571" spans="1:16" ht="60.75" thickBot="1" x14ac:dyDescent="0.3">
      <c r="A571" s="1031" t="s">
        <v>2395</v>
      </c>
      <c r="B571" s="1034">
        <f>'[1]PLAN DE DESARROLLO 2024 - 2027'!$K$46</f>
        <v>0.28357478219025023</v>
      </c>
      <c r="C571" s="1031" t="s">
        <v>2396</v>
      </c>
      <c r="D571" s="1034">
        <f>'[1]PLAN DE DESARROLLO 2024 - 2027'!$K$47</f>
        <v>0.29578926734134092</v>
      </c>
      <c r="E571" s="1031" t="s">
        <v>2405</v>
      </c>
      <c r="F571" s="1034">
        <f>'[1]PLAN DE DESARROLLO 2024 - 2027'!$K$51</f>
        <v>0.43130491491989748</v>
      </c>
      <c r="G571" s="1031" t="s">
        <v>508</v>
      </c>
      <c r="H571" s="1031" t="s">
        <v>509</v>
      </c>
      <c r="I571" s="1063">
        <f>+'Vida Digna'!Y25</f>
        <v>0.11799999999999999</v>
      </c>
      <c r="J571" s="1031" t="s">
        <v>2397</v>
      </c>
      <c r="K571" s="1035" t="s">
        <v>2195</v>
      </c>
      <c r="P571"/>
    </row>
    <row r="572" spans="1:16" ht="60.75" thickBot="1" x14ac:dyDescent="0.3">
      <c r="A572" s="1031" t="s">
        <v>2395</v>
      </c>
      <c r="B572" s="1034">
        <f>'[1]PLAN DE DESARROLLO 2024 - 2027'!$K$46</f>
        <v>0.28357478219025023</v>
      </c>
      <c r="C572" s="1031" t="s">
        <v>2396</v>
      </c>
      <c r="D572" s="1034">
        <f>'[1]PLAN DE DESARROLLO 2024 - 2027'!$K$47</f>
        <v>0.29578926734134092</v>
      </c>
      <c r="E572" s="1031" t="s">
        <v>2405</v>
      </c>
      <c r="F572" s="1034">
        <f>'[1]PLAN DE DESARROLLO 2024 - 2027'!$K$51</f>
        <v>0.43130491491989748</v>
      </c>
      <c r="G572" s="1031" t="s">
        <v>511</v>
      </c>
      <c r="H572" s="1031" t="s">
        <v>512</v>
      </c>
      <c r="I572" s="1063">
        <f>+'Vida Digna'!Y26</f>
        <v>0.55311653116531168</v>
      </c>
      <c r="J572" s="1031" t="s">
        <v>2397</v>
      </c>
      <c r="K572" s="1035" t="s">
        <v>2195</v>
      </c>
      <c r="P572"/>
    </row>
    <row r="573" spans="1:16" ht="30.75" thickBot="1" x14ac:dyDescent="0.3">
      <c r="A573" s="1031" t="s">
        <v>2395</v>
      </c>
      <c r="B573" s="1034">
        <f>'[1]PLAN DE DESARROLLO 2024 - 2027'!$K$46</f>
        <v>0.28357478219025023</v>
      </c>
      <c r="C573" s="1031" t="s">
        <v>2396</v>
      </c>
      <c r="D573" s="1034">
        <f>'[1]PLAN DE DESARROLLO 2024 - 2027'!$K$47</f>
        <v>0.29578926734134092</v>
      </c>
      <c r="E573" s="1031" t="s">
        <v>2405</v>
      </c>
      <c r="F573" s="1034">
        <f>'[1]PLAN DE DESARROLLO 2024 - 2027'!$K$51</f>
        <v>0.43130491491989748</v>
      </c>
      <c r="G573" s="1031" t="s">
        <v>514</v>
      </c>
      <c r="H573" s="1031" t="s">
        <v>515</v>
      </c>
      <c r="I573" s="1063">
        <f>+'Vida Digna'!Y27</f>
        <v>7.7976190476190477E-2</v>
      </c>
      <c r="J573" s="1031" t="s">
        <v>2397</v>
      </c>
      <c r="K573" s="1035" t="s">
        <v>2195</v>
      </c>
      <c r="P573"/>
    </row>
    <row r="574" spans="1:16" ht="45.75" thickBot="1" x14ac:dyDescent="0.3">
      <c r="A574" s="1031" t="s">
        <v>2395</v>
      </c>
      <c r="B574" s="1034">
        <f>'[1]PLAN DE DESARROLLO 2024 - 2027'!$K$46</f>
        <v>0.28357478219025023</v>
      </c>
      <c r="C574" s="1031" t="s">
        <v>2396</v>
      </c>
      <c r="D574" s="1034">
        <f>'[1]PLAN DE DESARROLLO 2024 - 2027'!$K$47</f>
        <v>0.29578926734134092</v>
      </c>
      <c r="E574" s="1031" t="s">
        <v>2405</v>
      </c>
      <c r="F574" s="1034">
        <f>'[1]PLAN DE DESARROLLO 2024 - 2027'!$K$51</f>
        <v>0.43130491491989748</v>
      </c>
      <c r="G574" s="1031" t="s">
        <v>516</v>
      </c>
      <c r="H574" s="1031" t="s">
        <v>517</v>
      </c>
      <c r="I574" s="1063">
        <f>+'Vida Digna'!Y28</f>
        <v>0.48</v>
      </c>
      <c r="J574" s="1031" t="s">
        <v>2397</v>
      </c>
      <c r="K574" s="1035" t="s">
        <v>2195</v>
      </c>
      <c r="P574"/>
    </row>
    <row r="575" spans="1:16" ht="45.75" thickBot="1" x14ac:dyDescent="0.3">
      <c r="A575" s="1031" t="s">
        <v>2395</v>
      </c>
      <c r="B575" s="1034">
        <f>'[1]PLAN DE DESARROLLO 2024 - 2027'!$K$46</f>
        <v>0.28357478219025023</v>
      </c>
      <c r="C575" s="1031" t="s">
        <v>2396</v>
      </c>
      <c r="D575" s="1034">
        <f>'[1]PLAN DE DESARROLLO 2024 - 2027'!$K$47</f>
        <v>0.29578926734134092</v>
      </c>
      <c r="E575" s="1031" t="s">
        <v>2408</v>
      </c>
      <c r="F575" s="1034">
        <f>'[1]PLAN DE DESARROLLO 2024 - 2027'!$K$52</f>
        <v>0.39682005385712021</v>
      </c>
      <c r="G575" s="1031" t="s">
        <v>519</v>
      </c>
      <c r="H575" s="1031" t="s">
        <v>520</v>
      </c>
      <c r="I575" s="1063">
        <f>+'Vida Digna'!Y30</f>
        <v>0.55084745762711862</v>
      </c>
      <c r="J575" s="1031" t="s">
        <v>2397</v>
      </c>
      <c r="K575" s="1035" t="s">
        <v>2195</v>
      </c>
      <c r="P575"/>
    </row>
    <row r="576" spans="1:16" ht="45.75" thickBot="1" x14ac:dyDescent="0.3">
      <c r="A576" s="1031" t="s">
        <v>2395</v>
      </c>
      <c r="B576" s="1034">
        <f>'[1]PLAN DE DESARROLLO 2024 - 2027'!$K$46</f>
        <v>0.28357478219025023</v>
      </c>
      <c r="C576" s="1031" t="s">
        <v>2396</v>
      </c>
      <c r="D576" s="1034">
        <f>'[1]PLAN DE DESARROLLO 2024 - 2027'!$K$47</f>
        <v>0.29578926734134092</v>
      </c>
      <c r="E576" s="1031" t="s">
        <v>2408</v>
      </c>
      <c r="F576" s="1034">
        <f>'[1]PLAN DE DESARROLLO 2024 - 2027'!$K$52</f>
        <v>0.39682005385712021</v>
      </c>
      <c r="G576" s="1031" t="s">
        <v>2409</v>
      </c>
      <c r="H576" s="1031" t="s">
        <v>2410</v>
      </c>
      <c r="I576" s="1063">
        <f>+'Vida Digna'!Y31</f>
        <v>0.6271186440677966</v>
      </c>
      <c r="J576" s="1031" t="s">
        <v>2397</v>
      </c>
      <c r="K576" s="1035" t="s">
        <v>2195</v>
      </c>
      <c r="P576"/>
    </row>
    <row r="577" spans="1:16" ht="45.75" thickBot="1" x14ac:dyDescent="0.3">
      <c r="A577" s="1031" t="s">
        <v>2395</v>
      </c>
      <c r="B577" s="1034">
        <f>'[1]PLAN DE DESARROLLO 2024 - 2027'!$K$46</f>
        <v>0.28357478219025023</v>
      </c>
      <c r="C577" s="1031" t="s">
        <v>2396</v>
      </c>
      <c r="D577" s="1034">
        <f>'[1]PLAN DE DESARROLLO 2024 - 2027'!$K$47</f>
        <v>0.29578926734134092</v>
      </c>
      <c r="E577" s="1031" t="s">
        <v>2408</v>
      </c>
      <c r="F577" s="1034">
        <f>'[1]PLAN DE DESARROLLO 2024 - 2027'!$K$52</f>
        <v>0.39682005385712021</v>
      </c>
      <c r="G577" s="1031" t="s">
        <v>523</v>
      </c>
      <c r="H577" s="1031" t="s">
        <v>524</v>
      </c>
      <c r="I577" s="1063">
        <f>+'Vida Digna'!Y32</f>
        <v>0.7289719626168224</v>
      </c>
      <c r="J577" s="1031" t="s">
        <v>2397</v>
      </c>
      <c r="K577" s="1035" t="s">
        <v>2195</v>
      </c>
      <c r="P577"/>
    </row>
    <row r="578" spans="1:16" ht="60.75" thickBot="1" x14ac:dyDescent="0.3">
      <c r="A578" s="1031" t="s">
        <v>2395</v>
      </c>
      <c r="B578" s="1034">
        <f>'[1]PLAN DE DESARROLLO 2024 - 2027'!$K$46</f>
        <v>0.28357478219025023</v>
      </c>
      <c r="C578" s="1031" t="s">
        <v>2396</v>
      </c>
      <c r="D578" s="1034">
        <f>'[1]PLAN DE DESARROLLO 2024 - 2027'!$K$47</f>
        <v>0.29578926734134092</v>
      </c>
      <c r="E578" s="1031" t="s">
        <v>2408</v>
      </c>
      <c r="F578" s="1034">
        <f>'[1]PLAN DE DESARROLLO 2024 - 2027'!$K$52</f>
        <v>0.39682005385712021</v>
      </c>
      <c r="G578" s="1031" t="s">
        <v>525</v>
      </c>
      <c r="H578" s="1031" t="s">
        <v>526</v>
      </c>
      <c r="I578" s="1063">
        <f>+'Vida Digna'!Y33</f>
        <v>0.49532710280373832</v>
      </c>
      <c r="J578" s="1031" t="s">
        <v>2397</v>
      </c>
      <c r="K578" s="1035" t="s">
        <v>2195</v>
      </c>
      <c r="P578"/>
    </row>
    <row r="579" spans="1:16" ht="90.75" thickBot="1" x14ac:dyDescent="0.3">
      <c r="A579" s="1031" t="s">
        <v>2395</v>
      </c>
      <c r="B579" s="1034">
        <f>'[1]PLAN DE DESARROLLO 2024 - 2027'!$K$46</f>
        <v>0.28357478219025023</v>
      </c>
      <c r="C579" s="1031" t="s">
        <v>2396</v>
      </c>
      <c r="D579" s="1034">
        <f>'[1]PLAN DE DESARROLLO 2024 - 2027'!$K$47</f>
        <v>0.29578926734134092</v>
      </c>
      <c r="E579" s="1031" t="s">
        <v>2411</v>
      </c>
      <c r="F579" s="1034">
        <f>'[1]PLAN DE DESARROLLO 2024 - 2027'!$K$53</f>
        <v>0.14352564102564103</v>
      </c>
      <c r="G579" s="1031" t="s">
        <v>528</v>
      </c>
      <c r="H579" s="1031" t="s">
        <v>529</v>
      </c>
      <c r="I579" s="1063">
        <f>+'Vida Digna'!Y35</f>
        <v>0.46153846153846156</v>
      </c>
      <c r="J579" s="1031" t="s">
        <v>2397</v>
      </c>
      <c r="K579" s="1035" t="s">
        <v>2195</v>
      </c>
      <c r="P579"/>
    </row>
    <row r="580" spans="1:16" ht="30.75" thickBot="1" x14ac:dyDescent="0.3">
      <c r="A580" s="1031" t="s">
        <v>2395</v>
      </c>
      <c r="B580" s="1034">
        <f>'[1]PLAN DE DESARROLLO 2024 - 2027'!$K$46</f>
        <v>0.28357478219025023</v>
      </c>
      <c r="C580" s="1031" t="s">
        <v>2396</v>
      </c>
      <c r="D580" s="1034">
        <f>'[1]PLAN DE DESARROLLO 2024 - 2027'!$K$47</f>
        <v>0.29578926734134092</v>
      </c>
      <c r="E580" s="1031" t="s">
        <v>2411</v>
      </c>
      <c r="F580" s="1034">
        <f>'[1]PLAN DE DESARROLLO 2024 - 2027'!$K$53</f>
        <v>0.14352564102564103</v>
      </c>
      <c r="G580" s="1031" t="s">
        <v>530</v>
      </c>
      <c r="H580" s="1031" t="s">
        <v>531</v>
      </c>
      <c r="I580" s="1063">
        <f>+'Vida Digna'!Y36</f>
        <v>0.5</v>
      </c>
      <c r="J580" s="1031" t="s">
        <v>2397</v>
      </c>
      <c r="K580" s="1035" t="s">
        <v>2195</v>
      </c>
      <c r="P580"/>
    </row>
    <row r="581" spans="1:16" ht="60.75" thickBot="1" x14ac:dyDescent="0.3">
      <c r="A581" s="1031" t="s">
        <v>2395</v>
      </c>
      <c r="B581" s="1034">
        <f>'[1]PLAN DE DESARROLLO 2024 - 2027'!$K$46</f>
        <v>0.28357478219025023</v>
      </c>
      <c r="C581" s="1031" t="s">
        <v>2396</v>
      </c>
      <c r="D581" s="1034">
        <f>'[1]PLAN DE DESARROLLO 2024 - 2027'!$K$47</f>
        <v>0.29578926734134092</v>
      </c>
      <c r="E581" s="1031" t="s">
        <v>2411</v>
      </c>
      <c r="F581" s="1034">
        <f>'[1]PLAN DE DESARROLLO 2024 - 2027'!$K$53</f>
        <v>0.14352564102564103</v>
      </c>
      <c r="G581" s="1031" t="s">
        <v>532</v>
      </c>
      <c r="H581" s="1031" t="s">
        <v>533</v>
      </c>
      <c r="I581" s="1063">
        <f>+'Vida Digna'!Y37</f>
        <v>0</v>
      </c>
      <c r="J581" s="1031" t="s">
        <v>2397</v>
      </c>
      <c r="K581" s="1035" t="s">
        <v>2195</v>
      </c>
      <c r="P581"/>
    </row>
    <row r="582" spans="1:16" ht="15.75" thickBot="1" x14ac:dyDescent="0.3">
      <c r="A582" s="1031" t="s">
        <v>2395</v>
      </c>
      <c r="B582" s="1034">
        <f>'[1]PLAN DE DESARROLLO 2024 - 2027'!$K$46</f>
        <v>0.28357478219025023</v>
      </c>
      <c r="C582" s="1031" t="s">
        <v>2396</v>
      </c>
      <c r="D582" s="1034">
        <f>'[1]PLAN DE DESARROLLO 2024 - 2027'!$K$47</f>
        <v>0.29578926734134092</v>
      </c>
      <c r="E582" s="1031" t="s">
        <v>2411</v>
      </c>
      <c r="F582" s="1034">
        <f>'[1]PLAN DE DESARROLLO 2024 - 2027'!$K$53</f>
        <v>0.14352564102564103</v>
      </c>
      <c r="G582" s="1031" t="s">
        <v>534</v>
      </c>
      <c r="H582" s="1031" t="s">
        <v>535</v>
      </c>
      <c r="I582" s="1063">
        <f>+'Vida Digna'!Y38</f>
        <v>0.01</v>
      </c>
      <c r="J582" s="1031" t="s">
        <v>2397</v>
      </c>
      <c r="K582" s="1035" t="s">
        <v>2195</v>
      </c>
      <c r="P582"/>
    </row>
    <row r="583" spans="1:16" ht="30.75" thickBot="1" x14ac:dyDescent="0.3">
      <c r="A583" s="1031" t="s">
        <v>2395</v>
      </c>
      <c r="B583" s="1034">
        <f>'[1]PLAN DE DESARROLLO 2024 - 2027'!$K$46</f>
        <v>0.28357478219025023</v>
      </c>
      <c r="C583" s="1031" t="s">
        <v>2396</v>
      </c>
      <c r="D583" s="1034">
        <f>'[1]PLAN DE DESARROLLO 2024 - 2027'!$K$47</f>
        <v>0.29578926734134092</v>
      </c>
      <c r="E583" s="1031" t="s">
        <v>536</v>
      </c>
      <c r="F583" s="1034">
        <f>'[1]PLAN DE DESARROLLO 2024 - 2027'!$K$54</f>
        <v>0.453101733447002</v>
      </c>
      <c r="G583" s="1031" t="s">
        <v>537</v>
      </c>
      <c r="H583" s="1031" t="s">
        <v>538</v>
      </c>
      <c r="I583" s="1063">
        <f>+'Vida Digna'!Y40</f>
        <v>1</v>
      </c>
      <c r="J583" s="1031" t="s">
        <v>2397</v>
      </c>
      <c r="K583" s="1035" t="s">
        <v>2195</v>
      </c>
      <c r="P583"/>
    </row>
    <row r="584" spans="1:16" ht="45.75" thickBot="1" x14ac:dyDescent="0.3">
      <c r="A584" s="1031" t="s">
        <v>2395</v>
      </c>
      <c r="B584" s="1034">
        <f>'[1]PLAN DE DESARROLLO 2024 - 2027'!$K$46</f>
        <v>0.28357478219025023</v>
      </c>
      <c r="C584" s="1031" t="s">
        <v>2396</v>
      </c>
      <c r="D584" s="1034">
        <f>'[1]PLAN DE DESARROLLO 2024 - 2027'!$K$47</f>
        <v>0.29578926734134092</v>
      </c>
      <c r="E584" s="1031" t="s">
        <v>536</v>
      </c>
      <c r="F584" s="1034">
        <f>'[1]PLAN DE DESARROLLO 2024 - 2027'!$K$54</f>
        <v>0.453101733447002</v>
      </c>
      <c r="G584" s="1031" t="s">
        <v>540</v>
      </c>
      <c r="H584" s="1031" t="s">
        <v>541</v>
      </c>
      <c r="I584" s="1063">
        <f>+'Vida Digna'!Y41</f>
        <v>0.12739130434782608</v>
      </c>
      <c r="J584" s="1031" t="s">
        <v>2397</v>
      </c>
      <c r="K584" s="1035" t="s">
        <v>2195</v>
      </c>
      <c r="P584"/>
    </row>
    <row r="585" spans="1:16" ht="30.75" thickBot="1" x14ac:dyDescent="0.3">
      <c r="A585" s="1031" t="s">
        <v>2395</v>
      </c>
      <c r="B585" s="1034">
        <f>'[1]PLAN DE DESARROLLO 2024 - 2027'!$K$46</f>
        <v>0.28357478219025023</v>
      </c>
      <c r="C585" s="1031" t="s">
        <v>2396</v>
      </c>
      <c r="D585" s="1034">
        <f>'[1]PLAN DE DESARROLLO 2024 - 2027'!$K$47</f>
        <v>0.29578926734134092</v>
      </c>
      <c r="E585" s="1031" t="s">
        <v>536</v>
      </c>
      <c r="F585" s="1034">
        <f>'[1]PLAN DE DESARROLLO 2024 - 2027'!$K$54</f>
        <v>0.453101733447002</v>
      </c>
      <c r="G585" s="1031" t="s">
        <v>542</v>
      </c>
      <c r="H585" s="1031" t="s">
        <v>543</v>
      </c>
      <c r="I585" s="1063">
        <f>+'Vida Digna'!Y42</f>
        <v>1</v>
      </c>
      <c r="J585" s="1031" t="s">
        <v>2397</v>
      </c>
      <c r="K585" s="1035" t="s">
        <v>2195</v>
      </c>
      <c r="P585"/>
    </row>
    <row r="586" spans="1:16" ht="45.75" thickBot="1" x14ac:dyDescent="0.3">
      <c r="A586" s="1031" t="s">
        <v>2395</v>
      </c>
      <c r="B586" s="1034">
        <f>'[1]PLAN DE DESARROLLO 2024 - 2027'!$K$46</f>
        <v>0.28357478219025023</v>
      </c>
      <c r="C586" s="1031" t="s">
        <v>2396</v>
      </c>
      <c r="D586" s="1034">
        <f>'[1]PLAN DE DESARROLLO 2024 - 2027'!$K$47</f>
        <v>0.29578926734134092</v>
      </c>
      <c r="E586" s="1031" t="s">
        <v>2412</v>
      </c>
      <c r="F586" s="1034">
        <f>'[1]PLAN DE DESARROLLO 2024 - 2027'!$K$55</f>
        <v>0.25908045977011496</v>
      </c>
      <c r="G586" s="1031" t="s">
        <v>545</v>
      </c>
      <c r="H586" s="1031" t="s">
        <v>546</v>
      </c>
      <c r="I586" s="1063">
        <f>+'Vida Digna'!Y44</f>
        <v>0.66666666666666663</v>
      </c>
      <c r="J586" s="1031" t="s">
        <v>2397</v>
      </c>
      <c r="K586" s="1035" t="s">
        <v>2195</v>
      </c>
      <c r="P586"/>
    </row>
    <row r="587" spans="1:16" ht="30.75" thickBot="1" x14ac:dyDescent="0.3">
      <c r="A587" s="1031" t="s">
        <v>2395</v>
      </c>
      <c r="B587" s="1034">
        <f>'[1]PLAN DE DESARROLLO 2024 - 2027'!$K$46</f>
        <v>0.28357478219025023</v>
      </c>
      <c r="C587" s="1031" t="s">
        <v>2396</v>
      </c>
      <c r="D587" s="1034">
        <f>'[1]PLAN DE DESARROLLO 2024 - 2027'!$K$47</f>
        <v>0.29578926734134092</v>
      </c>
      <c r="E587" s="1031" t="s">
        <v>2412</v>
      </c>
      <c r="F587" s="1034">
        <f>'[1]PLAN DE DESARROLLO 2024 - 2027'!$K$55</f>
        <v>0.25908045977011496</v>
      </c>
      <c r="G587" s="1031" t="s">
        <v>547</v>
      </c>
      <c r="H587" s="1031" t="s">
        <v>548</v>
      </c>
      <c r="I587" s="1063">
        <f>+'Vida Digna'!Y45</f>
        <v>0</v>
      </c>
      <c r="J587" s="1031" t="s">
        <v>2397</v>
      </c>
      <c r="K587" s="1035" t="s">
        <v>2195</v>
      </c>
      <c r="P587"/>
    </row>
    <row r="588" spans="1:16" ht="30.75" thickBot="1" x14ac:dyDescent="0.3">
      <c r="A588" s="1031" t="s">
        <v>2395</v>
      </c>
      <c r="B588" s="1034">
        <f>'[1]PLAN DE DESARROLLO 2024 - 2027'!$K$46</f>
        <v>0.28357478219025023</v>
      </c>
      <c r="C588" s="1031" t="s">
        <v>2396</v>
      </c>
      <c r="D588" s="1034">
        <f>'[1]PLAN DE DESARROLLO 2024 - 2027'!$K$47</f>
        <v>0.29578926734134092</v>
      </c>
      <c r="E588" s="1031" t="s">
        <v>2412</v>
      </c>
      <c r="F588" s="1034">
        <f>'[1]PLAN DE DESARROLLO 2024 - 2027'!$K$55</f>
        <v>0.25908045977011496</v>
      </c>
      <c r="G588" s="1031" t="s">
        <v>549</v>
      </c>
      <c r="H588" s="1031" t="s">
        <v>550</v>
      </c>
      <c r="I588" s="1063">
        <f>+'Vida Digna'!Y46</f>
        <v>1</v>
      </c>
      <c r="J588" s="1031" t="s">
        <v>2397</v>
      </c>
      <c r="K588" s="1035" t="s">
        <v>2195</v>
      </c>
      <c r="P588"/>
    </row>
    <row r="589" spans="1:16" ht="15.75" thickBot="1" x14ac:dyDescent="0.3">
      <c r="A589" s="1031" t="s">
        <v>2395</v>
      </c>
      <c r="B589" s="1034">
        <f>'[1]PLAN DE DESARROLLO 2024 - 2027'!$K$46</f>
        <v>0.28357478219025023</v>
      </c>
      <c r="C589" s="1031" t="s">
        <v>2396</v>
      </c>
      <c r="D589" s="1034">
        <f>'[1]PLAN DE DESARROLLO 2024 - 2027'!$K$47</f>
        <v>0.29578926734134092</v>
      </c>
      <c r="E589" s="1031" t="s">
        <v>2412</v>
      </c>
      <c r="F589" s="1034">
        <f>'[1]PLAN DE DESARROLLO 2024 - 2027'!$K$55</f>
        <v>0.25908045977011496</v>
      </c>
      <c r="G589" s="1031" t="s">
        <v>551</v>
      </c>
      <c r="H589" s="1031" t="s">
        <v>552</v>
      </c>
      <c r="I589" s="1063">
        <f>+'Vida Digna'!Y47</f>
        <v>0.25</v>
      </c>
      <c r="J589" s="1031" t="s">
        <v>2397</v>
      </c>
      <c r="K589" s="1035" t="s">
        <v>2195</v>
      </c>
      <c r="P589"/>
    </row>
    <row r="590" spans="1:16" ht="30.75" thickBot="1" x14ac:dyDescent="0.3">
      <c r="A590" s="1031" t="s">
        <v>2395</v>
      </c>
      <c r="B590" s="1034">
        <f>'[1]PLAN DE DESARROLLO 2024 - 2027'!$K$46</f>
        <v>0.28357478219025023</v>
      </c>
      <c r="C590" s="1031" t="s">
        <v>2396</v>
      </c>
      <c r="D590" s="1034">
        <f>'[1]PLAN DE DESARROLLO 2024 - 2027'!$K$47</f>
        <v>0.29578926734134092</v>
      </c>
      <c r="E590" s="1031" t="s">
        <v>2412</v>
      </c>
      <c r="F590" s="1034">
        <f>'[1]PLAN DE DESARROLLO 2024 - 2027'!$K$55</f>
        <v>0.25908045977011496</v>
      </c>
      <c r="G590" s="1031" t="s">
        <v>553</v>
      </c>
      <c r="H590" s="1031" t="s">
        <v>554</v>
      </c>
      <c r="I590" s="1063">
        <f>+'Vida Digna'!Y48</f>
        <v>0.26666666666666666</v>
      </c>
      <c r="J590" s="1031" t="s">
        <v>2397</v>
      </c>
      <c r="K590" s="1035" t="s">
        <v>2195</v>
      </c>
      <c r="P590"/>
    </row>
    <row r="591" spans="1:16" ht="30.75" thickBot="1" x14ac:dyDescent="0.3">
      <c r="A591" s="1031" t="s">
        <v>2395</v>
      </c>
      <c r="B591" s="1034">
        <f>'[1]PLAN DE DESARROLLO 2024 - 2027'!$K$46</f>
        <v>0.28357478219025023</v>
      </c>
      <c r="C591" s="1031" t="s">
        <v>2396</v>
      </c>
      <c r="D591" s="1034">
        <f>'[1]PLAN DE DESARROLLO 2024 - 2027'!$K$47</f>
        <v>0.29578926734134092</v>
      </c>
      <c r="E591" s="1031" t="s">
        <v>2413</v>
      </c>
      <c r="F591" s="1034">
        <f>'[1]PLAN DE DESARROLLO 2024 - 2027'!$K$57</f>
        <v>0.38465732087227411</v>
      </c>
      <c r="G591" s="1031" t="s">
        <v>562</v>
      </c>
      <c r="H591" s="1031" t="s">
        <v>563</v>
      </c>
      <c r="I591" s="1063">
        <f>+'Vida Digna'!Y53</f>
        <v>0.53649999999999998</v>
      </c>
      <c r="J591" s="1031" t="s">
        <v>2397</v>
      </c>
      <c r="K591" s="1035" t="s">
        <v>2195</v>
      </c>
      <c r="P591"/>
    </row>
    <row r="592" spans="1:16" ht="30.75" thickBot="1" x14ac:dyDescent="0.3">
      <c r="A592" s="1031" t="s">
        <v>2395</v>
      </c>
      <c r="B592" s="1034">
        <f>'[1]PLAN DE DESARROLLO 2024 - 2027'!$K$46</f>
        <v>0.28357478219025023</v>
      </c>
      <c r="C592" s="1031" t="s">
        <v>2396</v>
      </c>
      <c r="D592" s="1034">
        <f>'[1]PLAN DE DESARROLLO 2024 - 2027'!$K$47</f>
        <v>0.29578926734134092</v>
      </c>
      <c r="E592" s="1031" t="s">
        <v>2413</v>
      </c>
      <c r="F592" s="1034">
        <f>'[1]PLAN DE DESARROLLO 2024 - 2027'!$K$57</f>
        <v>0.38465732087227411</v>
      </c>
      <c r="G592" s="1031" t="s">
        <v>564</v>
      </c>
      <c r="H592" s="1031" t="s">
        <v>565</v>
      </c>
      <c r="I592" s="1063">
        <f>+'Vida Digna'!Y54</f>
        <v>0.86915887850467288</v>
      </c>
      <c r="J592" s="1031" t="s">
        <v>2397</v>
      </c>
      <c r="K592" s="1035" t="s">
        <v>2195</v>
      </c>
      <c r="P592"/>
    </row>
    <row r="593" spans="1:16" ht="31.15" customHeight="1" thickBot="1" x14ac:dyDescent="0.3">
      <c r="A593" s="1031" t="s">
        <v>2395</v>
      </c>
      <c r="B593" s="1034">
        <f>'[1]PLAN DE DESARROLLO 2024 - 2027'!$K$46</f>
        <v>0.28357478219025023</v>
      </c>
      <c r="C593" s="1031" t="s">
        <v>2396</v>
      </c>
      <c r="D593" s="1034">
        <f>'[1]PLAN DE DESARROLLO 2024 - 2027'!$K$47</f>
        <v>0.29578926734134092</v>
      </c>
      <c r="E593" s="1031" t="s">
        <v>2413</v>
      </c>
      <c r="F593" s="1034">
        <f>'[1]PLAN DE DESARROLLO 2024 - 2027'!$K$57</f>
        <v>0.38465732087227411</v>
      </c>
      <c r="G593" s="1031" t="s">
        <v>566</v>
      </c>
      <c r="H593" s="1031" t="s">
        <v>567</v>
      </c>
      <c r="I593" s="1063">
        <f>+'Vida Digna'!Y55</f>
        <v>0.25</v>
      </c>
      <c r="J593" s="1031" t="s">
        <v>2397</v>
      </c>
      <c r="K593" s="1035" t="s">
        <v>2195</v>
      </c>
      <c r="P593"/>
    </row>
    <row r="594" spans="1:16" ht="45.75" thickBot="1" x14ac:dyDescent="0.3">
      <c r="A594" s="1031" t="s">
        <v>2395</v>
      </c>
      <c r="B594" s="1034">
        <f>'[1]PLAN DE DESARROLLO 2024 - 2027'!$K$46</f>
        <v>0.28357478219025023</v>
      </c>
      <c r="C594" s="1031" t="s">
        <v>2396</v>
      </c>
      <c r="D594" s="1034">
        <f>'[1]PLAN DE DESARROLLO 2024 - 2027'!$K$47</f>
        <v>0.29578926734134092</v>
      </c>
      <c r="E594" s="1031" t="s">
        <v>2414</v>
      </c>
      <c r="F594" s="1034">
        <f>'[1]PLAN DE DESARROLLO 2024 - 2027'!$K$58</f>
        <v>0.15194704049844235</v>
      </c>
      <c r="G594" s="1031" t="s">
        <v>569</v>
      </c>
      <c r="H594" s="1031" t="s">
        <v>570</v>
      </c>
      <c r="I594" s="1063">
        <f>+'Vida Digna'!Y57</f>
        <v>0.22429906542056074</v>
      </c>
      <c r="J594" s="1031" t="s">
        <v>2397</v>
      </c>
      <c r="K594" s="1035" t="s">
        <v>2195</v>
      </c>
      <c r="P594"/>
    </row>
    <row r="595" spans="1:16" ht="30.75" thickBot="1" x14ac:dyDescent="0.3">
      <c r="A595" s="1031" t="s">
        <v>2395</v>
      </c>
      <c r="B595" s="1034">
        <f>'[1]PLAN DE DESARROLLO 2024 - 2027'!$K$46</f>
        <v>0.28357478219025023</v>
      </c>
      <c r="C595" s="1031" t="s">
        <v>2396</v>
      </c>
      <c r="D595" s="1034">
        <f>'[1]PLAN DE DESARROLLO 2024 - 2027'!$K$47</f>
        <v>0.29578926734134092</v>
      </c>
      <c r="E595" s="1031" t="s">
        <v>2414</v>
      </c>
      <c r="F595" s="1034">
        <f>'[1]PLAN DE DESARROLLO 2024 - 2027'!$K$58</f>
        <v>0.15194704049844235</v>
      </c>
      <c r="G595" s="1031" t="s">
        <v>571</v>
      </c>
      <c r="H595" s="1031" t="s">
        <v>572</v>
      </c>
      <c r="I595" s="1063">
        <f>+'Vida Digna'!Y58</f>
        <v>0</v>
      </c>
      <c r="J595" s="1031" t="s">
        <v>2397</v>
      </c>
      <c r="K595" s="1035" t="s">
        <v>2195</v>
      </c>
      <c r="P595"/>
    </row>
    <row r="596" spans="1:16" ht="45.75" thickBot="1" x14ac:dyDescent="0.3">
      <c r="A596" s="1031" t="s">
        <v>2395</v>
      </c>
      <c r="B596" s="1034">
        <f>'[1]PLAN DE DESARROLLO 2024 - 2027'!$K$46</f>
        <v>0.28357478219025023</v>
      </c>
      <c r="C596" s="1031" t="s">
        <v>2396</v>
      </c>
      <c r="D596" s="1034">
        <f>'[1]PLAN DE DESARROLLO 2024 - 2027'!$K$47</f>
        <v>0.29578926734134092</v>
      </c>
      <c r="E596" s="1031" t="s">
        <v>2414</v>
      </c>
      <c r="F596" s="1034">
        <f>'[1]PLAN DE DESARROLLO 2024 - 2027'!$K$58</f>
        <v>0.15194704049844235</v>
      </c>
      <c r="G596" s="1031" t="s">
        <v>2415</v>
      </c>
      <c r="H596" s="1031" t="s">
        <v>2416</v>
      </c>
      <c r="I596" s="1063">
        <f>+'Vida Digna'!Y59</f>
        <v>0.55000000000000004</v>
      </c>
      <c r="J596" s="1031" t="s">
        <v>2397</v>
      </c>
      <c r="K596" s="1035" t="s">
        <v>2195</v>
      </c>
      <c r="P596"/>
    </row>
    <row r="597" spans="1:16" ht="45.75" thickBot="1" x14ac:dyDescent="0.3">
      <c r="A597" s="1031" t="s">
        <v>2395</v>
      </c>
      <c r="B597" s="1034">
        <f>'[1]PLAN DE DESARROLLO 2024 - 2027'!$K$46</f>
        <v>0.28357478219025023</v>
      </c>
      <c r="C597" s="1031" t="s">
        <v>2396</v>
      </c>
      <c r="D597" s="1034">
        <f>'[1]PLAN DE DESARROLLO 2024 - 2027'!$K$47</f>
        <v>0.29578926734134092</v>
      </c>
      <c r="E597" s="1031" t="s">
        <v>576</v>
      </c>
      <c r="F597" s="1034">
        <f>'[1]PLAN DE DESARROLLO 2024 - 2027'!$K$59</f>
        <v>0.24000359477124183</v>
      </c>
      <c r="G597" s="1031" t="s">
        <v>2417</v>
      </c>
      <c r="H597" s="1031" t="s">
        <v>2418</v>
      </c>
      <c r="I597" s="1063">
        <f>+'Vida Digna'!Y61</f>
        <v>0.17677777777777778</v>
      </c>
      <c r="J597" s="1031" t="s">
        <v>2397</v>
      </c>
      <c r="K597" s="1035" t="s">
        <v>2195</v>
      </c>
      <c r="P597"/>
    </row>
    <row r="598" spans="1:16" ht="60.75" thickBot="1" x14ac:dyDescent="0.3">
      <c r="A598" s="1031" t="s">
        <v>2395</v>
      </c>
      <c r="B598" s="1034">
        <f>'[1]PLAN DE DESARROLLO 2024 - 2027'!$K$46</f>
        <v>0.28357478219025023</v>
      </c>
      <c r="C598" s="1031" t="s">
        <v>2396</v>
      </c>
      <c r="D598" s="1034">
        <f>'[1]PLAN DE DESARROLLO 2024 - 2027'!$K$47</f>
        <v>0.29578926734134092</v>
      </c>
      <c r="E598" s="1031" t="s">
        <v>576</v>
      </c>
      <c r="F598" s="1034">
        <f>'[1]PLAN DE DESARROLLO 2024 - 2027'!$K$59</f>
        <v>0.24000359477124183</v>
      </c>
      <c r="G598" s="1031" t="s">
        <v>2419</v>
      </c>
      <c r="H598" s="1031" t="s">
        <v>2420</v>
      </c>
      <c r="I598" s="1063">
        <f>+'Vida Digna'!Y62</f>
        <v>0.18382352941176472</v>
      </c>
      <c r="J598" s="1031" t="s">
        <v>2397</v>
      </c>
      <c r="K598" s="1035" t="s">
        <v>2195</v>
      </c>
      <c r="P598"/>
    </row>
    <row r="599" spans="1:16" ht="30.75" thickBot="1" x14ac:dyDescent="0.3">
      <c r="A599" s="1031" t="s">
        <v>2395</v>
      </c>
      <c r="B599" s="1034">
        <f>'[1]PLAN DE DESARROLLO 2024 - 2027'!$K$46</f>
        <v>0.28357478219025023</v>
      </c>
      <c r="C599" s="1031" t="s">
        <v>2396</v>
      </c>
      <c r="D599" s="1034">
        <f>'[1]PLAN DE DESARROLLO 2024 - 2027'!$K$47</f>
        <v>0.29578926734134092</v>
      </c>
      <c r="E599" s="1031" t="s">
        <v>576</v>
      </c>
      <c r="F599" s="1034">
        <f>'[1]PLAN DE DESARROLLO 2024 - 2027'!$K$59</f>
        <v>0.24000359477124183</v>
      </c>
      <c r="G599" s="1031" t="s">
        <v>581</v>
      </c>
      <c r="H599" s="1031" t="s">
        <v>582</v>
      </c>
      <c r="I599" s="1063">
        <f>+'Vida Digna'!Y63</f>
        <v>0.22541666666666665</v>
      </c>
      <c r="J599" s="1031" t="s">
        <v>2397</v>
      </c>
      <c r="K599" s="1035" t="s">
        <v>2195</v>
      </c>
      <c r="P599"/>
    </row>
    <row r="600" spans="1:16" ht="30.75" thickBot="1" x14ac:dyDescent="0.3">
      <c r="A600" s="1031" t="s">
        <v>2395</v>
      </c>
      <c r="B600" s="1034">
        <f>'[1]PLAN DE DESARROLLO 2024 - 2027'!$K$46</f>
        <v>0.28357478219025023</v>
      </c>
      <c r="C600" s="1031" t="s">
        <v>2396</v>
      </c>
      <c r="D600" s="1034">
        <f>'[1]PLAN DE DESARROLLO 2024 - 2027'!$K$47</f>
        <v>0.29578926734134092</v>
      </c>
      <c r="E600" s="1031" t="s">
        <v>576</v>
      </c>
      <c r="F600" s="1034">
        <f>'[1]PLAN DE DESARROLLO 2024 - 2027'!$K$59</f>
        <v>0.24000359477124183</v>
      </c>
      <c r="G600" s="1031" t="s">
        <v>584</v>
      </c>
      <c r="H600" s="1031" t="s">
        <v>585</v>
      </c>
      <c r="I600" s="1063">
        <f>+'Vida Digna'!Y64</f>
        <v>0.44</v>
      </c>
      <c r="J600" s="1031" t="s">
        <v>2397</v>
      </c>
      <c r="K600" s="1035" t="s">
        <v>2195</v>
      </c>
      <c r="P600"/>
    </row>
    <row r="601" spans="1:16" ht="45.75" thickBot="1" x14ac:dyDescent="0.3">
      <c r="A601" s="1031" t="s">
        <v>2395</v>
      </c>
      <c r="B601" s="1034">
        <f>'[1]PLAN DE DESARROLLO 2024 - 2027'!$K$46</f>
        <v>0.28357478219025023</v>
      </c>
      <c r="C601" s="1031" t="s">
        <v>2396</v>
      </c>
      <c r="D601" s="1034">
        <f>'[1]PLAN DE DESARROLLO 2024 - 2027'!$K$47</f>
        <v>0.29578926734134092</v>
      </c>
      <c r="E601" s="1031" t="s">
        <v>576</v>
      </c>
      <c r="F601" s="1034">
        <f>'[1]PLAN DE DESARROLLO 2024 - 2027'!$K$59</f>
        <v>0.24000359477124183</v>
      </c>
      <c r="G601" s="1031" t="s">
        <v>586</v>
      </c>
      <c r="H601" s="1031" t="s">
        <v>2421</v>
      </c>
      <c r="I601" s="1064">
        <f>+'Vida Digna'!Y65</f>
        <v>0</v>
      </c>
      <c r="J601" s="1031" t="s">
        <v>2397</v>
      </c>
      <c r="K601" s="1035" t="s">
        <v>2195</v>
      </c>
      <c r="P601"/>
    </row>
    <row r="602" spans="1:16" ht="30.75" thickBot="1" x14ac:dyDescent="0.3">
      <c r="A602" s="1031" t="s">
        <v>2395</v>
      </c>
      <c r="B602" s="1034">
        <f>'[1]PLAN DE DESARROLLO 2024 - 2027'!$K$46</f>
        <v>0.28357478219025023</v>
      </c>
      <c r="C602" s="1031" t="s">
        <v>2396</v>
      </c>
      <c r="D602" s="1034">
        <f>'[1]PLAN DE DESARROLLO 2024 - 2027'!$K$47</f>
        <v>0.29578926734134092</v>
      </c>
      <c r="E602" s="1031" t="s">
        <v>576</v>
      </c>
      <c r="F602" s="1034">
        <f>'[1]PLAN DE DESARROLLO 2024 - 2027'!$K$59</f>
        <v>0.24000359477124183</v>
      </c>
      <c r="G602" s="1031" t="s">
        <v>588</v>
      </c>
      <c r="H602" s="1031" t="s">
        <v>2422</v>
      </c>
      <c r="I602" s="1063">
        <f>+'Vida Digna'!Y66</f>
        <v>0.314</v>
      </c>
      <c r="J602" s="1031" t="s">
        <v>2397</v>
      </c>
      <c r="K602" s="1035" t="s">
        <v>2195</v>
      </c>
      <c r="P602"/>
    </row>
    <row r="603" spans="1:16" ht="45.75" thickBot="1" x14ac:dyDescent="0.3">
      <c r="A603" s="1031" t="s">
        <v>2395</v>
      </c>
      <c r="B603" s="1034">
        <f>'[1]PLAN DE DESARROLLO 2024 - 2027'!$K$46</f>
        <v>0.28357478219025023</v>
      </c>
      <c r="C603" s="1031" t="s">
        <v>2396</v>
      </c>
      <c r="D603" s="1034">
        <f>'[1]PLAN DE DESARROLLO 2024 - 2027'!$K$47</f>
        <v>0.29578926734134092</v>
      </c>
      <c r="E603" s="1031" t="s">
        <v>576</v>
      </c>
      <c r="F603" s="1034">
        <f>'[1]PLAN DE DESARROLLO 2024 - 2027'!$K$59</f>
        <v>0.24000359477124183</v>
      </c>
      <c r="G603" s="1031" t="s">
        <v>590</v>
      </c>
      <c r="H603" s="1031" t="s">
        <v>591</v>
      </c>
      <c r="I603" s="1064">
        <f>+'Vida Digna'!Y67</f>
        <v>0</v>
      </c>
      <c r="J603" s="1031" t="s">
        <v>2397</v>
      </c>
      <c r="K603" s="1035" t="s">
        <v>2195</v>
      </c>
      <c r="P603"/>
    </row>
    <row r="604" spans="1:16" ht="30.75" thickBot="1" x14ac:dyDescent="0.3">
      <c r="A604" s="1031" t="s">
        <v>2395</v>
      </c>
      <c r="B604" s="1034">
        <f>'[1]PLAN DE DESARROLLO 2024 - 2027'!$K$46</f>
        <v>0.28357478219025023</v>
      </c>
      <c r="C604" s="1031" t="s">
        <v>2396</v>
      </c>
      <c r="D604" s="1034">
        <f>'[1]PLAN DE DESARROLLO 2024 - 2027'!$K$47</f>
        <v>0.29578926734134092</v>
      </c>
      <c r="E604" s="1031" t="s">
        <v>2423</v>
      </c>
      <c r="F604" s="1034">
        <f>'[1]PLAN DE DESARROLLO 2024 - 2027'!$K$60</f>
        <v>0.1677138157894737</v>
      </c>
      <c r="G604" s="1031" t="s">
        <v>593</v>
      </c>
      <c r="H604" s="1031" t="s">
        <v>2424</v>
      </c>
      <c r="I604" s="1063">
        <f>+'Vida Digna'!Y69</f>
        <v>0.26263157894736844</v>
      </c>
      <c r="J604" s="1031" t="s">
        <v>2397</v>
      </c>
      <c r="K604" s="1035" t="s">
        <v>2195</v>
      </c>
      <c r="P604"/>
    </row>
    <row r="605" spans="1:16" ht="45.75" thickBot="1" x14ac:dyDescent="0.3">
      <c r="A605" s="1031" t="s">
        <v>2395</v>
      </c>
      <c r="B605" s="1034">
        <f>'[1]PLAN DE DESARROLLO 2024 - 2027'!$K$46</f>
        <v>0.28357478219025023</v>
      </c>
      <c r="C605" s="1031" t="s">
        <v>2396</v>
      </c>
      <c r="D605" s="1034">
        <f>'[1]PLAN DE DESARROLLO 2024 - 2027'!$K$47</f>
        <v>0.29578926734134092</v>
      </c>
      <c r="E605" s="1031" t="s">
        <v>2423</v>
      </c>
      <c r="F605" s="1034">
        <f>'[1]PLAN DE DESARROLLO 2024 - 2027'!$K$60</f>
        <v>0.1677138157894737</v>
      </c>
      <c r="G605" s="1031" t="s">
        <v>595</v>
      </c>
      <c r="H605" s="1031" t="s">
        <v>596</v>
      </c>
      <c r="I605" s="1063">
        <f>+'Vida Digna'!Y70</f>
        <v>0.3125</v>
      </c>
      <c r="J605" s="1031" t="s">
        <v>2397</v>
      </c>
      <c r="K605" s="1035" t="s">
        <v>2195</v>
      </c>
      <c r="P605"/>
    </row>
    <row r="606" spans="1:16" ht="30.75" thickBot="1" x14ac:dyDescent="0.3">
      <c r="A606" s="1031" t="s">
        <v>2395</v>
      </c>
      <c r="B606" s="1034">
        <f>'[1]PLAN DE DESARROLLO 2024 - 2027'!$K$46</f>
        <v>0.28357478219025023</v>
      </c>
      <c r="C606" s="1031" t="s">
        <v>2396</v>
      </c>
      <c r="D606" s="1034">
        <f>'[1]PLAN DE DESARROLLO 2024 - 2027'!$K$47</f>
        <v>0.29578926734134092</v>
      </c>
      <c r="E606" s="1031" t="s">
        <v>2423</v>
      </c>
      <c r="F606" s="1034">
        <f>'[1]PLAN DE DESARROLLO 2024 - 2027'!$K$60</f>
        <v>0.1677138157894737</v>
      </c>
      <c r="G606" s="1031" t="s">
        <v>597</v>
      </c>
      <c r="H606" s="1031" t="s">
        <v>598</v>
      </c>
      <c r="I606" s="1063">
        <f>+'Vida Digna'!Y71</f>
        <v>0.34275</v>
      </c>
      <c r="J606" s="1031" t="s">
        <v>2397</v>
      </c>
      <c r="K606" s="1035" t="s">
        <v>2195</v>
      </c>
      <c r="P606"/>
    </row>
    <row r="607" spans="1:16" ht="45.75" thickBot="1" x14ac:dyDescent="0.3">
      <c r="A607" s="1031" t="s">
        <v>2395</v>
      </c>
      <c r="B607" s="1034">
        <f>'[1]PLAN DE DESARROLLO 2024 - 2027'!$K$46</f>
        <v>0.28357478219025023</v>
      </c>
      <c r="C607" s="1031" t="s">
        <v>2396</v>
      </c>
      <c r="D607" s="1034">
        <f>'[1]PLAN DE DESARROLLO 2024 - 2027'!$K$47</f>
        <v>0.29578926734134092</v>
      </c>
      <c r="E607" s="1031" t="s">
        <v>2423</v>
      </c>
      <c r="F607" s="1034">
        <f>'[1]PLAN DE DESARROLLO 2024 - 2027'!$K$60</f>
        <v>0.1677138157894737</v>
      </c>
      <c r="G607" s="1031" t="s">
        <v>2425</v>
      </c>
      <c r="H607" s="1031" t="s">
        <v>2426</v>
      </c>
      <c r="I607" s="1063">
        <f>+'Vida Digna'!Y72</f>
        <v>0.3125</v>
      </c>
      <c r="J607" s="1031" t="s">
        <v>2397</v>
      </c>
      <c r="K607" s="1035" t="s">
        <v>2195</v>
      </c>
      <c r="P607"/>
    </row>
    <row r="608" spans="1:16" ht="30.75" thickBot="1" x14ac:dyDescent="0.3">
      <c r="A608" s="1031" t="s">
        <v>2395</v>
      </c>
      <c r="B608" s="1034">
        <f>'[1]PLAN DE DESARROLLO 2024 - 2027'!$K$46</f>
        <v>0.28357478219025023</v>
      </c>
      <c r="C608" s="1031" t="s">
        <v>2396</v>
      </c>
      <c r="D608" s="1034">
        <f>'[1]PLAN DE DESARROLLO 2024 - 2027'!$K$47</f>
        <v>0.29578926734134092</v>
      </c>
      <c r="E608" s="1031" t="s">
        <v>601</v>
      </c>
      <c r="F608" s="1034">
        <f>'[1]PLAN DE DESARROLLO 2024 - 2027'!$K$61</f>
        <v>0.27882352941176475</v>
      </c>
      <c r="G608" s="1031" t="s">
        <v>602</v>
      </c>
      <c r="H608" s="1031" t="s">
        <v>603</v>
      </c>
      <c r="I608" s="1063">
        <f>+'Vida Digna'!Y74</f>
        <v>0.76666666666666672</v>
      </c>
      <c r="J608" s="1031" t="s">
        <v>2397</v>
      </c>
      <c r="K608" s="1035" t="s">
        <v>2195</v>
      </c>
      <c r="P608"/>
    </row>
    <row r="609" spans="1:16" ht="45.75" thickBot="1" x14ac:dyDescent="0.3">
      <c r="A609" s="1031" t="s">
        <v>2395</v>
      </c>
      <c r="B609" s="1034">
        <f>'[1]PLAN DE DESARROLLO 2024 - 2027'!$K$46</f>
        <v>0.28357478219025023</v>
      </c>
      <c r="C609" s="1031" t="s">
        <v>2396</v>
      </c>
      <c r="D609" s="1034">
        <f>'[1]PLAN DE DESARROLLO 2024 - 2027'!$K$47</f>
        <v>0.29578926734134092</v>
      </c>
      <c r="E609" s="1031" t="s">
        <v>601</v>
      </c>
      <c r="F609" s="1034">
        <f>'[1]PLAN DE DESARROLLO 2024 - 2027'!$K$61</f>
        <v>0.27882352941176475</v>
      </c>
      <c r="G609" s="1031" t="s">
        <v>604</v>
      </c>
      <c r="H609" s="1031" t="s">
        <v>605</v>
      </c>
      <c r="I609" s="1063">
        <f>+'Vida Digna'!Y75</f>
        <v>0</v>
      </c>
      <c r="J609" s="1031" t="s">
        <v>2397</v>
      </c>
      <c r="K609" s="1035" t="s">
        <v>2195</v>
      </c>
      <c r="P609"/>
    </row>
    <row r="610" spans="1:16" ht="30.75" thickBot="1" x14ac:dyDescent="0.3">
      <c r="A610" s="1031" t="s">
        <v>2395</v>
      </c>
      <c r="B610" s="1034">
        <f>'[1]PLAN DE DESARROLLO 2024 - 2027'!$K$46</f>
        <v>0.28357478219025023</v>
      </c>
      <c r="C610" s="1031" t="s">
        <v>2396</v>
      </c>
      <c r="D610" s="1034">
        <f>'[1]PLAN DE DESARROLLO 2024 - 2027'!$K$47</f>
        <v>0.29578926734134092</v>
      </c>
      <c r="E610" s="1031" t="s">
        <v>601</v>
      </c>
      <c r="F610" s="1034">
        <f>'[1]PLAN DE DESARROLLO 2024 - 2027'!$K$61</f>
        <v>0.27882352941176475</v>
      </c>
      <c r="G610" s="1031" t="s">
        <v>606</v>
      </c>
      <c r="H610" s="1031" t="s">
        <v>607</v>
      </c>
      <c r="I610" s="1063">
        <f>+'Vida Digna'!Y76</f>
        <v>0.23529411764705882</v>
      </c>
      <c r="J610" s="1031" t="s">
        <v>2397</v>
      </c>
      <c r="K610" s="1035" t="s">
        <v>2195</v>
      </c>
      <c r="P610"/>
    </row>
    <row r="611" spans="1:16" ht="30.75" thickBot="1" x14ac:dyDescent="0.3">
      <c r="A611" s="1031" t="s">
        <v>2395</v>
      </c>
      <c r="B611" s="1034">
        <f>'[1]PLAN DE DESARROLLO 2024 - 2027'!$K$46</f>
        <v>0.28357478219025023</v>
      </c>
      <c r="C611" s="1031" t="s">
        <v>2396</v>
      </c>
      <c r="D611" s="1034">
        <f>'[1]PLAN DE DESARROLLO 2024 - 2027'!$K$47</f>
        <v>0.29578926734134092</v>
      </c>
      <c r="E611" s="1031" t="s">
        <v>625</v>
      </c>
      <c r="F611" s="1034">
        <f>'[1]PLAN DE DESARROLLO 2024 - 2027'!$K$63</f>
        <v>0.66756944444444444</v>
      </c>
      <c r="G611" s="1031" t="s">
        <v>626</v>
      </c>
      <c r="H611" s="1031" t="s">
        <v>627</v>
      </c>
      <c r="I611" s="1063">
        <f>+'Vida Digna'!Y86</f>
        <v>0.40937499999999999</v>
      </c>
      <c r="J611" s="1031" t="s">
        <v>628</v>
      </c>
      <c r="K611" s="1035" t="s">
        <v>2195</v>
      </c>
      <c r="P611"/>
    </row>
    <row r="612" spans="1:16" ht="30.75" thickBot="1" x14ac:dyDescent="0.3">
      <c r="A612" s="1031" t="s">
        <v>2395</v>
      </c>
      <c r="B612" s="1034">
        <f>'[1]PLAN DE DESARROLLO 2024 - 2027'!$K$46</f>
        <v>0.28357478219025023</v>
      </c>
      <c r="C612" s="1031" t="s">
        <v>2396</v>
      </c>
      <c r="D612" s="1034">
        <f>'[1]PLAN DE DESARROLLO 2024 - 2027'!$K$47</f>
        <v>0.29578926734134092</v>
      </c>
      <c r="E612" s="1031" t="s">
        <v>625</v>
      </c>
      <c r="F612" s="1034">
        <f>'[1]PLAN DE DESARROLLO 2024 - 2027'!$K$63</f>
        <v>0.66756944444444444</v>
      </c>
      <c r="G612" s="1031" t="s">
        <v>629</v>
      </c>
      <c r="H612" s="1031" t="s">
        <v>630</v>
      </c>
      <c r="I612" s="1063">
        <f>+'Vida Digna'!Y87</f>
        <v>0.68500000000000005</v>
      </c>
      <c r="J612" s="1031" t="s">
        <v>628</v>
      </c>
      <c r="K612" s="1035" t="s">
        <v>2195</v>
      </c>
      <c r="P612"/>
    </row>
    <row r="613" spans="1:16" ht="30.75" thickBot="1" x14ac:dyDescent="0.3">
      <c r="A613" s="1031" t="s">
        <v>2395</v>
      </c>
      <c r="B613" s="1034">
        <f>'[1]PLAN DE DESARROLLO 2024 - 2027'!$K$46</f>
        <v>0.28357478219025023</v>
      </c>
      <c r="C613" s="1031" t="s">
        <v>2396</v>
      </c>
      <c r="D613" s="1034">
        <f>'[1]PLAN DE DESARROLLO 2024 - 2027'!$K$47</f>
        <v>0.29578926734134092</v>
      </c>
      <c r="E613" s="1031" t="s">
        <v>625</v>
      </c>
      <c r="F613" s="1034">
        <f>'[1]PLAN DE DESARROLLO 2024 - 2027'!$K$63</f>
        <v>0.66756944444444444</v>
      </c>
      <c r="G613" s="1031" t="s">
        <v>631</v>
      </c>
      <c r="H613" s="1031" t="s">
        <v>632</v>
      </c>
      <c r="I613" s="1063">
        <f>+'Vida Digna'!Y88</f>
        <v>0.95416666666666672</v>
      </c>
      <c r="J613" s="1031" t="s">
        <v>628</v>
      </c>
      <c r="K613" s="1035" t="s">
        <v>2195</v>
      </c>
      <c r="P613"/>
    </row>
    <row r="614" spans="1:16" ht="30.75" thickBot="1" x14ac:dyDescent="0.3">
      <c r="A614" s="1031" t="s">
        <v>2395</v>
      </c>
      <c r="B614" s="1034">
        <f>'[1]PLAN DE DESARROLLO 2024 - 2027'!$K$46</f>
        <v>0.28357478219025023</v>
      </c>
      <c r="C614" s="1031" t="s">
        <v>2396</v>
      </c>
      <c r="D614" s="1034">
        <f>'[1]PLAN DE DESARROLLO 2024 - 2027'!$K$47</f>
        <v>0.29578926734134092</v>
      </c>
      <c r="E614" s="1031" t="s">
        <v>625</v>
      </c>
      <c r="F614" s="1034">
        <f>'[1]PLAN DE DESARROLLO 2024 - 2027'!$K$63</f>
        <v>0.66756944444444444</v>
      </c>
      <c r="G614" s="1031" t="s">
        <v>633</v>
      </c>
      <c r="H614" s="1031" t="s">
        <v>634</v>
      </c>
      <c r="I614" s="1063">
        <f>+'Vida Digna'!Y89</f>
        <v>1</v>
      </c>
      <c r="J614" s="1031" t="s">
        <v>628</v>
      </c>
      <c r="K614" s="1035" t="s">
        <v>2195</v>
      </c>
      <c r="P614"/>
    </row>
    <row r="615" spans="1:16" ht="15.75" thickBot="1" x14ac:dyDescent="0.3">
      <c r="A615" s="1031" t="s">
        <v>2395</v>
      </c>
      <c r="B615" s="1034">
        <f>'[1]PLAN DE DESARROLLO 2024 - 2027'!$K$46</f>
        <v>0.28357478219025023</v>
      </c>
      <c r="C615" s="1031" t="s">
        <v>2396</v>
      </c>
      <c r="D615" s="1034">
        <f>'[1]PLAN DE DESARROLLO 2024 - 2027'!$K$47</f>
        <v>0.29578926734134092</v>
      </c>
      <c r="E615" s="1031" t="s">
        <v>625</v>
      </c>
      <c r="F615" s="1034">
        <f>'[1]PLAN DE DESARROLLO 2024 - 2027'!$K$63</f>
        <v>0.66756944444444444</v>
      </c>
      <c r="G615" s="1031" t="s">
        <v>636</v>
      </c>
      <c r="H615" s="1031" t="s">
        <v>637</v>
      </c>
      <c r="I615" s="1063">
        <f>+'Vida Digna'!Y90</f>
        <v>0.55555555555555558</v>
      </c>
      <c r="J615" s="1031" t="s">
        <v>628</v>
      </c>
      <c r="K615" s="1035" t="s">
        <v>2195</v>
      </c>
      <c r="P615"/>
    </row>
    <row r="616" spans="1:16" ht="30.75" thickBot="1" x14ac:dyDescent="0.3">
      <c r="A616" s="1031" t="s">
        <v>2395</v>
      </c>
      <c r="B616" s="1034">
        <f>'[1]PLAN DE DESARROLLO 2024 - 2027'!$K$46</f>
        <v>0.28357478219025023</v>
      </c>
      <c r="C616" s="1031" t="s">
        <v>2427</v>
      </c>
      <c r="D616" s="1034">
        <f>'[1]PLAN DE DESARROLLO 2024 - 2027'!$K$64</f>
        <v>0.22921261370670454</v>
      </c>
      <c r="E616" s="1031" t="s">
        <v>639</v>
      </c>
      <c r="F616" s="1034">
        <f>'[1]PLAN DE DESARROLLO 2024 - 2027'!$K$65</f>
        <v>0.35563784112011365</v>
      </c>
      <c r="G616" s="1031" t="s">
        <v>640</v>
      </c>
      <c r="H616" s="1031" t="s">
        <v>641</v>
      </c>
      <c r="I616" s="1063">
        <f>+'Vida Digna'!Y93</f>
        <v>0.93699582753824762</v>
      </c>
      <c r="J616" s="1031" t="s">
        <v>2428</v>
      </c>
      <c r="K616" s="1035" t="s">
        <v>2195</v>
      </c>
      <c r="P616"/>
    </row>
    <row r="617" spans="1:16" ht="30.75" thickBot="1" x14ac:dyDescent="0.3">
      <c r="A617" s="1031" t="s">
        <v>2395</v>
      </c>
      <c r="B617" s="1034">
        <f>'[1]PLAN DE DESARROLLO 2024 - 2027'!$K$46</f>
        <v>0.28357478219025023</v>
      </c>
      <c r="C617" s="1031" t="s">
        <v>2427</v>
      </c>
      <c r="D617" s="1034">
        <f>'[1]PLAN DE DESARROLLO 2024 - 2027'!$K$64</f>
        <v>0.22921261370670454</v>
      </c>
      <c r="E617" s="1031" t="s">
        <v>639</v>
      </c>
      <c r="F617" s="1034">
        <f>'[1]PLAN DE DESARROLLO 2024 - 2027'!$K$65</f>
        <v>0.35563784112011365</v>
      </c>
      <c r="G617" s="1031" t="s">
        <v>644</v>
      </c>
      <c r="H617" s="1031" t="s">
        <v>645</v>
      </c>
      <c r="I617" s="1063">
        <f>+'Vida Digna'!Y94</f>
        <v>0</v>
      </c>
      <c r="J617" s="1031" t="s">
        <v>2428</v>
      </c>
      <c r="K617" s="1035" t="s">
        <v>2195</v>
      </c>
      <c r="P617"/>
    </row>
    <row r="618" spans="1:16" ht="30.75" thickBot="1" x14ac:dyDescent="0.3">
      <c r="A618" s="1031" t="s">
        <v>2395</v>
      </c>
      <c r="B618" s="1034">
        <f>'[1]PLAN DE DESARROLLO 2024 - 2027'!$K$46</f>
        <v>0.28357478219025023</v>
      </c>
      <c r="C618" s="1031" t="s">
        <v>2427</v>
      </c>
      <c r="D618" s="1034">
        <f>'[1]PLAN DE DESARROLLO 2024 - 2027'!$K$64</f>
        <v>0.22921261370670454</v>
      </c>
      <c r="E618" s="1031" t="s">
        <v>639</v>
      </c>
      <c r="F618" s="1034">
        <f>'[1]PLAN DE DESARROLLO 2024 - 2027'!$K$65</f>
        <v>0.35563784112011365</v>
      </c>
      <c r="G618" s="1031" t="s">
        <v>646</v>
      </c>
      <c r="H618" s="1031" t="s">
        <v>647</v>
      </c>
      <c r="I618" s="1063">
        <f>+'Vida Digna'!Y95</f>
        <v>0.83333333333333337</v>
      </c>
      <c r="J618" s="1031" t="s">
        <v>2428</v>
      </c>
      <c r="K618" s="1035" t="s">
        <v>2195</v>
      </c>
      <c r="P618"/>
    </row>
    <row r="619" spans="1:16" ht="45.75" thickBot="1" x14ac:dyDescent="0.3">
      <c r="A619" s="1031" t="s">
        <v>2395</v>
      </c>
      <c r="B619" s="1034">
        <f>'[1]PLAN DE DESARROLLO 2024 - 2027'!$K$46</f>
        <v>0.28357478219025023</v>
      </c>
      <c r="C619" s="1031" t="s">
        <v>2427</v>
      </c>
      <c r="D619" s="1034">
        <f>'[1]PLAN DE DESARROLLO 2024 - 2027'!$K$64</f>
        <v>0.22921261370670454</v>
      </c>
      <c r="E619" s="1031" t="s">
        <v>639</v>
      </c>
      <c r="F619" s="1034">
        <f>'[1]PLAN DE DESARROLLO 2024 - 2027'!$K$65</f>
        <v>0.35563784112011365</v>
      </c>
      <c r="G619" s="1031" t="s">
        <v>648</v>
      </c>
      <c r="H619" s="1031" t="s">
        <v>649</v>
      </c>
      <c r="I619" s="1063">
        <f>+'Vida Digna'!Y96</f>
        <v>0.28967914438502673</v>
      </c>
      <c r="J619" s="1031" t="s">
        <v>2428</v>
      </c>
      <c r="K619" s="1035" t="s">
        <v>2195</v>
      </c>
      <c r="P619"/>
    </row>
    <row r="620" spans="1:16" ht="30.75" thickBot="1" x14ac:dyDescent="0.3">
      <c r="A620" s="1031" t="s">
        <v>2395</v>
      </c>
      <c r="B620" s="1034">
        <f>'[1]PLAN DE DESARROLLO 2024 - 2027'!$K$46</f>
        <v>0.28357478219025023</v>
      </c>
      <c r="C620" s="1031" t="s">
        <v>2427</v>
      </c>
      <c r="D620" s="1034">
        <f>'[1]PLAN DE DESARROLLO 2024 - 2027'!$K$64</f>
        <v>0.22921261370670454</v>
      </c>
      <c r="E620" s="1031" t="s">
        <v>639</v>
      </c>
      <c r="F620" s="1034">
        <f>'[1]PLAN DE DESARROLLO 2024 - 2027'!$K$65</f>
        <v>0.35563784112011365</v>
      </c>
      <c r="G620" s="1031" t="s">
        <v>650</v>
      </c>
      <c r="H620" s="1031" t="s">
        <v>651</v>
      </c>
      <c r="I620" s="1063">
        <f>+'Vida Digna'!Y97</f>
        <v>0.53066037735849059</v>
      </c>
      <c r="J620" s="1031" t="s">
        <v>2428</v>
      </c>
      <c r="K620" s="1035" t="s">
        <v>2195</v>
      </c>
      <c r="P620"/>
    </row>
    <row r="621" spans="1:16" ht="30.75" thickBot="1" x14ac:dyDescent="0.3">
      <c r="A621" s="1031" t="s">
        <v>2395</v>
      </c>
      <c r="B621" s="1034">
        <f>'[1]PLAN DE DESARROLLO 2024 - 2027'!$K$46</f>
        <v>0.28357478219025023</v>
      </c>
      <c r="C621" s="1031" t="s">
        <v>2427</v>
      </c>
      <c r="D621" s="1034">
        <f>'[1]PLAN DE DESARROLLO 2024 - 2027'!$K$64</f>
        <v>0.22921261370670454</v>
      </c>
      <c r="E621" s="1031" t="s">
        <v>639</v>
      </c>
      <c r="F621" s="1034">
        <f>'[1]PLAN DE DESARROLLO 2024 - 2027'!$K$65</f>
        <v>0.35563784112011365</v>
      </c>
      <c r="G621" s="1031" t="s">
        <v>652</v>
      </c>
      <c r="H621" s="1031" t="s">
        <v>653</v>
      </c>
      <c r="I621" s="1063">
        <f>+'Vida Digna'!Y98</f>
        <v>0</v>
      </c>
      <c r="J621" s="1031" t="s">
        <v>2428</v>
      </c>
      <c r="K621" s="1035" t="s">
        <v>2195</v>
      </c>
      <c r="P621"/>
    </row>
    <row r="622" spans="1:16" ht="30.75" thickBot="1" x14ac:dyDescent="0.3">
      <c r="A622" s="1031" t="s">
        <v>2395</v>
      </c>
      <c r="B622" s="1034">
        <f>'[1]PLAN DE DESARROLLO 2024 - 2027'!$K$46</f>
        <v>0.28357478219025023</v>
      </c>
      <c r="C622" s="1031" t="s">
        <v>2427</v>
      </c>
      <c r="D622" s="1034">
        <f>'[1]PLAN DE DESARROLLO 2024 - 2027'!$K$64</f>
        <v>0.22921261370670454</v>
      </c>
      <c r="E622" s="1031" t="s">
        <v>639</v>
      </c>
      <c r="F622" s="1034">
        <f>'[1]PLAN DE DESARROLLO 2024 - 2027'!$K$65</f>
        <v>0.35563784112011365</v>
      </c>
      <c r="G622" s="1031" t="s">
        <v>654</v>
      </c>
      <c r="H622" s="1031" t="s">
        <v>655</v>
      </c>
      <c r="I622" s="1063">
        <f>+'Vida Digna'!Y99</f>
        <v>0</v>
      </c>
      <c r="J622" s="1031" t="s">
        <v>2428</v>
      </c>
      <c r="K622" s="1035" t="s">
        <v>2195</v>
      </c>
      <c r="P622"/>
    </row>
    <row r="623" spans="1:16" ht="90.75" thickBot="1" x14ac:dyDescent="0.3">
      <c r="A623" s="1031" t="s">
        <v>2395</v>
      </c>
      <c r="B623" s="1034">
        <f>'[1]PLAN DE DESARROLLO 2024 - 2027'!$K$46</f>
        <v>0.28357478219025023</v>
      </c>
      <c r="C623" s="1031" t="s">
        <v>2427</v>
      </c>
      <c r="D623" s="1034">
        <f>'[1]PLAN DE DESARROLLO 2024 - 2027'!$K$64</f>
        <v>0.22921261370670454</v>
      </c>
      <c r="E623" s="1031" t="s">
        <v>639</v>
      </c>
      <c r="F623" s="1034">
        <f>'[1]PLAN DE DESARROLLO 2024 - 2027'!$K$65</f>
        <v>0.35563784112011365</v>
      </c>
      <c r="G623" s="1031" t="s">
        <v>656</v>
      </c>
      <c r="H623" s="1031" t="s">
        <v>2429</v>
      </c>
      <c r="I623" s="1063">
        <f>+'Vida Digna'!Y100</f>
        <v>0.375</v>
      </c>
      <c r="J623" s="1031" t="s">
        <v>658</v>
      </c>
      <c r="K623" s="1035" t="s">
        <v>2195</v>
      </c>
      <c r="P623"/>
    </row>
    <row r="624" spans="1:16" ht="30.75" thickBot="1" x14ac:dyDescent="0.3">
      <c r="A624" s="1031" t="s">
        <v>2395</v>
      </c>
      <c r="B624" s="1034">
        <f>'[1]PLAN DE DESARROLLO 2024 - 2027'!$K$46</f>
        <v>0.28357478219025023</v>
      </c>
      <c r="C624" s="1031" t="s">
        <v>2427</v>
      </c>
      <c r="D624" s="1034">
        <f>'[1]PLAN DE DESARROLLO 2024 - 2027'!$K$64</f>
        <v>0.22921261370670454</v>
      </c>
      <c r="E624" s="1031" t="s">
        <v>660</v>
      </c>
      <c r="F624" s="1034">
        <f>'[1]PLAN DE DESARROLLO 2024 - 2027'!$K$66</f>
        <v>0.14152380952380952</v>
      </c>
      <c r="G624" s="1031" t="s">
        <v>661</v>
      </c>
      <c r="H624" s="1031" t="s">
        <v>662</v>
      </c>
      <c r="I624" s="1063">
        <f>+'Vida Digna'!Y102</f>
        <v>0.37114285714285716</v>
      </c>
      <c r="J624" s="1031" t="s">
        <v>2428</v>
      </c>
      <c r="K624" s="1035" t="s">
        <v>2195</v>
      </c>
      <c r="P624"/>
    </row>
    <row r="625" spans="1:16" ht="30.75" thickBot="1" x14ac:dyDescent="0.3">
      <c r="A625" s="1031" t="s">
        <v>2395</v>
      </c>
      <c r="B625" s="1034">
        <f>'[1]PLAN DE DESARROLLO 2024 - 2027'!$K$46</f>
        <v>0.28357478219025023</v>
      </c>
      <c r="C625" s="1031" t="s">
        <v>2427</v>
      </c>
      <c r="D625" s="1034">
        <f>'[1]PLAN DE DESARROLLO 2024 - 2027'!$K$64</f>
        <v>0.22921261370670454</v>
      </c>
      <c r="E625" s="1031" t="s">
        <v>660</v>
      </c>
      <c r="F625" s="1034">
        <f>'[1]PLAN DE DESARROLLO 2024 - 2027'!$K$66</f>
        <v>0.14152380952380952</v>
      </c>
      <c r="G625" s="1031" t="s">
        <v>663</v>
      </c>
      <c r="H625" s="1031" t="s">
        <v>664</v>
      </c>
      <c r="I625" s="1063">
        <f>+'Vida Digna'!Y103</f>
        <v>7.4999999999999997E-2</v>
      </c>
      <c r="J625" s="1031" t="s">
        <v>2428</v>
      </c>
      <c r="K625" s="1035" t="s">
        <v>2195</v>
      </c>
      <c r="P625"/>
    </row>
    <row r="626" spans="1:16" ht="30.75" thickBot="1" x14ac:dyDescent="0.3">
      <c r="A626" s="1031" t="s">
        <v>2395</v>
      </c>
      <c r="B626" s="1034">
        <f>'[1]PLAN DE DESARROLLO 2024 - 2027'!$K$46</f>
        <v>0.28357478219025023</v>
      </c>
      <c r="C626" s="1031" t="s">
        <v>2427</v>
      </c>
      <c r="D626" s="1034">
        <f>'[1]PLAN DE DESARROLLO 2024 - 2027'!$K$64</f>
        <v>0.22921261370670454</v>
      </c>
      <c r="E626" s="1031" t="s">
        <v>660</v>
      </c>
      <c r="F626" s="1034">
        <f>'[1]PLAN DE DESARROLLO 2024 - 2027'!$K$66</f>
        <v>0.14152380952380952</v>
      </c>
      <c r="G626" s="1031" t="s">
        <v>665</v>
      </c>
      <c r="H626" s="1031" t="s">
        <v>666</v>
      </c>
      <c r="I626" s="1063">
        <f>+'Vida Digna'!Y104</f>
        <v>0</v>
      </c>
      <c r="J626" s="1031" t="s">
        <v>658</v>
      </c>
      <c r="K626" s="1035" t="s">
        <v>2195</v>
      </c>
      <c r="P626"/>
    </row>
    <row r="627" spans="1:16" ht="45.75" thickBot="1" x14ac:dyDescent="0.3">
      <c r="A627" s="1031" t="s">
        <v>2395</v>
      </c>
      <c r="B627" s="1034">
        <f>'[1]PLAN DE DESARROLLO 2024 - 2027'!$K$46</f>
        <v>0.28357478219025023</v>
      </c>
      <c r="C627" s="1031" t="s">
        <v>2427</v>
      </c>
      <c r="D627" s="1034">
        <f>'[1]PLAN DE DESARROLLO 2024 - 2027'!$K$64</f>
        <v>0.22921261370670454</v>
      </c>
      <c r="E627" s="1031" t="s">
        <v>660</v>
      </c>
      <c r="F627" s="1034">
        <f>'[1]PLAN DE DESARROLLO 2024 - 2027'!$K$66</f>
        <v>0.14152380952380952</v>
      </c>
      <c r="G627" s="1031" t="s">
        <v>667</v>
      </c>
      <c r="H627" s="1031" t="s">
        <v>668</v>
      </c>
      <c r="I627" s="1064">
        <f>+'Vida Digna'!Y105</f>
        <v>0</v>
      </c>
      <c r="J627" s="1031" t="s">
        <v>658</v>
      </c>
      <c r="K627" s="1035" t="s">
        <v>2195</v>
      </c>
      <c r="P627"/>
    </row>
    <row r="628" spans="1:16" ht="30.75" thickBot="1" x14ac:dyDescent="0.3">
      <c r="A628" s="1031" t="s">
        <v>2395</v>
      </c>
      <c r="B628" s="1034">
        <f>'[1]PLAN DE DESARROLLO 2024 - 2027'!$K$46</f>
        <v>0.28357478219025023</v>
      </c>
      <c r="C628" s="1031" t="s">
        <v>2427</v>
      </c>
      <c r="D628" s="1034">
        <f>'[1]PLAN DE DESARROLLO 2024 - 2027'!$K$64</f>
        <v>0.22921261370670454</v>
      </c>
      <c r="E628" s="1031" t="s">
        <v>669</v>
      </c>
      <c r="F628" s="1034">
        <f>'[1]PLAN DE DESARROLLO 2024 - 2027'!$K$67</f>
        <v>0.19047619047619047</v>
      </c>
      <c r="G628" s="1031" t="s">
        <v>671</v>
      </c>
      <c r="H628" s="1031" t="s">
        <v>672</v>
      </c>
      <c r="I628" s="1063">
        <f>+'Vida Digna'!Y107</f>
        <v>1</v>
      </c>
      <c r="J628" s="1031" t="s">
        <v>658</v>
      </c>
      <c r="K628" s="1035" t="s">
        <v>2195</v>
      </c>
      <c r="P628"/>
    </row>
    <row r="629" spans="1:16" ht="45.75" thickBot="1" x14ac:dyDescent="0.3">
      <c r="A629" s="1031" t="s">
        <v>2395</v>
      </c>
      <c r="B629" s="1034">
        <f>'[1]PLAN DE DESARROLLO 2024 - 2027'!$K$46</f>
        <v>0.28357478219025023</v>
      </c>
      <c r="C629" s="1031" t="s">
        <v>2427</v>
      </c>
      <c r="D629" s="1034">
        <f>'[1]PLAN DE DESARROLLO 2024 - 2027'!$K$64</f>
        <v>0.22921261370670454</v>
      </c>
      <c r="E629" s="1031" t="s">
        <v>669</v>
      </c>
      <c r="F629" s="1034">
        <f>'[1]PLAN DE DESARROLLO 2024 - 2027'!$K$67</f>
        <v>0.19047619047619047</v>
      </c>
      <c r="G629" s="1031" t="s">
        <v>674</v>
      </c>
      <c r="H629" s="1031" t="s">
        <v>675</v>
      </c>
      <c r="I629" s="1063">
        <f>+'Vida Digna'!Y108</f>
        <v>0.5</v>
      </c>
      <c r="J629" s="1031" t="s">
        <v>658</v>
      </c>
      <c r="K629" s="1035" t="s">
        <v>2195</v>
      </c>
      <c r="P629"/>
    </row>
    <row r="630" spans="1:16" ht="30.75" thickBot="1" x14ac:dyDescent="0.3">
      <c r="A630" s="1031" t="s">
        <v>2395</v>
      </c>
      <c r="B630" s="1034">
        <f>'[1]PLAN DE DESARROLLO 2024 - 2027'!$K$46</f>
        <v>0.28357478219025023</v>
      </c>
      <c r="C630" s="1031" t="s">
        <v>2427</v>
      </c>
      <c r="D630" s="1034">
        <f>'[1]PLAN DE DESARROLLO 2024 - 2027'!$K$64</f>
        <v>0.22921261370670454</v>
      </c>
      <c r="E630" s="1031" t="s">
        <v>669</v>
      </c>
      <c r="F630" s="1034">
        <f>'[1]PLAN DE DESARROLLO 2024 - 2027'!$K$67</f>
        <v>0.19047619047619047</v>
      </c>
      <c r="G630" s="1031" t="s">
        <v>676</v>
      </c>
      <c r="H630" s="1031" t="s">
        <v>677</v>
      </c>
      <c r="I630" s="1064">
        <f>+'Vida Digna'!Y109</f>
        <v>0</v>
      </c>
      <c r="J630" s="1031" t="s">
        <v>658</v>
      </c>
      <c r="K630" s="1035" t="s">
        <v>2195</v>
      </c>
      <c r="P630"/>
    </row>
    <row r="631" spans="1:16" ht="30.75" thickBot="1" x14ac:dyDescent="0.3">
      <c r="A631" s="1031" t="s">
        <v>2395</v>
      </c>
      <c r="B631" s="1034">
        <f>'[1]PLAN DE DESARROLLO 2024 - 2027'!$K$46</f>
        <v>0.28357478219025023</v>
      </c>
      <c r="C631" s="1031" t="s">
        <v>2427</v>
      </c>
      <c r="D631" s="1034">
        <f>'[1]PLAN DE DESARROLLO 2024 - 2027'!$K$64</f>
        <v>0.22921261370670454</v>
      </c>
      <c r="E631" s="1031" t="s">
        <v>669</v>
      </c>
      <c r="F631" s="1034">
        <f>'[1]PLAN DE DESARROLLO 2024 - 2027'!$K$67</f>
        <v>0.19047619047619047</v>
      </c>
      <c r="G631" s="1031" t="s">
        <v>678</v>
      </c>
      <c r="H631" s="1031" t="s">
        <v>679</v>
      </c>
      <c r="I631" s="1064">
        <f>+'Vida Digna'!Y110</f>
        <v>0</v>
      </c>
      <c r="J631" s="1031" t="s">
        <v>658</v>
      </c>
      <c r="K631" s="1035" t="s">
        <v>2195</v>
      </c>
      <c r="P631"/>
    </row>
    <row r="632" spans="1:16" ht="30.75" thickBot="1" x14ac:dyDescent="0.3">
      <c r="A632" s="1031" t="s">
        <v>2395</v>
      </c>
      <c r="B632" s="1034">
        <f>'[1]PLAN DE DESARROLLO 2024 - 2027'!$K$46</f>
        <v>0.28357478219025023</v>
      </c>
      <c r="C632" s="1031" t="s">
        <v>2427</v>
      </c>
      <c r="D632" s="1034">
        <f>'[1]PLAN DE DESARROLLO 2024 - 2027'!$K$64</f>
        <v>0.22921261370670454</v>
      </c>
      <c r="E632" s="1031" t="s">
        <v>669</v>
      </c>
      <c r="F632" s="1034">
        <f>'[1]PLAN DE DESARROLLO 2024 - 2027'!$K$67</f>
        <v>0.19047619047619047</v>
      </c>
      <c r="G632" s="1031" t="s">
        <v>680</v>
      </c>
      <c r="H632" s="1031" t="s">
        <v>681</v>
      </c>
      <c r="I632" s="1064">
        <f>+'Vida Digna'!Y111</f>
        <v>0</v>
      </c>
      <c r="J632" s="1031" t="s">
        <v>658</v>
      </c>
      <c r="K632" s="1035" t="s">
        <v>2195</v>
      </c>
      <c r="P632"/>
    </row>
    <row r="633" spans="1:16" ht="30.75" thickBot="1" x14ac:dyDescent="0.3">
      <c r="A633" s="1031" t="s">
        <v>2395</v>
      </c>
      <c r="B633" s="1034">
        <f>'[1]PLAN DE DESARROLLO 2024 - 2027'!$K$46</f>
        <v>0.28357478219025023</v>
      </c>
      <c r="C633" s="1031" t="s">
        <v>2427</v>
      </c>
      <c r="D633" s="1034">
        <f>'[1]PLAN DE DESARROLLO 2024 - 2027'!$K$64</f>
        <v>0.22921261370670454</v>
      </c>
      <c r="E633" s="1031" t="s">
        <v>669</v>
      </c>
      <c r="F633" s="1034">
        <f>'[1]PLAN DE DESARROLLO 2024 - 2027'!$K$67</f>
        <v>0.19047619047619047</v>
      </c>
      <c r="G633" s="1031" t="s">
        <v>682</v>
      </c>
      <c r="H633" s="1031" t="s">
        <v>683</v>
      </c>
      <c r="I633" s="1064">
        <f>+'Vida Digna'!Y112</f>
        <v>0</v>
      </c>
      <c r="J633" s="1031" t="s">
        <v>658</v>
      </c>
      <c r="K633" s="1035" t="s">
        <v>2195</v>
      </c>
      <c r="P633"/>
    </row>
    <row r="634" spans="1:16" ht="45.75" thickBot="1" x14ac:dyDescent="0.3">
      <c r="A634" s="1031" t="s">
        <v>2395</v>
      </c>
      <c r="B634" s="1034">
        <f>'[1]PLAN DE DESARROLLO 2024 - 2027'!$K$46</f>
        <v>0.28357478219025023</v>
      </c>
      <c r="C634" s="1031" t="s">
        <v>2427</v>
      </c>
      <c r="D634" s="1034">
        <f>'[1]PLAN DE DESARROLLO 2024 - 2027'!$K$64</f>
        <v>0.22921261370670454</v>
      </c>
      <c r="E634" s="1031" t="s">
        <v>669</v>
      </c>
      <c r="F634" s="1034">
        <f>'[1]PLAN DE DESARROLLO 2024 - 2027'!$K$67</f>
        <v>0.19047619047619047</v>
      </c>
      <c r="G634" s="1031" t="s">
        <v>684</v>
      </c>
      <c r="H634" s="1031" t="s">
        <v>685</v>
      </c>
      <c r="I634" s="1064">
        <f>+'Vida Digna'!Y113</f>
        <v>0</v>
      </c>
      <c r="J634" s="1031" t="s">
        <v>658</v>
      </c>
      <c r="K634" s="1035" t="s">
        <v>2195</v>
      </c>
      <c r="P634"/>
    </row>
    <row r="635" spans="1:16" ht="30.75" thickBot="1" x14ac:dyDescent="0.3">
      <c r="A635" s="1031" t="s">
        <v>2395</v>
      </c>
      <c r="B635" s="1034">
        <f>'[1]PLAN DE DESARROLLO 2024 - 2027'!$K$46</f>
        <v>0.28357478219025023</v>
      </c>
      <c r="C635" s="1031" t="s">
        <v>2427</v>
      </c>
      <c r="D635" s="1034">
        <f>'[1]PLAN DE DESARROLLO 2024 - 2027'!$K$64</f>
        <v>0.22921261370670454</v>
      </c>
      <c r="E635" s="1031" t="s">
        <v>669</v>
      </c>
      <c r="F635" s="1034">
        <f>'[1]PLAN DE DESARROLLO 2024 - 2027'!$K$67</f>
        <v>0.19047619047619047</v>
      </c>
      <c r="G635" s="1031" t="s">
        <v>686</v>
      </c>
      <c r="H635" s="1031" t="s">
        <v>687</v>
      </c>
      <c r="I635" s="1063">
        <f>+'Vida Digna'!Y114</f>
        <v>8.3333333333333329E-2</v>
      </c>
      <c r="J635" s="1031" t="s">
        <v>658</v>
      </c>
      <c r="K635" s="1035" t="s">
        <v>2195</v>
      </c>
      <c r="P635"/>
    </row>
    <row r="636" spans="1:16" ht="30.75" thickBot="1" x14ac:dyDescent="0.3">
      <c r="A636" s="1031" t="s">
        <v>2395</v>
      </c>
      <c r="B636" s="1034">
        <f>'[1]PLAN DE DESARROLLO 2024 - 2027'!$K$46</f>
        <v>0.28357478219025023</v>
      </c>
      <c r="C636" s="1031" t="s">
        <v>2427</v>
      </c>
      <c r="D636" s="1034">
        <f>'[1]PLAN DE DESARROLLO 2024 - 2027'!$K$64</f>
        <v>0.22921261370670454</v>
      </c>
      <c r="E636" s="1031" t="s">
        <v>669</v>
      </c>
      <c r="F636" s="1034">
        <f>'[1]PLAN DE DESARROLLO 2024 - 2027'!$K$67</f>
        <v>0.19047619047619047</v>
      </c>
      <c r="G636" s="1031" t="s">
        <v>689</v>
      </c>
      <c r="H636" s="1031" t="s">
        <v>690</v>
      </c>
      <c r="I636" s="1063">
        <f>+'Vida Digna'!Y115</f>
        <v>0</v>
      </c>
      <c r="J636" s="1031" t="s">
        <v>658</v>
      </c>
      <c r="K636" s="1035" t="s">
        <v>2195</v>
      </c>
      <c r="P636"/>
    </row>
    <row r="637" spans="1:16" ht="30.75" thickBot="1" x14ac:dyDescent="0.3">
      <c r="A637" s="1031" t="s">
        <v>2395</v>
      </c>
      <c r="B637" s="1034">
        <f>'[1]PLAN DE DESARROLLO 2024 - 2027'!$K$46</f>
        <v>0.28357478219025023</v>
      </c>
      <c r="C637" s="1031" t="s">
        <v>2427</v>
      </c>
      <c r="D637" s="1034">
        <f>'[1]PLAN DE DESARROLLO 2024 - 2027'!$K$64</f>
        <v>0.22921261370670454</v>
      </c>
      <c r="E637" s="1031" t="s">
        <v>669</v>
      </c>
      <c r="F637" s="1034">
        <f>'[1]PLAN DE DESARROLLO 2024 - 2027'!$K$67</f>
        <v>0.19047619047619047</v>
      </c>
      <c r="G637" s="1031" t="s">
        <v>691</v>
      </c>
      <c r="H637" s="1031" t="s">
        <v>692</v>
      </c>
      <c r="I637" s="1063">
        <f>+'Vida Digna'!Y116</f>
        <v>0</v>
      </c>
      <c r="J637" s="1031" t="s">
        <v>658</v>
      </c>
      <c r="K637" s="1035" t="s">
        <v>2195</v>
      </c>
      <c r="P637"/>
    </row>
    <row r="638" spans="1:16" ht="30.75" thickBot="1" x14ac:dyDescent="0.3">
      <c r="A638" s="1031" t="s">
        <v>2395</v>
      </c>
      <c r="B638" s="1034">
        <f>'[1]PLAN DE DESARROLLO 2024 - 2027'!$K$46</f>
        <v>0.28357478219025023</v>
      </c>
      <c r="C638" s="1031" t="s">
        <v>2427</v>
      </c>
      <c r="D638" s="1034">
        <f>'[1]PLAN DE DESARROLLO 2024 - 2027'!$K$64</f>
        <v>0.22921261370670454</v>
      </c>
      <c r="E638" s="1031" t="s">
        <v>669</v>
      </c>
      <c r="F638" s="1034">
        <f>'[1]PLAN DE DESARROLLO 2024 - 2027'!$K$67</f>
        <v>0.19047619047619047</v>
      </c>
      <c r="G638" s="1031" t="s">
        <v>694</v>
      </c>
      <c r="H638" s="1031" t="s">
        <v>695</v>
      </c>
      <c r="I638" s="1063">
        <f>+'Vida Digna'!Y117</f>
        <v>0</v>
      </c>
      <c r="J638" s="1031" t="s">
        <v>658</v>
      </c>
      <c r="K638" s="1035" t="s">
        <v>2195</v>
      </c>
      <c r="P638"/>
    </row>
    <row r="639" spans="1:16" ht="30.75" thickBot="1" x14ac:dyDescent="0.3">
      <c r="A639" s="1031" t="s">
        <v>2395</v>
      </c>
      <c r="B639" s="1034">
        <f>'[1]PLAN DE DESARROLLO 2024 - 2027'!$K$46</f>
        <v>0.28357478219025023</v>
      </c>
      <c r="C639" s="1031" t="s">
        <v>2427</v>
      </c>
      <c r="D639" s="1034">
        <f>'[1]PLAN DE DESARROLLO 2024 - 2027'!$K$64</f>
        <v>0.22921261370670454</v>
      </c>
      <c r="E639" s="1031" t="s">
        <v>669</v>
      </c>
      <c r="F639" s="1034">
        <f>'[1]PLAN DE DESARROLLO 2024 - 2027'!$K$67</f>
        <v>0.19047619047619047</v>
      </c>
      <c r="G639" s="1031" t="s">
        <v>697</v>
      </c>
      <c r="H639" s="1031" t="s">
        <v>698</v>
      </c>
      <c r="I639" s="1063">
        <f>+'Vida Digna'!Y118</f>
        <v>0</v>
      </c>
      <c r="J639" s="1031" t="s">
        <v>658</v>
      </c>
      <c r="K639" s="1035" t="s">
        <v>2195</v>
      </c>
      <c r="P639"/>
    </row>
    <row r="640" spans="1:16" ht="30.75" thickBot="1" x14ac:dyDescent="0.3">
      <c r="A640" s="1031" t="s">
        <v>2395</v>
      </c>
      <c r="B640" s="1034">
        <f>'[1]PLAN DE DESARROLLO 2024 - 2027'!$K$46</f>
        <v>0.28357478219025023</v>
      </c>
      <c r="C640" s="1031" t="s">
        <v>2430</v>
      </c>
      <c r="D640" s="1034">
        <f>'[1]PLAN DE DESARROLLO 2024 - 2027'!$K$68</f>
        <v>0.1746377450980392</v>
      </c>
      <c r="E640" s="1031" t="s">
        <v>2431</v>
      </c>
      <c r="F640" s="1034">
        <f>'[1]PLAN DE DESARROLLO 2024 - 2027'!$K$69</f>
        <v>4.1099999999999998E-2</v>
      </c>
      <c r="G640" s="1031" t="s">
        <v>702</v>
      </c>
      <c r="H640" s="1031" t="s">
        <v>703</v>
      </c>
      <c r="I640" s="1063">
        <f>+'Vida Digna'!Y121</f>
        <v>5.5300000000000002E-2</v>
      </c>
      <c r="J640" s="1031" t="s">
        <v>704</v>
      </c>
      <c r="K640" s="1035" t="s">
        <v>2195</v>
      </c>
      <c r="P640"/>
    </row>
    <row r="641" spans="1:16" ht="30.75" thickBot="1" x14ac:dyDescent="0.3">
      <c r="A641" s="1031" t="s">
        <v>2395</v>
      </c>
      <c r="B641" s="1034">
        <f>'[1]PLAN DE DESARROLLO 2024 - 2027'!$K$46</f>
        <v>0.28357478219025023</v>
      </c>
      <c r="C641" s="1031" t="s">
        <v>2430</v>
      </c>
      <c r="D641" s="1034">
        <f>'[1]PLAN DE DESARROLLO 2024 - 2027'!$K$68</f>
        <v>0.1746377450980392</v>
      </c>
      <c r="E641" s="1031" t="s">
        <v>705</v>
      </c>
      <c r="F641" s="1034">
        <f>'[1]PLAN DE DESARROLLO 2024 - 2027'!$K$70</f>
        <v>0.24345098039215687</v>
      </c>
      <c r="G641" s="1031" t="s">
        <v>706</v>
      </c>
      <c r="H641" s="1031" t="s">
        <v>707</v>
      </c>
      <c r="I641" s="1063">
        <f>+'Vida Digna'!Y123</f>
        <v>0.27380392156862743</v>
      </c>
      <c r="J641" s="1031" t="s">
        <v>704</v>
      </c>
      <c r="K641" s="1035" t="s">
        <v>2195</v>
      </c>
      <c r="P641"/>
    </row>
    <row r="642" spans="1:16" ht="15.75" thickBot="1" x14ac:dyDescent="0.3">
      <c r="A642" s="1031" t="s">
        <v>2395</v>
      </c>
      <c r="B642" s="1034">
        <f>'[1]PLAN DE DESARROLLO 2024 - 2027'!$K$46</f>
        <v>0.28357478219025023</v>
      </c>
      <c r="C642" s="1031" t="s">
        <v>2430</v>
      </c>
      <c r="D642" s="1034">
        <f>'[1]PLAN DE DESARROLLO 2024 - 2027'!$K$68</f>
        <v>0.1746377450980392</v>
      </c>
      <c r="E642" s="1031" t="s">
        <v>708</v>
      </c>
      <c r="F642" s="1034">
        <f>'[1]PLAN DE DESARROLLO 2024 - 2027'!$K$71</f>
        <v>0.24099999999999999</v>
      </c>
      <c r="G642" s="1031" t="s">
        <v>709</v>
      </c>
      <c r="H642" s="1031" t="s">
        <v>710</v>
      </c>
      <c r="I642" s="1063">
        <f>+'Vida Digna'!Y125</f>
        <v>0.248</v>
      </c>
      <c r="J642" s="1031" t="s">
        <v>704</v>
      </c>
      <c r="K642" s="1035" t="s">
        <v>2195</v>
      </c>
      <c r="P642"/>
    </row>
    <row r="643" spans="1:16" ht="45.75" thickBot="1" x14ac:dyDescent="0.3">
      <c r="A643" s="1031" t="s">
        <v>2395</v>
      </c>
      <c r="B643" s="1034">
        <f>'[1]PLAN DE DESARROLLO 2024 - 2027'!$K$46</f>
        <v>0.28357478219025023</v>
      </c>
      <c r="C643" s="1031" t="s">
        <v>2430</v>
      </c>
      <c r="D643" s="1034">
        <f>'[1]PLAN DE DESARROLLO 2024 - 2027'!$K$68</f>
        <v>0.1746377450980392</v>
      </c>
      <c r="E643" s="1031" t="s">
        <v>2432</v>
      </c>
      <c r="F643" s="1034">
        <f>'[1]PLAN DE DESARROLLO 2024 - 2027'!$K$72</f>
        <v>0.17299999999999999</v>
      </c>
      <c r="G643" s="1031" t="s">
        <v>712</v>
      </c>
      <c r="H643" s="1031" t="s">
        <v>713</v>
      </c>
      <c r="I643" s="1063">
        <f>+'Vida Digna'!Y127</f>
        <v>0.14399999999999999</v>
      </c>
      <c r="J643" s="1031" t="s">
        <v>704</v>
      </c>
      <c r="K643" s="1035" t="s">
        <v>2195</v>
      </c>
      <c r="P643"/>
    </row>
    <row r="644" spans="1:16" ht="30.75" thickBot="1" x14ac:dyDescent="0.3">
      <c r="A644" s="1031" t="s">
        <v>2395</v>
      </c>
      <c r="B644" s="1034">
        <f>'[1]PLAN DE DESARROLLO 2024 - 2027'!$K$46</f>
        <v>0.28357478219025023</v>
      </c>
      <c r="C644" s="1031" t="s">
        <v>2430</v>
      </c>
      <c r="D644" s="1034">
        <f>'[1]PLAN DE DESARROLLO 2024 - 2027'!$K$68</f>
        <v>0.1746377450980392</v>
      </c>
      <c r="E644" s="1031" t="s">
        <v>2432</v>
      </c>
      <c r="F644" s="1034">
        <f>'[1]PLAN DE DESARROLLO 2024 - 2027'!$K$72</f>
        <v>0.17299999999999999</v>
      </c>
      <c r="G644" s="1031" t="s">
        <v>714</v>
      </c>
      <c r="H644" s="1031" t="s">
        <v>715</v>
      </c>
      <c r="I644" s="1064">
        <f>+'Vida Digna'!Y128</f>
        <v>0.20666666666666667</v>
      </c>
      <c r="J644" s="1031" t="s">
        <v>716</v>
      </c>
      <c r="K644" s="1035" t="s">
        <v>2195</v>
      </c>
      <c r="P644"/>
    </row>
    <row r="645" spans="1:16" ht="30.75" thickBot="1" x14ac:dyDescent="0.3">
      <c r="A645" s="1031" t="s">
        <v>2395</v>
      </c>
      <c r="B645" s="1034">
        <f>'[1]PLAN DE DESARROLLO 2024 - 2027'!$K$46</f>
        <v>0.28357478219025023</v>
      </c>
      <c r="C645" s="1031" t="s">
        <v>2430</v>
      </c>
      <c r="D645" s="1034">
        <f>'[1]PLAN DE DESARROLLO 2024 - 2027'!$K$68</f>
        <v>0.1746377450980392</v>
      </c>
      <c r="E645" s="1031" t="s">
        <v>2432</v>
      </c>
      <c r="F645" s="1034">
        <f>'[1]PLAN DE DESARROLLO 2024 - 2027'!$K$72</f>
        <v>0.17299999999999999</v>
      </c>
      <c r="G645" s="1031" t="s">
        <v>717</v>
      </c>
      <c r="H645" s="1031" t="s">
        <v>718</v>
      </c>
      <c r="I645" s="1063">
        <f>+'Vida Digna'!Y129</f>
        <v>0.30499999999999999</v>
      </c>
      <c r="J645" s="1031" t="s">
        <v>704</v>
      </c>
      <c r="K645" s="1035" t="s">
        <v>2195</v>
      </c>
      <c r="P645"/>
    </row>
    <row r="646" spans="1:16" ht="30.75" thickBot="1" x14ac:dyDescent="0.3">
      <c r="A646" s="1031" t="s">
        <v>2395</v>
      </c>
      <c r="B646" s="1034">
        <f>'[1]PLAN DE DESARROLLO 2024 - 2027'!$K$46</f>
        <v>0.28357478219025023</v>
      </c>
      <c r="C646" s="1031" t="s">
        <v>2399</v>
      </c>
      <c r="D646" s="1034">
        <f>'[1]PLAN DE DESARROLLO 2024 - 2027'!$K$73</f>
        <v>0.30468955227047623</v>
      </c>
      <c r="E646" s="1031" t="s">
        <v>2433</v>
      </c>
      <c r="F646" s="1034">
        <f>'[1]PLAN DE DESARROLLO 2024 - 2027'!$K$74</f>
        <v>0.20194776135238096</v>
      </c>
      <c r="G646" s="1031" t="s">
        <v>722</v>
      </c>
      <c r="H646" s="1031" t="s">
        <v>723</v>
      </c>
      <c r="I646" s="1063">
        <f>+'Vida Digna'!Y132</f>
        <v>0.22797238440954196</v>
      </c>
      <c r="J646" s="1031" t="s">
        <v>724</v>
      </c>
      <c r="K646" s="1035" t="s">
        <v>2195</v>
      </c>
      <c r="P646"/>
    </row>
    <row r="647" spans="1:16" ht="30.75" thickBot="1" x14ac:dyDescent="0.3">
      <c r="A647" s="1031" t="s">
        <v>2395</v>
      </c>
      <c r="B647" s="1034">
        <f>'[1]PLAN DE DESARROLLO 2024 - 2027'!$K$46</f>
        <v>0.28357478219025023</v>
      </c>
      <c r="C647" s="1031" t="s">
        <v>2399</v>
      </c>
      <c r="D647" s="1034">
        <f>'[1]PLAN DE DESARROLLO 2024 - 2027'!$K$73</f>
        <v>0.30468955227047623</v>
      </c>
      <c r="E647" s="1031" t="s">
        <v>2433</v>
      </c>
      <c r="F647" s="1034">
        <f>'[1]PLAN DE DESARROLLO 2024 - 2027'!$K$74</f>
        <v>0.20194776135238096</v>
      </c>
      <c r="G647" s="1031" t="s">
        <v>725</v>
      </c>
      <c r="H647" s="1031" t="s">
        <v>726</v>
      </c>
      <c r="I647" s="1063">
        <f>+'Vida Digna'!Y133</f>
        <v>0.27777777777777779</v>
      </c>
      <c r="J647" s="1031" t="s">
        <v>724</v>
      </c>
      <c r="K647" s="1035" t="s">
        <v>2195</v>
      </c>
      <c r="P647"/>
    </row>
    <row r="648" spans="1:16" ht="30.75" thickBot="1" x14ac:dyDescent="0.3">
      <c r="A648" s="1031" t="s">
        <v>2395</v>
      </c>
      <c r="B648" s="1034">
        <f>'[1]PLAN DE DESARROLLO 2024 - 2027'!$K$46</f>
        <v>0.28357478219025023</v>
      </c>
      <c r="C648" s="1031" t="s">
        <v>2399</v>
      </c>
      <c r="D648" s="1034">
        <f>'[1]PLAN DE DESARROLLO 2024 - 2027'!$K$73</f>
        <v>0.30468955227047623</v>
      </c>
      <c r="E648" s="1031" t="s">
        <v>2433</v>
      </c>
      <c r="F648" s="1034">
        <f>'[1]PLAN DE DESARROLLO 2024 - 2027'!$K$74</f>
        <v>0.20194776135238096</v>
      </c>
      <c r="G648" s="1031" t="s">
        <v>729</v>
      </c>
      <c r="H648" s="1031" t="s">
        <v>730</v>
      </c>
      <c r="I648" s="1063">
        <f>+'Vida Digna'!Y134</f>
        <v>0.13541666666666666</v>
      </c>
      <c r="J648" s="1031" t="s">
        <v>724</v>
      </c>
      <c r="K648" s="1035" t="s">
        <v>2195</v>
      </c>
      <c r="P648"/>
    </row>
    <row r="649" spans="1:16" ht="30.75" thickBot="1" x14ac:dyDescent="0.3">
      <c r="A649" s="1031" t="s">
        <v>2395</v>
      </c>
      <c r="B649" s="1034">
        <f>'[1]PLAN DE DESARROLLO 2024 - 2027'!$K$46</f>
        <v>0.28357478219025023</v>
      </c>
      <c r="C649" s="1031" t="s">
        <v>2399</v>
      </c>
      <c r="D649" s="1034">
        <f>'[1]PLAN DE DESARROLLO 2024 - 2027'!$K$73</f>
        <v>0.30468955227047623</v>
      </c>
      <c r="E649" s="1031" t="s">
        <v>2433</v>
      </c>
      <c r="F649" s="1034">
        <f>'[1]PLAN DE DESARROLLO 2024 - 2027'!$K$74</f>
        <v>0.20194776135238096</v>
      </c>
      <c r="G649" s="1031" t="s">
        <v>732</v>
      </c>
      <c r="H649" s="1031" t="s">
        <v>733</v>
      </c>
      <c r="I649" s="1063">
        <f>+'Vida Digna'!Y135</f>
        <v>0.82499999999999996</v>
      </c>
      <c r="J649" s="1031" t="s">
        <v>724</v>
      </c>
      <c r="K649" s="1035" t="s">
        <v>2195</v>
      </c>
      <c r="P649"/>
    </row>
    <row r="650" spans="1:16" ht="30.75" thickBot="1" x14ac:dyDescent="0.3">
      <c r="A650" s="1031" t="s">
        <v>2395</v>
      </c>
      <c r="B650" s="1034">
        <f>'[1]PLAN DE DESARROLLO 2024 - 2027'!$K$46</f>
        <v>0.28357478219025023</v>
      </c>
      <c r="C650" s="1031" t="s">
        <v>2399</v>
      </c>
      <c r="D650" s="1034">
        <f>'[1]PLAN DE DESARROLLO 2024 - 2027'!$K$73</f>
        <v>0.30468955227047623</v>
      </c>
      <c r="E650" s="1031" t="s">
        <v>2433</v>
      </c>
      <c r="F650" s="1034">
        <f>'[1]PLAN DE DESARROLLO 2024 - 2027'!$K$74</f>
        <v>0.20194776135238096</v>
      </c>
      <c r="G650" s="1031" t="s">
        <v>735</v>
      </c>
      <c r="H650" s="1031" t="s">
        <v>736</v>
      </c>
      <c r="I650" s="1063">
        <f>+'Vida Digna'!Y136</f>
        <v>0.82499999999999996</v>
      </c>
      <c r="J650" s="1031" t="s">
        <v>724</v>
      </c>
      <c r="K650" s="1035" t="s">
        <v>2195</v>
      </c>
      <c r="P650"/>
    </row>
    <row r="651" spans="1:16" ht="30.75" thickBot="1" x14ac:dyDescent="0.3">
      <c r="A651" s="1031" t="s">
        <v>2395</v>
      </c>
      <c r="B651" s="1034">
        <f>'[1]PLAN DE DESARROLLO 2024 - 2027'!$K$46</f>
        <v>0.28357478219025023</v>
      </c>
      <c r="C651" s="1031" t="s">
        <v>2399</v>
      </c>
      <c r="D651" s="1034">
        <f>'[1]PLAN DE DESARROLLO 2024 - 2027'!$K$73</f>
        <v>0.30468955227047623</v>
      </c>
      <c r="E651" s="1031" t="s">
        <v>2433</v>
      </c>
      <c r="F651" s="1034">
        <f>'[1]PLAN DE DESARROLLO 2024 - 2027'!$K$74</f>
        <v>0.20194776135238096</v>
      </c>
      <c r="G651" s="1031" t="s">
        <v>737</v>
      </c>
      <c r="H651" s="1031" t="s">
        <v>738</v>
      </c>
      <c r="I651" s="1063">
        <f>+'Vida Digna'!Y137</f>
        <v>0.25735294117647056</v>
      </c>
      <c r="J651" s="1031" t="s">
        <v>724</v>
      </c>
      <c r="K651" s="1035" t="s">
        <v>2195</v>
      </c>
      <c r="P651"/>
    </row>
    <row r="652" spans="1:16" ht="30.75" thickBot="1" x14ac:dyDescent="0.3">
      <c r="A652" s="1031" t="s">
        <v>2395</v>
      </c>
      <c r="B652" s="1034">
        <f>'[1]PLAN DE DESARROLLO 2024 - 2027'!$K$46</f>
        <v>0.28357478219025023</v>
      </c>
      <c r="C652" s="1031" t="s">
        <v>2399</v>
      </c>
      <c r="D652" s="1034">
        <f>'[1]PLAN DE DESARROLLO 2024 - 2027'!$K$73</f>
        <v>0.30468955227047623</v>
      </c>
      <c r="E652" s="1031" t="s">
        <v>2433</v>
      </c>
      <c r="F652" s="1034">
        <f>'[1]PLAN DE DESARROLLO 2024 - 2027'!$K$74</f>
        <v>0.20194776135238096</v>
      </c>
      <c r="G652" s="1031" t="s">
        <v>739</v>
      </c>
      <c r="H652" s="1031" t="s">
        <v>740</v>
      </c>
      <c r="I652" s="1063">
        <f>+'Vida Digna'!Y138</f>
        <v>0.3125</v>
      </c>
      <c r="J652" s="1031" t="s">
        <v>724</v>
      </c>
      <c r="K652" s="1035" t="s">
        <v>2195</v>
      </c>
      <c r="P652"/>
    </row>
    <row r="653" spans="1:16" ht="30.75" thickBot="1" x14ac:dyDescent="0.3">
      <c r="A653" s="1031" t="s">
        <v>2395</v>
      </c>
      <c r="B653" s="1034">
        <f>'[1]PLAN DE DESARROLLO 2024 - 2027'!$K$46</f>
        <v>0.28357478219025023</v>
      </c>
      <c r="C653" s="1031" t="s">
        <v>2399</v>
      </c>
      <c r="D653" s="1034">
        <f>'[1]PLAN DE DESARROLLO 2024 - 2027'!$K$73</f>
        <v>0.30468955227047623</v>
      </c>
      <c r="E653" s="1031" t="s">
        <v>2433</v>
      </c>
      <c r="F653" s="1034">
        <f>'[1]PLAN DE DESARROLLO 2024 - 2027'!$K$74</f>
        <v>0.20194776135238096</v>
      </c>
      <c r="G653" s="1031" t="s">
        <v>741</v>
      </c>
      <c r="H653" s="1031" t="s">
        <v>742</v>
      </c>
      <c r="I653" s="1063">
        <f>+'Vida Digna'!Y139</f>
        <v>0.39705882352941174</v>
      </c>
      <c r="J653" s="1031" t="s">
        <v>724</v>
      </c>
      <c r="K653" s="1035" t="s">
        <v>2195</v>
      </c>
      <c r="P653"/>
    </row>
    <row r="654" spans="1:16" ht="30.75" thickBot="1" x14ac:dyDescent="0.3">
      <c r="A654" s="1031" t="s">
        <v>2395</v>
      </c>
      <c r="B654" s="1034">
        <f>'[1]PLAN DE DESARROLLO 2024 - 2027'!$K$46</f>
        <v>0.28357478219025023</v>
      </c>
      <c r="C654" s="1031" t="s">
        <v>2399</v>
      </c>
      <c r="D654" s="1034">
        <f>'[1]PLAN DE DESARROLLO 2024 - 2027'!$K$73</f>
        <v>0.30468955227047623</v>
      </c>
      <c r="E654" s="1031" t="s">
        <v>2434</v>
      </c>
      <c r="F654" s="1034">
        <f>'[1]PLAN DE DESARROLLO 2024 - 2027'!$K$75</f>
        <v>0.45774999999999999</v>
      </c>
      <c r="G654" s="1031" t="s">
        <v>745</v>
      </c>
      <c r="H654" s="1031" t="s">
        <v>746</v>
      </c>
      <c r="I654" s="1063">
        <f>+'Vida Digna'!Y141</f>
        <v>0.84799999999999998</v>
      </c>
      <c r="J654" s="1031" t="s">
        <v>724</v>
      </c>
      <c r="K654" s="1035" t="s">
        <v>2195</v>
      </c>
      <c r="P654"/>
    </row>
    <row r="655" spans="1:16" ht="30.75" thickBot="1" x14ac:dyDescent="0.3">
      <c r="A655" s="1031" t="s">
        <v>2395</v>
      </c>
      <c r="B655" s="1034">
        <f>'[1]PLAN DE DESARROLLO 2024 - 2027'!$K$46</f>
        <v>0.28357478219025023</v>
      </c>
      <c r="C655" s="1031" t="s">
        <v>2399</v>
      </c>
      <c r="D655" s="1034">
        <f>'[1]PLAN DE DESARROLLO 2024 - 2027'!$K$73</f>
        <v>0.30468955227047623</v>
      </c>
      <c r="E655" s="1031" t="s">
        <v>2434</v>
      </c>
      <c r="F655" s="1034">
        <f>'[1]PLAN DE DESARROLLO 2024 - 2027'!$K$75</f>
        <v>0.45774999999999999</v>
      </c>
      <c r="G655" s="1031" t="s">
        <v>747</v>
      </c>
      <c r="H655" s="1031" t="s">
        <v>748</v>
      </c>
      <c r="I655" s="1063">
        <f>+'Vida Digna'!Y142</f>
        <v>0.72</v>
      </c>
      <c r="J655" s="1031" t="s">
        <v>724</v>
      </c>
      <c r="K655" s="1035" t="s">
        <v>2195</v>
      </c>
      <c r="P655"/>
    </row>
    <row r="656" spans="1:16" ht="30.75" thickBot="1" x14ac:dyDescent="0.3">
      <c r="A656" s="1031" t="s">
        <v>2395</v>
      </c>
      <c r="B656" s="1034">
        <f>'[1]PLAN DE DESARROLLO 2024 - 2027'!$K$46</f>
        <v>0.28357478219025023</v>
      </c>
      <c r="C656" s="1031" t="s">
        <v>2399</v>
      </c>
      <c r="D656" s="1034">
        <f>'[1]PLAN DE DESARROLLO 2024 - 2027'!$K$73</f>
        <v>0.30468955227047623</v>
      </c>
      <c r="E656" s="1031" t="s">
        <v>2434</v>
      </c>
      <c r="F656" s="1034">
        <f>'[1]PLAN DE DESARROLLO 2024 - 2027'!$K$75</f>
        <v>0.45774999999999999</v>
      </c>
      <c r="G656" s="1031" t="s">
        <v>750</v>
      </c>
      <c r="H656" s="1031" t="s">
        <v>751</v>
      </c>
      <c r="I656" s="1063">
        <f>+'Vida Digna'!Y143</f>
        <v>0.66666666666666663</v>
      </c>
      <c r="J656" s="1031" t="s">
        <v>724</v>
      </c>
      <c r="K656" s="1035" t="s">
        <v>2195</v>
      </c>
      <c r="P656"/>
    </row>
    <row r="657" spans="1:16" ht="45.75" thickBot="1" x14ac:dyDescent="0.3">
      <c r="A657" s="1031" t="s">
        <v>2395</v>
      </c>
      <c r="B657" s="1034">
        <f>'[1]PLAN DE DESARROLLO 2024 - 2027'!$K$46</f>
        <v>0.28357478219025023</v>
      </c>
      <c r="C657" s="1031" t="s">
        <v>2399</v>
      </c>
      <c r="D657" s="1034">
        <f>'[1]PLAN DE DESARROLLO 2024 - 2027'!$K$73</f>
        <v>0.30468955227047623</v>
      </c>
      <c r="E657" s="1031" t="s">
        <v>2434</v>
      </c>
      <c r="F657" s="1034">
        <f>'[1]PLAN DE DESARROLLO 2024 - 2027'!$K$75</f>
        <v>0.45774999999999999</v>
      </c>
      <c r="G657" s="1031" t="s">
        <v>752</v>
      </c>
      <c r="H657" s="1031" t="s">
        <v>753</v>
      </c>
      <c r="I657" s="1063">
        <f>+'Vida Digna'!Y144</f>
        <v>0.8</v>
      </c>
      <c r="J657" s="1031" t="s">
        <v>724</v>
      </c>
      <c r="K657" s="1035" t="s">
        <v>2195</v>
      </c>
      <c r="P657"/>
    </row>
    <row r="658" spans="1:16" ht="30.75" thickBot="1" x14ac:dyDescent="0.3">
      <c r="A658" s="1031" t="s">
        <v>2395</v>
      </c>
      <c r="B658" s="1034">
        <f>'[1]PLAN DE DESARROLLO 2024 - 2027'!$K$46</f>
        <v>0.28357478219025023</v>
      </c>
      <c r="C658" s="1031" t="s">
        <v>2399</v>
      </c>
      <c r="D658" s="1034">
        <f>'[1]PLAN DE DESARROLLO 2024 - 2027'!$K$73</f>
        <v>0.30468955227047623</v>
      </c>
      <c r="E658" s="1031" t="s">
        <v>2435</v>
      </c>
      <c r="F658" s="1034">
        <f>'[1]PLAN DE DESARROLLO 2024 - 2027'!$K$76</f>
        <v>0.30625000000000002</v>
      </c>
      <c r="G658" s="1031" t="s">
        <v>755</v>
      </c>
      <c r="H658" s="1031" t="s">
        <v>756</v>
      </c>
      <c r="I658" s="1063">
        <f>+'Vida Digna'!Y146</f>
        <v>0.41</v>
      </c>
      <c r="J658" s="1031" t="s">
        <v>724</v>
      </c>
      <c r="K658" s="1035" t="s">
        <v>2195</v>
      </c>
      <c r="P658"/>
    </row>
    <row r="659" spans="1:16" ht="30.75" thickBot="1" x14ac:dyDescent="0.3">
      <c r="A659" s="1031" t="s">
        <v>2395</v>
      </c>
      <c r="B659" s="1034">
        <f>'[1]PLAN DE DESARROLLO 2024 - 2027'!$K$46</f>
        <v>0.28357478219025023</v>
      </c>
      <c r="C659" s="1031" t="s">
        <v>2399</v>
      </c>
      <c r="D659" s="1034">
        <f>'[1]PLAN DE DESARROLLO 2024 - 2027'!$K$73</f>
        <v>0.30468955227047623</v>
      </c>
      <c r="E659" s="1031" t="s">
        <v>2435</v>
      </c>
      <c r="F659" s="1034">
        <f>'[1]PLAN DE DESARROLLO 2024 - 2027'!$K$76</f>
        <v>0.30625000000000002</v>
      </c>
      <c r="G659" s="1031" t="s">
        <v>757</v>
      </c>
      <c r="H659" s="1031" t="s">
        <v>758</v>
      </c>
      <c r="I659" s="1063">
        <f>+'Vida Digna'!Y147</f>
        <v>0.54749999999999999</v>
      </c>
      <c r="J659" s="1031" t="s">
        <v>724</v>
      </c>
      <c r="K659" s="1035" t="s">
        <v>2195</v>
      </c>
      <c r="P659"/>
    </row>
    <row r="660" spans="1:16" ht="45.75" thickBot="1" x14ac:dyDescent="0.3">
      <c r="A660" s="1031" t="s">
        <v>2395</v>
      </c>
      <c r="B660" s="1034">
        <f>'[1]PLAN DE DESARROLLO 2024 - 2027'!$K$46</f>
        <v>0.28357478219025023</v>
      </c>
      <c r="C660" s="1031" t="s">
        <v>2399</v>
      </c>
      <c r="D660" s="1034">
        <f>'[1]PLAN DE DESARROLLO 2024 - 2027'!$K$73</f>
        <v>0.30468955227047623</v>
      </c>
      <c r="E660" s="1031" t="s">
        <v>2436</v>
      </c>
      <c r="F660" s="1034">
        <f>'[1]PLAN DE DESARROLLO 2024 - 2027'!$K$77</f>
        <v>0.27</v>
      </c>
      <c r="G660" s="1031" t="s">
        <v>760</v>
      </c>
      <c r="H660" s="1031" t="s">
        <v>761</v>
      </c>
      <c r="I660" s="1063">
        <f>+'Vida Digna'!Y149</f>
        <v>0.48000000000000004</v>
      </c>
      <c r="J660" s="1031" t="s">
        <v>724</v>
      </c>
      <c r="K660" s="1035" t="s">
        <v>2195</v>
      </c>
      <c r="P660"/>
    </row>
    <row r="661" spans="1:16" ht="30.75" thickBot="1" x14ac:dyDescent="0.3">
      <c r="A661" s="1031" t="s">
        <v>2395</v>
      </c>
      <c r="B661" s="1034">
        <f>'[1]PLAN DE DESARROLLO 2024 - 2027'!$K$46</f>
        <v>0.28357478219025023</v>
      </c>
      <c r="C661" s="1031" t="s">
        <v>2399</v>
      </c>
      <c r="D661" s="1034">
        <f>'[1]PLAN DE DESARROLLO 2024 - 2027'!$K$73</f>
        <v>0.30468955227047623</v>
      </c>
      <c r="E661" s="1031" t="s">
        <v>2436</v>
      </c>
      <c r="F661" s="1034">
        <f>'[1]PLAN DE DESARROLLO 2024 - 2027'!$K$77</f>
        <v>0.27</v>
      </c>
      <c r="G661" s="1031" t="s">
        <v>762</v>
      </c>
      <c r="H661" s="1031" t="s">
        <v>763</v>
      </c>
      <c r="I661" s="1063">
        <f>+'Vida Digna'!Y150</f>
        <v>0.37</v>
      </c>
      <c r="J661" s="1031" t="s">
        <v>724</v>
      </c>
      <c r="K661" s="1035" t="s">
        <v>2195</v>
      </c>
      <c r="P661"/>
    </row>
    <row r="662" spans="1:16" ht="45.75" thickBot="1" x14ac:dyDescent="0.3">
      <c r="A662" s="1031" t="s">
        <v>2395</v>
      </c>
      <c r="B662" s="1034">
        <f>'[1]PLAN DE DESARROLLO 2024 - 2027'!$K$46</f>
        <v>0.28357478219025023</v>
      </c>
      <c r="C662" s="1031" t="s">
        <v>2399</v>
      </c>
      <c r="D662" s="1034">
        <f>'[1]PLAN DE DESARROLLO 2024 - 2027'!$K$73</f>
        <v>0.30468955227047623</v>
      </c>
      <c r="E662" s="1031" t="s">
        <v>2436</v>
      </c>
      <c r="F662" s="1034">
        <f>'[1]PLAN DE DESARROLLO 2024 - 2027'!$K$77</f>
        <v>0.27</v>
      </c>
      <c r="G662" s="1031" t="s">
        <v>764</v>
      </c>
      <c r="H662" s="1031" t="s">
        <v>765</v>
      </c>
      <c r="I662" s="1063">
        <f>+'Vida Digna'!Y151</f>
        <v>1</v>
      </c>
      <c r="J662" s="1031" t="s">
        <v>724</v>
      </c>
      <c r="K662" s="1035" t="s">
        <v>2195</v>
      </c>
      <c r="P662"/>
    </row>
    <row r="663" spans="1:16" ht="30.75" thickBot="1" x14ac:dyDescent="0.3">
      <c r="A663" s="1031" t="s">
        <v>2395</v>
      </c>
      <c r="B663" s="1034">
        <f>'[1]PLAN DE DESARROLLO 2024 - 2027'!$K$46</f>
        <v>0.28357478219025023</v>
      </c>
      <c r="C663" s="1031" t="s">
        <v>2399</v>
      </c>
      <c r="D663" s="1034">
        <f>'[1]PLAN DE DESARROLLO 2024 - 2027'!$K$73</f>
        <v>0.30468955227047623</v>
      </c>
      <c r="E663" s="1031" t="s">
        <v>2436</v>
      </c>
      <c r="F663" s="1034">
        <f>'[1]PLAN DE DESARROLLO 2024 - 2027'!$K$77</f>
        <v>0.27</v>
      </c>
      <c r="G663" s="1031" t="s">
        <v>766</v>
      </c>
      <c r="H663" s="1031" t="s">
        <v>767</v>
      </c>
      <c r="I663" s="1063">
        <f>+'Vida Digna'!Y152</f>
        <v>0.25</v>
      </c>
      <c r="J663" s="1031" t="s">
        <v>724</v>
      </c>
      <c r="K663" s="1035" t="s">
        <v>2195</v>
      </c>
      <c r="P663"/>
    </row>
    <row r="664" spans="1:16" ht="30.75" thickBot="1" x14ac:dyDescent="0.3">
      <c r="A664" s="1031" t="s">
        <v>2395</v>
      </c>
      <c r="B664" s="1034">
        <f>'[1]PLAN DE DESARROLLO 2024 - 2027'!$K$46</f>
        <v>0.28357478219025023</v>
      </c>
      <c r="C664" s="1031" t="s">
        <v>2399</v>
      </c>
      <c r="D664" s="1034">
        <f>'[1]PLAN DE DESARROLLO 2024 - 2027'!$K$73</f>
        <v>0.30468955227047623</v>
      </c>
      <c r="E664" s="1031" t="s">
        <v>2436</v>
      </c>
      <c r="F664" s="1034">
        <f>'[1]PLAN DE DESARROLLO 2024 - 2027'!$K$77</f>
        <v>0.27</v>
      </c>
      <c r="G664" s="1031" t="s">
        <v>768</v>
      </c>
      <c r="H664" s="1031" t="s">
        <v>769</v>
      </c>
      <c r="I664" s="1063">
        <f>+'Vida Digna'!Y153</f>
        <v>0.2</v>
      </c>
      <c r="J664" s="1031" t="s">
        <v>724</v>
      </c>
      <c r="K664" s="1035" t="s">
        <v>2195</v>
      </c>
      <c r="P664"/>
    </row>
    <row r="665" spans="1:16" ht="30.75" thickBot="1" x14ac:dyDescent="0.3">
      <c r="A665" s="1031" t="s">
        <v>2395</v>
      </c>
      <c r="B665" s="1034">
        <f>'[1]PLAN DE DESARROLLO 2024 - 2027'!$K$46</f>
        <v>0.28357478219025023</v>
      </c>
      <c r="C665" s="1031" t="s">
        <v>2399</v>
      </c>
      <c r="D665" s="1034">
        <f>'[1]PLAN DE DESARROLLO 2024 - 2027'!$K$73</f>
        <v>0.30468955227047623</v>
      </c>
      <c r="E665" s="1031" t="s">
        <v>2437</v>
      </c>
      <c r="F665" s="1034">
        <f>'[1]PLAN DE DESARROLLO 2024 - 2027'!$K$78</f>
        <v>0.28749999999999998</v>
      </c>
      <c r="G665" s="1031" t="s">
        <v>771</v>
      </c>
      <c r="H665" s="1031" t="s">
        <v>772</v>
      </c>
      <c r="I665" s="1063">
        <f>+'Vida Digna'!Y155</f>
        <v>0.75</v>
      </c>
      <c r="J665" s="1031" t="s">
        <v>724</v>
      </c>
      <c r="K665" s="1035" t="s">
        <v>2195</v>
      </c>
      <c r="P665"/>
    </row>
    <row r="666" spans="1:16" ht="30.75" thickBot="1" x14ac:dyDescent="0.3">
      <c r="A666" s="1031" t="s">
        <v>2395</v>
      </c>
      <c r="B666" s="1034">
        <f>'[1]PLAN DE DESARROLLO 2024 - 2027'!$K$46</f>
        <v>0.28357478219025023</v>
      </c>
      <c r="C666" s="1031" t="s">
        <v>2399</v>
      </c>
      <c r="D666" s="1034">
        <f>'[1]PLAN DE DESARROLLO 2024 - 2027'!$K$73</f>
        <v>0.30468955227047623</v>
      </c>
      <c r="E666" s="1031" t="s">
        <v>2437</v>
      </c>
      <c r="F666" s="1034">
        <f>'[1]PLAN DE DESARROLLO 2024 - 2027'!$K$78</f>
        <v>0.28749999999999998</v>
      </c>
      <c r="G666" s="1031" t="s">
        <v>773</v>
      </c>
      <c r="H666" s="1031" t="s">
        <v>774</v>
      </c>
      <c r="I666" s="1063">
        <f>+'Vida Digna'!Y156</f>
        <v>0.25</v>
      </c>
      <c r="J666" s="1031" t="s">
        <v>724</v>
      </c>
      <c r="K666" s="1035" t="s">
        <v>2195</v>
      </c>
      <c r="P666"/>
    </row>
    <row r="667" spans="1:16" ht="30.75" thickBot="1" x14ac:dyDescent="0.3">
      <c r="A667" s="1031" t="s">
        <v>2395</v>
      </c>
      <c r="B667" s="1034">
        <f>'[1]PLAN DE DESARROLLO 2024 - 2027'!$K$46</f>
        <v>0.28357478219025023</v>
      </c>
      <c r="C667" s="1031" t="s">
        <v>2399</v>
      </c>
      <c r="D667" s="1034">
        <f>'[1]PLAN DE DESARROLLO 2024 - 2027'!$K$73</f>
        <v>0.30468955227047623</v>
      </c>
      <c r="E667" s="1031" t="s">
        <v>2437</v>
      </c>
      <c r="F667" s="1034">
        <f>'[1]PLAN DE DESARROLLO 2024 - 2027'!$K$78</f>
        <v>0.28749999999999998</v>
      </c>
      <c r="G667" s="1031" t="s">
        <v>775</v>
      </c>
      <c r="H667" s="1031" t="s">
        <v>776</v>
      </c>
      <c r="I667" s="1063">
        <f>+'Vida Digna'!Y157</f>
        <v>7.5000000000000011E-2</v>
      </c>
      <c r="J667" s="1031" t="s">
        <v>724</v>
      </c>
      <c r="K667" s="1035" t="s">
        <v>2195</v>
      </c>
      <c r="P667"/>
    </row>
    <row r="668" spans="1:16" ht="60.75" thickBot="1" x14ac:dyDescent="0.3">
      <c r="A668" s="1031" t="s">
        <v>2395</v>
      </c>
      <c r="B668" s="1034">
        <f>'[1]PLAN DE DESARROLLO 2024 - 2027'!$K$46</f>
        <v>0.28357478219025023</v>
      </c>
      <c r="C668" s="1031" t="s">
        <v>2399</v>
      </c>
      <c r="D668" s="1034">
        <f>'[1]PLAN DE DESARROLLO 2024 - 2027'!$K$73</f>
        <v>0.30468955227047623</v>
      </c>
      <c r="E668" s="1031" t="s">
        <v>2437</v>
      </c>
      <c r="F668" s="1034">
        <f>'[1]PLAN DE DESARROLLO 2024 - 2027'!$K$78</f>
        <v>0.28749999999999998</v>
      </c>
      <c r="G668" s="1031" t="s">
        <v>777</v>
      </c>
      <c r="H668" s="1031" t="s">
        <v>778</v>
      </c>
      <c r="I668" s="1063">
        <f>+'Vida Digna'!Y158</f>
        <v>0.25</v>
      </c>
      <c r="J668" s="1031" t="s">
        <v>724</v>
      </c>
      <c r="K668" s="1035" t="s">
        <v>2195</v>
      </c>
      <c r="P668"/>
    </row>
    <row r="669" spans="1:16" ht="30.75" thickBot="1" x14ac:dyDescent="0.3">
      <c r="A669" s="1031" t="s">
        <v>2395</v>
      </c>
      <c r="B669" s="1034">
        <f>'[1]PLAN DE DESARROLLO 2024 - 2027'!$K$46</f>
        <v>0.28357478219025023</v>
      </c>
      <c r="C669" s="1031" t="s">
        <v>2399</v>
      </c>
      <c r="D669" s="1034">
        <f>'[1]PLAN DE DESARROLLO 2024 - 2027'!$K$73</f>
        <v>0.30468955227047623</v>
      </c>
      <c r="E669" s="1031" t="s">
        <v>2437</v>
      </c>
      <c r="F669" s="1034">
        <f>'[1]PLAN DE DESARROLLO 2024 - 2027'!$K$78</f>
        <v>0.28749999999999998</v>
      </c>
      <c r="G669" s="1031" t="s">
        <v>779</v>
      </c>
      <c r="H669" s="1031" t="s">
        <v>780</v>
      </c>
      <c r="I669" s="1064">
        <f>+'Vida Digna'!Y159</f>
        <v>0.05</v>
      </c>
      <c r="J669" s="1031" t="s">
        <v>724</v>
      </c>
      <c r="K669" s="1035" t="s">
        <v>2195</v>
      </c>
      <c r="P669"/>
    </row>
    <row r="670" spans="1:16" ht="30.75" thickBot="1" x14ac:dyDescent="0.3">
      <c r="A670" s="1031" t="s">
        <v>2395</v>
      </c>
      <c r="B670" s="1034">
        <f>'[1]PLAN DE DESARROLLO 2024 - 2027'!$K$46</f>
        <v>0.28357478219025023</v>
      </c>
      <c r="C670" s="1031" t="s">
        <v>2438</v>
      </c>
      <c r="D670" s="1034">
        <f>'[1]PLAN DE DESARROLLO 2024 - 2027'!$K$80</f>
        <v>0.32618503263111615</v>
      </c>
      <c r="E670" s="1031" t="s">
        <v>2439</v>
      </c>
      <c r="F670" s="1034">
        <f>'[1]PLAN DE DESARROLLO 2024 - 2027'!$K$81</f>
        <v>0.29583333333333334</v>
      </c>
      <c r="G670" s="1031" t="s">
        <v>793</v>
      </c>
      <c r="H670" s="1031" t="s">
        <v>794</v>
      </c>
      <c r="I670" s="1063">
        <f>+'Vida Digna'!Y166</f>
        <v>0</v>
      </c>
      <c r="J670" s="1031" t="s">
        <v>795</v>
      </c>
      <c r="K670" s="1035" t="s">
        <v>2195</v>
      </c>
      <c r="P670"/>
    </row>
    <row r="671" spans="1:16" ht="30.75" thickBot="1" x14ac:dyDescent="0.3">
      <c r="A671" s="1031" t="s">
        <v>2395</v>
      </c>
      <c r="B671" s="1034">
        <f>'[1]PLAN DE DESARROLLO 2024 - 2027'!$K$46</f>
        <v>0.28357478219025023</v>
      </c>
      <c r="C671" s="1031" t="s">
        <v>2438</v>
      </c>
      <c r="D671" s="1034">
        <f>'[1]PLAN DE DESARROLLO 2024 - 2027'!$K$80</f>
        <v>0.32618503263111615</v>
      </c>
      <c r="E671" s="1031" t="s">
        <v>2439</v>
      </c>
      <c r="F671" s="1034">
        <f>'[1]PLAN DE DESARROLLO 2024 - 2027'!$K$81</f>
        <v>0.29583333333333334</v>
      </c>
      <c r="G671" s="1031" t="s">
        <v>797</v>
      </c>
      <c r="H671" s="1031" t="s">
        <v>798</v>
      </c>
      <c r="I671" s="1063">
        <f>+'Vida Digna'!Y167</f>
        <v>0.68</v>
      </c>
      <c r="J671" s="1031" t="s">
        <v>795</v>
      </c>
      <c r="K671" s="1035" t="s">
        <v>2195</v>
      </c>
      <c r="P671"/>
    </row>
    <row r="672" spans="1:16" ht="30.75" thickBot="1" x14ac:dyDescent="0.3">
      <c r="A672" s="1031" t="s">
        <v>2395</v>
      </c>
      <c r="B672" s="1034">
        <f>'[1]PLAN DE DESARROLLO 2024 - 2027'!$K$46</f>
        <v>0.28357478219025023</v>
      </c>
      <c r="C672" s="1031" t="s">
        <v>2438</v>
      </c>
      <c r="D672" s="1034">
        <f>'[1]PLAN DE DESARROLLO 2024 - 2027'!$K$80</f>
        <v>0.32618503263111615</v>
      </c>
      <c r="E672" s="1031" t="s">
        <v>2439</v>
      </c>
      <c r="F672" s="1034">
        <f>'[1]PLAN DE DESARROLLO 2024 - 2027'!$K$81</f>
        <v>0.29583333333333334</v>
      </c>
      <c r="G672" s="1031" t="s">
        <v>799</v>
      </c>
      <c r="H672" s="1031" t="s">
        <v>800</v>
      </c>
      <c r="I672" s="1063">
        <f>+'Vida Digna'!Y168</f>
        <v>0.1875</v>
      </c>
      <c r="J672" s="1031" t="s">
        <v>795</v>
      </c>
      <c r="K672" s="1035" t="s">
        <v>2195</v>
      </c>
      <c r="P672"/>
    </row>
    <row r="673" spans="1:16" ht="45.75" thickBot="1" x14ac:dyDescent="0.3">
      <c r="A673" s="1031" t="s">
        <v>2395</v>
      </c>
      <c r="B673" s="1034">
        <f>'[1]PLAN DE DESARROLLO 2024 - 2027'!$K$46</f>
        <v>0.28357478219025023</v>
      </c>
      <c r="C673" s="1031" t="s">
        <v>2438</v>
      </c>
      <c r="D673" s="1034">
        <f>'[1]PLAN DE DESARROLLO 2024 - 2027'!$K$80</f>
        <v>0.32618503263111615</v>
      </c>
      <c r="E673" s="1031" t="s">
        <v>2439</v>
      </c>
      <c r="F673" s="1034">
        <f>'[1]PLAN DE DESARROLLO 2024 - 2027'!$K$81</f>
        <v>0.29583333333333334</v>
      </c>
      <c r="G673" s="1031" t="s">
        <v>801</v>
      </c>
      <c r="H673" s="1031" t="s">
        <v>802</v>
      </c>
      <c r="I673" s="1063">
        <f>+'Vida Digna'!Y169</f>
        <v>0.47333333333333333</v>
      </c>
      <c r="J673" s="1031" t="s">
        <v>795</v>
      </c>
      <c r="K673" s="1035" t="s">
        <v>2195</v>
      </c>
      <c r="P673"/>
    </row>
    <row r="674" spans="1:16" ht="30.75" thickBot="1" x14ac:dyDescent="0.3">
      <c r="A674" s="1031" t="s">
        <v>2395</v>
      </c>
      <c r="B674" s="1034">
        <f>'[1]PLAN DE DESARROLLO 2024 - 2027'!$K$46</f>
        <v>0.28357478219025023</v>
      </c>
      <c r="C674" s="1031" t="s">
        <v>2438</v>
      </c>
      <c r="D674" s="1034">
        <f>'[1]PLAN DE DESARROLLO 2024 - 2027'!$K$80</f>
        <v>0.32618503263111615</v>
      </c>
      <c r="E674" s="1031" t="s">
        <v>2440</v>
      </c>
      <c r="F674" s="1034">
        <f>'[1]PLAN DE DESARROLLO 2024 - 2027'!$K$82</f>
        <v>0.17125662544169612</v>
      </c>
      <c r="G674" s="1031" t="s">
        <v>805</v>
      </c>
      <c r="H674" s="1031" t="s">
        <v>806</v>
      </c>
      <c r="I674" s="1063">
        <f>+'Vida Digna'!Y171</f>
        <v>0.19964664310954064</v>
      </c>
      <c r="J674" s="1031" t="s">
        <v>795</v>
      </c>
      <c r="K674" s="1035" t="s">
        <v>2195</v>
      </c>
      <c r="P674"/>
    </row>
    <row r="675" spans="1:16" ht="30.75" thickBot="1" x14ac:dyDescent="0.3">
      <c r="A675" s="1031" t="s">
        <v>2395</v>
      </c>
      <c r="B675" s="1034">
        <f>'[1]PLAN DE DESARROLLO 2024 - 2027'!$K$46</f>
        <v>0.28357478219025023</v>
      </c>
      <c r="C675" s="1031" t="s">
        <v>2438</v>
      </c>
      <c r="D675" s="1034">
        <f>'[1]PLAN DE DESARROLLO 2024 - 2027'!$K$80</f>
        <v>0.32618503263111615</v>
      </c>
      <c r="E675" s="1031" t="s">
        <v>2440</v>
      </c>
      <c r="F675" s="1034">
        <f>'[1]PLAN DE DESARROLLO 2024 - 2027'!$K$82</f>
        <v>0.17125662544169612</v>
      </c>
      <c r="G675" s="1031" t="s">
        <v>807</v>
      </c>
      <c r="H675" s="1031" t="s">
        <v>808</v>
      </c>
      <c r="I675" s="1063">
        <f>+'Vida Digna'!Y172</f>
        <v>0.203125</v>
      </c>
      <c r="J675" s="1031" t="s">
        <v>795</v>
      </c>
      <c r="K675" s="1035" t="s">
        <v>2195</v>
      </c>
      <c r="P675"/>
    </row>
    <row r="676" spans="1:16" ht="30.75" thickBot="1" x14ac:dyDescent="0.3">
      <c r="A676" s="1031" t="s">
        <v>2395</v>
      </c>
      <c r="B676" s="1034">
        <f>'[1]PLAN DE DESARROLLO 2024 - 2027'!$K$46</f>
        <v>0.28357478219025023</v>
      </c>
      <c r="C676" s="1031" t="s">
        <v>2438</v>
      </c>
      <c r="D676" s="1034">
        <f>'[1]PLAN DE DESARROLLO 2024 - 2027'!$K$80</f>
        <v>0.32618503263111615</v>
      </c>
      <c r="E676" s="1031" t="s">
        <v>2441</v>
      </c>
      <c r="F676" s="1034">
        <f>'[1]PLAN DE DESARROLLO 2024 - 2027'!$K$83</f>
        <v>0.36161627906976745</v>
      </c>
      <c r="G676" s="1031" t="s">
        <v>810</v>
      </c>
      <c r="H676" s="1031" t="s">
        <v>811</v>
      </c>
      <c r="I676" s="1063">
        <f>+'Vida Digna'!Y174</f>
        <v>0.42</v>
      </c>
      <c r="J676" s="1031" t="s">
        <v>795</v>
      </c>
      <c r="K676" s="1035" t="s">
        <v>2195</v>
      </c>
      <c r="P676"/>
    </row>
    <row r="677" spans="1:16" ht="45.75" thickBot="1" x14ac:dyDescent="0.3">
      <c r="A677" s="1031" t="s">
        <v>2395</v>
      </c>
      <c r="B677" s="1034">
        <f>'[1]PLAN DE DESARROLLO 2024 - 2027'!$K$46</f>
        <v>0.28357478219025023</v>
      </c>
      <c r="C677" s="1031" t="s">
        <v>2438</v>
      </c>
      <c r="D677" s="1034">
        <f>'[1]PLAN DE DESARROLLO 2024 - 2027'!$K$80</f>
        <v>0.32618503263111615</v>
      </c>
      <c r="E677" s="1031" t="s">
        <v>2441</v>
      </c>
      <c r="F677" s="1034">
        <f>'[1]PLAN DE DESARROLLO 2024 - 2027'!$K$83</f>
        <v>0.36161627906976745</v>
      </c>
      <c r="G677" s="1031" t="s">
        <v>812</v>
      </c>
      <c r="H677" s="1031" t="s">
        <v>813</v>
      </c>
      <c r="I677" s="1063">
        <f>+'Vida Digna'!Y175</f>
        <v>0.45833333333333331</v>
      </c>
      <c r="J677" s="1031" t="s">
        <v>795</v>
      </c>
      <c r="K677" s="1035" t="s">
        <v>2195</v>
      </c>
      <c r="P677"/>
    </row>
    <row r="678" spans="1:16" ht="30.75" thickBot="1" x14ac:dyDescent="0.3">
      <c r="A678" s="1031" t="s">
        <v>2395</v>
      </c>
      <c r="B678" s="1034">
        <f>'[1]PLAN DE DESARROLLO 2024 - 2027'!$K$46</f>
        <v>0.28357478219025023</v>
      </c>
      <c r="C678" s="1031" t="s">
        <v>2438</v>
      </c>
      <c r="D678" s="1034">
        <f>'[1]PLAN DE DESARROLLO 2024 - 2027'!$K$80</f>
        <v>0.32618503263111615</v>
      </c>
      <c r="E678" s="1031" t="s">
        <v>2442</v>
      </c>
      <c r="F678" s="1034">
        <f>'[1]PLAN DE DESARROLLO 2024 - 2027'!$K$84</f>
        <v>0.38292488450604123</v>
      </c>
      <c r="G678" s="1031" t="s">
        <v>815</v>
      </c>
      <c r="H678" s="1031" t="s">
        <v>816</v>
      </c>
      <c r="I678" s="1063">
        <f>+'Vida Digna'!Y177</f>
        <v>0.49242537313432838</v>
      </c>
      <c r="J678" s="1031" t="s">
        <v>795</v>
      </c>
      <c r="K678" s="1035" t="s">
        <v>2195</v>
      </c>
      <c r="P678"/>
    </row>
    <row r="679" spans="1:16" ht="30.75" thickBot="1" x14ac:dyDescent="0.3">
      <c r="A679" s="1031" t="s">
        <v>2395</v>
      </c>
      <c r="B679" s="1034">
        <f>'[1]PLAN DE DESARROLLO 2024 - 2027'!$K$46</f>
        <v>0.28357478219025023</v>
      </c>
      <c r="C679" s="1031" t="s">
        <v>2438</v>
      </c>
      <c r="D679" s="1034">
        <f>'[1]PLAN DE DESARROLLO 2024 - 2027'!$K$80</f>
        <v>0.32618503263111615</v>
      </c>
      <c r="E679" s="1031" t="s">
        <v>2442</v>
      </c>
      <c r="F679" s="1034">
        <f>'[1]PLAN DE DESARROLLO 2024 - 2027'!$K$84</f>
        <v>0.38292488450604123</v>
      </c>
      <c r="G679" s="1031" t="s">
        <v>817</v>
      </c>
      <c r="H679" s="1031" t="s">
        <v>818</v>
      </c>
      <c r="I679" s="1063">
        <f>+'Vida Digna'!Y178</f>
        <v>0.56190476190476191</v>
      </c>
      <c r="J679" s="1031" t="s">
        <v>795</v>
      </c>
      <c r="K679" s="1035" t="s">
        <v>2195</v>
      </c>
      <c r="P679"/>
    </row>
    <row r="680" spans="1:16" ht="30.75" thickBot="1" x14ac:dyDescent="0.3">
      <c r="A680" s="1031" t="s">
        <v>2395</v>
      </c>
      <c r="B680" s="1034">
        <f>'[1]PLAN DE DESARROLLO 2024 - 2027'!$K$46</f>
        <v>0.28357478219025023</v>
      </c>
      <c r="C680" s="1031" t="s">
        <v>2438</v>
      </c>
      <c r="D680" s="1034">
        <f>'[1]PLAN DE DESARROLLO 2024 - 2027'!$K$80</f>
        <v>0.32618503263111615</v>
      </c>
      <c r="E680" s="1031" t="s">
        <v>2442</v>
      </c>
      <c r="F680" s="1034">
        <f>'[1]PLAN DE DESARROLLO 2024 - 2027'!$K$84</f>
        <v>0.38292488450604123</v>
      </c>
      <c r="G680" s="1031" t="s">
        <v>2443</v>
      </c>
      <c r="H680" s="1031" t="s">
        <v>2444</v>
      </c>
      <c r="I680" s="1064">
        <f>+'Vida Digna'!Y179</f>
        <v>0</v>
      </c>
      <c r="J680" s="1031" t="s">
        <v>2445</v>
      </c>
      <c r="K680" s="1035" t="s">
        <v>2195</v>
      </c>
      <c r="P680"/>
    </row>
    <row r="681" spans="1:16" ht="30.75" thickBot="1" x14ac:dyDescent="0.3">
      <c r="A681" s="1031" t="s">
        <v>2395</v>
      </c>
      <c r="B681" s="1034">
        <f>'[1]PLAN DE DESARROLLO 2024 - 2027'!$K$46</f>
        <v>0.28357478219025023</v>
      </c>
      <c r="C681" s="1031" t="s">
        <v>2438</v>
      </c>
      <c r="D681" s="1034">
        <f>'[1]PLAN DE DESARROLLO 2024 - 2027'!$K$80</f>
        <v>0.32618503263111615</v>
      </c>
      <c r="E681" s="1031" t="s">
        <v>2442</v>
      </c>
      <c r="F681" s="1034">
        <f>'[1]PLAN DE DESARROLLO 2024 - 2027'!$K$84</f>
        <v>0.38292488450604123</v>
      </c>
      <c r="G681" s="1031" t="s">
        <v>2446</v>
      </c>
      <c r="H681" s="1031" t="s">
        <v>2447</v>
      </c>
      <c r="I681" s="1063">
        <f>+'Vida Digna'!Y180</f>
        <v>0.60364285714285715</v>
      </c>
      <c r="J681" s="1031" t="s">
        <v>795</v>
      </c>
      <c r="K681" s="1035" t="s">
        <v>2195</v>
      </c>
      <c r="P681"/>
    </row>
    <row r="682" spans="1:16" ht="45.75" thickBot="1" x14ac:dyDescent="0.3">
      <c r="A682" s="1031" t="s">
        <v>2395</v>
      </c>
      <c r="B682" s="1034">
        <f>'[1]PLAN DE DESARROLLO 2024 - 2027'!$K$46</f>
        <v>0.28357478219025023</v>
      </c>
      <c r="C682" s="1031" t="s">
        <v>2438</v>
      </c>
      <c r="D682" s="1034">
        <f>'[1]PLAN DE DESARROLLO 2024 - 2027'!$K$80</f>
        <v>0.32618503263111615</v>
      </c>
      <c r="E682" s="1031" t="s">
        <v>2442</v>
      </c>
      <c r="F682" s="1034">
        <f>'[1]PLAN DE DESARROLLO 2024 - 2027'!$K$84</f>
        <v>0.38292488450604123</v>
      </c>
      <c r="G682" s="1031" t="s">
        <v>2448</v>
      </c>
      <c r="H682" s="1031" t="s">
        <v>828</v>
      </c>
      <c r="I682" s="1063">
        <f>+'Vida Digna'!Y181</f>
        <v>0.7</v>
      </c>
      <c r="J682" s="1031" t="s">
        <v>2445</v>
      </c>
      <c r="K682" s="1035" t="s">
        <v>2195</v>
      </c>
      <c r="P682"/>
    </row>
    <row r="683" spans="1:16" ht="30.75" thickBot="1" x14ac:dyDescent="0.3">
      <c r="A683" s="1031" t="s">
        <v>2395</v>
      </c>
      <c r="B683" s="1034">
        <f>'[1]PLAN DE DESARROLLO 2024 - 2027'!$K$46</f>
        <v>0.28357478219025023</v>
      </c>
      <c r="C683" s="1031" t="s">
        <v>2438</v>
      </c>
      <c r="D683" s="1034">
        <f>'[1]PLAN DE DESARROLLO 2024 - 2027'!$K$80</f>
        <v>0.32618503263111615</v>
      </c>
      <c r="E683" s="1031" t="s">
        <v>2449</v>
      </c>
      <c r="F683" s="1034">
        <f>'[1]PLAN DE DESARROLLO 2024 - 2027'!$K$85</f>
        <v>0.25970491803278689</v>
      </c>
      <c r="G683" s="1031" t="s">
        <v>832</v>
      </c>
      <c r="H683" s="1031" t="s">
        <v>833</v>
      </c>
      <c r="I683" s="1063">
        <f>+'Vida Digna'!Y183</f>
        <v>0.34168852459016391</v>
      </c>
      <c r="J683" s="1031" t="s">
        <v>795</v>
      </c>
      <c r="K683" s="1035" t="s">
        <v>2195</v>
      </c>
      <c r="P683"/>
    </row>
    <row r="684" spans="1:16" ht="45.75" thickBot="1" x14ac:dyDescent="0.3">
      <c r="A684" s="1031" t="s">
        <v>2395</v>
      </c>
      <c r="B684" s="1034">
        <f>'[1]PLAN DE DESARROLLO 2024 - 2027'!$K$46</f>
        <v>0.28357478219025023</v>
      </c>
      <c r="C684" s="1031" t="s">
        <v>2438</v>
      </c>
      <c r="D684" s="1034">
        <f>'[1]PLAN DE DESARROLLO 2024 - 2027'!$K$80</f>
        <v>0.32618503263111615</v>
      </c>
      <c r="E684" s="1031" t="s">
        <v>834</v>
      </c>
      <c r="F684" s="1034">
        <f>'[1]PLAN DE DESARROLLO 2024 - 2027'!$K$86</f>
        <v>0.35400277777777778</v>
      </c>
      <c r="G684" s="1031" t="s">
        <v>835</v>
      </c>
      <c r="H684" s="1031" t="s">
        <v>836</v>
      </c>
      <c r="I684" s="1063">
        <f>+'Vida Digna'!Y185</f>
        <v>0.51147222222222222</v>
      </c>
      <c r="J684" s="1031" t="s">
        <v>795</v>
      </c>
      <c r="K684" s="1035" t="s">
        <v>2195</v>
      </c>
      <c r="P684"/>
    </row>
    <row r="685" spans="1:16" ht="45.75" thickBot="1" x14ac:dyDescent="0.3">
      <c r="A685" s="1031" t="s">
        <v>2395</v>
      </c>
      <c r="B685" s="1034">
        <f>'[1]PLAN DE DESARROLLO 2024 - 2027'!$K$46</f>
        <v>0.28357478219025023</v>
      </c>
      <c r="C685" s="1031" t="s">
        <v>2438</v>
      </c>
      <c r="D685" s="1034">
        <f>'[1]PLAN DE DESARROLLO 2024 - 2027'!$K$80</f>
        <v>0.32618503263111615</v>
      </c>
      <c r="E685" s="1031" t="s">
        <v>834</v>
      </c>
      <c r="F685" s="1034">
        <f>'[1]PLAN DE DESARROLLO 2024 - 2027'!$K$86</f>
        <v>0.35400277777777778</v>
      </c>
      <c r="G685" s="1031" t="s">
        <v>837</v>
      </c>
      <c r="H685" s="1031" t="s">
        <v>838</v>
      </c>
      <c r="I685" s="1063">
        <f>+'Vida Digna'!Y186</f>
        <v>0.49705833333333332</v>
      </c>
      <c r="J685" s="1031" t="s">
        <v>795</v>
      </c>
      <c r="K685" s="1035" t="s">
        <v>2195</v>
      </c>
      <c r="P685"/>
    </row>
    <row r="686" spans="1:16" ht="30.75" thickBot="1" x14ac:dyDescent="0.3">
      <c r="A686" s="1031" t="s">
        <v>2395</v>
      </c>
      <c r="B686" s="1034">
        <f>'[1]PLAN DE DESARROLLO 2024 - 2027'!$K$46</f>
        <v>0.28357478219025023</v>
      </c>
      <c r="C686" s="1031" t="s">
        <v>2438</v>
      </c>
      <c r="D686" s="1034">
        <f>'[1]PLAN DE DESARROLLO 2024 - 2027'!$K$80</f>
        <v>0.32618503263111615</v>
      </c>
      <c r="E686" s="1031" t="s">
        <v>2450</v>
      </c>
      <c r="F686" s="1034">
        <f>'[1]PLAN DE DESARROLLO 2024 - 2027'!$K$87</f>
        <v>0.45795641025641026</v>
      </c>
      <c r="G686" s="1031" t="s">
        <v>840</v>
      </c>
      <c r="H686" s="1031" t="s">
        <v>841</v>
      </c>
      <c r="I686" s="1063">
        <f>+'Vida Digna'!Y188</f>
        <v>0.42499999999999999</v>
      </c>
      <c r="J686" s="1031" t="s">
        <v>795</v>
      </c>
      <c r="K686" s="1035" t="s">
        <v>2195</v>
      </c>
      <c r="P686"/>
    </row>
    <row r="687" spans="1:16" ht="30.75" thickBot="1" x14ac:dyDescent="0.3">
      <c r="A687" s="1031" t="s">
        <v>2395</v>
      </c>
      <c r="B687" s="1034">
        <f>'[1]PLAN DE DESARROLLO 2024 - 2027'!$K$46</f>
        <v>0.28357478219025023</v>
      </c>
      <c r="C687" s="1031" t="s">
        <v>2438</v>
      </c>
      <c r="D687" s="1034">
        <f>'[1]PLAN DE DESARROLLO 2024 - 2027'!$K$80</f>
        <v>0.32618503263111615</v>
      </c>
      <c r="E687" s="1031" t="s">
        <v>2450</v>
      </c>
      <c r="F687" s="1034">
        <f>'[1]PLAN DE DESARROLLO 2024 - 2027'!$K$87</f>
        <v>0.45795641025641026</v>
      </c>
      <c r="G687" s="1031" t="s">
        <v>843</v>
      </c>
      <c r="H687" s="1031" t="s">
        <v>844</v>
      </c>
      <c r="I687" s="1063">
        <f>+'Vida Digna'!Y189</f>
        <v>1</v>
      </c>
      <c r="J687" s="1031" t="s">
        <v>795</v>
      </c>
      <c r="K687" s="1035" t="s">
        <v>2195</v>
      </c>
      <c r="P687"/>
    </row>
    <row r="688" spans="1:16" ht="30.75" thickBot="1" x14ac:dyDescent="0.3">
      <c r="A688" s="1031" t="s">
        <v>2395</v>
      </c>
      <c r="B688" s="1034">
        <f>'[1]PLAN DE DESARROLLO 2024 - 2027'!$K$46</f>
        <v>0.28357478219025023</v>
      </c>
      <c r="C688" s="1031" t="s">
        <v>2438</v>
      </c>
      <c r="D688" s="1034">
        <f>'[1]PLAN DE DESARROLLO 2024 - 2027'!$K$80</f>
        <v>0.32618503263111615</v>
      </c>
      <c r="E688" s="1031" t="s">
        <v>2450</v>
      </c>
      <c r="F688" s="1034">
        <f>'[1]PLAN DE DESARROLLO 2024 - 2027'!$K$87</f>
        <v>0.45795641025641026</v>
      </c>
      <c r="G688" s="1031" t="s">
        <v>845</v>
      </c>
      <c r="H688" s="1031" t="s">
        <v>846</v>
      </c>
      <c r="I688" s="1063">
        <f>+'Vida Digna'!Y190</f>
        <v>0.40625</v>
      </c>
      <c r="J688" s="1031" t="s">
        <v>795</v>
      </c>
      <c r="K688" s="1035" t="s">
        <v>2195</v>
      </c>
      <c r="P688"/>
    </row>
    <row r="689" spans="1:16" ht="30.75" thickBot="1" x14ac:dyDescent="0.3">
      <c r="A689" s="1031" t="s">
        <v>2395</v>
      </c>
      <c r="B689" s="1034">
        <f>'[1]PLAN DE DESARROLLO 2024 - 2027'!$K$46</f>
        <v>0.28357478219025023</v>
      </c>
      <c r="C689" s="1031" t="s">
        <v>2438</v>
      </c>
      <c r="D689" s="1034">
        <f>'[1]PLAN DE DESARROLLO 2024 - 2027'!$K$80</f>
        <v>0.32618503263111615</v>
      </c>
      <c r="E689" s="1031" t="s">
        <v>2450</v>
      </c>
      <c r="F689" s="1034">
        <f>'[1]PLAN DE DESARROLLO 2024 - 2027'!$K$87</f>
        <v>0.45795641025641026</v>
      </c>
      <c r="G689" s="1031" t="s">
        <v>847</v>
      </c>
      <c r="H689" s="1031" t="s">
        <v>848</v>
      </c>
      <c r="I689" s="1063">
        <f>+'Vida Digna'!Y191</f>
        <v>0.77123076923076928</v>
      </c>
      <c r="J689" s="1031" t="s">
        <v>795</v>
      </c>
      <c r="K689" s="1035" t="s">
        <v>2195</v>
      </c>
      <c r="P689"/>
    </row>
    <row r="690" spans="1:16" ht="30.75" thickBot="1" x14ac:dyDescent="0.3">
      <c r="A690" s="1031" t="s">
        <v>2395</v>
      </c>
      <c r="B690" s="1034">
        <f>'[1]PLAN DE DESARROLLO 2024 - 2027'!$K$46</f>
        <v>0.28357478219025023</v>
      </c>
      <c r="C690" s="1031" t="s">
        <v>2451</v>
      </c>
      <c r="D690" s="1034">
        <f>'[1]PLAN DE DESARROLLO 2024 - 2027'!$K$88</f>
        <v>0.37093448209382435</v>
      </c>
      <c r="E690" s="1031" t="s">
        <v>2452</v>
      </c>
      <c r="F690" s="1034">
        <f>'[1]PLAN DE DESARROLLO 2024 - 2027'!$K$89</f>
        <v>0.36938472000473066</v>
      </c>
      <c r="G690" s="1031" t="s">
        <v>851</v>
      </c>
      <c r="H690" s="1031" t="s">
        <v>852</v>
      </c>
      <c r="I690" s="1063">
        <f>+'Vida Digna'!Y194</f>
        <v>0.54500000000000004</v>
      </c>
      <c r="J690" s="1031" t="s">
        <v>103</v>
      </c>
      <c r="K690" s="1035" t="s">
        <v>2195</v>
      </c>
      <c r="P690"/>
    </row>
    <row r="691" spans="1:16" ht="60.75" thickBot="1" x14ac:dyDescent="0.3">
      <c r="A691" s="1031" t="s">
        <v>2395</v>
      </c>
      <c r="B691" s="1034">
        <f>'[1]PLAN DE DESARROLLO 2024 - 2027'!$K$46</f>
        <v>0.28357478219025023</v>
      </c>
      <c r="C691" s="1031" t="s">
        <v>2451</v>
      </c>
      <c r="D691" s="1034">
        <f>'[1]PLAN DE DESARROLLO 2024 - 2027'!$K$88</f>
        <v>0.37093448209382435</v>
      </c>
      <c r="E691" s="1031" t="s">
        <v>2452</v>
      </c>
      <c r="F691" s="1034">
        <f>'[1]PLAN DE DESARROLLO 2024 - 2027'!$K$89</f>
        <v>0.36938472000473066</v>
      </c>
      <c r="G691" s="1031" t="s">
        <v>854</v>
      </c>
      <c r="H691" s="1031" t="s">
        <v>2453</v>
      </c>
      <c r="I691" s="1063">
        <f>+'Vida Digna'!Y195</f>
        <v>0.31514990243037078</v>
      </c>
      <c r="J691" s="1031" t="s">
        <v>103</v>
      </c>
      <c r="K691" s="1035" t="s">
        <v>2195</v>
      </c>
      <c r="P691"/>
    </row>
    <row r="692" spans="1:16" ht="30.75" thickBot="1" x14ac:dyDescent="0.3">
      <c r="A692" s="1031" t="s">
        <v>2395</v>
      </c>
      <c r="B692" s="1034">
        <f>'[1]PLAN DE DESARROLLO 2024 - 2027'!$K$46</f>
        <v>0.28357478219025023</v>
      </c>
      <c r="C692" s="1031" t="s">
        <v>2451</v>
      </c>
      <c r="D692" s="1034">
        <f>'[1]PLAN DE DESARROLLO 2024 - 2027'!$K$88</f>
        <v>0.37093448209382435</v>
      </c>
      <c r="E692" s="1031" t="s">
        <v>2452</v>
      </c>
      <c r="F692" s="1034">
        <f>'[1]PLAN DE DESARROLLO 2024 - 2027'!$K$89</f>
        <v>0.36938472000473066</v>
      </c>
      <c r="G692" s="1031" t="s">
        <v>856</v>
      </c>
      <c r="H692" s="1031" t="s">
        <v>857</v>
      </c>
      <c r="I692" s="1064">
        <f>+'Vida Digna'!Y196</f>
        <v>0.5</v>
      </c>
      <c r="J692" s="1031" t="s">
        <v>103</v>
      </c>
      <c r="K692" s="1035" t="s">
        <v>2195</v>
      </c>
      <c r="P692"/>
    </row>
    <row r="693" spans="1:16" ht="38.450000000000003" customHeight="1" thickBot="1" x14ac:dyDescent="0.3">
      <c r="A693" s="1031" t="s">
        <v>2395</v>
      </c>
      <c r="B693" s="1034">
        <f>'[1]PLAN DE DESARROLLO 2024 - 2027'!$K$46</f>
        <v>0.28357478219025023</v>
      </c>
      <c r="C693" s="1031" t="s">
        <v>2451</v>
      </c>
      <c r="D693" s="1034">
        <f>'[1]PLAN DE DESARROLLO 2024 - 2027'!$K$88</f>
        <v>0.37093448209382435</v>
      </c>
      <c r="E693" s="1031" t="s">
        <v>2452</v>
      </c>
      <c r="F693" s="1034">
        <f>'[1]PLAN DE DESARROLLO 2024 - 2027'!$K$89</f>
        <v>0.36938472000473066</v>
      </c>
      <c r="G693" s="1031" t="s">
        <v>858</v>
      </c>
      <c r="H693" s="1031" t="s">
        <v>859</v>
      </c>
      <c r="I693" s="1063">
        <f>+'Vida Digna'!Y197</f>
        <v>0.3666666666666667</v>
      </c>
      <c r="J693" s="1031" t="s">
        <v>103</v>
      </c>
      <c r="K693" s="1035" t="s">
        <v>2195</v>
      </c>
      <c r="P693"/>
    </row>
    <row r="694" spans="1:16" ht="45.75" thickBot="1" x14ac:dyDescent="0.3">
      <c r="A694" s="1031" t="s">
        <v>2395</v>
      </c>
      <c r="B694" s="1034">
        <f>'[1]PLAN DE DESARROLLO 2024 - 2027'!$K$46</f>
        <v>0.28357478219025023</v>
      </c>
      <c r="C694" s="1031" t="s">
        <v>2451</v>
      </c>
      <c r="D694" s="1034">
        <f>'[1]PLAN DE DESARROLLO 2024 - 2027'!$K$88</f>
        <v>0.37093448209382435</v>
      </c>
      <c r="E694" s="1031" t="s">
        <v>860</v>
      </c>
      <c r="F694" s="1034">
        <f>'[1]PLAN DE DESARROLLO 2024 - 2027'!$K$90</f>
        <v>0.26897048611111107</v>
      </c>
      <c r="G694" s="1031" t="s">
        <v>861</v>
      </c>
      <c r="H694" s="1031" t="s">
        <v>862</v>
      </c>
      <c r="I694" s="1063">
        <f>+'Vida Digna'!Y199</f>
        <v>0.42141666666666666</v>
      </c>
      <c r="J694" s="1031" t="s">
        <v>103</v>
      </c>
      <c r="K694" s="1035" t="s">
        <v>2195</v>
      </c>
      <c r="P694"/>
    </row>
    <row r="695" spans="1:16" ht="45.75" thickBot="1" x14ac:dyDescent="0.3">
      <c r="A695" s="1031" t="s">
        <v>2395</v>
      </c>
      <c r="B695" s="1034">
        <f>'[1]PLAN DE DESARROLLO 2024 - 2027'!$K$46</f>
        <v>0.28357478219025023</v>
      </c>
      <c r="C695" s="1031" t="s">
        <v>2451</v>
      </c>
      <c r="D695" s="1034">
        <f>'[1]PLAN DE DESARROLLO 2024 - 2027'!$K$88</f>
        <v>0.37093448209382435</v>
      </c>
      <c r="E695" s="1031" t="s">
        <v>860</v>
      </c>
      <c r="F695" s="1034">
        <f>'[1]PLAN DE DESARROLLO 2024 - 2027'!$K$90</f>
        <v>0.26897048611111107</v>
      </c>
      <c r="G695" s="1031" t="s">
        <v>863</v>
      </c>
      <c r="H695" s="1031" t="s">
        <v>864</v>
      </c>
      <c r="I695" s="1063">
        <f>+'Vida Digna'!Y200</f>
        <v>0.13385416666666666</v>
      </c>
      <c r="J695" s="1031" t="s">
        <v>103</v>
      </c>
      <c r="K695" s="1035" t="s">
        <v>2195</v>
      </c>
      <c r="P695"/>
    </row>
    <row r="696" spans="1:16" ht="45.75" thickBot="1" x14ac:dyDescent="0.3">
      <c r="A696" s="1031" t="s">
        <v>2395</v>
      </c>
      <c r="B696" s="1034">
        <f>'[1]PLAN DE DESARROLLO 2024 - 2027'!$K$46</f>
        <v>0.28357478219025023</v>
      </c>
      <c r="C696" s="1031" t="s">
        <v>2451</v>
      </c>
      <c r="D696" s="1034">
        <f>'[1]PLAN DE DESARROLLO 2024 - 2027'!$K$88</f>
        <v>0.37093448209382435</v>
      </c>
      <c r="E696" s="1031" t="s">
        <v>860</v>
      </c>
      <c r="F696" s="1034">
        <f>'[1]PLAN DE DESARROLLO 2024 - 2027'!$K$90</f>
        <v>0.26897048611111107</v>
      </c>
      <c r="G696" s="1031" t="s">
        <v>865</v>
      </c>
      <c r="H696" s="1031" t="s">
        <v>866</v>
      </c>
      <c r="I696" s="1063">
        <f>+'Vida Digna'!Y201</f>
        <v>0.5</v>
      </c>
      <c r="J696" s="1031" t="s">
        <v>103</v>
      </c>
      <c r="K696" s="1035" t="s">
        <v>2195</v>
      </c>
      <c r="P696"/>
    </row>
    <row r="697" spans="1:16" ht="30.75" thickBot="1" x14ac:dyDescent="0.3">
      <c r="A697" s="1031" t="s">
        <v>2395</v>
      </c>
      <c r="B697" s="1034">
        <f>'[1]PLAN DE DESARROLLO 2024 - 2027'!$K$46</f>
        <v>0.28357478219025023</v>
      </c>
      <c r="C697" s="1031" t="s">
        <v>2451</v>
      </c>
      <c r="D697" s="1034">
        <f>'[1]PLAN DE DESARROLLO 2024 - 2027'!$K$88</f>
        <v>0.37093448209382435</v>
      </c>
      <c r="E697" s="1031" t="s">
        <v>860</v>
      </c>
      <c r="F697" s="1034">
        <f>'[1]PLAN DE DESARROLLO 2024 - 2027'!$K$90</f>
        <v>0.26897048611111107</v>
      </c>
      <c r="G697" s="1031" t="s">
        <v>867</v>
      </c>
      <c r="H697" s="1031" t="s">
        <v>868</v>
      </c>
      <c r="I697" s="1063">
        <f>+'Vida Digna'!Y202</f>
        <v>0.25012499999999999</v>
      </c>
      <c r="J697" s="1031" t="s">
        <v>103</v>
      </c>
      <c r="K697" s="1035" t="s">
        <v>2195</v>
      </c>
      <c r="P697"/>
    </row>
    <row r="698" spans="1:16" ht="45.75" thickBot="1" x14ac:dyDescent="0.3">
      <c r="A698" s="1031" t="s">
        <v>2395</v>
      </c>
      <c r="B698" s="1034">
        <f>'[1]PLAN DE DESARROLLO 2024 - 2027'!$K$46</f>
        <v>0.28357478219025023</v>
      </c>
      <c r="C698" s="1031" t="s">
        <v>2451</v>
      </c>
      <c r="D698" s="1034">
        <f>'[1]PLAN DE DESARROLLO 2024 - 2027'!$K$88</f>
        <v>0.37093448209382435</v>
      </c>
      <c r="E698" s="1031" t="s">
        <v>870</v>
      </c>
      <c r="F698" s="1034">
        <f>'[1]PLAN DE DESARROLLO 2024 - 2027'!$K$91</f>
        <v>0.47444824016563147</v>
      </c>
      <c r="G698" s="1031" t="s">
        <v>871</v>
      </c>
      <c r="H698" s="1031" t="s">
        <v>872</v>
      </c>
      <c r="I698" s="1063">
        <f>+'Vida Digna'!Y204</f>
        <v>0.64925396825396831</v>
      </c>
      <c r="J698" s="1031" t="s">
        <v>103</v>
      </c>
      <c r="K698" s="1035" t="s">
        <v>2195</v>
      </c>
      <c r="P698"/>
    </row>
    <row r="699" spans="1:16" ht="45.75" thickBot="1" x14ac:dyDescent="0.3">
      <c r="A699" s="1031" t="s">
        <v>2395</v>
      </c>
      <c r="B699" s="1034">
        <f>'[1]PLAN DE DESARROLLO 2024 - 2027'!$K$46</f>
        <v>0.28357478219025023</v>
      </c>
      <c r="C699" s="1031" t="s">
        <v>2451</v>
      </c>
      <c r="D699" s="1034">
        <f>'[1]PLAN DE DESARROLLO 2024 - 2027'!$J$88</f>
        <v>0.33997892066194169</v>
      </c>
      <c r="E699" s="1031" t="s">
        <v>870</v>
      </c>
      <c r="F699" s="1034">
        <f>'[1]PLAN DE DESARROLLO 2024 - 2027'!$K$91</f>
        <v>0.47444824016563147</v>
      </c>
      <c r="G699" s="1031" t="s">
        <v>873</v>
      </c>
      <c r="H699" s="1031" t="s">
        <v>874</v>
      </c>
      <c r="I699" s="1063">
        <f>+'Vida Digna'!Y205</f>
        <v>0.54434782608695653</v>
      </c>
      <c r="J699" s="1031" t="s">
        <v>103</v>
      </c>
      <c r="K699" s="1035" t="s">
        <v>2195</v>
      </c>
      <c r="P699"/>
    </row>
    <row r="700" spans="1:16" s="1028" customFormat="1" ht="45" x14ac:dyDescent="0.25">
      <c r="A700" s="1031" t="s">
        <v>2341</v>
      </c>
      <c r="B700" s="1039">
        <f>'[1]PLAN DE DESARROLLO 2024 - 2027'!$M$4</f>
        <v>0.24028917333263158</v>
      </c>
      <c r="C700" s="1031" t="s">
        <v>2342</v>
      </c>
      <c r="D700" s="1040">
        <f>'[1]PLAN DE DESARROLLO 2024 - 2027'!$M$26</f>
        <v>0.20558940382884341</v>
      </c>
      <c r="E700" s="1031" t="s">
        <v>2360</v>
      </c>
      <c r="F700" s="1041">
        <f>[2]Hoja1!$B$6</f>
        <v>0.24820393974507535</v>
      </c>
      <c r="G700" s="1031" t="s">
        <v>314</v>
      </c>
      <c r="H700" s="1031" t="s">
        <v>315</v>
      </c>
      <c r="I700" s="1031"/>
      <c r="J700" s="1031" t="s">
        <v>103</v>
      </c>
      <c r="K700" s="1042" t="s">
        <v>2454</v>
      </c>
    </row>
    <row r="701" spans="1:16" s="1028" customFormat="1" ht="45" x14ac:dyDescent="0.25">
      <c r="A701" s="1031" t="s">
        <v>2341</v>
      </c>
      <c r="B701" s="1039">
        <f>'[1]PLAN DE DESARROLLO 2024 - 2027'!$M$4</f>
        <v>0.24028917333263158</v>
      </c>
      <c r="C701" s="1031" t="s">
        <v>2342</v>
      </c>
      <c r="D701" s="1040">
        <f>'[1]PLAN DE DESARROLLO 2024 - 2027'!$M$26</f>
        <v>0.20558940382884341</v>
      </c>
      <c r="E701" s="1031" t="s">
        <v>2360</v>
      </c>
      <c r="F701" s="1041">
        <f>[2]Hoja1!$B$6</f>
        <v>0.24820393974507535</v>
      </c>
      <c r="G701" s="1031" t="s">
        <v>316</v>
      </c>
      <c r="H701" s="1031" t="s">
        <v>2361</v>
      </c>
      <c r="I701" s="1031"/>
      <c r="J701" s="1031" t="s">
        <v>103</v>
      </c>
      <c r="K701" s="1042" t="s">
        <v>2454</v>
      </c>
    </row>
    <row r="702" spans="1:16" s="1028" customFormat="1" ht="30" x14ac:dyDescent="0.25">
      <c r="A702" s="1031" t="s">
        <v>2395</v>
      </c>
      <c r="B702" s="1039">
        <f>'[1]PLAN DE DESARROLLO 2024 - 2027'!$M$46</f>
        <v>0.25251661967012345</v>
      </c>
      <c r="C702" s="1031" t="s">
        <v>2427</v>
      </c>
      <c r="D702" s="1040">
        <f>'[1]PLAN DE DESARROLLO 2024 - 2027'!$M$64</f>
        <v>0.21558039327044773</v>
      </c>
      <c r="E702" s="1031" t="s">
        <v>639</v>
      </c>
      <c r="F702" s="1041">
        <f>[2]Hoja1!$B$3</f>
        <v>0.39456388039163154</v>
      </c>
      <c r="G702" s="1031" t="s">
        <v>640</v>
      </c>
      <c r="H702" s="1031" t="s">
        <v>641</v>
      </c>
      <c r="I702" s="1031"/>
      <c r="J702" s="1031" t="s">
        <v>2428</v>
      </c>
      <c r="K702" s="1042" t="s">
        <v>2454</v>
      </c>
    </row>
    <row r="703" spans="1:16" s="1028" customFormat="1" ht="30" x14ac:dyDescent="0.25">
      <c r="A703" s="1031" t="s">
        <v>2395</v>
      </c>
      <c r="B703" s="1039">
        <f>'[1]PLAN DE DESARROLLO 2024 - 2027'!$M$46</f>
        <v>0.25251661967012345</v>
      </c>
      <c r="C703" s="1031" t="s">
        <v>2427</v>
      </c>
      <c r="D703" s="1040">
        <f>'[1]PLAN DE DESARROLLO 2024 - 2027'!$M$64</f>
        <v>0.21558039327044773</v>
      </c>
      <c r="E703" s="1031" t="s">
        <v>639</v>
      </c>
      <c r="F703" s="1041">
        <f>[2]Hoja1!$B$3</f>
        <v>0.39456388039163154</v>
      </c>
      <c r="G703" s="1031" t="s">
        <v>644</v>
      </c>
      <c r="H703" s="1031" t="s">
        <v>645</v>
      </c>
      <c r="I703" s="1031"/>
      <c r="J703" s="1031" t="s">
        <v>2428</v>
      </c>
      <c r="K703" s="1042" t="s">
        <v>2454</v>
      </c>
    </row>
    <row r="704" spans="1:16" s="1028" customFormat="1" ht="30" x14ac:dyDescent="0.25">
      <c r="A704" s="1031" t="s">
        <v>2395</v>
      </c>
      <c r="B704" s="1039">
        <f>'[1]PLAN DE DESARROLLO 2024 - 2027'!$M$46</f>
        <v>0.25251661967012345</v>
      </c>
      <c r="C704" s="1031" t="s">
        <v>2427</v>
      </c>
      <c r="D704" s="1040">
        <f>'[1]PLAN DE DESARROLLO 2024 - 2027'!$M$64</f>
        <v>0.21558039327044773</v>
      </c>
      <c r="E704" s="1031" t="s">
        <v>639</v>
      </c>
      <c r="F704" s="1041">
        <f>[2]Hoja1!$B$3</f>
        <v>0.39456388039163154</v>
      </c>
      <c r="G704" s="1031" t="s">
        <v>646</v>
      </c>
      <c r="H704" s="1031" t="s">
        <v>647</v>
      </c>
      <c r="I704" s="1031"/>
      <c r="J704" s="1031" t="s">
        <v>2428</v>
      </c>
      <c r="K704" s="1042" t="s">
        <v>2454</v>
      </c>
    </row>
    <row r="705" spans="1:11" s="1028" customFormat="1" ht="45" x14ac:dyDescent="0.25">
      <c r="A705" s="1031" t="s">
        <v>2395</v>
      </c>
      <c r="B705" s="1039">
        <f>'[1]PLAN DE DESARROLLO 2024 - 2027'!$M$46</f>
        <v>0.25251661967012345</v>
      </c>
      <c r="C705" s="1031" t="s">
        <v>2427</v>
      </c>
      <c r="D705" s="1040">
        <f>'[1]PLAN DE DESARROLLO 2024 - 2027'!$M$64</f>
        <v>0.21558039327044773</v>
      </c>
      <c r="E705" s="1031" t="s">
        <v>639</v>
      </c>
      <c r="F705" s="1041">
        <f>[2]Hoja1!$B$3</f>
        <v>0.39456388039163154</v>
      </c>
      <c r="G705" s="1031" t="s">
        <v>648</v>
      </c>
      <c r="H705" s="1031" t="s">
        <v>649</v>
      </c>
      <c r="I705" s="1031"/>
      <c r="J705" s="1031" t="s">
        <v>2428</v>
      </c>
      <c r="K705" s="1042" t="s">
        <v>2454</v>
      </c>
    </row>
    <row r="706" spans="1:11" s="1028" customFormat="1" ht="30" x14ac:dyDescent="0.25">
      <c r="A706" s="1031" t="s">
        <v>2395</v>
      </c>
      <c r="B706" s="1039">
        <f>'[1]PLAN DE DESARROLLO 2024 - 2027'!$M$46</f>
        <v>0.25251661967012345</v>
      </c>
      <c r="C706" s="1031" t="s">
        <v>2427</v>
      </c>
      <c r="D706" s="1040">
        <f>'[1]PLAN DE DESARROLLO 2024 - 2027'!$M$64</f>
        <v>0.21558039327044773</v>
      </c>
      <c r="E706" s="1031" t="s">
        <v>639</v>
      </c>
      <c r="F706" s="1041">
        <f>[2]Hoja1!$B$3</f>
        <v>0.39456388039163154</v>
      </c>
      <c r="G706" s="1031" t="s">
        <v>650</v>
      </c>
      <c r="H706" s="1031" t="s">
        <v>651</v>
      </c>
      <c r="I706" s="1031"/>
      <c r="J706" s="1031" t="s">
        <v>2428</v>
      </c>
      <c r="K706" s="1042" t="s">
        <v>2454</v>
      </c>
    </row>
    <row r="707" spans="1:11" s="1028" customFormat="1" ht="30" x14ac:dyDescent="0.25">
      <c r="A707" s="1031" t="s">
        <v>2395</v>
      </c>
      <c r="B707" s="1039">
        <f>'[1]PLAN DE DESARROLLO 2024 - 2027'!$M$46</f>
        <v>0.25251661967012345</v>
      </c>
      <c r="C707" s="1031" t="s">
        <v>2427</v>
      </c>
      <c r="D707" s="1040">
        <f>'[1]PLAN DE DESARROLLO 2024 - 2027'!$M$64</f>
        <v>0.21558039327044773</v>
      </c>
      <c r="E707" s="1031" t="s">
        <v>639</v>
      </c>
      <c r="F707" s="1041">
        <f>[2]Hoja1!$B$3</f>
        <v>0.39456388039163154</v>
      </c>
      <c r="G707" s="1031" t="s">
        <v>652</v>
      </c>
      <c r="H707" s="1031" t="s">
        <v>653</v>
      </c>
      <c r="I707" s="1031"/>
      <c r="J707" s="1031" t="s">
        <v>2428</v>
      </c>
      <c r="K707" s="1042" t="s">
        <v>2454</v>
      </c>
    </row>
    <row r="708" spans="1:11" s="1028" customFormat="1" ht="30" x14ac:dyDescent="0.25">
      <c r="A708" s="1031" t="s">
        <v>2395</v>
      </c>
      <c r="B708" s="1039">
        <f>'[1]PLAN DE DESARROLLO 2024 - 2027'!$M$46</f>
        <v>0.25251661967012345</v>
      </c>
      <c r="C708" s="1031" t="s">
        <v>2427</v>
      </c>
      <c r="D708" s="1040">
        <f>'[1]PLAN DE DESARROLLO 2024 - 2027'!$M$64</f>
        <v>0.21558039327044773</v>
      </c>
      <c r="E708" s="1031" t="s">
        <v>639</v>
      </c>
      <c r="F708" s="1041">
        <f>[2]Hoja1!$B$3</f>
        <v>0.39456388039163154</v>
      </c>
      <c r="G708" s="1031" t="s">
        <v>654</v>
      </c>
      <c r="H708" s="1031" t="s">
        <v>655</v>
      </c>
      <c r="I708" s="1031"/>
      <c r="J708" s="1031" t="s">
        <v>2428</v>
      </c>
      <c r="K708" s="1042" t="s">
        <v>2454</v>
      </c>
    </row>
    <row r="709" spans="1:11" s="1028" customFormat="1" ht="90" x14ac:dyDescent="0.25">
      <c r="A709" s="1031" t="s">
        <v>2395</v>
      </c>
      <c r="B709" s="1039">
        <f>'[1]PLAN DE DESARROLLO 2024 - 2027'!$M$46</f>
        <v>0.25251661967012345</v>
      </c>
      <c r="C709" s="1031" t="s">
        <v>2427</v>
      </c>
      <c r="D709" s="1040">
        <f>'[1]PLAN DE DESARROLLO 2024 - 2027'!$M$64</f>
        <v>0.21558039327044773</v>
      </c>
      <c r="E709" s="1031" t="s">
        <v>639</v>
      </c>
      <c r="F709" s="1041">
        <f>[2]Hoja1!$B$3</f>
        <v>0.39456388039163154</v>
      </c>
      <c r="G709" s="1031" t="s">
        <v>656</v>
      </c>
      <c r="H709" s="1031" t="s">
        <v>2429</v>
      </c>
      <c r="I709" s="1031"/>
      <c r="J709" s="1031" t="s">
        <v>658</v>
      </c>
      <c r="K709" s="1042" t="s">
        <v>2454</v>
      </c>
    </row>
    <row r="710" spans="1:11" s="1028" customFormat="1" ht="30" x14ac:dyDescent="0.25">
      <c r="A710" s="1031" t="s">
        <v>2215</v>
      </c>
      <c r="B710" s="1043">
        <f>'[1]PLAN DE DESARROLLO 2024 - 2027'!$M$123</f>
        <v>0.20174333228533195</v>
      </c>
      <c r="C710" s="1031" t="s">
        <v>2252</v>
      </c>
      <c r="D710" s="1040">
        <f>'[1]PLAN DE DESARROLLO 2024 - 2027'!$M$136</f>
        <v>0.3779372351486594</v>
      </c>
      <c r="E710" s="1031" t="s">
        <v>2258</v>
      </c>
      <c r="F710" s="1044">
        <f>[2]Hoja1!$B$4</f>
        <v>0.78099999999999992</v>
      </c>
      <c r="G710" s="1031" t="s">
        <v>1323</v>
      </c>
      <c r="H710" s="1031" t="s">
        <v>1324</v>
      </c>
      <c r="I710" s="1031"/>
      <c r="J710" s="1031" t="s">
        <v>2259</v>
      </c>
      <c r="K710" s="1042" t="s">
        <v>2454</v>
      </c>
    </row>
    <row r="711" spans="1:11" s="1028" customFormat="1" ht="30" x14ac:dyDescent="0.25">
      <c r="A711" s="1031" t="s">
        <v>2215</v>
      </c>
      <c r="B711" s="1043">
        <f>'[1]PLAN DE DESARROLLO 2024 - 2027'!$M$123</f>
        <v>0.20174333228533195</v>
      </c>
      <c r="C711" s="1031" t="s">
        <v>2252</v>
      </c>
      <c r="D711" s="1040">
        <f>'[1]PLAN DE DESARROLLO 2024 - 2027'!$M$136</f>
        <v>0.3779372351486594</v>
      </c>
      <c r="E711" s="1031" t="s">
        <v>2258</v>
      </c>
      <c r="F711" s="1044">
        <f>[2]Hoja1!$B$4</f>
        <v>0.78099999999999992</v>
      </c>
      <c r="G711" s="1031" t="s">
        <v>1326</v>
      </c>
      <c r="H711" s="1031" t="s">
        <v>1327</v>
      </c>
      <c r="I711" s="1031"/>
      <c r="J711" s="1031" t="s">
        <v>1206</v>
      </c>
      <c r="K711" s="1042" t="s">
        <v>2454</v>
      </c>
    </row>
    <row r="712" spans="1:11" s="1028" customFormat="1" ht="30" x14ac:dyDescent="0.25">
      <c r="A712" s="1031" t="s">
        <v>2215</v>
      </c>
      <c r="B712" s="1043">
        <f>'[1]PLAN DE DESARROLLO 2024 - 2027'!$M$123</f>
        <v>0.20174333228533195</v>
      </c>
      <c r="C712" s="1031" t="s">
        <v>2252</v>
      </c>
      <c r="D712" s="1040">
        <f>'[1]PLAN DE DESARROLLO 2024 - 2027'!$M$136</f>
        <v>0.3779372351486594</v>
      </c>
      <c r="E712" s="1031" t="s">
        <v>2254</v>
      </c>
      <c r="F712" s="1041">
        <f>[2]Hoja1!$B$40</f>
        <v>0.35532727272727277</v>
      </c>
      <c r="G712" s="1031" t="s">
        <v>1288</v>
      </c>
      <c r="H712" s="1031" t="s">
        <v>1289</v>
      </c>
      <c r="I712" s="1031"/>
      <c r="J712" s="1031" t="s">
        <v>1290</v>
      </c>
      <c r="K712" s="1042" t="s">
        <v>2454</v>
      </c>
    </row>
    <row r="713" spans="1:11" s="1028" customFormat="1" ht="54.75" customHeight="1" x14ac:dyDescent="0.25">
      <c r="A713" s="1031" t="s">
        <v>2215</v>
      </c>
      <c r="B713" s="1043">
        <f>'[1]PLAN DE DESARROLLO 2024 - 2027'!$M$123</f>
        <v>0.20174333228533195</v>
      </c>
      <c r="C713" s="1031" t="s">
        <v>2252</v>
      </c>
      <c r="D713" s="1040">
        <f>'[1]PLAN DE DESARROLLO 2024 - 2027'!$M$136</f>
        <v>0.3779372351486594</v>
      </c>
      <c r="E713" s="1031" t="s">
        <v>2254</v>
      </c>
      <c r="F713" s="1041">
        <f>[2]Hoja1!$B$40</f>
        <v>0.35532727272727277</v>
      </c>
      <c r="G713" s="1031" t="s">
        <v>1292</v>
      </c>
      <c r="H713" s="1031" t="s">
        <v>1293</v>
      </c>
      <c r="I713" s="1031"/>
      <c r="J713" s="1031" t="s">
        <v>2255</v>
      </c>
      <c r="K713" s="1042" t="s">
        <v>2454</v>
      </c>
    </row>
    <row r="714" spans="1:11" s="1028" customFormat="1" ht="30" x14ac:dyDescent="0.25">
      <c r="A714" s="1031" t="s">
        <v>2341</v>
      </c>
      <c r="B714" s="1039">
        <f>'[1]PLAN DE DESARROLLO 2024 - 2027'!$M$4</f>
        <v>0.24028917333263158</v>
      </c>
      <c r="C714" s="1031" t="s">
        <v>2342</v>
      </c>
      <c r="D714" s="1040">
        <f>'[1]PLAN DE DESARROLLO 2024 - 2027'!$M$26</f>
        <v>0.20558940382884341</v>
      </c>
      <c r="E714" s="1031" t="s">
        <v>339</v>
      </c>
      <c r="F714" s="1041">
        <f>[2]Hoja1!$B$9</f>
        <v>2.5000000000000001E-2</v>
      </c>
      <c r="G714" s="1031" t="s">
        <v>340</v>
      </c>
      <c r="H714" s="1031" t="s">
        <v>341</v>
      </c>
      <c r="I714" s="1031"/>
      <c r="J714" s="1031" t="s">
        <v>47</v>
      </c>
      <c r="K714" s="1042" t="s">
        <v>2454</v>
      </c>
    </row>
    <row r="715" spans="1:11" s="1028" customFormat="1" ht="30" x14ac:dyDescent="0.25">
      <c r="A715" s="1031" t="s">
        <v>2341</v>
      </c>
      <c r="B715" s="1039">
        <f>'[1]PLAN DE DESARROLLO 2024 - 2027'!$M$4</f>
        <v>0.24028917333263158</v>
      </c>
      <c r="C715" s="1031" t="s">
        <v>2342</v>
      </c>
      <c r="D715" s="1040">
        <f>'[1]PLAN DE DESARROLLO 2024 - 2027'!$M$26</f>
        <v>0.20558940382884341</v>
      </c>
      <c r="E715" s="1031" t="s">
        <v>339</v>
      </c>
      <c r="F715" s="1041">
        <f>[2]Hoja1!$B$9</f>
        <v>2.5000000000000001E-2</v>
      </c>
      <c r="G715" s="1031" t="s">
        <v>342</v>
      </c>
      <c r="H715" s="1031" t="s">
        <v>343</v>
      </c>
      <c r="I715" s="1031"/>
      <c r="J715" s="1031" t="s">
        <v>47</v>
      </c>
      <c r="K715" s="1042" t="s">
        <v>2454</v>
      </c>
    </row>
    <row r="716" spans="1:11" s="1028" customFormat="1" ht="60" x14ac:dyDescent="0.25">
      <c r="A716" s="1031" t="s">
        <v>2341</v>
      </c>
      <c r="B716" s="1039">
        <f>'[1]PLAN DE DESARROLLO 2024 - 2027'!$M$4</f>
        <v>0.24028917333263158</v>
      </c>
      <c r="C716" s="1031" t="s">
        <v>2342</v>
      </c>
      <c r="D716" s="1040">
        <f>'[1]PLAN DE DESARROLLO 2024 - 2027'!$M$26</f>
        <v>0.20558940382884341</v>
      </c>
      <c r="E716" s="1031" t="s">
        <v>339</v>
      </c>
      <c r="F716" s="1041">
        <f>[2]Hoja1!$B$9</f>
        <v>2.5000000000000001E-2</v>
      </c>
      <c r="G716" s="1031" t="s">
        <v>344</v>
      </c>
      <c r="H716" s="1031" t="s">
        <v>345</v>
      </c>
      <c r="I716" s="1031"/>
      <c r="J716" s="1031" t="s">
        <v>2364</v>
      </c>
      <c r="K716" s="1042" t="s">
        <v>2454</v>
      </c>
    </row>
    <row r="717" spans="1:11" s="1028" customFormat="1" ht="45" x14ac:dyDescent="0.25">
      <c r="A717" s="1031" t="s">
        <v>2341</v>
      </c>
      <c r="B717" s="1039">
        <f>'[1]PLAN DE DESARROLLO 2024 - 2027'!$M$4</f>
        <v>0.24028917333263158</v>
      </c>
      <c r="C717" s="1031" t="s">
        <v>2342</v>
      </c>
      <c r="D717" s="1040">
        <f>'[1]PLAN DE DESARROLLO 2024 - 2027'!$M$26</f>
        <v>0.20558940382884341</v>
      </c>
      <c r="E717" s="1031" t="s">
        <v>339</v>
      </c>
      <c r="F717" s="1041">
        <f>[2]Hoja1!$B$9</f>
        <v>2.5000000000000001E-2</v>
      </c>
      <c r="G717" s="1031" t="s">
        <v>348</v>
      </c>
      <c r="H717" s="1031" t="s">
        <v>349</v>
      </c>
      <c r="I717" s="1031"/>
      <c r="J717" s="1031" t="s">
        <v>47</v>
      </c>
      <c r="K717" s="1042" t="s">
        <v>2454</v>
      </c>
    </row>
    <row r="718" spans="1:11" s="1028" customFormat="1" ht="30" x14ac:dyDescent="0.25">
      <c r="A718" s="1031" t="s">
        <v>2341</v>
      </c>
      <c r="B718" s="1039">
        <f>'[1]PLAN DE DESARROLLO 2024 - 2027'!$M$4</f>
        <v>0.24028917333263158</v>
      </c>
      <c r="C718" s="1031" t="s">
        <v>2342</v>
      </c>
      <c r="D718" s="1040">
        <f>'[1]PLAN DE DESARROLLO 2024 - 2027'!$M$26</f>
        <v>0.20558940382884341</v>
      </c>
      <c r="E718" s="1031" t="s">
        <v>339</v>
      </c>
      <c r="F718" s="1041">
        <f>[2]Hoja1!$B$9</f>
        <v>2.5000000000000001E-2</v>
      </c>
      <c r="G718" s="1031" t="s">
        <v>352</v>
      </c>
      <c r="H718" s="1031" t="s">
        <v>353</v>
      </c>
      <c r="I718" s="1031"/>
      <c r="J718" s="1031" t="s">
        <v>219</v>
      </c>
      <c r="K718" s="1042" t="s">
        <v>2454</v>
      </c>
    </row>
    <row r="719" spans="1:11" s="1028" customFormat="1" ht="30" x14ac:dyDescent="0.25">
      <c r="A719" s="1031" t="s">
        <v>2341</v>
      </c>
      <c r="B719" s="1039">
        <f>'[1]PLAN DE DESARROLLO 2024 - 2027'!$M$4</f>
        <v>0.24028917333263158</v>
      </c>
      <c r="C719" s="1031" t="s">
        <v>2342</v>
      </c>
      <c r="D719" s="1040">
        <f>'[1]PLAN DE DESARROLLO 2024 - 2027'!$M$26</f>
        <v>0.20558940382884341</v>
      </c>
      <c r="E719" s="1031" t="s">
        <v>339</v>
      </c>
      <c r="F719" s="1041">
        <f>[2]Hoja1!$B$9</f>
        <v>2.5000000000000001E-2</v>
      </c>
      <c r="G719" s="1031" t="s">
        <v>355</v>
      </c>
      <c r="H719" s="1031" t="s">
        <v>356</v>
      </c>
      <c r="I719" s="1031"/>
      <c r="J719" s="1031" t="s">
        <v>658</v>
      </c>
      <c r="K719" s="1042" t="s">
        <v>2454</v>
      </c>
    </row>
    <row r="720" spans="1:11" s="1028" customFormat="1" ht="45" x14ac:dyDescent="0.25">
      <c r="A720" s="1031" t="s">
        <v>2341</v>
      </c>
      <c r="B720" s="1039">
        <f>'[1]PLAN DE DESARROLLO 2024 - 2027'!$M$4</f>
        <v>0.24028917333263158</v>
      </c>
      <c r="C720" s="1031" t="s">
        <v>2342</v>
      </c>
      <c r="D720" s="1040">
        <f>'[1]PLAN DE DESARROLLO 2024 - 2027'!$M$26</f>
        <v>0.20558940382884341</v>
      </c>
      <c r="E720" s="1031" t="s">
        <v>359</v>
      </c>
      <c r="F720" s="1041">
        <f>[2]Hoja1!$B$28</f>
        <v>0.19040000000000001</v>
      </c>
      <c r="G720" s="1031" t="s">
        <v>360</v>
      </c>
      <c r="H720" s="1031" t="s">
        <v>361</v>
      </c>
      <c r="I720" s="1031"/>
      <c r="J720" s="1031" t="s">
        <v>103</v>
      </c>
      <c r="K720" s="1042" t="s">
        <v>2454</v>
      </c>
    </row>
    <row r="721" spans="1:11" s="1028" customFormat="1" ht="45" x14ac:dyDescent="0.25">
      <c r="A721" s="1031" t="s">
        <v>2341</v>
      </c>
      <c r="B721" s="1039">
        <f>'[1]PLAN DE DESARROLLO 2024 - 2027'!$M$4</f>
        <v>0.24028917333263158</v>
      </c>
      <c r="C721" s="1031" t="s">
        <v>2342</v>
      </c>
      <c r="D721" s="1040">
        <f>'[1]PLAN DE DESARROLLO 2024 - 2027'!$M$26</f>
        <v>0.20558940382884341</v>
      </c>
      <c r="E721" s="1031" t="s">
        <v>359</v>
      </c>
      <c r="F721" s="1041">
        <f>[2]Hoja1!$B$28</f>
        <v>0.19040000000000001</v>
      </c>
      <c r="G721" s="1031" t="s">
        <v>362</v>
      </c>
      <c r="H721" s="1031" t="s">
        <v>363</v>
      </c>
      <c r="I721" s="1031"/>
      <c r="J721" s="1031" t="s">
        <v>103</v>
      </c>
      <c r="K721" s="1042" t="s">
        <v>2454</v>
      </c>
    </row>
    <row r="722" spans="1:11" s="1028" customFormat="1" ht="45" x14ac:dyDescent="0.25">
      <c r="A722" s="1031" t="s">
        <v>2341</v>
      </c>
      <c r="B722" s="1039">
        <f>'[1]PLAN DE DESARROLLO 2024 - 2027'!$M$4</f>
        <v>0.24028917333263158</v>
      </c>
      <c r="C722" s="1031" t="s">
        <v>2342</v>
      </c>
      <c r="D722" s="1040">
        <f>'[1]PLAN DE DESARROLLO 2024 - 2027'!$M$26</f>
        <v>0.20558940382884341</v>
      </c>
      <c r="E722" s="1031" t="s">
        <v>359</v>
      </c>
      <c r="F722" s="1041">
        <f>[2]Hoja1!$B$28</f>
        <v>0.19040000000000001</v>
      </c>
      <c r="G722" s="1031" t="s">
        <v>364</v>
      </c>
      <c r="H722" s="1031" t="s">
        <v>365</v>
      </c>
      <c r="I722" s="1031"/>
      <c r="J722" s="1031" t="s">
        <v>103</v>
      </c>
      <c r="K722" s="1042" t="s">
        <v>2454</v>
      </c>
    </row>
    <row r="723" spans="1:11" s="1028" customFormat="1" ht="75" x14ac:dyDescent="0.25">
      <c r="A723" s="1031" t="s">
        <v>2341</v>
      </c>
      <c r="B723" s="1039">
        <f>'[1]PLAN DE DESARROLLO 2024 - 2027'!$M$4</f>
        <v>0.24028917333263158</v>
      </c>
      <c r="C723" s="1031" t="s">
        <v>2342</v>
      </c>
      <c r="D723" s="1040">
        <f>'[1]PLAN DE DESARROLLO 2024 - 2027'!$M$26</f>
        <v>0.20558940382884341</v>
      </c>
      <c r="E723" s="1031" t="s">
        <v>359</v>
      </c>
      <c r="F723" s="1041">
        <f>[2]Hoja1!$B$28</f>
        <v>0.19040000000000001</v>
      </c>
      <c r="G723" s="1031" t="s">
        <v>2365</v>
      </c>
      <c r="H723" s="1031" t="s">
        <v>367</v>
      </c>
      <c r="I723" s="1031"/>
      <c r="J723" s="1031" t="s">
        <v>103</v>
      </c>
      <c r="K723" s="1042" t="s">
        <v>2454</v>
      </c>
    </row>
    <row r="724" spans="1:11" s="1028" customFormat="1" ht="60" x14ac:dyDescent="0.25">
      <c r="A724" s="1031" t="s">
        <v>2341</v>
      </c>
      <c r="B724" s="1039">
        <f>'[1]PLAN DE DESARROLLO 2024 - 2027'!$M$4</f>
        <v>0.24028917333263158</v>
      </c>
      <c r="C724" s="1031" t="s">
        <v>2342</v>
      </c>
      <c r="D724" s="1040">
        <f>'[1]PLAN DE DESARROLLO 2024 - 2027'!$M$26</f>
        <v>0.20558940382884341</v>
      </c>
      <c r="E724" s="1031" t="s">
        <v>359</v>
      </c>
      <c r="F724" s="1041">
        <f>[2]Hoja1!$B$28</f>
        <v>0.19040000000000001</v>
      </c>
      <c r="G724" s="1031" t="s">
        <v>368</v>
      </c>
      <c r="H724" s="1031" t="s">
        <v>369</v>
      </c>
      <c r="I724" s="1031"/>
      <c r="J724" s="1031" t="s">
        <v>103</v>
      </c>
      <c r="K724" s="1042" t="s">
        <v>2454</v>
      </c>
    </row>
    <row r="725" spans="1:11" s="1028" customFormat="1" ht="30" x14ac:dyDescent="0.25">
      <c r="A725" s="1031" t="s">
        <v>2341</v>
      </c>
      <c r="B725" s="1039">
        <f>'[1]PLAN DE DESARROLLO 2024 - 2027'!$M$4</f>
        <v>0.24028917333263158</v>
      </c>
      <c r="C725" s="1031" t="s">
        <v>2342</v>
      </c>
      <c r="D725" s="1040">
        <f>'[1]PLAN DE DESARROLLO 2024 - 2027'!$M$26</f>
        <v>0.20558940382884341</v>
      </c>
      <c r="E725" s="1031" t="s">
        <v>2363</v>
      </c>
      <c r="F725" s="1041">
        <f>[2]Hoja1!$B$38</f>
        <v>0.26875000000000004</v>
      </c>
      <c r="G725" s="1031" t="s">
        <v>330</v>
      </c>
      <c r="H725" s="1031" t="s">
        <v>331</v>
      </c>
      <c r="I725" s="1031"/>
      <c r="J725" s="1031" t="s">
        <v>103</v>
      </c>
      <c r="K725" s="1042" t="s">
        <v>2454</v>
      </c>
    </row>
    <row r="726" spans="1:11" s="1028" customFormat="1" ht="30" x14ac:dyDescent="0.25">
      <c r="A726" s="1031" t="s">
        <v>2341</v>
      </c>
      <c r="B726" s="1039">
        <f>'[1]PLAN DE DESARROLLO 2024 - 2027'!$M$4</f>
        <v>0.24028917333263158</v>
      </c>
      <c r="C726" s="1031" t="s">
        <v>2342</v>
      </c>
      <c r="D726" s="1040">
        <f>'[1]PLAN DE DESARROLLO 2024 - 2027'!$M$26</f>
        <v>0.20558940382884341</v>
      </c>
      <c r="E726" s="1031" t="s">
        <v>2363</v>
      </c>
      <c r="F726" s="1041">
        <f>[2]Hoja1!$B$38</f>
        <v>0.26875000000000004</v>
      </c>
      <c r="G726" s="1031" t="s">
        <v>332</v>
      </c>
      <c r="H726" s="1031" t="s">
        <v>333</v>
      </c>
      <c r="I726" s="1031"/>
      <c r="J726" s="1031" t="s">
        <v>103</v>
      </c>
      <c r="K726" s="1042" t="s">
        <v>2454</v>
      </c>
    </row>
    <row r="727" spans="1:11" s="1028" customFormat="1" ht="30" x14ac:dyDescent="0.25">
      <c r="A727" s="1031" t="s">
        <v>2341</v>
      </c>
      <c r="B727" s="1039">
        <f>'[1]PLAN DE DESARROLLO 2024 - 2027'!$M$4</f>
        <v>0.24028917333263158</v>
      </c>
      <c r="C727" s="1031" t="s">
        <v>2342</v>
      </c>
      <c r="D727" s="1040">
        <f>'[1]PLAN DE DESARROLLO 2024 - 2027'!$M$26</f>
        <v>0.20558940382884341</v>
      </c>
      <c r="E727" s="1031" t="s">
        <v>2363</v>
      </c>
      <c r="F727" s="1041">
        <f>[2]Hoja1!$B$38</f>
        <v>0.26875000000000004</v>
      </c>
      <c r="G727" s="1031" t="s">
        <v>334</v>
      </c>
      <c r="H727" s="1031" t="s">
        <v>335</v>
      </c>
      <c r="I727" s="1031"/>
      <c r="J727" s="1031" t="s">
        <v>103</v>
      </c>
      <c r="K727" s="1042" t="s">
        <v>2454</v>
      </c>
    </row>
    <row r="728" spans="1:11" s="1028" customFormat="1" ht="30" x14ac:dyDescent="0.25">
      <c r="A728" s="1031" t="s">
        <v>2341</v>
      </c>
      <c r="B728" s="1039">
        <f>'[1]PLAN DE DESARROLLO 2024 - 2027'!$M$4</f>
        <v>0.24028917333263158</v>
      </c>
      <c r="C728" s="1031" t="s">
        <v>2342</v>
      </c>
      <c r="D728" s="1040">
        <f>'[1]PLAN DE DESARROLLO 2024 - 2027'!$M$26</f>
        <v>0.20558940382884341</v>
      </c>
      <c r="E728" s="1031" t="s">
        <v>2363</v>
      </c>
      <c r="F728" s="1041">
        <f>[2]Hoja1!$B$38</f>
        <v>0.26875000000000004</v>
      </c>
      <c r="G728" s="1031" t="s">
        <v>337</v>
      </c>
      <c r="H728" s="1031" t="s">
        <v>338</v>
      </c>
      <c r="I728" s="1031"/>
      <c r="J728" s="1031" t="s">
        <v>103</v>
      </c>
      <c r="K728" s="1042" t="s">
        <v>2454</v>
      </c>
    </row>
    <row r="729" spans="1:11" s="1028" customFormat="1" ht="30" x14ac:dyDescent="0.25">
      <c r="A729" s="1031" t="s">
        <v>2341</v>
      </c>
      <c r="B729" s="1039">
        <f>'[1]PLAN DE DESARROLLO 2024 - 2027'!$M$4</f>
        <v>0.24028917333263158</v>
      </c>
      <c r="C729" s="1031" t="s">
        <v>2342</v>
      </c>
      <c r="D729" s="1040">
        <f>'[1]PLAN DE DESARROLLO 2024 - 2027'!$M$26</f>
        <v>0.20558940382884341</v>
      </c>
      <c r="E729" s="1031" t="s">
        <v>2357</v>
      </c>
      <c r="F729" s="1041">
        <f>[2]Hoja1!$B$69</f>
        <v>0.2153430793991416</v>
      </c>
      <c r="G729" s="1031" t="s">
        <v>296</v>
      </c>
      <c r="H729" s="1031" t="s">
        <v>297</v>
      </c>
      <c r="I729" s="1031"/>
      <c r="J729" s="1031" t="s">
        <v>103</v>
      </c>
      <c r="K729" s="1042" t="s">
        <v>2454</v>
      </c>
    </row>
    <row r="730" spans="1:11" s="1028" customFormat="1" ht="30" x14ac:dyDescent="0.25">
      <c r="A730" s="1031" t="s">
        <v>2341</v>
      </c>
      <c r="B730" s="1039">
        <f>'[1]PLAN DE DESARROLLO 2024 - 2027'!$M$4</f>
        <v>0.24028917333263158</v>
      </c>
      <c r="C730" s="1031" t="s">
        <v>2342</v>
      </c>
      <c r="D730" s="1040">
        <f>'[1]PLAN DE DESARROLLO 2024 - 2027'!$M$26</f>
        <v>0.20558940382884341</v>
      </c>
      <c r="E730" s="1031" t="s">
        <v>2357</v>
      </c>
      <c r="F730" s="1041">
        <f>[2]Hoja1!$B$69</f>
        <v>0.2153430793991416</v>
      </c>
      <c r="G730" s="1031" t="s">
        <v>299</v>
      </c>
      <c r="H730" s="1031" t="s">
        <v>300</v>
      </c>
      <c r="I730" s="1031"/>
      <c r="J730" s="1031" t="s">
        <v>103</v>
      </c>
      <c r="K730" s="1042" t="s">
        <v>2454</v>
      </c>
    </row>
    <row r="731" spans="1:11" s="1028" customFormat="1" ht="30" x14ac:dyDescent="0.25">
      <c r="A731" s="1031" t="s">
        <v>2341</v>
      </c>
      <c r="B731" s="1039">
        <f>'[1]PLAN DE DESARROLLO 2024 - 2027'!$M$4</f>
        <v>0.24028917333263158</v>
      </c>
      <c r="C731" s="1031" t="s">
        <v>2342</v>
      </c>
      <c r="D731" s="1040">
        <f>'[1]PLAN DE DESARROLLO 2024 - 2027'!$M$26</f>
        <v>0.20558940382884341</v>
      </c>
      <c r="E731" s="1031" t="s">
        <v>2357</v>
      </c>
      <c r="F731" s="1041">
        <f>[2]Hoja1!$B$69</f>
        <v>0.2153430793991416</v>
      </c>
      <c r="G731" s="1031" t="s">
        <v>301</v>
      </c>
      <c r="H731" s="1031" t="s">
        <v>302</v>
      </c>
      <c r="I731" s="1031"/>
      <c r="J731" s="1031" t="s">
        <v>103</v>
      </c>
      <c r="K731" s="1042" t="s">
        <v>2454</v>
      </c>
    </row>
    <row r="732" spans="1:11" s="1028" customFormat="1" ht="30" x14ac:dyDescent="0.25">
      <c r="A732" s="1031" t="s">
        <v>2341</v>
      </c>
      <c r="B732" s="1039">
        <f>'[1]PLAN DE DESARROLLO 2024 - 2027'!$M$4</f>
        <v>0.24028917333263158</v>
      </c>
      <c r="C732" s="1031" t="s">
        <v>2342</v>
      </c>
      <c r="D732" s="1040">
        <f>'[1]PLAN DE DESARROLLO 2024 - 2027'!$M$26</f>
        <v>0.20558940382884341</v>
      </c>
      <c r="E732" s="1031" t="s">
        <v>2357</v>
      </c>
      <c r="F732" s="1041">
        <f>[2]Hoja1!$B$69</f>
        <v>0.2153430793991416</v>
      </c>
      <c r="G732" s="1031" t="s">
        <v>303</v>
      </c>
      <c r="H732" s="1031" t="s">
        <v>304</v>
      </c>
      <c r="I732" s="1031"/>
      <c r="J732" s="1031" t="s">
        <v>103</v>
      </c>
      <c r="K732" s="1042" t="s">
        <v>2454</v>
      </c>
    </row>
    <row r="733" spans="1:11" s="1028" customFormat="1" ht="30" x14ac:dyDescent="0.25">
      <c r="A733" s="1031" t="s">
        <v>2341</v>
      </c>
      <c r="B733" s="1039">
        <f>'[1]PLAN DE DESARROLLO 2024 - 2027'!$M$4</f>
        <v>0.24028917333263158</v>
      </c>
      <c r="C733" s="1031" t="s">
        <v>2342</v>
      </c>
      <c r="D733" s="1040">
        <f>'[1]PLAN DE DESARROLLO 2024 - 2027'!$M$26</f>
        <v>0.20558940382884341</v>
      </c>
      <c r="E733" s="1031" t="s">
        <v>2357</v>
      </c>
      <c r="F733" s="1041">
        <f>[2]Hoja1!$B$69</f>
        <v>0.2153430793991416</v>
      </c>
      <c r="G733" s="1031" t="s">
        <v>305</v>
      </c>
      <c r="H733" s="1031" t="s">
        <v>306</v>
      </c>
      <c r="I733" s="1031"/>
      <c r="J733" s="1031" t="s">
        <v>103</v>
      </c>
      <c r="K733" s="1042" t="s">
        <v>2454</v>
      </c>
    </row>
    <row r="734" spans="1:11" s="1028" customFormat="1" ht="30" x14ac:dyDescent="0.25">
      <c r="A734" s="1031" t="s">
        <v>2341</v>
      </c>
      <c r="B734" s="1039">
        <f>'[1]PLAN DE DESARROLLO 2024 - 2027'!$M$4</f>
        <v>0.24028917333263158</v>
      </c>
      <c r="C734" s="1031" t="s">
        <v>2342</v>
      </c>
      <c r="D734" s="1040">
        <f>'[1]PLAN DE DESARROLLO 2024 - 2027'!$M$26</f>
        <v>0.20558940382884341</v>
      </c>
      <c r="E734" s="1031" t="s">
        <v>2357</v>
      </c>
      <c r="F734" s="1041">
        <f>[2]Hoja1!$B$69</f>
        <v>0.2153430793991416</v>
      </c>
      <c r="G734" s="1031" t="s">
        <v>307</v>
      </c>
      <c r="H734" s="1031" t="s">
        <v>308</v>
      </c>
      <c r="I734" s="1031"/>
      <c r="J734" s="1031" t="s">
        <v>103</v>
      </c>
      <c r="K734" s="1042" t="s">
        <v>2454</v>
      </c>
    </row>
    <row r="735" spans="1:11" s="1028" customFormat="1" ht="30" x14ac:dyDescent="0.25">
      <c r="A735" s="1031" t="s">
        <v>2341</v>
      </c>
      <c r="B735" s="1039">
        <f>'[1]PLAN DE DESARROLLO 2024 - 2027'!$M$4</f>
        <v>0.24028917333263158</v>
      </c>
      <c r="C735" s="1031" t="s">
        <v>2342</v>
      </c>
      <c r="D735" s="1040">
        <f>'[1]PLAN DE DESARROLLO 2024 - 2027'!$M$26</f>
        <v>0.20558940382884341</v>
      </c>
      <c r="E735" s="1031" t="s">
        <v>2357</v>
      </c>
      <c r="F735" s="1041">
        <f>[2]Hoja1!$B$69</f>
        <v>0.2153430793991416</v>
      </c>
      <c r="G735" s="1031" t="s">
        <v>2358</v>
      </c>
      <c r="H735" s="1031" t="s">
        <v>2359</v>
      </c>
      <c r="I735" s="1031"/>
      <c r="J735" s="1031" t="s">
        <v>103</v>
      </c>
      <c r="K735" s="1042" t="s">
        <v>2454</v>
      </c>
    </row>
    <row r="736" spans="1:11" s="1028" customFormat="1" ht="45" x14ac:dyDescent="0.25">
      <c r="A736" s="1031" t="s">
        <v>2341</v>
      </c>
      <c r="B736" s="1039">
        <f>'[1]PLAN DE DESARROLLO 2024 - 2027'!$M$4</f>
        <v>0.24028917333263158</v>
      </c>
      <c r="C736" s="1031" t="s">
        <v>2342</v>
      </c>
      <c r="D736" s="1040">
        <f>'[1]PLAN DE DESARROLLO 2024 - 2027'!$M$26</f>
        <v>0.20558940382884341</v>
      </c>
      <c r="E736" s="1031" t="s">
        <v>2357</v>
      </c>
      <c r="F736" s="1041">
        <f>[2]Hoja1!$B$69</f>
        <v>0.2153430793991416</v>
      </c>
      <c r="G736" s="1031" t="s">
        <v>311</v>
      </c>
      <c r="H736" s="1031" t="s">
        <v>312</v>
      </c>
      <c r="I736" s="1031"/>
      <c r="J736" s="1031" t="s">
        <v>103</v>
      </c>
      <c r="K736" s="1042" t="s">
        <v>2454</v>
      </c>
    </row>
    <row r="737" spans="1:11" s="1028" customFormat="1" ht="30" x14ac:dyDescent="0.25">
      <c r="A737" s="1031" t="s">
        <v>2341</v>
      </c>
      <c r="B737" s="1039">
        <f>'[1]PLAN DE DESARROLLO 2024 - 2027'!$M$4</f>
        <v>0.24028917333263158</v>
      </c>
      <c r="C737" s="1031" t="s">
        <v>2342</v>
      </c>
      <c r="D737" s="1040">
        <f>'[1]PLAN DE DESARROLLO 2024 - 2027'!$M$26</f>
        <v>0.20558940382884341</v>
      </c>
      <c r="E737" s="1031" t="s">
        <v>370</v>
      </c>
      <c r="F737" s="1041">
        <f>[2]Hoja1!$B$146</f>
        <v>0</v>
      </c>
      <c r="G737" s="1031" t="s">
        <v>373</v>
      </c>
      <c r="H737" s="1031" t="s">
        <v>374</v>
      </c>
      <c r="I737" s="1031"/>
      <c r="J737" s="1031" t="s">
        <v>103</v>
      </c>
      <c r="K737" s="1042" t="s">
        <v>2454</v>
      </c>
    </row>
    <row r="738" spans="1:11" s="1028" customFormat="1" ht="60" x14ac:dyDescent="0.25">
      <c r="A738" s="1031" t="s">
        <v>2341</v>
      </c>
      <c r="B738" s="1039">
        <f>'[1]PLAN DE DESARROLLO 2024 - 2027'!$M$4</f>
        <v>0.24028917333263158</v>
      </c>
      <c r="C738" s="1031" t="s">
        <v>2342</v>
      </c>
      <c r="D738" s="1040">
        <f>'[1]PLAN DE DESARROLLO 2024 - 2027'!$M$26</f>
        <v>0.20558940382884341</v>
      </c>
      <c r="E738" s="1031" t="s">
        <v>370</v>
      </c>
      <c r="F738" s="1041">
        <f>[2]Hoja1!$B$146</f>
        <v>0</v>
      </c>
      <c r="G738" s="1031" t="s">
        <v>375</v>
      </c>
      <c r="H738" s="1031" t="s">
        <v>376</v>
      </c>
      <c r="I738" s="1031"/>
      <c r="J738" s="1031" t="s">
        <v>103</v>
      </c>
      <c r="K738" s="1042" t="s">
        <v>2454</v>
      </c>
    </row>
    <row r="739" spans="1:11" s="1028" customFormat="1" ht="45" x14ac:dyDescent="0.25">
      <c r="A739" s="1031" t="s">
        <v>2341</v>
      </c>
      <c r="B739" s="1039">
        <f>'[1]PLAN DE DESARROLLO 2024 - 2027'!$M$4</f>
        <v>0.24028917333263158</v>
      </c>
      <c r="C739" s="1031" t="s">
        <v>2342</v>
      </c>
      <c r="D739" s="1040">
        <f>'[1]PLAN DE DESARROLLO 2024 - 2027'!$M$26</f>
        <v>0.20558940382884341</v>
      </c>
      <c r="E739" s="1031" t="s">
        <v>370</v>
      </c>
      <c r="F739" s="1041">
        <f>[2]Hoja1!$B$146</f>
        <v>0</v>
      </c>
      <c r="G739" s="1031" t="s">
        <v>377</v>
      </c>
      <c r="H739" s="1031" t="s">
        <v>378</v>
      </c>
      <c r="I739" s="1031"/>
      <c r="J739" s="1031" t="s">
        <v>103</v>
      </c>
      <c r="K739" s="1042" t="s">
        <v>2454</v>
      </c>
    </row>
    <row r="740" spans="1:11" s="1028" customFormat="1" ht="30" x14ac:dyDescent="0.25">
      <c r="A740" s="1031" t="s">
        <v>2341</v>
      </c>
      <c r="B740" s="1039">
        <f>'[1]PLAN DE DESARROLLO 2024 - 2027'!$M$4</f>
        <v>0.24028917333263158</v>
      </c>
      <c r="C740" s="1031" t="s">
        <v>2342</v>
      </c>
      <c r="D740" s="1040">
        <f>'[1]PLAN DE DESARROLLO 2024 - 2027'!$M$26</f>
        <v>0.20558940382884341</v>
      </c>
      <c r="E740" s="1031" t="s">
        <v>370</v>
      </c>
      <c r="F740" s="1041">
        <f>[2]Hoja1!$B$146</f>
        <v>0</v>
      </c>
      <c r="G740" s="1031" t="s">
        <v>379</v>
      </c>
      <c r="H740" s="1031" t="s">
        <v>380</v>
      </c>
      <c r="I740" s="1031"/>
      <c r="J740" s="1031" t="s">
        <v>103</v>
      </c>
      <c r="K740" s="1042" t="s">
        <v>2454</v>
      </c>
    </row>
    <row r="741" spans="1:11" s="1028" customFormat="1" ht="30" x14ac:dyDescent="0.25">
      <c r="A741" s="1031" t="s">
        <v>2341</v>
      </c>
      <c r="B741" s="1039">
        <f>'[1]PLAN DE DESARROLLO 2024 - 2027'!$M$4</f>
        <v>0.24028917333263158</v>
      </c>
      <c r="C741" s="1031" t="s">
        <v>2342</v>
      </c>
      <c r="D741" s="1040">
        <f>'[1]PLAN DE DESARROLLO 2024 - 2027'!$M$26</f>
        <v>0.20558940382884341</v>
      </c>
      <c r="E741" s="1031" t="s">
        <v>2362</v>
      </c>
      <c r="F741" s="1041">
        <f>[2]Hoja1!$B$158</f>
        <v>0.19800000000000001</v>
      </c>
      <c r="G741" s="1031" t="s">
        <v>319</v>
      </c>
      <c r="H741" s="1031" t="s">
        <v>320</v>
      </c>
      <c r="I741" s="1031"/>
      <c r="J741" s="1031" t="s">
        <v>103</v>
      </c>
      <c r="K741" s="1042" t="s">
        <v>2454</v>
      </c>
    </row>
    <row r="742" spans="1:11" s="1028" customFormat="1" ht="30" x14ac:dyDescent="0.25">
      <c r="A742" s="1031" t="s">
        <v>2341</v>
      </c>
      <c r="B742" s="1039">
        <f>'[1]PLAN DE DESARROLLO 2024 - 2027'!$M$4</f>
        <v>0.24028917333263158</v>
      </c>
      <c r="C742" s="1031" t="s">
        <v>2342</v>
      </c>
      <c r="D742" s="1040">
        <f>'[1]PLAN DE DESARROLLO 2024 - 2027'!$M$26</f>
        <v>0.20558940382884341</v>
      </c>
      <c r="E742" s="1031" t="s">
        <v>2362</v>
      </c>
      <c r="F742" s="1041">
        <f>[2]Hoja1!$B$158</f>
        <v>0.19800000000000001</v>
      </c>
      <c r="G742" s="1031" t="s">
        <v>321</v>
      </c>
      <c r="H742" s="1031" t="s">
        <v>322</v>
      </c>
      <c r="I742" s="1031"/>
      <c r="J742" s="1031" t="s">
        <v>103</v>
      </c>
      <c r="K742" s="1042" t="s">
        <v>2454</v>
      </c>
    </row>
    <row r="743" spans="1:11" s="1028" customFormat="1" ht="30" x14ac:dyDescent="0.25">
      <c r="A743" s="1031" t="s">
        <v>2341</v>
      </c>
      <c r="B743" s="1039">
        <f>'[1]PLAN DE DESARROLLO 2024 - 2027'!$M$4</f>
        <v>0.24028917333263158</v>
      </c>
      <c r="C743" s="1031" t="s">
        <v>2342</v>
      </c>
      <c r="D743" s="1040">
        <f>'[1]PLAN DE DESARROLLO 2024 - 2027'!$M$26</f>
        <v>0.20558940382884341</v>
      </c>
      <c r="E743" s="1031" t="s">
        <v>2362</v>
      </c>
      <c r="F743" s="1041">
        <f>[2]Hoja1!$B$158</f>
        <v>0.19800000000000001</v>
      </c>
      <c r="G743" s="1031" t="s">
        <v>323</v>
      </c>
      <c r="H743" s="1031" t="s">
        <v>324</v>
      </c>
      <c r="I743" s="1031"/>
      <c r="J743" s="1031" t="s">
        <v>103</v>
      </c>
      <c r="K743" s="1042" t="s">
        <v>2454</v>
      </c>
    </row>
    <row r="744" spans="1:11" s="1028" customFormat="1" ht="30" x14ac:dyDescent="0.25">
      <c r="A744" s="1031" t="s">
        <v>2341</v>
      </c>
      <c r="B744" s="1039">
        <f>'[1]PLAN DE DESARROLLO 2024 - 2027'!$M$4</f>
        <v>0.24028917333263158</v>
      </c>
      <c r="C744" s="1031" t="s">
        <v>2342</v>
      </c>
      <c r="D744" s="1040">
        <f>'[1]PLAN DE DESARROLLO 2024 - 2027'!$M$26</f>
        <v>0.20558940382884341</v>
      </c>
      <c r="E744" s="1031" t="s">
        <v>2362</v>
      </c>
      <c r="F744" s="1041">
        <f>[2]Hoja1!$B$158</f>
        <v>0.19800000000000001</v>
      </c>
      <c r="G744" s="1031" t="s">
        <v>325</v>
      </c>
      <c r="H744" s="1031" t="s">
        <v>326</v>
      </c>
      <c r="I744" s="1031"/>
      <c r="J744" s="1031" t="s">
        <v>103</v>
      </c>
      <c r="K744" s="1042" t="s">
        <v>2454</v>
      </c>
    </row>
    <row r="745" spans="1:11" s="1028" customFormat="1" ht="45" x14ac:dyDescent="0.25">
      <c r="A745" s="1031" t="s">
        <v>2192</v>
      </c>
      <c r="B745" s="1043">
        <f>'[1]PLAN DE DESARROLLO 2024 - 2027'!$M$198</f>
        <v>3.4556250000000004E-2</v>
      </c>
      <c r="C745" s="1031" t="s">
        <v>2196</v>
      </c>
      <c r="D745" s="1045">
        <f>'[1]PLAN DE DESARROLLO 2024 - 2027'!$M$203</f>
        <v>3.0624999999999999E-2</v>
      </c>
      <c r="E745" s="1031" t="s">
        <v>1917</v>
      </c>
      <c r="F745" s="1041">
        <f>[2]Hoja1!$B$10</f>
        <v>0</v>
      </c>
      <c r="G745" s="1031" t="s">
        <v>1918</v>
      </c>
      <c r="H745" s="1031" t="s">
        <v>1919</v>
      </c>
      <c r="I745" s="1031"/>
      <c r="J745" s="1031" t="s">
        <v>219</v>
      </c>
      <c r="K745" s="1042" t="s">
        <v>2454</v>
      </c>
    </row>
    <row r="746" spans="1:11" s="1028" customFormat="1" ht="30" x14ac:dyDescent="0.25">
      <c r="A746" s="1031" t="s">
        <v>2192</v>
      </c>
      <c r="B746" s="1043">
        <f>'[1]PLAN DE DESARROLLO 2024 - 2027'!$M$198</f>
        <v>3.4556250000000004E-2</v>
      </c>
      <c r="C746" s="1031" t="s">
        <v>2196</v>
      </c>
      <c r="D746" s="1045">
        <f>'[1]PLAN DE DESARROLLO 2024 - 2027'!$M$203</f>
        <v>3.0624999999999999E-2</v>
      </c>
      <c r="E746" s="1031" t="s">
        <v>1917</v>
      </c>
      <c r="F746" s="1041">
        <f>[2]Hoja1!$B$10</f>
        <v>0</v>
      </c>
      <c r="G746" s="1031" t="s">
        <v>1921</v>
      </c>
      <c r="H746" s="1031" t="s">
        <v>1922</v>
      </c>
      <c r="I746" s="1031"/>
      <c r="J746" s="1031" t="s">
        <v>219</v>
      </c>
      <c r="K746" s="1042" t="s">
        <v>2454</v>
      </c>
    </row>
    <row r="747" spans="1:11" s="1028" customFormat="1" ht="45" x14ac:dyDescent="0.25">
      <c r="A747" s="1031" t="s">
        <v>2192</v>
      </c>
      <c r="B747" s="1043">
        <f>'[1]PLAN DE DESARROLLO 2024 - 2027'!$M$198</f>
        <v>3.4556250000000004E-2</v>
      </c>
      <c r="C747" s="1031" t="s">
        <v>2196</v>
      </c>
      <c r="D747" s="1045">
        <f>'[1]PLAN DE DESARROLLO 2024 - 2027'!$M$203</f>
        <v>3.0624999999999999E-2</v>
      </c>
      <c r="E747" s="1031" t="s">
        <v>1917</v>
      </c>
      <c r="F747" s="1041">
        <f>[2]Hoja1!$B$10</f>
        <v>0</v>
      </c>
      <c r="G747" s="1031" t="s">
        <v>1925</v>
      </c>
      <c r="H747" s="1031" t="s">
        <v>1926</v>
      </c>
      <c r="I747" s="1031"/>
      <c r="J747" s="1031" t="s">
        <v>103</v>
      </c>
      <c r="K747" s="1042" t="s">
        <v>2454</v>
      </c>
    </row>
    <row r="748" spans="1:11" s="1028" customFormat="1" ht="45" x14ac:dyDescent="0.25">
      <c r="A748" s="1031" t="s">
        <v>2192</v>
      </c>
      <c r="B748" s="1043">
        <f>'[1]PLAN DE DESARROLLO 2024 - 2027'!$M$198</f>
        <v>3.4556250000000004E-2</v>
      </c>
      <c r="C748" s="1031" t="s">
        <v>2196</v>
      </c>
      <c r="D748" s="1045">
        <f>'[1]PLAN DE DESARROLLO 2024 - 2027'!$M$203</f>
        <v>3.0624999999999999E-2</v>
      </c>
      <c r="E748" s="1031" t="s">
        <v>1917</v>
      </c>
      <c r="F748" s="1041">
        <f>[2]Hoja1!$B$10</f>
        <v>0</v>
      </c>
      <c r="G748" s="1031" t="s">
        <v>1927</v>
      </c>
      <c r="H748" s="1031" t="s">
        <v>1928</v>
      </c>
      <c r="I748" s="1031"/>
      <c r="J748" s="1031" t="s">
        <v>795</v>
      </c>
      <c r="K748" s="1042" t="s">
        <v>2454</v>
      </c>
    </row>
    <row r="749" spans="1:11" s="1028" customFormat="1" ht="60" x14ac:dyDescent="0.25">
      <c r="A749" s="1031" t="s">
        <v>2192</v>
      </c>
      <c r="B749" s="1043">
        <f>'[1]PLAN DE DESARROLLO 2024 - 2027'!$M$198</f>
        <v>3.4556250000000004E-2</v>
      </c>
      <c r="C749" s="1031" t="s">
        <v>2196</v>
      </c>
      <c r="D749" s="1045">
        <f>'[1]PLAN DE DESARROLLO 2024 - 2027'!$M$203</f>
        <v>3.0624999999999999E-2</v>
      </c>
      <c r="E749" s="1031" t="s">
        <v>1917</v>
      </c>
      <c r="F749" s="1041">
        <f>[2]Hoja1!$B$10</f>
        <v>0</v>
      </c>
      <c r="G749" s="1031" t="s">
        <v>1929</v>
      </c>
      <c r="H749" s="1031" t="s">
        <v>1930</v>
      </c>
      <c r="I749" s="1031"/>
      <c r="J749" s="1031" t="s">
        <v>724</v>
      </c>
      <c r="K749" s="1042" t="s">
        <v>2454</v>
      </c>
    </row>
    <row r="750" spans="1:11" s="1028" customFormat="1" ht="30" x14ac:dyDescent="0.25">
      <c r="A750" s="1031" t="s">
        <v>2192</v>
      </c>
      <c r="B750" s="1043">
        <f>'[1]PLAN DE DESARROLLO 2024 - 2027'!$M$198</f>
        <v>3.4556250000000004E-2</v>
      </c>
      <c r="C750" s="1031" t="s">
        <v>2196</v>
      </c>
      <c r="D750" s="1045">
        <f>'[1]PLAN DE DESARROLLO 2024 - 2027'!$M$203</f>
        <v>3.0624999999999999E-2</v>
      </c>
      <c r="E750" s="1031" t="s">
        <v>1917</v>
      </c>
      <c r="F750" s="1041">
        <f>[2]Hoja1!$B$10</f>
        <v>0</v>
      </c>
      <c r="G750" s="1031" t="s">
        <v>1931</v>
      </c>
      <c r="H750" s="1031" t="s">
        <v>1932</v>
      </c>
      <c r="I750" s="1031"/>
      <c r="J750" s="1031" t="s">
        <v>950</v>
      </c>
      <c r="K750" s="1042" t="s">
        <v>2454</v>
      </c>
    </row>
    <row r="751" spans="1:11" s="1028" customFormat="1" ht="30" x14ac:dyDescent="0.25">
      <c r="A751" s="1031" t="s">
        <v>2395</v>
      </c>
      <c r="B751" s="1039">
        <f>'[1]PLAN DE DESARROLLO 2024 - 2027'!$M$46</f>
        <v>0.25251661967012345</v>
      </c>
      <c r="C751" s="1031" t="s">
        <v>2427</v>
      </c>
      <c r="D751" s="1040">
        <f>'[1]PLAN DE DESARROLLO 2024 - 2027'!$M$64</f>
        <v>0.21558039327044773</v>
      </c>
      <c r="E751" s="1031" t="s">
        <v>660</v>
      </c>
      <c r="F751" s="1041">
        <f>[2]Hoja1!$B$15</f>
        <v>0.10614285714285715</v>
      </c>
      <c r="G751" s="1031" t="s">
        <v>661</v>
      </c>
      <c r="H751" s="1031" t="s">
        <v>662</v>
      </c>
      <c r="I751" s="1031"/>
      <c r="J751" s="1031" t="s">
        <v>2428</v>
      </c>
      <c r="K751" s="1042" t="s">
        <v>2454</v>
      </c>
    </row>
    <row r="752" spans="1:11" s="1028" customFormat="1" ht="30" x14ac:dyDescent="0.25">
      <c r="A752" s="1031" t="s">
        <v>2395</v>
      </c>
      <c r="B752" s="1039">
        <f>'[1]PLAN DE DESARROLLO 2024 - 2027'!$M$46</f>
        <v>0.25251661967012345</v>
      </c>
      <c r="C752" s="1031" t="s">
        <v>2427</v>
      </c>
      <c r="D752" s="1040">
        <f>'[1]PLAN DE DESARROLLO 2024 - 2027'!$M$64</f>
        <v>0.21558039327044773</v>
      </c>
      <c r="E752" s="1031" t="s">
        <v>660</v>
      </c>
      <c r="F752" s="1041">
        <f>[2]Hoja1!$B$15</f>
        <v>0.10614285714285715</v>
      </c>
      <c r="G752" s="1031" t="s">
        <v>663</v>
      </c>
      <c r="H752" s="1031" t="s">
        <v>664</v>
      </c>
      <c r="I752" s="1031"/>
      <c r="J752" s="1031" t="s">
        <v>2428</v>
      </c>
      <c r="K752" s="1042" t="s">
        <v>2454</v>
      </c>
    </row>
    <row r="753" spans="1:11" s="1028" customFormat="1" ht="30" x14ac:dyDescent="0.25">
      <c r="A753" s="1031" t="s">
        <v>2266</v>
      </c>
      <c r="B753" s="1043">
        <f>'[1]PLAN DE DESARROLLO 2024 - 2027'!$M$92</f>
        <v>0.25050860314981654</v>
      </c>
      <c r="C753" s="1031" t="s">
        <v>2274</v>
      </c>
      <c r="D753" s="1040">
        <f>'[1]PLAN DE DESARROLLO 2024 - 2027'!$M$93</f>
        <v>0.32850000000000001</v>
      </c>
      <c r="E753" s="1031" t="s">
        <v>2277</v>
      </c>
      <c r="F753" s="1041">
        <f>[2]Hoja1!$B$30</f>
        <v>0.24750000000000003</v>
      </c>
      <c r="G753" s="1031" t="s">
        <v>898</v>
      </c>
      <c r="H753" s="1031" t="s">
        <v>899</v>
      </c>
      <c r="I753" s="1031"/>
      <c r="J753" s="1031" t="s">
        <v>883</v>
      </c>
      <c r="K753" s="1042" t="s">
        <v>2454</v>
      </c>
    </row>
    <row r="754" spans="1:11" s="1028" customFormat="1" x14ac:dyDescent="0.25">
      <c r="A754" s="1031" t="s">
        <v>2266</v>
      </c>
      <c r="B754" s="1043">
        <f>'[1]PLAN DE DESARROLLO 2024 - 2027'!$M$92</f>
        <v>0.25050860314981654</v>
      </c>
      <c r="C754" s="1031" t="s">
        <v>2274</v>
      </c>
      <c r="D754" s="1040">
        <f>'[1]PLAN DE DESARROLLO 2024 - 2027'!$M$93</f>
        <v>0.32850000000000001</v>
      </c>
      <c r="E754" s="1031" t="s">
        <v>2277</v>
      </c>
      <c r="F754" s="1041">
        <f>[2]Hoja1!$B$30</f>
        <v>0.24750000000000003</v>
      </c>
      <c r="G754" s="1031" t="s">
        <v>900</v>
      </c>
      <c r="H754" s="1031" t="s">
        <v>901</v>
      </c>
      <c r="I754" s="1031"/>
      <c r="J754" s="1031" t="s">
        <v>883</v>
      </c>
      <c r="K754" s="1042" t="s">
        <v>2454</v>
      </c>
    </row>
    <row r="755" spans="1:11" s="1028" customFormat="1" ht="45" x14ac:dyDescent="0.25">
      <c r="A755" s="1031" t="s">
        <v>2266</v>
      </c>
      <c r="B755" s="1043">
        <f>'[1]PLAN DE DESARROLLO 2024 - 2027'!$M$92</f>
        <v>0.25050860314981654</v>
      </c>
      <c r="C755" s="1031" t="s">
        <v>2274</v>
      </c>
      <c r="D755" s="1040">
        <f>'[1]PLAN DE DESARROLLO 2024 - 2027'!$M$93</f>
        <v>0.32850000000000001</v>
      </c>
      <c r="E755" s="1031" t="s">
        <v>2277</v>
      </c>
      <c r="F755" s="1041">
        <f>[2]Hoja1!$B$30</f>
        <v>0.24750000000000003</v>
      </c>
      <c r="G755" s="1031" t="s">
        <v>902</v>
      </c>
      <c r="H755" s="1031" t="s">
        <v>903</v>
      </c>
      <c r="I755" s="1031"/>
      <c r="J755" s="1031" t="s">
        <v>883</v>
      </c>
      <c r="K755" s="1042" t="s">
        <v>2454</v>
      </c>
    </row>
    <row r="756" spans="1:11" s="1028" customFormat="1" x14ac:dyDescent="0.25">
      <c r="A756" s="1031" t="s">
        <v>2266</v>
      </c>
      <c r="B756" s="1043">
        <f>'[1]PLAN DE DESARROLLO 2024 - 2027'!$M$92</f>
        <v>0.25050860314981654</v>
      </c>
      <c r="C756" s="1031" t="s">
        <v>2274</v>
      </c>
      <c r="D756" s="1040">
        <f>'[1]PLAN DE DESARROLLO 2024 - 2027'!$M$93</f>
        <v>0.32850000000000001</v>
      </c>
      <c r="E756" s="1031" t="s">
        <v>2275</v>
      </c>
      <c r="F756" s="1041">
        <f>[2]Hoja1!$B$162</f>
        <v>0.45</v>
      </c>
      <c r="G756" s="1031" t="s">
        <v>881</v>
      </c>
      <c r="H756" s="1031" t="s">
        <v>882</v>
      </c>
      <c r="I756" s="1031"/>
      <c r="J756" s="1031" t="s">
        <v>883</v>
      </c>
      <c r="K756" s="1042" t="s">
        <v>2454</v>
      </c>
    </row>
    <row r="757" spans="1:11" s="1028" customFormat="1" ht="30" x14ac:dyDescent="0.25">
      <c r="A757" s="1031" t="s">
        <v>2266</v>
      </c>
      <c r="B757" s="1043">
        <f>'[1]PLAN DE DESARROLLO 2024 - 2027'!$M$92</f>
        <v>0.25050860314981654</v>
      </c>
      <c r="C757" s="1031" t="s">
        <v>2274</v>
      </c>
      <c r="D757" s="1040">
        <f>'[1]PLAN DE DESARROLLO 2024 - 2027'!$M$93</f>
        <v>0.32850000000000001</v>
      </c>
      <c r="E757" s="1031" t="s">
        <v>2275</v>
      </c>
      <c r="F757" s="1041">
        <f>[2]Hoja1!$B$162</f>
        <v>0.45</v>
      </c>
      <c r="G757" s="1031" t="s">
        <v>886</v>
      </c>
      <c r="H757" s="1031" t="s">
        <v>887</v>
      </c>
      <c r="I757" s="1031"/>
      <c r="J757" s="1031" t="s">
        <v>883</v>
      </c>
      <c r="K757" s="1042" t="s">
        <v>2454</v>
      </c>
    </row>
    <row r="758" spans="1:11" s="1028" customFormat="1" ht="60" x14ac:dyDescent="0.25">
      <c r="A758" s="1031" t="s">
        <v>2266</v>
      </c>
      <c r="B758" s="1043">
        <f>'[1]PLAN DE DESARROLLO 2024 - 2027'!$M$92</f>
        <v>0.25050860314981654</v>
      </c>
      <c r="C758" s="1031" t="s">
        <v>2274</v>
      </c>
      <c r="D758" s="1040">
        <f>'[1]PLAN DE DESARROLLO 2024 - 2027'!$M$93</f>
        <v>0.32850000000000001</v>
      </c>
      <c r="E758" s="1031" t="s">
        <v>2275</v>
      </c>
      <c r="F758" s="1041">
        <f>[2]Hoja1!$B$162</f>
        <v>0.45</v>
      </c>
      <c r="G758" s="1031" t="s">
        <v>889</v>
      </c>
      <c r="H758" s="1031" t="s">
        <v>890</v>
      </c>
      <c r="I758" s="1031"/>
      <c r="J758" s="1031" t="s">
        <v>883</v>
      </c>
      <c r="K758" s="1042" t="s">
        <v>2454</v>
      </c>
    </row>
    <row r="759" spans="1:11" s="1028" customFormat="1" ht="45" x14ac:dyDescent="0.25">
      <c r="A759" s="1031" t="s">
        <v>2266</v>
      </c>
      <c r="B759" s="1043">
        <f>'[1]PLAN DE DESARROLLO 2024 - 2027'!$M$92</f>
        <v>0.25050860314981654</v>
      </c>
      <c r="C759" s="1031" t="s">
        <v>2274</v>
      </c>
      <c r="D759" s="1040">
        <f>'[1]PLAN DE DESARROLLO 2024 - 2027'!$M$93</f>
        <v>0.32850000000000001</v>
      </c>
      <c r="E759" s="1031" t="s">
        <v>2275</v>
      </c>
      <c r="F759" s="1041">
        <f>[2]Hoja1!$B$162</f>
        <v>0.45</v>
      </c>
      <c r="G759" s="1031" t="s">
        <v>891</v>
      </c>
      <c r="H759" s="1031" t="s">
        <v>2276</v>
      </c>
      <c r="I759" s="1031"/>
      <c r="J759" s="1031" t="s">
        <v>883</v>
      </c>
      <c r="K759" s="1042" t="s">
        <v>2454</v>
      </c>
    </row>
    <row r="760" spans="1:11" s="1028" customFormat="1" ht="30" x14ac:dyDescent="0.25">
      <c r="A760" s="1031" t="s">
        <v>2395</v>
      </c>
      <c r="B760" s="1039">
        <f>'[1]PLAN DE DESARROLLO 2024 - 2027'!$M$46</f>
        <v>0.25251661967012345</v>
      </c>
      <c r="C760" s="1031" t="s">
        <v>2427</v>
      </c>
      <c r="D760" s="1040">
        <f>'[1]PLAN DE DESARROLLO 2024 - 2027'!$M$64</f>
        <v>0.21558039327044773</v>
      </c>
      <c r="E760" s="1031" t="s">
        <v>660</v>
      </c>
      <c r="F760" s="1041">
        <f>[2]Hoja1!$B$15</f>
        <v>0.10614285714285715</v>
      </c>
      <c r="G760" s="1031" t="s">
        <v>665</v>
      </c>
      <c r="H760" s="1031" t="s">
        <v>666</v>
      </c>
      <c r="I760" s="1031"/>
      <c r="J760" s="1031" t="s">
        <v>658</v>
      </c>
      <c r="K760" s="1042" t="s">
        <v>2454</v>
      </c>
    </row>
    <row r="761" spans="1:11" s="1028" customFormat="1" ht="45" x14ac:dyDescent="0.25">
      <c r="A761" s="1031" t="s">
        <v>2395</v>
      </c>
      <c r="B761" s="1039">
        <f>'[1]PLAN DE DESARROLLO 2024 - 2027'!$M$46</f>
        <v>0.25251661967012345</v>
      </c>
      <c r="C761" s="1031" t="s">
        <v>2427</v>
      </c>
      <c r="D761" s="1040">
        <f>'[1]PLAN DE DESARROLLO 2024 - 2027'!$M$64</f>
        <v>0.21558039327044773</v>
      </c>
      <c r="E761" s="1031" t="s">
        <v>660</v>
      </c>
      <c r="F761" s="1041">
        <f>[2]Hoja1!$B$15</f>
        <v>0.10614285714285715</v>
      </c>
      <c r="G761" s="1031" t="s">
        <v>667</v>
      </c>
      <c r="H761" s="1031" t="s">
        <v>668</v>
      </c>
      <c r="I761" s="1031"/>
      <c r="J761" s="1031" t="s">
        <v>658</v>
      </c>
      <c r="K761" s="1042" t="s">
        <v>2454</v>
      </c>
    </row>
    <row r="762" spans="1:11" s="1028" customFormat="1" ht="30" x14ac:dyDescent="0.25">
      <c r="A762" s="1031" t="s">
        <v>2395</v>
      </c>
      <c r="B762" s="1039">
        <f>'[1]PLAN DE DESARROLLO 2024 - 2027'!$M$46</f>
        <v>0.25251661967012345</v>
      </c>
      <c r="C762" s="1031" t="s">
        <v>2427</v>
      </c>
      <c r="D762" s="1040">
        <f>'[1]PLAN DE DESARROLLO 2024 - 2027'!$M$64</f>
        <v>0.21558039327044773</v>
      </c>
      <c r="E762" s="1031" t="s">
        <v>669</v>
      </c>
      <c r="F762" s="1041">
        <f>[2]Hoja1!$B$161</f>
        <v>0.13333333333333333</v>
      </c>
      <c r="G762" s="1031" t="s">
        <v>671</v>
      </c>
      <c r="H762" s="1031" t="s">
        <v>672</v>
      </c>
      <c r="I762" s="1031"/>
      <c r="J762" s="1031" t="s">
        <v>658</v>
      </c>
      <c r="K762" s="1042" t="s">
        <v>2454</v>
      </c>
    </row>
    <row r="763" spans="1:11" s="1028" customFormat="1" ht="45" x14ac:dyDescent="0.25">
      <c r="A763" s="1031" t="s">
        <v>2395</v>
      </c>
      <c r="B763" s="1039">
        <f>'[1]PLAN DE DESARROLLO 2024 - 2027'!$M$46</f>
        <v>0.25251661967012345</v>
      </c>
      <c r="C763" s="1031" t="s">
        <v>2427</v>
      </c>
      <c r="D763" s="1040">
        <f>'[1]PLAN DE DESARROLLO 2024 - 2027'!$M$64</f>
        <v>0.21558039327044773</v>
      </c>
      <c r="E763" s="1031" t="s">
        <v>669</v>
      </c>
      <c r="F763" s="1041">
        <f>[2]Hoja1!$B$161</f>
        <v>0.13333333333333333</v>
      </c>
      <c r="G763" s="1031" t="s">
        <v>674</v>
      </c>
      <c r="H763" s="1031" t="s">
        <v>675</v>
      </c>
      <c r="I763" s="1031"/>
      <c r="J763" s="1031" t="s">
        <v>658</v>
      </c>
      <c r="K763" s="1042" t="s">
        <v>2454</v>
      </c>
    </row>
    <row r="764" spans="1:11" s="1028" customFormat="1" ht="30" x14ac:dyDescent="0.25">
      <c r="A764" s="1031" t="s">
        <v>2266</v>
      </c>
      <c r="B764" s="1043">
        <f>'[1]PLAN DE DESARROLLO 2024 - 2027'!$M$92</f>
        <v>0.25050860314981654</v>
      </c>
      <c r="C764" s="1031" t="s">
        <v>2274</v>
      </c>
      <c r="D764" s="1040">
        <f>'[1]PLAN DE DESARROLLO 2024 - 2027'!$M$93</f>
        <v>0.32850000000000001</v>
      </c>
      <c r="E764" s="1031" t="s">
        <v>2275</v>
      </c>
      <c r="F764" s="1041">
        <f>[2]Hoja1!$B$162</f>
        <v>0.45</v>
      </c>
      <c r="G764" s="1031" t="s">
        <v>895</v>
      </c>
      <c r="H764" s="1031" t="s">
        <v>896</v>
      </c>
      <c r="I764" s="1031"/>
      <c r="J764" s="1031" t="s">
        <v>883</v>
      </c>
      <c r="K764" s="1042" t="s">
        <v>2454</v>
      </c>
    </row>
    <row r="765" spans="1:11" s="1028" customFormat="1" x14ac:dyDescent="0.25">
      <c r="A765" s="1031" t="s">
        <v>2266</v>
      </c>
      <c r="B765" s="1043">
        <f>'[1]PLAN DE DESARROLLO 2024 - 2027'!$M$92</f>
        <v>0.25050860314981654</v>
      </c>
      <c r="C765" s="1031" t="s">
        <v>2295</v>
      </c>
      <c r="D765" s="1040">
        <f>'[1]PLAN DE DESARROLLO 2024 - 2027'!$M$116</f>
        <v>0.21525263088160634</v>
      </c>
      <c r="E765" s="1031" t="s">
        <v>2300</v>
      </c>
      <c r="F765" s="1041">
        <f>[2]Hoja1!$B$25</f>
        <v>0.33749999999999997</v>
      </c>
      <c r="G765" s="1031" t="s">
        <v>1132</v>
      </c>
      <c r="H765" s="1031" t="s">
        <v>1133</v>
      </c>
      <c r="I765" s="1031"/>
      <c r="J765" s="1031" t="s">
        <v>1100</v>
      </c>
      <c r="K765" s="1042" t="s">
        <v>2454</v>
      </c>
    </row>
    <row r="766" spans="1:11" s="1028" customFormat="1" ht="30" x14ac:dyDescent="0.25">
      <c r="A766" s="1031" t="s">
        <v>2266</v>
      </c>
      <c r="B766" s="1043">
        <f>'[1]PLAN DE DESARROLLO 2024 - 2027'!$M$92</f>
        <v>0.25050860314981654</v>
      </c>
      <c r="C766" s="1031" t="s">
        <v>2295</v>
      </c>
      <c r="D766" s="1040">
        <f>'[1]PLAN DE DESARROLLO 2024 - 2027'!$M$116</f>
        <v>0.21525263088160634</v>
      </c>
      <c r="E766" s="1031" t="s">
        <v>2300</v>
      </c>
      <c r="F766" s="1041">
        <f>[2]Hoja1!$B$25</f>
        <v>0.33749999999999997</v>
      </c>
      <c r="G766" s="1031" t="s">
        <v>1135</v>
      </c>
      <c r="H766" s="1031" t="s">
        <v>1136</v>
      </c>
      <c r="I766" s="1031"/>
      <c r="J766" s="1031" t="s">
        <v>1100</v>
      </c>
      <c r="K766" s="1042" t="s">
        <v>2454</v>
      </c>
    </row>
    <row r="767" spans="1:11" s="1028" customFormat="1" x14ac:dyDescent="0.25">
      <c r="A767" s="1031" t="s">
        <v>2266</v>
      </c>
      <c r="B767" s="1043">
        <f>'[1]PLAN DE DESARROLLO 2024 - 2027'!$M$92</f>
        <v>0.25050860314981654</v>
      </c>
      <c r="C767" s="1031" t="s">
        <v>2295</v>
      </c>
      <c r="D767" s="1040">
        <f>'[1]PLAN DE DESARROLLO 2024 - 2027'!$M$116</f>
        <v>0.21525263088160634</v>
      </c>
      <c r="E767" s="1031" t="s">
        <v>2300</v>
      </c>
      <c r="F767" s="1041">
        <f>[2]Hoja1!$B$25</f>
        <v>0.33749999999999997</v>
      </c>
      <c r="G767" s="1031" t="s">
        <v>1137</v>
      </c>
      <c r="H767" s="1031" t="s">
        <v>1138</v>
      </c>
      <c r="I767" s="1031"/>
      <c r="J767" s="1031" t="s">
        <v>1100</v>
      </c>
      <c r="K767" s="1042" t="s">
        <v>2454</v>
      </c>
    </row>
    <row r="768" spans="1:11" s="1028" customFormat="1" ht="30" x14ac:dyDescent="0.25">
      <c r="A768" s="1031" t="s">
        <v>2395</v>
      </c>
      <c r="B768" s="1039">
        <f>'[1]PLAN DE DESARROLLO 2024 - 2027'!$M$46</f>
        <v>0.25251661967012345</v>
      </c>
      <c r="C768" s="1031" t="s">
        <v>2427</v>
      </c>
      <c r="D768" s="1040">
        <f>'[1]PLAN DE DESARROLLO 2024 - 2027'!$M$64</f>
        <v>0.21558039327044773</v>
      </c>
      <c r="E768" s="1031" t="s">
        <v>669</v>
      </c>
      <c r="F768" s="1041">
        <f>[2]Hoja1!$B$161</f>
        <v>0.13333333333333333</v>
      </c>
      <c r="G768" s="1031" t="s">
        <v>676</v>
      </c>
      <c r="H768" s="1031" t="s">
        <v>677</v>
      </c>
      <c r="I768" s="1031"/>
      <c r="J768" s="1031" t="s">
        <v>658</v>
      </c>
      <c r="K768" s="1042" t="s">
        <v>2454</v>
      </c>
    </row>
    <row r="769" spans="1:11" s="1028" customFormat="1" ht="30" x14ac:dyDescent="0.25">
      <c r="A769" s="1031" t="s">
        <v>2395</v>
      </c>
      <c r="B769" s="1039">
        <f>'[1]PLAN DE DESARROLLO 2024 - 2027'!$M$46</f>
        <v>0.25251661967012345</v>
      </c>
      <c r="C769" s="1031" t="s">
        <v>2427</v>
      </c>
      <c r="D769" s="1040">
        <f>'[1]PLAN DE DESARROLLO 2024 - 2027'!$M$64</f>
        <v>0.21558039327044773</v>
      </c>
      <c r="E769" s="1031" t="s">
        <v>669</v>
      </c>
      <c r="F769" s="1041">
        <f>[2]Hoja1!$B$161</f>
        <v>0.13333333333333333</v>
      </c>
      <c r="G769" s="1031" t="s">
        <v>678</v>
      </c>
      <c r="H769" s="1031" t="s">
        <v>679</v>
      </c>
      <c r="I769" s="1031"/>
      <c r="J769" s="1031" t="s">
        <v>658</v>
      </c>
      <c r="K769" s="1042" t="s">
        <v>2454</v>
      </c>
    </row>
    <row r="770" spans="1:11" s="1028" customFormat="1" ht="30" x14ac:dyDescent="0.25">
      <c r="A770" s="1031" t="s">
        <v>2395</v>
      </c>
      <c r="B770" s="1039">
        <f>'[1]PLAN DE DESARROLLO 2024 - 2027'!$M$46</f>
        <v>0.25251661967012345</v>
      </c>
      <c r="C770" s="1031" t="s">
        <v>2427</v>
      </c>
      <c r="D770" s="1040">
        <f>'[1]PLAN DE DESARROLLO 2024 - 2027'!$M$64</f>
        <v>0.21558039327044773</v>
      </c>
      <c r="E770" s="1031" t="s">
        <v>669</v>
      </c>
      <c r="F770" s="1041">
        <f>[2]Hoja1!$B$161</f>
        <v>0.13333333333333333</v>
      </c>
      <c r="G770" s="1031" t="s">
        <v>680</v>
      </c>
      <c r="H770" s="1031" t="s">
        <v>681</v>
      </c>
      <c r="I770" s="1031"/>
      <c r="J770" s="1031" t="s">
        <v>658</v>
      </c>
      <c r="K770" s="1042" t="s">
        <v>2454</v>
      </c>
    </row>
    <row r="771" spans="1:11" s="1028" customFormat="1" ht="30" x14ac:dyDescent="0.25">
      <c r="A771" s="1031" t="s">
        <v>2395</v>
      </c>
      <c r="B771" s="1039">
        <f>'[1]PLAN DE DESARROLLO 2024 - 2027'!$M$46</f>
        <v>0.25251661967012345</v>
      </c>
      <c r="C771" s="1031" t="s">
        <v>2427</v>
      </c>
      <c r="D771" s="1040">
        <f>'[1]PLAN DE DESARROLLO 2024 - 2027'!$M$64</f>
        <v>0.21558039327044773</v>
      </c>
      <c r="E771" s="1031" t="s">
        <v>669</v>
      </c>
      <c r="F771" s="1041">
        <f>[2]Hoja1!$B$161</f>
        <v>0.13333333333333333</v>
      </c>
      <c r="G771" s="1031" t="s">
        <v>682</v>
      </c>
      <c r="H771" s="1031" t="s">
        <v>683</v>
      </c>
      <c r="I771" s="1031"/>
      <c r="J771" s="1031" t="s">
        <v>658</v>
      </c>
      <c r="K771" s="1042" t="s">
        <v>2454</v>
      </c>
    </row>
    <row r="772" spans="1:11" s="1028" customFormat="1" ht="45" x14ac:dyDescent="0.25">
      <c r="A772" s="1031" t="s">
        <v>2395</v>
      </c>
      <c r="B772" s="1039">
        <f>'[1]PLAN DE DESARROLLO 2024 - 2027'!$M$46</f>
        <v>0.25251661967012345</v>
      </c>
      <c r="C772" s="1031" t="s">
        <v>2427</v>
      </c>
      <c r="D772" s="1040">
        <f>'[1]PLAN DE DESARROLLO 2024 - 2027'!$M$64</f>
        <v>0.21558039327044773</v>
      </c>
      <c r="E772" s="1031" t="s">
        <v>669</v>
      </c>
      <c r="F772" s="1041">
        <f>[2]Hoja1!$B$161</f>
        <v>0.13333333333333333</v>
      </c>
      <c r="G772" s="1031" t="s">
        <v>684</v>
      </c>
      <c r="H772" s="1031" t="s">
        <v>685</v>
      </c>
      <c r="I772" s="1031"/>
      <c r="J772" s="1031" t="s">
        <v>658</v>
      </c>
      <c r="K772" s="1042" t="s">
        <v>2454</v>
      </c>
    </row>
    <row r="773" spans="1:11" s="1028" customFormat="1" ht="30" x14ac:dyDescent="0.25">
      <c r="A773" s="1031" t="s">
        <v>2395</v>
      </c>
      <c r="B773" s="1039">
        <f>'[1]PLAN DE DESARROLLO 2024 - 2027'!$M$46</f>
        <v>0.25251661967012345</v>
      </c>
      <c r="C773" s="1031" t="s">
        <v>2427</v>
      </c>
      <c r="D773" s="1040">
        <f>'[1]PLAN DE DESARROLLO 2024 - 2027'!$M$64</f>
        <v>0.21558039327044773</v>
      </c>
      <c r="E773" s="1031" t="s">
        <v>669</v>
      </c>
      <c r="F773" s="1041">
        <f>[2]Hoja1!$B$161</f>
        <v>0.13333333333333333</v>
      </c>
      <c r="G773" s="1031" t="s">
        <v>686</v>
      </c>
      <c r="H773" s="1031" t="s">
        <v>687</v>
      </c>
      <c r="I773" s="1031"/>
      <c r="J773" s="1031" t="s">
        <v>658</v>
      </c>
      <c r="K773" s="1042" t="s">
        <v>2454</v>
      </c>
    </row>
    <row r="774" spans="1:11" s="1028" customFormat="1" ht="30" x14ac:dyDescent="0.25">
      <c r="A774" s="1031" t="s">
        <v>2341</v>
      </c>
      <c r="B774" s="1039">
        <f>'[1]PLAN DE DESARROLLO 2024 - 2027'!$M$4</f>
        <v>0.24028917333263158</v>
      </c>
      <c r="C774" s="1031" t="s">
        <v>2344</v>
      </c>
      <c r="D774" s="1040">
        <f>'[1]PLAN DE DESARROLLO 2024 - 2027'!$M$11</f>
        <v>0.24196521875000004</v>
      </c>
      <c r="E774" s="1031" t="s">
        <v>150</v>
      </c>
      <c r="F774" s="1041">
        <f>[2]Hoja1!$B$7</f>
        <v>0.14335000000000001</v>
      </c>
      <c r="G774" s="1031" t="s">
        <v>155</v>
      </c>
      <c r="H774" s="1031" t="s">
        <v>2345</v>
      </c>
      <c r="I774" s="1031"/>
      <c r="J774" s="1031" t="s">
        <v>47</v>
      </c>
      <c r="K774" s="1042" t="s">
        <v>2454</v>
      </c>
    </row>
    <row r="775" spans="1:11" s="1028" customFormat="1" ht="45" x14ac:dyDescent="0.25">
      <c r="A775" s="1031" t="s">
        <v>2341</v>
      </c>
      <c r="B775" s="1039">
        <f>'[1]PLAN DE DESARROLLO 2024 - 2027'!$M$4</f>
        <v>0.24028917333263158</v>
      </c>
      <c r="C775" s="1031" t="s">
        <v>2344</v>
      </c>
      <c r="D775" s="1040">
        <f>'[1]PLAN DE DESARROLLO 2024 - 2027'!$M$11</f>
        <v>0.24196521875000004</v>
      </c>
      <c r="E775" s="1031" t="s">
        <v>150</v>
      </c>
      <c r="F775" s="1041">
        <f>[2]Hoja1!$B$7</f>
        <v>0.14335000000000001</v>
      </c>
      <c r="G775" s="1031" t="s">
        <v>157</v>
      </c>
      <c r="H775" s="1031" t="s">
        <v>2346</v>
      </c>
      <c r="I775" s="1031"/>
      <c r="J775" s="1031" t="s">
        <v>47</v>
      </c>
      <c r="K775" s="1042" t="s">
        <v>2454</v>
      </c>
    </row>
    <row r="776" spans="1:11" s="1028" customFormat="1" ht="45" x14ac:dyDescent="0.25">
      <c r="A776" s="1031" t="s">
        <v>2341</v>
      </c>
      <c r="B776" s="1039">
        <f>'[1]PLAN DE DESARROLLO 2024 - 2027'!$M$4</f>
        <v>0.24028917333263158</v>
      </c>
      <c r="C776" s="1031" t="s">
        <v>2344</v>
      </c>
      <c r="D776" s="1040">
        <f>'[1]PLAN DE DESARROLLO 2024 - 2027'!$M$11</f>
        <v>0.24196521875000004</v>
      </c>
      <c r="E776" s="1031" t="s">
        <v>150</v>
      </c>
      <c r="F776" s="1041">
        <f>[2]Hoja1!$B$7</f>
        <v>0.14335000000000001</v>
      </c>
      <c r="G776" s="1031" t="s">
        <v>159</v>
      </c>
      <c r="H776" s="1031" t="s">
        <v>160</v>
      </c>
      <c r="I776" s="1031"/>
      <c r="J776" s="1031" t="s">
        <v>47</v>
      </c>
      <c r="K776" s="1042" t="s">
        <v>2454</v>
      </c>
    </row>
    <row r="777" spans="1:11" s="1028" customFormat="1" ht="30" x14ac:dyDescent="0.25">
      <c r="A777" s="1031" t="s">
        <v>2341</v>
      </c>
      <c r="B777" s="1039">
        <f>'[1]PLAN DE DESARROLLO 2024 - 2027'!$M$4</f>
        <v>0.24028917333263158</v>
      </c>
      <c r="C777" s="1031" t="s">
        <v>2344</v>
      </c>
      <c r="D777" s="1040">
        <f>'[1]PLAN DE DESARROLLO 2024 - 2027'!$M$11</f>
        <v>0.24196521875000004</v>
      </c>
      <c r="E777" s="1031" t="s">
        <v>150</v>
      </c>
      <c r="F777" s="1041">
        <f>[2]Hoja1!$B$7</f>
        <v>0.14335000000000001</v>
      </c>
      <c r="G777" s="1031" t="s">
        <v>161</v>
      </c>
      <c r="H777" s="1031" t="s">
        <v>162</v>
      </c>
      <c r="I777" s="1031"/>
      <c r="J777" s="1031" t="s">
        <v>47</v>
      </c>
      <c r="K777" s="1042" t="s">
        <v>2454</v>
      </c>
    </row>
    <row r="778" spans="1:11" s="1028" customFormat="1" ht="30" x14ac:dyDescent="0.25">
      <c r="A778" s="1031" t="s">
        <v>2341</v>
      </c>
      <c r="B778" s="1039">
        <f>'[1]PLAN DE DESARROLLO 2024 - 2027'!$M$4</f>
        <v>0.24028917333263158</v>
      </c>
      <c r="C778" s="1031" t="s">
        <v>2344</v>
      </c>
      <c r="D778" s="1040">
        <f>'[1]PLAN DE DESARROLLO 2024 - 2027'!$M$11</f>
        <v>0.24196521875000004</v>
      </c>
      <c r="E778" s="1031" t="s">
        <v>150</v>
      </c>
      <c r="F778" s="1041">
        <f>[2]Hoja1!$B$7</f>
        <v>0.14335000000000001</v>
      </c>
      <c r="G778" s="1031" t="s">
        <v>163</v>
      </c>
      <c r="H778" s="1031" t="s">
        <v>164</v>
      </c>
      <c r="I778" s="1031"/>
      <c r="J778" s="1031" t="s">
        <v>47</v>
      </c>
      <c r="K778" s="1042" t="s">
        <v>2454</v>
      </c>
    </row>
    <row r="779" spans="1:11" s="1028" customFormat="1" ht="30" x14ac:dyDescent="0.25">
      <c r="A779" s="1031" t="s">
        <v>2341</v>
      </c>
      <c r="B779" s="1039">
        <f>'[1]PLAN DE DESARROLLO 2024 - 2027'!$M$4</f>
        <v>0.24028917333263158</v>
      </c>
      <c r="C779" s="1031" t="s">
        <v>2344</v>
      </c>
      <c r="D779" s="1040">
        <f>'[1]PLAN DE DESARROLLO 2024 - 2027'!$M$11</f>
        <v>0.24196521875000004</v>
      </c>
      <c r="E779" s="1031" t="s">
        <v>150</v>
      </c>
      <c r="F779" s="1041">
        <f>[2]Hoja1!$B$7</f>
        <v>0.14335000000000001</v>
      </c>
      <c r="G779" s="1031" t="s">
        <v>165</v>
      </c>
      <c r="H779" s="1031" t="s">
        <v>166</v>
      </c>
      <c r="I779" s="1031"/>
      <c r="J779" s="1031" t="s">
        <v>47</v>
      </c>
      <c r="K779" s="1042" t="s">
        <v>2454</v>
      </c>
    </row>
    <row r="780" spans="1:11" s="1028" customFormat="1" ht="45" x14ac:dyDescent="0.25">
      <c r="A780" s="1031" t="s">
        <v>2341</v>
      </c>
      <c r="B780" s="1039">
        <f>'[1]PLAN DE DESARROLLO 2024 - 2027'!$M$4</f>
        <v>0.24028917333263158</v>
      </c>
      <c r="C780" s="1031" t="s">
        <v>2344</v>
      </c>
      <c r="D780" s="1040">
        <f>'[1]PLAN DE DESARROLLO 2024 - 2027'!$M$11</f>
        <v>0.24196521875000004</v>
      </c>
      <c r="E780" s="1031" t="s">
        <v>150</v>
      </c>
      <c r="F780" s="1041">
        <f>[2]Hoja1!$B$7</f>
        <v>0.14335000000000001</v>
      </c>
      <c r="G780" s="1031" t="s">
        <v>167</v>
      </c>
      <c r="H780" s="1031" t="s">
        <v>168</v>
      </c>
      <c r="I780" s="1031"/>
      <c r="J780" s="1031" t="s">
        <v>47</v>
      </c>
      <c r="K780" s="1042" t="s">
        <v>2454</v>
      </c>
    </row>
    <row r="781" spans="1:11" s="1028" customFormat="1" ht="30" x14ac:dyDescent="0.25">
      <c r="A781" s="1031" t="s">
        <v>2395</v>
      </c>
      <c r="B781" s="1039">
        <f>'[1]PLAN DE DESARROLLO 2024 - 2027'!$M$46</f>
        <v>0.25251661967012345</v>
      </c>
      <c r="C781" s="1031" t="s">
        <v>2427</v>
      </c>
      <c r="D781" s="1040">
        <f>'[1]PLAN DE DESARROLLO 2024 - 2027'!$M$64</f>
        <v>0.21558039327044773</v>
      </c>
      <c r="E781" s="1031" t="s">
        <v>669</v>
      </c>
      <c r="F781" s="1041">
        <f>[2]Hoja1!$B$161</f>
        <v>0.13333333333333333</v>
      </c>
      <c r="G781" s="1031" t="s">
        <v>689</v>
      </c>
      <c r="H781" s="1031" t="s">
        <v>690</v>
      </c>
      <c r="I781" s="1031"/>
      <c r="J781" s="1031" t="s">
        <v>658</v>
      </c>
      <c r="K781" s="1042" t="s">
        <v>2454</v>
      </c>
    </row>
    <row r="782" spans="1:11" s="1028" customFormat="1" ht="30" x14ac:dyDescent="0.25">
      <c r="A782" s="1031" t="s">
        <v>2395</v>
      </c>
      <c r="B782" s="1039">
        <f>'[1]PLAN DE DESARROLLO 2024 - 2027'!$M$46</f>
        <v>0.25251661967012345</v>
      </c>
      <c r="C782" s="1031" t="s">
        <v>2427</v>
      </c>
      <c r="D782" s="1040">
        <f>'[1]PLAN DE DESARROLLO 2024 - 2027'!$M$64</f>
        <v>0.21558039327044773</v>
      </c>
      <c r="E782" s="1031" t="s">
        <v>669</v>
      </c>
      <c r="F782" s="1041">
        <f>[2]Hoja1!$B$161</f>
        <v>0.13333333333333333</v>
      </c>
      <c r="G782" s="1031" t="s">
        <v>691</v>
      </c>
      <c r="H782" s="1031" t="s">
        <v>692</v>
      </c>
      <c r="I782" s="1031"/>
      <c r="J782" s="1031" t="s">
        <v>658</v>
      </c>
      <c r="K782" s="1042" t="s">
        <v>2454</v>
      </c>
    </row>
    <row r="783" spans="1:11" s="1028" customFormat="1" ht="30" x14ac:dyDescent="0.25">
      <c r="A783" s="1031" t="s">
        <v>2395</v>
      </c>
      <c r="B783" s="1039">
        <f>'[1]PLAN DE DESARROLLO 2024 - 2027'!$M$46</f>
        <v>0.25251661967012345</v>
      </c>
      <c r="C783" s="1031" t="s">
        <v>2427</v>
      </c>
      <c r="D783" s="1040">
        <f>'[1]PLAN DE DESARROLLO 2024 - 2027'!$M$64</f>
        <v>0.21558039327044773</v>
      </c>
      <c r="E783" s="1031" t="s">
        <v>669</v>
      </c>
      <c r="F783" s="1041">
        <f>[2]Hoja1!$B$161</f>
        <v>0.13333333333333333</v>
      </c>
      <c r="G783" s="1031" t="s">
        <v>694</v>
      </c>
      <c r="H783" s="1031" t="s">
        <v>695</v>
      </c>
      <c r="I783" s="1031"/>
      <c r="J783" s="1031" t="s">
        <v>658</v>
      </c>
      <c r="K783" s="1042" t="s">
        <v>2454</v>
      </c>
    </row>
    <row r="784" spans="1:11" s="1028" customFormat="1" ht="30" x14ac:dyDescent="0.25">
      <c r="A784" s="1031" t="s">
        <v>2395</v>
      </c>
      <c r="B784" s="1039">
        <f>'[1]PLAN DE DESARROLLO 2024 - 2027'!$M$46</f>
        <v>0.25251661967012345</v>
      </c>
      <c r="C784" s="1031" t="s">
        <v>2427</v>
      </c>
      <c r="D784" s="1040">
        <f>'[1]PLAN DE DESARROLLO 2024 - 2027'!$M$64</f>
        <v>0.21558039327044773</v>
      </c>
      <c r="E784" s="1031" t="s">
        <v>669</v>
      </c>
      <c r="F784" s="1041">
        <f>[2]Hoja1!$B$161</f>
        <v>0.13333333333333333</v>
      </c>
      <c r="G784" s="1031" t="s">
        <v>697</v>
      </c>
      <c r="H784" s="1031" t="s">
        <v>698</v>
      </c>
      <c r="I784" s="1031"/>
      <c r="J784" s="1031" t="s">
        <v>658</v>
      </c>
      <c r="K784" s="1042" t="s">
        <v>2454</v>
      </c>
    </row>
    <row r="785" spans="1:11" s="1028" customFormat="1" ht="30" x14ac:dyDescent="0.25">
      <c r="A785" s="1031" t="s">
        <v>2341</v>
      </c>
      <c r="B785" s="1039">
        <f>'[1]PLAN DE DESARROLLO 2024 - 2027'!$M$4</f>
        <v>0.24028917333263158</v>
      </c>
      <c r="C785" s="1031" t="s">
        <v>2344</v>
      </c>
      <c r="D785" s="1040">
        <f>'[1]PLAN DE DESARROLLO 2024 - 2027'!$M$11</f>
        <v>0.24196521875000004</v>
      </c>
      <c r="E785" s="1031" t="s">
        <v>150</v>
      </c>
      <c r="F785" s="1041">
        <f>[2]Hoja1!$B$7</f>
        <v>0.14335000000000001</v>
      </c>
      <c r="G785" s="1031" t="s">
        <v>169</v>
      </c>
      <c r="H785" s="1031" t="s">
        <v>170</v>
      </c>
      <c r="I785" s="1031"/>
      <c r="J785" s="1031" t="s">
        <v>47</v>
      </c>
      <c r="K785" s="1042" t="s">
        <v>2454</v>
      </c>
    </row>
    <row r="786" spans="1:11" s="1028" customFormat="1" ht="30" x14ac:dyDescent="0.25">
      <c r="A786" s="1031" t="s">
        <v>2341</v>
      </c>
      <c r="B786" s="1039">
        <f>'[1]PLAN DE DESARROLLO 2024 - 2027'!$M$4</f>
        <v>0.24028917333263158</v>
      </c>
      <c r="C786" s="1031" t="s">
        <v>2344</v>
      </c>
      <c r="D786" s="1040">
        <f>'[1]PLAN DE DESARROLLO 2024 - 2027'!$M$11</f>
        <v>0.24196521875000004</v>
      </c>
      <c r="E786" s="1031" t="s">
        <v>150</v>
      </c>
      <c r="F786" s="1041">
        <f>[2]Hoja1!$B$7</f>
        <v>0.14335000000000001</v>
      </c>
      <c r="G786" s="1031" t="s">
        <v>171</v>
      </c>
      <c r="H786" s="1031" t="s">
        <v>172</v>
      </c>
      <c r="I786" s="1031"/>
      <c r="J786" s="1031" t="s">
        <v>47</v>
      </c>
      <c r="K786" s="1042" t="s">
        <v>2454</v>
      </c>
    </row>
    <row r="787" spans="1:11" s="1028" customFormat="1" ht="30" x14ac:dyDescent="0.25">
      <c r="A787" s="1031" t="s">
        <v>2215</v>
      </c>
      <c r="B787" s="1043">
        <f>'[1]PLAN DE DESARROLLO 2024 - 2027'!$M$123</f>
        <v>0.20174333228533195</v>
      </c>
      <c r="C787" s="1031" t="s">
        <v>2252</v>
      </c>
      <c r="D787" s="1040">
        <f>'[1]PLAN DE DESARROLLO 2024 - 2027'!$M$136</f>
        <v>0.3779372351486594</v>
      </c>
      <c r="E787" s="1031" t="s">
        <v>2254</v>
      </c>
      <c r="F787" s="1041">
        <f>[2]Hoja1!$B$40</f>
        <v>0.35532727272727277</v>
      </c>
      <c r="G787" s="1031" t="s">
        <v>1295</v>
      </c>
      <c r="H787" s="1031" t="s">
        <v>1296</v>
      </c>
      <c r="I787" s="1031"/>
      <c r="J787" s="1031" t="s">
        <v>1290</v>
      </c>
      <c r="K787" s="1042" t="s">
        <v>2454</v>
      </c>
    </row>
    <row r="788" spans="1:11" s="1028" customFormat="1" ht="30" x14ac:dyDescent="0.25">
      <c r="A788" s="1031" t="s">
        <v>2215</v>
      </c>
      <c r="B788" s="1043">
        <f>'[1]PLAN DE DESARROLLO 2024 - 2027'!$M$123</f>
        <v>0.20174333228533195</v>
      </c>
      <c r="C788" s="1031" t="s">
        <v>2252</v>
      </c>
      <c r="D788" s="1040">
        <f>'[1]PLAN DE DESARROLLO 2024 - 2027'!$M$136</f>
        <v>0.3779372351486594</v>
      </c>
      <c r="E788" s="1031" t="s">
        <v>2254</v>
      </c>
      <c r="F788" s="1041">
        <f>[2]Hoja1!$B$40</f>
        <v>0.35532727272727277</v>
      </c>
      <c r="G788" s="1031" t="s">
        <v>1297</v>
      </c>
      <c r="H788" s="1031" t="s">
        <v>1298</v>
      </c>
      <c r="I788" s="1031"/>
      <c r="J788" s="1031" t="s">
        <v>1290</v>
      </c>
      <c r="K788" s="1042" t="s">
        <v>2454</v>
      </c>
    </row>
    <row r="789" spans="1:11" s="1028" customFormat="1" ht="30" x14ac:dyDescent="0.25">
      <c r="A789" s="1031" t="s">
        <v>2215</v>
      </c>
      <c r="B789" s="1043">
        <f>'[1]PLAN DE DESARROLLO 2024 - 2027'!$M$123</f>
        <v>0.20174333228533195</v>
      </c>
      <c r="C789" s="1031" t="s">
        <v>2252</v>
      </c>
      <c r="D789" s="1040">
        <f>'[1]PLAN DE DESARROLLO 2024 - 2027'!$M$136</f>
        <v>0.3779372351486594</v>
      </c>
      <c r="E789" s="1031" t="s">
        <v>2257</v>
      </c>
      <c r="F789" s="1041">
        <f>[2]Hoja1!$B$101</f>
        <v>0.34100862068965521</v>
      </c>
      <c r="G789" s="1031" t="s">
        <v>1311</v>
      </c>
      <c r="H789" s="1031" t="s">
        <v>1312</v>
      </c>
      <c r="I789" s="1031"/>
      <c r="J789" s="1031" t="s">
        <v>1290</v>
      </c>
      <c r="K789" s="1042" t="s">
        <v>2454</v>
      </c>
    </row>
    <row r="790" spans="1:11" s="1028" customFormat="1" ht="30" x14ac:dyDescent="0.25">
      <c r="A790" s="1031" t="s">
        <v>2215</v>
      </c>
      <c r="B790" s="1043">
        <f>'[1]PLAN DE DESARROLLO 2024 - 2027'!$M$123</f>
        <v>0.20174333228533195</v>
      </c>
      <c r="C790" s="1031" t="s">
        <v>2252</v>
      </c>
      <c r="D790" s="1040">
        <f>'[1]PLAN DE DESARROLLO 2024 - 2027'!$M$136</f>
        <v>0.3779372351486594</v>
      </c>
      <c r="E790" s="1031" t="s">
        <v>2257</v>
      </c>
      <c r="F790" s="1041">
        <f>[2]Hoja1!$B$101</f>
        <v>0.34100862068965521</v>
      </c>
      <c r="G790" s="1031" t="s">
        <v>1313</v>
      </c>
      <c r="H790" s="1031" t="s">
        <v>1314</v>
      </c>
      <c r="I790" s="1031"/>
      <c r="J790" s="1031" t="s">
        <v>1290</v>
      </c>
      <c r="K790" s="1042" t="s">
        <v>2454</v>
      </c>
    </row>
    <row r="791" spans="1:11" s="1028" customFormat="1" ht="45" x14ac:dyDescent="0.25">
      <c r="A791" s="1031" t="s">
        <v>2215</v>
      </c>
      <c r="B791" s="1043">
        <f>'[1]PLAN DE DESARROLLO 2024 - 2027'!$M$123</f>
        <v>0.20174333228533195</v>
      </c>
      <c r="C791" s="1031" t="s">
        <v>2252</v>
      </c>
      <c r="D791" s="1040">
        <f>'[1]PLAN DE DESARROLLO 2024 - 2027'!$M$136</f>
        <v>0.3779372351486594</v>
      </c>
      <c r="E791" s="1031" t="s">
        <v>2257</v>
      </c>
      <c r="F791" s="1041">
        <f>[2]Hoja1!$B$101</f>
        <v>0.34100862068965521</v>
      </c>
      <c r="G791" s="1031" t="s">
        <v>1315</v>
      </c>
      <c r="H791" s="1031" t="s">
        <v>1316</v>
      </c>
      <c r="I791" s="1031"/>
      <c r="J791" s="1031" t="s">
        <v>1290</v>
      </c>
      <c r="K791" s="1042" t="s">
        <v>2454</v>
      </c>
    </row>
    <row r="792" spans="1:11" s="1028" customFormat="1" ht="45" x14ac:dyDescent="0.25">
      <c r="A792" s="1031" t="s">
        <v>2215</v>
      </c>
      <c r="B792" s="1043">
        <f>'[1]PLAN DE DESARROLLO 2024 - 2027'!$M$123</f>
        <v>0.20174333228533195</v>
      </c>
      <c r="C792" s="1031" t="s">
        <v>2252</v>
      </c>
      <c r="D792" s="1040">
        <f>'[1]PLAN DE DESARROLLO 2024 - 2027'!$M$136</f>
        <v>0.3779372351486594</v>
      </c>
      <c r="E792" s="1031" t="s">
        <v>1281</v>
      </c>
      <c r="F792" s="1041">
        <f>[2]Hoja1!$B$115</f>
        <v>9.7500000000000003E-2</v>
      </c>
      <c r="G792" s="1031" t="s">
        <v>1282</v>
      </c>
      <c r="H792" s="1031" t="s">
        <v>1283</v>
      </c>
      <c r="I792" s="1031"/>
      <c r="J792" s="1031" t="s">
        <v>925</v>
      </c>
      <c r="K792" s="1042" t="s">
        <v>2454</v>
      </c>
    </row>
    <row r="793" spans="1:11" s="1028" customFormat="1" ht="30" x14ac:dyDescent="0.25">
      <c r="A793" s="1031" t="s">
        <v>2215</v>
      </c>
      <c r="B793" s="1043">
        <f>'[1]PLAN DE DESARROLLO 2024 - 2027'!$M$123</f>
        <v>0.20174333228533195</v>
      </c>
      <c r="C793" s="1031" t="s">
        <v>2252</v>
      </c>
      <c r="D793" s="1040">
        <f>'[1]PLAN DE DESARROLLO 2024 - 2027'!$M$136</f>
        <v>0.3779372351486594</v>
      </c>
      <c r="E793" s="1031" t="s">
        <v>1281</v>
      </c>
      <c r="F793" s="1041">
        <f>[2]Hoja1!$B$115</f>
        <v>9.7500000000000003E-2</v>
      </c>
      <c r="G793" s="1031" t="s">
        <v>1284</v>
      </c>
      <c r="H793" s="1031" t="s">
        <v>1285</v>
      </c>
      <c r="I793" s="1031"/>
      <c r="J793" s="1031" t="s">
        <v>2253</v>
      </c>
      <c r="K793" s="1042" t="s">
        <v>2454</v>
      </c>
    </row>
    <row r="794" spans="1:11" s="1028" customFormat="1" ht="30" x14ac:dyDescent="0.25">
      <c r="A794" s="1031" t="s">
        <v>2341</v>
      </c>
      <c r="B794" s="1039">
        <f>'[1]PLAN DE DESARROLLO 2024 - 2027'!$M$4</f>
        <v>0.24028917333263158</v>
      </c>
      <c r="C794" s="1031" t="s">
        <v>2344</v>
      </c>
      <c r="D794" s="1040">
        <f>'[1]PLAN DE DESARROLLO 2024 - 2027'!$M$11</f>
        <v>0.24196521875000004</v>
      </c>
      <c r="E794" s="1031" t="s">
        <v>150</v>
      </c>
      <c r="F794" s="1041">
        <f>[2]Hoja1!$B$7</f>
        <v>0.14335000000000001</v>
      </c>
      <c r="G794" s="1031" t="s">
        <v>173</v>
      </c>
      <c r="H794" s="1031" t="s">
        <v>174</v>
      </c>
      <c r="I794" s="1031"/>
      <c r="J794" s="1031" t="s">
        <v>47</v>
      </c>
      <c r="K794" s="1042" t="s">
        <v>2454</v>
      </c>
    </row>
    <row r="795" spans="1:11" s="1028" customFormat="1" ht="30" x14ac:dyDescent="0.25">
      <c r="A795" s="1031" t="s">
        <v>2341</v>
      </c>
      <c r="B795" s="1039">
        <f>'[1]PLAN DE DESARROLLO 2024 - 2027'!$M$4</f>
        <v>0.24028917333263158</v>
      </c>
      <c r="C795" s="1031" t="s">
        <v>2344</v>
      </c>
      <c r="D795" s="1040">
        <f>'[1]PLAN DE DESARROLLO 2024 - 2027'!$M$11</f>
        <v>0.24196521875000004</v>
      </c>
      <c r="E795" s="1031" t="s">
        <v>150</v>
      </c>
      <c r="F795" s="1041">
        <f>[2]Hoja1!$B$7</f>
        <v>0.14335000000000001</v>
      </c>
      <c r="G795" s="1031" t="s">
        <v>175</v>
      </c>
      <c r="H795" s="1031" t="s">
        <v>176</v>
      </c>
      <c r="I795" s="1031"/>
      <c r="J795" s="1031" t="s">
        <v>47</v>
      </c>
      <c r="K795" s="1042" t="s">
        <v>2454</v>
      </c>
    </row>
    <row r="796" spans="1:11" s="1028" customFormat="1" ht="30" x14ac:dyDescent="0.25">
      <c r="A796" s="1031" t="s">
        <v>2341</v>
      </c>
      <c r="B796" s="1039">
        <f>'[1]PLAN DE DESARROLLO 2024 - 2027'!$M$4</f>
        <v>0.24028917333263158</v>
      </c>
      <c r="C796" s="1031" t="s">
        <v>2344</v>
      </c>
      <c r="D796" s="1040">
        <f>'[1]PLAN DE DESARROLLO 2024 - 2027'!$M$11</f>
        <v>0.24196521875000004</v>
      </c>
      <c r="E796" s="1031" t="s">
        <v>150</v>
      </c>
      <c r="F796" s="1041">
        <f>[2]Hoja1!$B$7</f>
        <v>0.14335000000000001</v>
      </c>
      <c r="G796" s="1031" t="s">
        <v>177</v>
      </c>
      <c r="H796" s="1031" t="s">
        <v>178</v>
      </c>
      <c r="I796" s="1031"/>
      <c r="J796" s="1031" t="s">
        <v>47</v>
      </c>
      <c r="K796" s="1042" t="s">
        <v>2454</v>
      </c>
    </row>
    <row r="797" spans="1:11" s="1028" customFormat="1" ht="45" x14ac:dyDescent="0.25">
      <c r="A797" s="1031" t="s">
        <v>2341</v>
      </c>
      <c r="B797" s="1039">
        <f>'[1]PLAN DE DESARROLLO 2024 - 2027'!$M$4</f>
        <v>0.24028917333263158</v>
      </c>
      <c r="C797" s="1031" t="s">
        <v>2344</v>
      </c>
      <c r="D797" s="1040">
        <f>'[1]PLAN DE DESARROLLO 2024 - 2027'!$M$11</f>
        <v>0.24196521875000004</v>
      </c>
      <c r="E797" s="1031" t="s">
        <v>150</v>
      </c>
      <c r="F797" s="1041">
        <f>[2]Hoja1!$B$7</f>
        <v>0.14335000000000001</v>
      </c>
      <c r="G797" s="1031" t="s">
        <v>179</v>
      </c>
      <c r="H797" s="1031" t="s">
        <v>180</v>
      </c>
      <c r="I797" s="1031"/>
      <c r="J797" s="1031" t="s">
        <v>47</v>
      </c>
      <c r="K797" s="1042" t="s">
        <v>2454</v>
      </c>
    </row>
    <row r="798" spans="1:11" s="1028" customFormat="1" ht="30" x14ac:dyDescent="0.25">
      <c r="A798" s="1031" t="s">
        <v>2215</v>
      </c>
      <c r="B798" s="1043">
        <f>'[1]PLAN DE DESARROLLO 2024 - 2027'!$M$123</f>
        <v>0.20174333228533195</v>
      </c>
      <c r="C798" s="1031" t="s">
        <v>2252</v>
      </c>
      <c r="D798" s="1040">
        <f>'[1]PLAN DE DESARROLLO 2024 - 2027'!$M$136</f>
        <v>0.3779372351486594</v>
      </c>
      <c r="E798" s="1031" t="s">
        <v>1317</v>
      </c>
      <c r="F798" s="1041">
        <f>[2]Hoja1!$B$129</f>
        <v>0.14285714285714285</v>
      </c>
      <c r="G798" s="1031" t="s">
        <v>1318</v>
      </c>
      <c r="H798" s="1031" t="s">
        <v>1319</v>
      </c>
      <c r="I798" s="1031"/>
      <c r="J798" s="1031" t="s">
        <v>1320</v>
      </c>
      <c r="K798" s="1042" t="s">
        <v>2454</v>
      </c>
    </row>
    <row r="799" spans="1:11" s="1028" customFormat="1" ht="45" x14ac:dyDescent="0.25">
      <c r="A799" s="1031" t="s">
        <v>2215</v>
      </c>
      <c r="B799" s="1043">
        <f>'[1]PLAN DE DESARROLLO 2024 - 2027'!$M$123</f>
        <v>0.20174333228533195</v>
      </c>
      <c r="C799" s="1031" t="s">
        <v>2252</v>
      </c>
      <c r="D799" s="1040">
        <f>'[1]PLAN DE DESARROLLO 2024 - 2027'!$M$136</f>
        <v>0.3779372351486594</v>
      </c>
      <c r="E799" s="1031" t="s">
        <v>1299</v>
      </c>
      <c r="F799" s="1041">
        <f>[2]Hoja1!$B$135</f>
        <v>0.62548089591567846</v>
      </c>
      <c r="G799" s="1031" t="s">
        <v>1300</v>
      </c>
      <c r="H799" s="1031" t="s">
        <v>1301</v>
      </c>
      <c r="I799" s="1031"/>
      <c r="J799" s="1031" t="s">
        <v>2256</v>
      </c>
      <c r="K799" s="1042" t="s">
        <v>2454</v>
      </c>
    </row>
    <row r="800" spans="1:11" s="1028" customFormat="1" ht="30" x14ac:dyDescent="0.25">
      <c r="A800" s="1031" t="s">
        <v>2215</v>
      </c>
      <c r="B800" s="1043">
        <f>'[1]PLAN DE DESARROLLO 2024 - 2027'!$M$123</f>
        <v>0.20174333228533195</v>
      </c>
      <c r="C800" s="1031" t="s">
        <v>2252</v>
      </c>
      <c r="D800" s="1040">
        <f>'[1]PLAN DE DESARROLLO 2024 - 2027'!$M$136</f>
        <v>0.3779372351486594</v>
      </c>
      <c r="E800" s="1031" t="s">
        <v>1299</v>
      </c>
      <c r="F800" s="1041">
        <f>[2]Hoja1!$B$135</f>
        <v>0.62548089591567846</v>
      </c>
      <c r="G800" s="1031" t="s">
        <v>1306</v>
      </c>
      <c r="H800" s="1031" t="s">
        <v>1307</v>
      </c>
      <c r="I800" s="1031"/>
      <c r="J800" s="1031" t="s">
        <v>1290</v>
      </c>
      <c r="K800" s="1042" t="s">
        <v>2454</v>
      </c>
    </row>
    <row r="801" spans="1:11" s="1028" customFormat="1" ht="30" x14ac:dyDescent="0.25">
      <c r="A801" s="1031" t="s">
        <v>2308</v>
      </c>
      <c r="B801" s="1043">
        <f>'[1]PLAN DE DESARROLLO 2024 - 2027'!$M$161</f>
        <v>0.24647581985093744</v>
      </c>
      <c r="C801" s="1031" t="s">
        <v>2326</v>
      </c>
      <c r="D801" s="1040">
        <f>'[1]PLAN DE DESARROLLO 2024 - 2027'!$M$178</f>
        <v>0.30658085759781617</v>
      </c>
      <c r="E801" s="1031" t="s">
        <v>1681</v>
      </c>
      <c r="F801" s="1041">
        <f>[2]Hoja1!$B$23</f>
        <v>0.13625000000000004</v>
      </c>
      <c r="G801" s="1031" t="s">
        <v>1682</v>
      </c>
      <c r="H801" s="1031" t="s">
        <v>1683</v>
      </c>
      <c r="I801" s="1031"/>
      <c r="J801" s="1031" t="s">
        <v>1666</v>
      </c>
      <c r="K801" s="1042" t="s">
        <v>2454</v>
      </c>
    </row>
    <row r="802" spans="1:11" s="1028" customFormat="1" ht="45" x14ac:dyDescent="0.25">
      <c r="A802" s="1031" t="s">
        <v>2308</v>
      </c>
      <c r="B802" s="1043">
        <f>'[1]PLAN DE DESARROLLO 2024 - 2027'!$M$161</f>
        <v>0.24647581985093744</v>
      </c>
      <c r="C802" s="1031" t="s">
        <v>2326</v>
      </c>
      <c r="D802" s="1040">
        <f>'[1]PLAN DE DESARROLLO 2024 - 2027'!$M$178</f>
        <v>0.30658085759781617</v>
      </c>
      <c r="E802" s="1031" t="s">
        <v>1681</v>
      </c>
      <c r="F802" s="1041">
        <f>[2]Hoja1!$B$23</f>
        <v>0.13625000000000004</v>
      </c>
      <c r="G802" s="1031" t="s">
        <v>1684</v>
      </c>
      <c r="H802" s="1031" t="s">
        <v>1685</v>
      </c>
      <c r="I802" s="1031"/>
      <c r="J802" s="1031" t="s">
        <v>1666</v>
      </c>
      <c r="K802" s="1042" t="s">
        <v>2454</v>
      </c>
    </row>
    <row r="803" spans="1:11" s="1028" customFormat="1" ht="45" x14ac:dyDescent="0.25">
      <c r="A803" s="1031" t="s">
        <v>2308</v>
      </c>
      <c r="B803" s="1043">
        <f>'[1]PLAN DE DESARROLLO 2024 - 2027'!$M$161</f>
        <v>0.24647581985093744</v>
      </c>
      <c r="C803" s="1031" t="s">
        <v>2326</v>
      </c>
      <c r="D803" s="1040">
        <f>'[1]PLAN DE DESARROLLO 2024 - 2027'!$M$178</f>
        <v>0.30658085759781617</v>
      </c>
      <c r="E803" s="1031" t="s">
        <v>1681</v>
      </c>
      <c r="F803" s="1041">
        <f>[2]Hoja1!$B$23</f>
        <v>0.13625000000000004</v>
      </c>
      <c r="G803" s="1031" t="s">
        <v>1686</v>
      </c>
      <c r="H803" s="1031" t="s">
        <v>1687</v>
      </c>
      <c r="I803" s="1031"/>
      <c r="J803" s="1031" t="s">
        <v>1666</v>
      </c>
      <c r="K803" s="1042" t="s">
        <v>2454</v>
      </c>
    </row>
    <row r="804" spans="1:11" s="1028" customFormat="1" ht="30" x14ac:dyDescent="0.25">
      <c r="A804" s="1031" t="s">
        <v>2308</v>
      </c>
      <c r="B804" s="1043">
        <f>'[1]PLAN DE DESARROLLO 2024 - 2027'!$M$161</f>
        <v>0.24647581985093744</v>
      </c>
      <c r="C804" s="1031" t="s">
        <v>2326</v>
      </c>
      <c r="D804" s="1040">
        <f>'[1]PLAN DE DESARROLLO 2024 - 2027'!$M$178</f>
        <v>0.30658085759781617</v>
      </c>
      <c r="E804" s="1031" t="s">
        <v>1681</v>
      </c>
      <c r="F804" s="1041">
        <f>[2]Hoja1!$B$23</f>
        <v>0.13625000000000004</v>
      </c>
      <c r="G804" s="1031" t="s">
        <v>1688</v>
      </c>
      <c r="H804" s="1031" t="s">
        <v>1689</v>
      </c>
      <c r="I804" s="1031"/>
      <c r="J804" s="1031" t="s">
        <v>1666</v>
      </c>
      <c r="K804" s="1042" t="s">
        <v>2454</v>
      </c>
    </row>
    <row r="805" spans="1:11" s="1028" customFormat="1" ht="30" x14ac:dyDescent="0.25">
      <c r="A805" s="1031" t="s">
        <v>2308</v>
      </c>
      <c r="B805" s="1043">
        <f>'[1]PLAN DE DESARROLLO 2024 - 2027'!$M$161</f>
        <v>0.24647581985093744</v>
      </c>
      <c r="C805" s="1031" t="s">
        <v>2326</v>
      </c>
      <c r="D805" s="1040">
        <f>'[1]PLAN DE DESARROLLO 2024 - 2027'!$M$178</f>
        <v>0.30658085759781617</v>
      </c>
      <c r="E805" s="1031" t="s">
        <v>1681</v>
      </c>
      <c r="F805" s="1041">
        <f>[2]Hoja1!$B$23</f>
        <v>0.13625000000000004</v>
      </c>
      <c r="G805" s="1031" t="s">
        <v>1690</v>
      </c>
      <c r="H805" s="1031" t="s">
        <v>1691</v>
      </c>
      <c r="I805" s="1031"/>
      <c r="J805" s="1031" t="s">
        <v>1666</v>
      </c>
      <c r="K805" s="1042" t="s">
        <v>2454</v>
      </c>
    </row>
    <row r="806" spans="1:11" s="1028" customFormat="1" ht="30" x14ac:dyDescent="0.25">
      <c r="A806" s="1031" t="s">
        <v>2395</v>
      </c>
      <c r="B806" s="1039">
        <f>'[1]PLAN DE DESARROLLO 2024 - 2027'!$M$46</f>
        <v>0.25251661967012345</v>
      </c>
      <c r="C806" s="1031" t="s">
        <v>2399</v>
      </c>
      <c r="D806" s="1040">
        <f>'[1]PLAN DE DESARROLLO 2024 - 2027'!$M$73</f>
        <v>0.25984040977313172</v>
      </c>
      <c r="E806" s="1031" t="s">
        <v>2437</v>
      </c>
      <c r="F806" s="1041">
        <f>[2]Hoja1!$B$24</f>
        <v>0.38375000000000004</v>
      </c>
      <c r="G806" s="1031" t="s">
        <v>771</v>
      </c>
      <c r="H806" s="1031" t="s">
        <v>772</v>
      </c>
      <c r="I806" s="1031"/>
      <c r="J806" s="1031" t="s">
        <v>724</v>
      </c>
      <c r="K806" s="1042" t="s">
        <v>2454</v>
      </c>
    </row>
    <row r="807" spans="1:11" s="1028" customFormat="1" ht="30" x14ac:dyDescent="0.25">
      <c r="A807" s="1031" t="s">
        <v>2395</v>
      </c>
      <c r="B807" s="1039">
        <f>'[1]PLAN DE DESARROLLO 2024 - 2027'!$M$46</f>
        <v>0.25251661967012345</v>
      </c>
      <c r="C807" s="1031" t="s">
        <v>2399</v>
      </c>
      <c r="D807" s="1040">
        <f>'[1]PLAN DE DESARROLLO 2024 - 2027'!$M$73</f>
        <v>0.25984040977313172</v>
      </c>
      <c r="E807" s="1031" t="s">
        <v>2437</v>
      </c>
      <c r="F807" s="1041">
        <f>[2]Hoja1!$B$24</f>
        <v>0.38375000000000004</v>
      </c>
      <c r="G807" s="1031" t="s">
        <v>773</v>
      </c>
      <c r="H807" s="1031" t="s">
        <v>774</v>
      </c>
      <c r="I807" s="1031"/>
      <c r="J807" s="1031" t="s">
        <v>724</v>
      </c>
      <c r="K807" s="1042" t="s">
        <v>2454</v>
      </c>
    </row>
    <row r="808" spans="1:11" s="1028" customFormat="1" ht="30" x14ac:dyDescent="0.25">
      <c r="A808" s="1031" t="s">
        <v>2395</v>
      </c>
      <c r="B808" s="1039">
        <f>'[1]PLAN DE DESARROLLO 2024 - 2027'!$M$46</f>
        <v>0.25251661967012345</v>
      </c>
      <c r="C808" s="1031" t="s">
        <v>2399</v>
      </c>
      <c r="D808" s="1040">
        <f>'[1]PLAN DE DESARROLLO 2024 - 2027'!$M$73</f>
        <v>0.25984040977313172</v>
      </c>
      <c r="E808" s="1031" t="s">
        <v>2437</v>
      </c>
      <c r="F808" s="1041">
        <f>[2]Hoja1!$B$24</f>
        <v>0.38375000000000004</v>
      </c>
      <c r="G808" s="1031" t="s">
        <v>775</v>
      </c>
      <c r="H808" s="1031" t="s">
        <v>776</v>
      </c>
      <c r="I808" s="1031"/>
      <c r="J808" s="1031" t="s">
        <v>724</v>
      </c>
      <c r="K808" s="1042" t="s">
        <v>2454</v>
      </c>
    </row>
    <row r="809" spans="1:11" s="1028" customFormat="1" ht="60" x14ac:dyDescent="0.25">
      <c r="A809" s="1031" t="s">
        <v>2395</v>
      </c>
      <c r="B809" s="1039">
        <f>'[1]PLAN DE DESARROLLO 2024 - 2027'!$M$46</f>
        <v>0.25251661967012345</v>
      </c>
      <c r="C809" s="1031" t="s">
        <v>2399</v>
      </c>
      <c r="D809" s="1040">
        <f>'[1]PLAN DE DESARROLLO 2024 - 2027'!$M$73</f>
        <v>0.25984040977313172</v>
      </c>
      <c r="E809" s="1031" t="s">
        <v>2437</v>
      </c>
      <c r="F809" s="1041">
        <f>[2]Hoja1!$B$24</f>
        <v>0.38375000000000004</v>
      </c>
      <c r="G809" s="1031" t="s">
        <v>777</v>
      </c>
      <c r="H809" s="1031" t="s">
        <v>778</v>
      </c>
      <c r="I809" s="1031"/>
      <c r="J809" s="1031" t="s">
        <v>724</v>
      </c>
      <c r="K809" s="1042" t="s">
        <v>2454</v>
      </c>
    </row>
    <row r="810" spans="1:11" s="1028" customFormat="1" ht="30" x14ac:dyDescent="0.25">
      <c r="A810" s="1031" t="s">
        <v>2395</v>
      </c>
      <c r="B810" s="1039">
        <f>'[1]PLAN DE DESARROLLO 2024 - 2027'!$M$46</f>
        <v>0.25251661967012345</v>
      </c>
      <c r="C810" s="1031" t="s">
        <v>2399</v>
      </c>
      <c r="D810" s="1040">
        <f>'[1]PLAN DE DESARROLLO 2024 - 2027'!$M$73</f>
        <v>0.25984040977313172</v>
      </c>
      <c r="E810" s="1031" t="s">
        <v>2437</v>
      </c>
      <c r="F810" s="1041">
        <f>[2]Hoja1!$B$24</f>
        <v>0.38375000000000004</v>
      </c>
      <c r="G810" s="1031" t="s">
        <v>779</v>
      </c>
      <c r="H810" s="1031" t="s">
        <v>780</v>
      </c>
      <c r="I810" s="1031"/>
      <c r="J810" s="1031" t="s">
        <v>724</v>
      </c>
      <c r="K810" s="1042" t="s">
        <v>2454</v>
      </c>
    </row>
    <row r="811" spans="1:11" s="1028" customFormat="1" x14ac:dyDescent="0.25">
      <c r="A811" s="1031" t="s">
        <v>2266</v>
      </c>
      <c r="B811" s="1043">
        <f>'[1]PLAN DE DESARROLLO 2024 - 2027'!$M$92</f>
        <v>0.25050860314981654</v>
      </c>
      <c r="C811" s="1031" t="s">
        <v>2295</v>
      </c>
      <c r="D811" s="1040">
        <f>'[1]PLAN DE DESARROLLO 2024 - 2027'!$M$116</f>
        <v>0.21525263088160634</v>
      </c>
      <c r="E811" s="1031" t="s">
        <v>2300</v>
      </c>
      <c r="F811" s="1041">
        <f>[2]Hoja1!$B$25</f>
        <v>0.33749999999999997</v>
      </c>
      <c r="G811" s="1031" t="s">
        <v>1139</v>
      </c>
      <c r="H811" s="1031" t="s">
        <v>1140</v>
      </c>
      <c r="I811" s="1031"/>
      <c r="J811" s="1031" t="s">
        <v>1100</v>
      </c>
      <c r="K811" s="1042" t="s">
        <v>2454</v>
      </c>
    </row>
    <row r="812" spans="1:11" s="1028" customFormat="1" ht="30" x14ac:dyDescent="0.25">
      <c r="A812" s="1031" t="s">
        <v>2266</v>
      </c>
      <c r="B812" s="1043">
        <f>'[1]PLAN DE DESARROLLO 2024 - 2027'!$M$92</f>
        <v>0.25050860314981654</v>
      </c>
      <c r="C812" s="1031" t="s">
        <v>2295</v>
      </c>
      <c r="D812" s="1040">
        <f>'[1]PLAN DE DESARROLLO 2024 - 2027'!$M$116</f>
        <v>0.21525263088160634</v>
      </c>
      <c r="E812" s="1031" t="s">
        <v>2300</v>
      </c>
      <c r="F812" s="1041">
        <f>[2]Hoja1!$B$25</f>
        <v>0.33749999999999997</v>
      </c>
      <c r="G812" s="1031" t="s">
        <v>1141</v>
      </c>
      <c r="H812" s="1031" t="s">
        <v>1142</v>
      </c>
      <c r="I812" s="1031"/>
      <c r="J812" s="1031" t="s">
        <v>2301</v>
      </c>
      <c r="K812" s="1042" t="s">
        <v>2454</v>
      </c>
    </row>
    <row r="813" spans="1:11" s="1028" customFormat="1" ht="30" x14ac:dyDescent="0.25">
      <c r="A813" s="1031" t="s">
        <v>2266</v>
      </c>
      <c r="B813" s="1043">
        <f>'[1]PLAN DE DESARROLLO 2024 - 2027'!$M$92</f>
        <v>0.25050860314981654</v>
      </c>
      <c r="C813" s="1031" t="s">
        <v>2295</v>
      </c>
      <c r="D813" s="1040">
        <f>'[1]PLAN DE DESARROLLO 2024 - 2027'!$M$116</f>
        <v>0.21525263088160634</v>
      </c>
      <c r="E813" s="1031" t="s">
        <v>2300</v>
      </c>
      <c r="F813" s="1041">
        <f>[2]Hoja1!$B$25</f>
        <v>0.33749999999999997</v>
      </c>
      <c r="G813" s="1031" t="s">
        <v>1143</v>
      </c>
      <c r="H813" s="1031" t="s">
        <v>1144</v>
      </c>
      <c r="I813" s="1031"/>
      <c r="J813" s="1031" t="s">
        <v>2302</v>
      </c>
      <c r="K813" s="1042" t="s">
        <v>2454</v>
      </c>
    </row>
    <row r="814" spans="1:11" s="1028" customFormat="1" ht="45" x14ac:dyDescent="0.25">
      <c r="A814" s="1031" t="s">
        <v>2266</v>
      </c>
      <c r="B814" s="1043">
        <f>'[1]PLAN DE DESARROLLO 2024 - 2027'!$M$92</f>
        <v>0.25050860314981654</v>
      </c>
      <c r="C814" s="1031" t="s">
        <v>2295</v>
      </c>
      <c r="D814" s="1040">
        <f>'[1]PLAN DE DESARROLLO 2024 - 2027'!$M$116</f>
        <v>0.21525263088160634</v>
      </c>
      <c r="E814" s="1031" t="s">
        <v>2297</v>
      </c>
      <c r="F814" s="1041">
        <f>[2]Hoja1!$B$63</f>
        <v>0.1201949616648412</v>
      </c>
      <c r="G814" s="1031" t="s">
        <v>1110</v>
      </c>
      <c r="H814" s="1031" t="s">
        <v>1111</v>
      </c>
      <c r="I814" s="1031"/>
      <c r="J814" s="1031" t="s">
        <v>1100</v>
      </c>
      <c r="K814" s="1042" t="s">
        <v>2454</v>
      </c>
    </row>
    <row r="815" spans="1:11" s="1028" customFormat="1" ht="45" x14ac:dyDescent="0.25">
      <c r="A815" s="1031" t="s">
        <v>2266</v>
      </c>
      <c r="B815" s="1043">
        <f>'[1]PLAN DE DESARROLLO 2024 - 2027'!$M$92</f>
        <v>0.25050860314981654</v>
      </c>
      <c r="C815" s="1031" t="s">
        <v>2295</v>
      </c>
      <c r="D815" s="1040">
        <f>'[1]PLAN DE DESARROLLO 2024 - 2027'!$M$116</f>
        <v>0.21525263088160634</v>
      </c>
      <c r="E815" s="1031" t="s">
        <v>2297</v>
      </c>
      <c r="F815" s="1041">
        <f>[2]Hoja1!$B$63</f>
        <v>0.1201949616648412</v>
      </c>
      <c r="G815" s="1031" t="s">
        <v>1112</v>
      </c>
      <c r="H815" s="1031" t="s">
        <v>1113</v>
      </c>
      <c r="I815" s="1031"/>
      <c r="J815" s="1031" t="s">
        <v>1100</v>
      </c>
      <c r="K815" s="1042" t="s">
        <v>2454</v>
      </c>
    </row>
    <row r="816" spans="1:11" s="1028" customFormat="1" ht="45" x14ac:dyDescent="0.25">
      <c r="A816" s="1031" t="s">
        <v>2266</v>
      </c>
      <c r="B816" s="1043">
        <f>'[1]PLAN DE DESARROLLO 2024 - 2027'!$M$92</f>
        <v>0.25050860314981654</v>
      </c>
      <c r="C816" s="1031" t="s">
        <v>2295</v>
      </c>
      <c r="D816" s="1040">
        <f>'[1]PLAN DE DESARROLLO 2024 - 2027'!$M$116</f>
        <v>0.21525263088160634</v>
      </c>
      <c r="E816" s="1031" t="s">
        <v>2297</v>
      </c>
      <c r="F816" s="1041">
        <f>[2]Hoja1!$B$63</f>
        <v>0.1201949616648412</v>
      </c>
      <c r="G816" s="1031" t="s">
        <v>1114</v>
      </c>
      <c r="H816" s="1031" t="s">
        <v>1115</v>
      </c>
      <c r="I816" s="1031"/>
      <c r="J816" s="1031" t="s">
        <v>1100</v>
      </c>
      <c r="K816" s="1042" t="s">
        <v>2454</v>
      </c>
    </row>
    <row r="817" spans="1:11" s="1028" customFormat="1" ht="30" x14ac:dyDescent="0.25">
      <c r="A817" s="1031" t="s">
        <v>2395</v>
      </c>
      <c r="B817" s="1039">
        <f>'[1]PLAN DE DESARROLLO 2024 - 2027'!$M$46</f>
        <v>0.25251661967012345</v>
      </c>
      <c r="C817" s="1031" t="s">
        <v>2399</v>
      </c>
      <c r="D817" s="1040">
        <f>'[1]PLAN DE DESARROLLO 2024 - 2027'!$M$73</f>
        <v>0.25984040977313172</v>
      </c>
      <c r="E817" s="1031" t="s">
        <v>2434</v>
      </c>
      <c r="F817" s="1041">
        <f>[2]Hoja1!$B$42</f>
        <v>0.59549999999999992</v>
      </c>
      <c r="G817" s="1031" t="s">
        <v>745</v>
      </c>
      <c r="H817" s="1031" t="s">
        <v>746</v>
      </c>
      <c r="I817" s="1031"/>
      <c r="J817" s="1031" t="s">
        <v>724</v>
      </c>
      <c r="K817" s="1042" t="s">
        <v>2454</v>
      </c>
    </row>
    <row r="818" spans="1:11" s="1028" customFormat="1" ht="30" x14ac:dyDescent="0.25">
      <c r="A818" s="1031" t="s">
        <v>2395</v>
      </c>
      <c r="B818" s="1039">
        <f>'[1]PLAN DE DESARROLLO 2024 - 2027'!$M$46</f>
        <v>0.25251661967012345</v>
      </c>
      <c r="C818" s="1031" t="s">
        <v>2399</v>
      </c>
      <c r="D818" s="1040">
        <f>'[1]PLAN DE DESARROLLO 2024 - 2027'!$M$73</f>
        <v>0.25984040977313172</v>
      </c>
      <c r="E818" s="1031" t="s">
        <v>2434</v>
      </c>
      <c r="F818" s="1041">
        <f>[2]Hoja1!$B$42</f>
        <v>0.59549999999999992</v>
      </c>
      <c r="G818" s="1031" t="s">
        <v>747</v>
      </c>
      <c r="H818" s="1031" t="s">
        <v>748</v>
      </c>
      <c r="I818" s="1031"/>
      <c r="J818" s="1031" t="s">
        <v>724</v>
      </c>
      <c r="K818" s="1042" t="s">
        <v>2454</v>
      </c>
    </row>
    <row r="819" spans="1:11" s="1028" customFormat="1" ht="30" x14ac:dyDescent="0.25">
      <c r="A819" s="1031" t="s">
        <v>2395</v>
      </c>
      <c r="B819" s="1039">
        <f>'[1]PLAN DE DESARROLLO 2024 - 2027'!$M$46</f>
        <v>0.25251661967012345</v>
      </c>
      <c r="C819" s="1031" t="s">
        <v>2399</v>
      </c>
      <c r="D819" s="1040">
        <f>'[1]PLAN DE DESARROLLO 2024 - 2027'!$M$73</f>
        <v>0.25984040977313172</v>
      </c>
      <c r="E819" s="1031" t="s">
        <v>2434</v>
      </c>
      <c r="F819" s="1041">
        <f>[2]Hoja1!$B$42</f>
        <v>0.59549999999999992</v>
      </c>
      <c r="G819" s="1031" t="s">
        <v>750</v>
      </c>
      <c r="H819" s="1031" t="s">
        <v>751</v>
      </c>
      <c r="I819" s="1031"/>
      <c r="J819" s="1031" t="s">
        <v>724</v>
      </c>
      <c r="K819" s="1042" t="s">
        <v>2454</v>
      </c>
    </row>
    <row r="820" spans="1:11" s="1028" customFormat="1" ht="45" x14ac:dyDescent="0.25">
      <c r="A820" s="1031" t="s">
        <v>2395</v>
      </c>
      <c r="B820" s="1039">
        <f>'[1]PLAN DE DESARROLLO 2024 - 2027'!$M$46</f>
        <v>0.25251661967012345</v>
      </c>
      <c r="C820" s="1031" t="s">
        <v>2399</v>
      </c>
      <c r="D820" s="1040">
        <f>'[1]PLAN DE DESARROLLO 2024 - 2027'!$M$73</f>
        <v>0.25984040977313172</v>
      </c>
      <c r="E820" s="1031" t="s">
        <v>2434</v>
      </c>
      <c r="F820" s="1041">
        <f>[2]Hoja1!$B$42</f>
        <v>0.59549999999999992</v>
      </c>
      <c r="G820" s="1031" t="s">
        <v>752</v>
      </c>
      <c r="H820" s="1031" t="s">
        <v>753</v>
      </c>
      <c r="I820" s="1031"/>
      <c r="J820" s="1031" t="s">
        <v>724</v>
      </c>
      <c r="K820" s="1042" t="s">
        <v>2454</v>
      </c>
    </row>
    <row r="821" spans="1:11" s="1028" customFormat="1" ht="30" x14ac:dyDescent="0.25">
      <c r="A821" s="1031" t="s">
        <v>2308</v>
      </c>
      <c r="B821" s="1043">
        <f>'[1]PLAN DE DESARROLLO 2024 - 2027'!$M$161</f>
        <v>0.24647581985093744</v>
      </c>
      <c r="C821" s="1031" t="s">
        <v>2309</v>
      </c>
      <c r="D821" s="1040">
        <f>'[1]PLAN DE DESARROLLO 2024 - 2027'!$M$162</f>
        <v>0.208125</v>
      </c>
      <c r="E821" s="1031" t="s">
        <v>1568</v>
      </c>
      <c r="F821" s="1041">
        <f>[2]Hoja1!$B$27</f>
        <v>0.40166666666666662</v>
      </c>
      <c r="G821" s="1031" t="s">
        <v>1569</v>
      </c>
      <c r="H821" s="1031" t="s">
        <v>1570</v>
      </c>
      <c r="I821" s="1031"/>
      <c r="J821" s="1031" t="s">
        <v>2319</v>
      </c>
      <c r="K821" s="1042" t="s">
        <v>2454</v>
      </c>
    </row>
    <row r="822" spans="1:11" s="1028" customFormat="1" ht="30" x14ac:dyDescent="0.25">
      <c r="A822" s="1031" t="s">
        <v>2308</v>
      </c>
      <c r="B822" s="1043">
        <f>'[1]PLAN DE DESARROLLO 2024 - 2027'!$M$161</f>
        <v>0.24647581985093744</v>
      </c>
      <c r="C822" s="1031" t="s">
        <v>2309</v>
      </c>
      <c r="D822" s="1040">
        <f>'[1]PLAN DE DESARROLLO 2024 - 2027'!$M$162</f>
        <v>0.208125</v>
      </c>
      <c r="E822" s="1031" t="s">
        <v>1568</v>
      </c>
      <c r="F822" s="1041">
        <f>[2]Hoja1!$B$27</f>
        <v>0.40166666666666662</v>
      </c>
      <c r="G822" s="1031" t="s">
        <v>1573</v>
      </c>
      <c r="H822" s="1031" t="s">
        <v>1574</v>
      </c>
      <c r="I822" s="1031"/>
      <c r="J822" s="1031" t="s">
        <v>2320</v>
      </c>
      <c r="K822" s="1042" t="s">
        <v>2454</v>
      </c>
    </row>
    <row r="823" spans="1:11" s="1028" customFormat="1" ht="30" x14ac:dyDescent="0.25">
      <c r="A823" s="1031" t="s">
        <v>2308</v>
      </c>
      <c r="B823" s="1043">
        <f>'[1]PLAN DE DESARROLLO 2024 - 2027'!$M$161</f>
        <v>0.24647581985093744</v>
      </c>
      <c r="C823" s="1031" t="s">
        <v>2309</v>
      </c>
      <c r="D823" s="1040">
        <f>'[1]PLAN DE DESARROLLO 2024 - 2027'!$M$162</f>
        <v>0.208125</v>
      </c>
      <c r="E823" s="1031" t="s">
        <v>1568</v>
      </c>
      <c r="F823" s="1041">
        <f>[2]Hoja1!$B$27</f>
        <v>0.40166666666666662</v>
      </c>
      <c r="G823" s="1031" t="s">
        <v>1576</v>
      </c>
      <c r="H823" s="1031" t="s">
        <v>1577</v>
      </c>
      <c r="I823" s="1031"/>
      <c r="J823" s="1031" t="s">
        <v>2320</v>
      </c>
      <c r="K823" s="1042" t="s">
        <v>2454</v>
      </c>
    </row>
    <row r="824" spans="1:11" s="1028" customFormat="1" ht="30" x14ac:dyDescent="0.25">
      <c r="A824" s="1031" t="s">
        <v>2308</v>
      </c>
      <c r="B824" s="1043">
        <f>'[1]PLAN DE DESARROLLO 2024 - 2027'!$M$161</f>
        <v>0.24647581985093744</v>
      </c>
      <c r="C824" s="1031" t="s">
        <v>2309</v>
      </c>
      <c r="D824" s="1040">
        <f>'[1]PLAN DE DESARROLLO 2024 - 2027'!$M$162</f>
        <v>0.208125</v>
      </c>
      <c r="E824" s="1031" t="s">
        <v>1568</v>
      </c>
      <c r="F824" s="1041">
        <f>[2]Hoja1!$B$27</f>
        <v>0.40166666666666662</v>
      </c>
      <c r="G824" s="1031" t="s">
        <v>1578</v>
      </c>
      <c r="H824" s="1031" t="s">
        <v>1579</v>
      </c>
      <c r="I824" s="1031"/>
      <c r="J824" s="1031" t="s">
        <v>2320</v>
      </c>
      <c r="K824" s="1042" t="s">
        <v>2454</v>
      </c>
    </row>
    <row r="825" spans="1:11" s="1028" customFormat="1" ht="45" x14ac:dyDescent="0.25">
      <c r="A825" s="1031" t="s">
        <v>2341</v>
      </c>
      <c r="B825" s="1039">
        <f>'[1]PLAN DE DESARROLLO 2024 - 2027'!$M$4</f>
        <v>0.24028917333263158</v>
      </c>
      <c r="C825" s="1031" t="s">
        <v>2344</v>
      </c>
      <c r="D825" s="1040">
        <f>'[1]PLAN DE DESARROLLO 2024 - 2027'!$M$11</f>
        <v>0.24196521875000004</v>
      </c>
      <c r="E825" s="1031" t="s">
        <v>150</v>
      </c>
      <c r="F825" s="1041">
        <f>[2]Hoja1!$B$7</f>
        <v>0.14335000000000001</v>
      </c>
      <c r="G825" s="1031" t="s">
        <v>181</v>
      </c>
      <c r="H825" s="1031" t="s">
        <v>182</v>
      </c>
      <c r="I825" s="1031"/>
      <c r="J825" s="1031" t="s">
        <v>47</v>
      </c>
      <c r="K825" s="1042" t="s">
        <v>2454</v>
      </c>
    </row>
    <row r="826" spans="1:11" s="1028" customFormat="1" ht="30" x14ac:dyDescent="0.25">
      <c r="A826" s="1031" t="s">
        <v>2341</v>
      </c>
      <c r="B826" s="1039">
        <f>'[1]PLAN DE DESARROLLO 2024 - 2027'!$M$4</f>
        <v>0.24028917333263158</v>
      </c>
      <c r="C826" s="1031" t="s">
        <v>2344</v>
      </c>
      <c r="D826" s="1040">
        <f>'[1]PLAN DE DESARROLLO 2024 - 2027'!$M$11</f>
        <v>0.24196521875000004</v>
      </c>
      <c r="E826" s="1031" t="s">
        <v>150</v>
      </c>
      <c r="F826" s="1041">
        <f>[2]Hoja1!$B$7</f>
        <v>0.14335000000000001</v>
      </c>
      <c r="G826" s="1031" t="s">
        <v>183</v>
      </c>
      <c r="H826" s="1031" t="s">
        <v>184</v>
      </c>
      <c r="I826" s="1031"/>
      <c r="J826" s="1031" t="s">
        <v>47</v>
      </c>
      <c r="K826" s="1042" t="s">
        <v>2454</v>
      </c>
    </row>
    <row r="827" spans="1:11" s="1028" customFormat="1" ht="30" x14ac:dyDescent="0.25">
      <c r="A827" s="1031" t="s">
        <v>2341</v>
      </c>
      <c r="B827" s="1039">
        <f>'[1]PLAN DE DESARROLLO 2024 - 2027'!$M$4</f>
        <v>0.24028917333263158</v>
      </c>
      <c r="C827" s="1031" t="s">
        <v>2344</v>
      </c>
      <c r="D827" s="1040">
        <f>'[1]PLAN DE DESARROLLO 2024 - 2027'!$M$11</f>
        <v>0.24196521875000004</v>
      </c>
      <c r="E827" s="1031" t="s">
        <v>150</v>
      </c>
      <c r="F827" s="1041">
        <f>[2]Hoja1!$B$7</f>
        <v>0.14335000000000001</v>
      </c>
      <c r="G827" s="1031" t="s">
        <v>185</v>
      </c>
      <c r="H827" s="1031" t="s">
        <v>186</v>
      </c>
      <c r="I827" s="1031"/>
      <c r="J827" s="1031" t="s">
        <v>47</v>
      </c>
      <c r="K827" s="1042" t="s">
        <v>2454</v>
      </c>
    </row>
    <row r="828" spans="1:11" s="1028" customFormat="1" ht="45" x14ac:dyDescent="0.25">
      <c r="A828" s="1031" t="s">
        <v>2341</v>
      </c>
      <c r="B828" s="1039">
        <f>'[1]PLAN DE DESARROLLO 2024 - 2027'!$M$4</f>
        <v>0.24028917333263158</v>
      </c>
      <c r="C828" s="1031" t="s">
        <v>2344</v>
      </c>
      <c r="D828" s="1040">
        <f>'[1]PLAN DE DESARROLLO 2024 - 2027'!$M$11</f>
        <v>0.24196521875000004</v>
      </c>
      <c r="E828" s="1031" t="s">
        <v>150</v>
      </c>
      <c r="F828" s="1041">
        <f>[2]Hoja1!$B$7</f>
        <v>0.14335000000000001</v>
      </c>
      <c r="G828" s="1031" t="s">
        <v>187</v>
      </c>
      <c r="H828" s="1031" t="s">
        <v>188</v>
      </c>
      <c r="I828" s="1031"/>
      <c r="J828" s="1031" t="s">
        <v>47</v>
      </c>
      <c r="K828" s="1042" t="s">
        <v>2454</v>
      </c>
    </row>
    <row r="829" spans="1:11" s="1028" customFormat="1" ht="30" x14ac:dyDescent="0.25">
      <c r="A829" s="1031" t="s">
        <v>2341</v>
      </c>
      <c r="B829" s="1039">
        <f>'[1]PLAN DE DESARROLLO 2024 - 2027'!$M$4</f>
        <v>0.24028917333263158</v>
      </c>
      <c r="C829" s="1031" t="s">
        <v>2344</v>
      </c>
      <c r="D829" s="1040">
        <f>'[1]PLAN DE DESARROLLO 2024 - 2027'!$M$11</f>
        <v>0.24196521875000004</v>
      </c>
      <c r="E829" s="1031" t="s">
        <v>150</v>
      </c>
      <c r="F829" s="1041">
        <f>[2]Hoja1!$B$7</f>
        <v>0.14335000000000001</v>
      </c>
      <c r="G829" s="1031" t="s">
        <v>151</v>
      </c>
      <c r="H829" s="1031" t="s">
        <v>152</v>
      </c>
      <c r="I829" s="1031"/>
      <c r="J829" s="1031" t="s">
        <v>47</v>
      </c>
      <c r="K829" s="1042" t="s">
        <v>2454</v>
      </c>
    </row>
    <row r="830" spans="1:11" s="1028" customFormat="1" ht="45" x14ac:dyDescent="0.25">
      <c r="A830" s="1031" t="s">
        <v>2266</v>
      </c>
      <c r="B830" s="1043">
        <f>'[1]PLAN DE DESARROLLO 2024 - 2027'!$M$92</f>
        <v>0.25050860314981654</v>
      </c>
      <c r="C830" s="1031" t="s">
        <v>2295</v>
      </c>
      <c r="D830" s="1040">
        <f>'[1]PLAN DE DESARROLLO 2024 - 2027'!$M$116</f>
        <v>0.21525263088160634</v>
      </c>
      <c r="E830" s="1031" t="s">
        <v>2297</v>
      </c>
      <c r="F830" s="1041">
        <f>[2]Hoja1!$B$63</f>
        <v>0.1201949616648412</v>
      </c>
      <c r="G830" s="1031" t="s">
        <v>1116</v>
      </c>
      <c r="H830" s="1031" t="s">
        <v>1117</v>
      </c>
      <c r="I830" s="1031"/>
      <c r="J830" s="1031" t="s">
        <v>1100</v>
      </c>
      <c r="K830" s="1042" t="s">
        <v>2454</v>
      </c>
    </row>
    <row r="831" spans="1:11" s="1028" customFormat="1" ht="45" x14ac:dyDescent="0.25">
      <c r="A831" s="1031" t="s">
        <v>2266</v>
      </c>
      <c r="B831" s="1043">
        <f>'[1]PLAN DE DESARROLLO 2024 - 2027'!$M$92</f>
        <v>0.25050860314981654</v>
      </c>
      <c r="C831" s="1031" t="s">
        <v>2295</v>
      </c>
      <c r="D831" s="1040">
        <f>'[1]PLAN DE DESARROLLO 2024 - 2027'!$M$116</f>
        <v>0.21525263088160634</v>
      </c>
      <c r="E831" s="1031" t="s">
        <v>2297</v>
      </c>
      <c r="F831" s="1041">
        <f>[2]Hoja1!$B$63</f>
        <v>0.1201949616648412</v>
      </c>
      <c r="G831" s="1031" t="s">
        <v>1118</v>
      </c>
      <c r="H831" s="1031" t="s">
        <v>1119</v>
      </c>
      <c r="I831" s="1031"/>
      <c r="J831" s="1031" t="s">
        <v>1100</v>
      </c>
      <c r="K831" s="1042" t="s">
        <v>2454</v>
      </c>
    </row>
    <row r="832" spans="1:11" s="1028" customFormat="1" ht="45" x14ac:dyDescent="0.25">
      <c r="A832" s="1031" t="s">
        <v>2266</v>
      </c>
      <c r="B832" s="1043">
        <f>'[1]PLAN DE DESARROLLO 2024 - 2027'!$M$92</f>
        <v>0.25050860314981654</v>
      </c>
      <c r="C832" s="1031" t="s">
        <v>2295</v>
      </c>
      <c r="D832" s="1040">
        <f>'[1]PLAN DE DESARROLLO 2024 - 2027'!$M$116</f>
        <v>0.21525263088160634</v>
      </c>
      <c r="E832" s="1031" t="s">
        <v>2297</v>
      </c>
      <c r="F832" s="1041">
        <f>[2]Hoja1!$B$63</f>
        <v>0.1201949616648412</v>
      </c>
      <c r="G832" s="1031" t="s">
        <v>1120</v>
      </c>
      <c r="H832" s="1031" t="s">
        <v>1121</v>
      </c>
      <c r="I832" s="1031"/>
      <c r="J832" s="1031" t="s">
        <v>1100</v>
      </c>
      <c r="K832" s="1042" t="s">
        <v>2454</v>
      </c>
    </row>
    <row r="833" spans="1:11" s="1028" customFormat="1" ht="45" x14ac:dyDescent="0.25">
      <c r="A833" s="1031" t="s">
        <v>2266</v>
      </c>
      <c r="B833" s="1043">
        <f>'[1]PLAN DE DESARROLLO 2024 - 2027'!$M$92</f>
        <v>0.25050860314981654</v>
      </c>
      <c r="C833" s="1031" t="s">
        <v>2295</v>
      </c>
      <c r="D833" s="1040">
        <f>'[1]PLAN DE DESARROLLO 2024 - 2027'!$M$116</f>
        <v>0.21525263088160634</v>
      </c>
      <c r="E833" s="1031" t="s">
        <v>2297</v>
      </c>
      <c r="F833" s="1041">
        <f>[2]Hoja1!$B$63</f>
        <v>0.1201949616648412</v>
      </c>
      <c r="G833" s="1031" t="s">
        <v>1122</v>
      </c>
      <c r="H833" s="1031" t="s">
        <v>1123</v>
      </c>
      <c r="I833" s="1031"/>
      <c r="J833" s="1031" t="s">
        <v>1100</v>
      </c>
      <c r="K833" s="1042" t="s">
        <v>2454</v>
      </c>
    </row>
    <row r="834" spans="1:11" s="1028" customFormat="1" ht="45" x14ac:dyDescent="0.25">
      <c r="A834" s="1031" t="s">
        <v>2266</v>
      </c>
      <c r="B834" s="1043">
        <f>'[1]PLAN DE DESARROLLO 2024 - 2027'!$M$92</f>
        <v>0.25050860314981654</v>
      </c>
      <c r="C834" s="1031" t="s">
        <v>2295</v>
      </c>
      <c r="D834" s="1040">
        <f>'[1]PLAN DE DESARROLLO 2024 - 2027'!$M$116</f>
        <v>0.21525263088160634</v>
      </c>
      <c r="E834" s="1031" t="s">
        <v>2297</v>
      </c>
      <c r="F834" s="1041">
        <f>[2]Hoja1!$B$63</f>
        <v>0.1201949616648412</v>
      </c>
      <c r="G834" s="1031" t="s">
        <v>1124</v>
      </c>
      <c r="H834" s="1031" t="s">
        <v>1125</v>
      </c>
      <c r="I834" s="1031"/>
      <c r="J834" s="1031" t="s">
        <v>2298</v>
      </c>
      <c r="K834" s="1042" t="s">
        <v>2454</v>
      </c>
    </row>
    <row r="835" spans="1:11" s="1028" customFormat="1" ht="45" x14ac:dyDescent="0.25">
      <c r="A835" s="1031" t="s">
        <v>2266</v>
      </c>
      <c r="B835" s="1043">
        <f>'[1]PLAN DE DESARROLLO 2024 - 2027'!$M$92</f>
        <v>0.25050860314981654</v>
      </c>
      <c r="C835" s="1031" t="s">
        <v>2295</v>
      </c>
      <c r="D835" s="1040">
        <f>'[1]PLAN DE DESARROLLO 2024 - 2027'!$M$116</f>
        <v>0.21525263088160634</v>
      </c>
      <c r="E835" s="1031" t="s">
        <v>2297</v>
      </c>
      <c r="F835" s="1041">
        <f>[2]Hoja1!$B$63</f>
        <v>0.1201949616648412</v>
      </c>
      <c r="G835" s="1031" t="s">
        <v>1128</v>
      </c>
      <c r="H835" s="1031" t="s">
        <v>1129</v>
      </c>
      <c r="I835" s="1031"/>
      <c r="J835" s="1031" t="s">
        <v>2299</v>
      </c>
      <c r="K835" s="1042" t="s">
        <v>2454</v>
      </c>
    </row>
    <row r="836" spans="1:11" s="1028" customFormat="1" ht="30" x14ac:dyDescent="0.25">
      <c r="A836" s="1031" t="s">
        <v>2266</v>
      </c>
      <c r="B836" s="1043">
        <f>'[1]PLAN DE DESARROLLO 2024 - 2027'!$M$92</f>
        <v>0.25050860314981654</v>
      </c>
      <c r="C836" s="1031" t="s">
        <v>2295</v>
      </c>
      <c r="D836" s="1040">
        <f>'[1]PLAN DE DESARROLLO 2024 - 2027'!$M$116</f>
        <v>0.21525263088160634</v>
      </c>
      <c r="E836" s="1031" t="s">
        <v>2296</v>
      </c>
      <c r="F836" s="1041">
        <f>[2]Hoja1!$B$92</f>
        <v>0.30715959252971137</v>
      </c>
      <c r="G836" s="1031" t="s">
        <v>1098</v>
      </c>
      <c r="H836" s="1031" t="s">
        <v>1099</v>
      </c>
      <c r="I836" s="1031"/>
      <c r="J836" s="1031" t="s">
        <v>1100</v>
      </c>
      <c r="K836" s="1042" t="s">
        <v>2454</v>
      </c>
    </row>
    <row r="837" spans="1:11" s="1028" customFormat="1" ht="45" x14ac:dyDescent="0.25">
      <c r="A837" s="1031" t="s">
        <v>2395</v>
      </c>
      <c r="B837" s="1039">
        <f>'[1]PLAN DE DESARROLLO 2024 - 2027'!$M$46</f>
        <v>0.25251661967012345</v>
      </c>
      <c r="C837" s="1031" t="s">
        <v>2399</v>
      </c>
      <c r="D837" s="1040">
        <f>'[1]PLAN DE DESARROLLO 2024 - 2027'!$M$73</f>
        <v>0.25984040977313172</v>
      </c>
      <c r="E837" s="1031" t="s">
        <v>2436</v>
      </c>
      <c r="F837" s="1041">
        <f>[2]Hoja1!$B$46</f>
        <v>0.27</v>
      </c>
      <c r="G837" s="1031" t="s">
        <v>760</v>
      </c>
      <c r="H837" s="1031" t="s">
        <v>761</v>
      </c>
      <c r="I837" s="1031"/>
      <c r="J837" s="1031" t="s">
        <v>724</v>
      </c>
      <c r="K837" s="1042" t="s">
        <v>2454</v>
      </c>
    </row>
    <row r="838" spans="1:11" s="1028" customFormat="1" ht="30" x14ac:dyDescent="0.25">
      <c r="A838" s="1031" t="s">
        <v>2395</v>
      </c>
      <c r="B838" s="1039">
        <f>'[1]PLAN DE DESARROLLO 2024 - 2027'!$M$46</f>
        <v>0.25251661967012345</v>
      </c>
      <c r="C838" s="1031" t="s">
        <v>2399</v>
      </c>
      <c r="D838" s="1040">
        <f>'[1]PLAN DE DESARROLLO 2024 - 2027'!$M$73</f>
        <v>0.25984040977313172</v>
      </c>
      <c r="E838" s="1031" t="s">
        <v>2436</v>
      </c>
      <c r="F838" s="1041">
        <f>[2]Hoja1!$B$46</f>
        <v>0.27</v>
      </c>
      <c r="G838" s="1031" t="s">
        <v>762</v>
      </c>
      <c r="H838" s="1031" t="s">
        <v>763</v>
      </c>
      <c r="I838" s="1031"/>
      <c r="J838" s="1031" t="s">
        <v>724</v>
      </c>
      <c r="K838" s="1042" t="s">
        <v>2454</v>
      </c>
    </row>
    <row r="839" spans="1:11" s="1028" customFormat="1" ht="45" x14ac:dyDescent="0.25">
      <c r="A839" s="1031" t="s">
        <v>2395</v>
      </c>
      <c r="B839" s="1039">
        <f>'[1]PLAN DE DESARROLLO 2024 - 2027'!$M$46</f>
        <v>0.25251661967012345</v>
      </c>
      <c r="C839" s="1031" t="s">
        <v>2399</v>
      </c>
      <c r="D839" s="1040">
        <f>'[1]PLAN DE DESARROLLO 2024 - 2027'!$M$73</f>
        <v>0.25984040977313172</v>
      </c>
      <c r="E839" s="1031" t="s">
        <v>2436</v>
      </c>
      <c r="F839" s="1041">
        <f>[2]Hoja1!$B$46</f>
        <v>0.27</v>
      </c>
      <c r="G839" s="1031" t="s">
        <v>764</v>
      </c>
      <c r="H839" s="1031" t="s">
        <v>765</v>
      </c>
      <c r="I839" s="1031"/>
      <c r="J839" s="1031" t="s">
        <v>724</v>
      </c>
      <c r="K839" s="1042" t="s">
        <v>2454</v>
      </c>
    </row>
    <row r="840" spans="1:11" s="1028" customFormat="1" ht="30" x14ac:dyDescent="0.25">
      <c r="A840" s="1031" t="s">
        <v>2395</v>
      </c>
      <c r="B840" s="1039">
        <f>'[1]PLAN DE DESARROLLO 2024 - 2027'!$M$46</f>
        <v>0.25251661967012345</v>
      </c>
      <c r="C840" s="1031" t="s">
        <v>2399</v>
      </c>
      <c r="D840" s="1040">
        <f>'[1]PLAN DE DESARROLLO 2024 - 2027'!$M$73</f>
        <v>0.25984040977313172</v>
      </c>
      <c r="E840" s="1031" t="s">
        <v>2436</v>
      </c>
      <c r="F840" s="1041">
        <f>[2]Hoja1!$B$46</f>
        <v>0.27</v>
      </c>
      <c r="G840" s="1031" t="s">
        <v>766</v>
      </c>
      <c r="H840" s="1031" t="s">
        <v>767</v>
      </c>
      <c r="I840" s="1031"/>
      <c r="J840" s="1031" t="s">
        <v>724</v>
      </c>
      <c r="K840" s="1042" t="s">
        <v>2454</v>
      </c>
    </row>
    <row r="841" spans="1:11" s="1028" customFormat="1" ht="30" x14ac:dyDescent="0.25">
      <c r="A841" s="1031" t="s">
        <v>2395</v>
      </c>
      <c r="B841" s="1039">
        <f>'[1]PLAN DE DESARROLLO 2024 - 2027'!$M$46</f>
        <v>0.25251661967012345</v>
      </c>
      <c r="C841" s="1031" t="s">
        <v>2399</v>
      </c>
      <c r="D841" s="1040">
        <f>'[1]PLAN DE DESARROLLO 2024 - 2027'!$M$73</f>
        <v>0.25984040977313172</v>
      </c>
      <c r="E841" s="1031" t="s">
        <v>2436</v>
      </c>
      <c r="F841" s="1041">
        <f>[2]Hoja1!$B$46</f>
        <v>0.27</v>
      </c>
      <c r="G841" s="1031" t="s">
        <v>768</v>
      </c>
      <c r="H841" s="1031" t="s">
        <v>769</v>
      </c>
      <c r="I841" s="1031"/>
      <c r="J841" s="1031" t="s">
        <v>724</v>
      </c>
      <c r="K841" s="1042" t="s">
        <v>2454</v>
      </c>
    </row>
    <row r="842" spans="1:11" s="1028" customFormat="1" ht="30" x14ac:dyDescent="0.25">
      <c r="A842" s="1031" t="s">
        <v>2395</v>
      </c>
      <c r="B842" s="1039">
        <f>'[1]PLAN DE DESARROLLO 2024 - 2027'!$M$46</f>
        <v>0.25251661967012345</v>
      </c>
      <c r="C842" s="1031" t="s">
        <v>2399</v>
      </c>
      <c r="D842" s="1040">
        <f>'[1]PLAN DE DESARROLLO 2024 - 2027'!$M$73</f>
        <v>0.25984040977313172</v>
      </c>
      <c r="E842" s="1031" t="s">
        <v>2433</v>
      </c>
      <c r="F842" s="1041">
        <f>[2]Hoja1!$B$60</f>
        <v>0.12517636591043887</v>
      </c>
      <c r="G842" s="1031" t="s">
        <v>722</v>
      </c>
      <c r="H842" s="1031" t="s">
        <v>723</v>
      </c>
      <c r="I842" s="1031"/>
      <c r="J842" s="1031" t="s">
        <v>724</v>
      </c>
      <c r="K842" s="1042" t="s">
        <v>2454</v>
      </c>
    </row>
    <row r="843" spans="1:11" s="1028" customFormat="1" ht="30" x14ac:dyDescent="0.25">
      <c r="A843" s="1031" t="s">
        <v>2395</v>
      </c>
      <c r="B843" s="1039">
        <f>'[1]PLAN DE DESARROLLO 2024 - 2027'!$M$46</f>
        <v>0.25251661967012345</v>
      </c>
      <c r="C843" s="1031" t="s">
        <v>2399</v>
      </c>
      <c r="D843" s="1040">
        <f>'[1]PLAN DE DESARROLLO 2024 - 2027'!$M$73</f>
        <v>0.25984040977313172</v>
      </c>
      <c r="E843" s="1031" t="s">
        <v>2433</v>
      </c>
      <c r="F843" s="1041">
        <f>[2]Hoja1!$B$60</f>
        <v>0.12517636591043887</v>
      </c>
      <c r="G843" s="1031" t="s">
        <v>725</v>
      </c>
      <c r="H843" s="1031" t="s">
        <v>726</v>
      </c>
      <c r="I843" s="1031"/>
      <c r="J843" s="1031" t="s">
        <v>724</v>
      </c>
      <c r="K843" s="1042" t="s">
        <v>2454</v>
      </c>
    </row>
    <row r="844" spans="1:11" s="1028" customFormat="1" ht="30" x14ac:dyDescent="0.25">
      <c r="A844" s="1031" t="s">
        <v>2395</v>
      </c>
      <c r="B844" s="1039">
        <f>'[1]PLAN DE DESARROLLO 2024 - 2027'!$M$46</f>
        <v>0.25251661967012345</v>
      </c>
      <c r="C844" s="1031" t="s">
        <v>2399</v>
      </c>
      <c r="D844" s="1040">
        <f>'[1]PLAN DE DESARROLLO 2024 - 2027'!$M$73</f>
        <v>0.25984040977313172</v>
      </c>
      <c r="E844" s="1031" t="s">
        <v>2433</v>
      </c>
      <c r="F844" s="1041">
        <f>[2]Hoja1!$B$60</f>
        <v>0.12517636591043887</v>
      </c>
      <c r="G844" s="1031" t="s">
        <v>729</v>
      </c>
      <c r="H844" s="1031" t="s">
        <v>730</v>
      </c>
      <c r="I844" s="1031"/>
      <c r="J844" s="1031" t="s">
        <v>724</v>
      </c>
      <c r="K844" s="1042" t="s">
        <v>2454</v>
      </c>
    </row>
    <row r="845" spans="1:11" s="1028" customFormat="1" ht="30" x14ac:dyDescent="0.25">
      <c r="A845" s="1031" t="s">
        <v>2395</v>
      </c>
      <c r="B845" s="1039">
        <f>'[1]PLAN DE DESARROLLO 2024 - 2027'!$M$46</f>
        <v>0.25251661967012345</v>
      </c>
      <c r="C845" s="1031" t="s">
        <v>2399</v>
      </c>
      <c r="D845" s="1040">
        <f>'[1]PLAN DE DESARROLLO 2024 - 2027'!$M$73</f>
        <v>0.25984040977313172</v>
      </c>
      <c r="E845" s="1031" t="s">
        <v>2433</v>
      </c>
      <c r="F845" s="1041">
        <f>[2]Hoja1!$B$60</f>
        <v>0.12517636591043887</v>
      </c>
      <c r="G845" s="1031" t="s">
        <v>732</v>
      </c>
      <c r="H845" s="1031" t="s">
        <v>733</v>
      </c>
      <c r="I845" s="1031"/>
      <c r="J845" s="1031" t="s">
        <v>724</v>
      </c>
      <c r="K845" s="1042" t="s">
        <v>2454</v>
      </c>
    </row>
    <row r="846" spans="1:11" s="1028" customFormat="1" ht="30" x14ac:dyDescent="0.25">
      <c r="A846" s="1031" t="s">
        <v>2395</v>
      </c>
      <c r="B846" s="1039">
        <f>'[1]PLAN DE DESARROLLO 2024 - 2027'!$M$46</f>
        <v>0.25251661967012345</v>
      </c>
      <c r="C846" s="1031" t="s">
        <v>2399</v>
      </c>
      <c r="D846" s="1040">
        <f>'[1]PLAN DE DESARROLLO 2024 - 2027'!$M$73</f>
        <v>0.25984040977313172</v>
      </c>
      <c r="E846" s="1031" t="s">
        <v>2433</v>
      </c>
      <c r="F846" s="1041">
        <f>[2]Hoja1!$B$60</f>
        <v>0.12517636591043887</v>
      </c>
      <c r="G846" s="1031" t="s">
        <v>735</v>
      </c>
      <c r="H846" s="1031" t="s">
        <v>736</v>
      </c>
      <c r="I846" s="1031"/>
      <c r="J846" s="1031" t="s">
        <v>724</v>
      </c>
      <c r="K846" s="1042" t="s">
        <v>2454</v>
      </c>
    </row>
    <row r="847" spans="1:11" s="1028" customFormat="1" ht="45" x14ac:dyDescent="0.25">
      <c r="A847" s="1031" t="s">
        <v>2308</v>
      </c>
      <c r="B847" s="1043">
        <f>'[1]PLAN DE DESARROLLO 2024 - 2027'!$M$161</f>
        <v>0.24647581985093744</v>
      </c>
      <c r="C847" s="1031" t="s">
        <v>2326</v>
      </c>
      <c r="D847" s="1040">
        <f>'[1]PLAN DE DESARROLLO 2024 - 2027'!$M$178</f>
        <v>0.30658085759781617</v>
      </c>
      <c r="E847" s="1031" t="s">
        <v>1678</v>
      </c>
      <c r="F847" s="1041">
        <f>[2]Hoja1!$B$34</f>
        <v>0.27500000000000002</v>
      </c>
      <c r="G847" s="1031" t="s">
        <v>1679</v>
      </c>
      <c r="H847" s="1031" t="s">
        <v>1680</v>
      </c>
      <c r="I847" s="1031"/>
      <c r="J847" s="1031" t="s">
        <v>1666</v>
      </c>
      <c r="K847" s="1042" t="s">
        <v>2454</v>
      </c>
    </row>
    <row r="848" spans="1:11" s="1028" customFormat="1" ht="30" x14ac:dyDescent="0.25">
      <c r="A848" s="1031" t="s">
        <v>2341</v>
      </c>
      <c r="B848" s="1039">
        <f>'[1]PLAN DE DESARROLLO 2024 - 2027'!$M$4</f>
        <v>0.24028917333263158</v>
      </c>
      <c r="C848" s="1031" t="s">
        <v>2344</v>
      </c>
      <c r="D848" s="1040">
        <f>'[1]PLAN DE DESARROLLO 2024 - 2027'!$M$11</f>
        <v>0.24196521875000004</v>
      </c>
      <c r="E848" s="1031" t="s">
        <v>150</v>
      </c>
      <c r="F848" s="1041">
        <f>[2]Hoja1!$B$7</f>
        <v>0.14335000000000001</v>
      </c>
      <c r="G848" s="1031" t="s">
        <v>153</v>
      </c>
      <c r="H848" s="1031" t="s">
        <v>154</v>
      </c>
      <c r="I848" s="1031"/>
      <c r="J848" s="1031" t="s">
        <v>47</v>
      </c>
      <c r="K848" s="1042" t="s">
        <v>2454</v>
      </c>
    </row>
    <row r="849" spans="1:11" s="1028" customFormat="1" ht="45" x14ac:dyDescent="0.25">
      <c r="A849" s="1031" t="s">
        <v>2341</v>
      </c>
      <c r="B849" s="1039">
        <f>'[1]PLAN DE DESARROLLO 2024 - 2027'!$M$4</f>
        <v>0.24028917333263158</v>
      </c>
      <c r="C849" s="1031" t="s">
        <v>2344</v>
      </c>
      <c r="D849" s="1040">
        <f>'[1]PLAN DE DESARROLLO 2024 - 2027'!$M$11</f>
        <v>0.24196521875000004</v>
      </c>
      <c r="E849" s="1031" t="s">
        <v>2394</v>
      </c>
      <c r="F849" s="1041">
        <f>[2]Hoja1!$B$8</f>
        <v>0.151</v>
      </c>
      <c r="G849" s="1031" t="s">
        <v>142</v>
      </c>
      <c r="H849" s="1031" t="s">
        <v>143</v>
      </c>
      <c r="I849" s="1031"/>
      <c r="J849" s="1031" t="s">
        <v>47</v>
      </c>
      <c r="K849" s="1042" t="s">
        <v>2454</v>
      </c>
    </row>
    <row r="850" spans="1:11" s="1028" customFormat="1" ht="30" x14ac:dyDescent="0.25">
      <c r="A850" s="1031" t="s">
        <v>2341</v>
      </c>
      <c r="B850" s="1039">
        <f>'[1]PLAN DE DESARROLLO 2024 - 2027'!$M$4</f>
        <v>0.24028917333263158</v>
      </c>
      <c r="C850" s="1031" t="s">
        <v>2344</v>
      </c>
      <c r="D850" s="1040">
        <f>'[1]PLAN DE DESARROLLO 2024 - 2027'!$M$11</f>
        <v>0.24196521875000004</v>
      </c>
      <c r="E850" s="1031" t="s">
        <v>2394</v>
      </c>
      <c r="F850" s="1041">
        <f>[2]Hoja1!$B$8</f>
        <v>0.151</v>
      </c>
      <c r="G850" s="1031" t="s">
        <v>144</v>
      </c>
      <c r="H850" s="1031" t="s">
        <v>145</v>
      </c>
      <c r="I850" s="1031"/>
      <c r="J850" s="1031" t="s">
        <v>47</v>
      </c>
      <c r="K850" s="1042" t="s">
        <v>2454</v>
      </c>
    </row>
    <row r="851" spans="1:11" s="1028" customFormat="1" ht="60" x14ac:dyDescent="0.25">
      <c r="A851" s="1031" t="s">
        <v>2341</v>
      </c>
      <c r="B851" s="1039">
        <f>'[1]PLAN DE DESARROLLO 2024 - 2027'!$M$4</f>
        <v>0.24028917333263158</v>
      </c>
      <c r="C851" s="1031" t="s">
        <v>2344</v>
      </c>
      <c r="D851" s="1040">
        <f>'[1]PLAN DE DESARROLLO 2024 - 2027'!$M$11</f>
        <v>0.24196521875000004</v>
      </c>
      <c r="E851" s="1031" t="s">
        <v>2394</v>
      </c>
      <c r="F851" s="1041">
        <f>[2]Hoja1!$B$8</f>
        <v>0.151</v>
      </c>
      <c r="G851" s="1031" t="s">
        <v>146</v>
      </c>
      <c r="H851" s="1031" t="s">
        <v>147</v>
      </c>
      <c r="I851" s="1031"/>
      <c r="J851" s="1031" t="s">
        <v>47</v>
      </c>
      <c r="K851" s="1042" t="s">
        <v>2454</v>
      </c>
    </row>
    <row r="852" spans="1:11" s="1028" customFormat="1" ht="30" x14ac:dyDescent="0.25">
      <c r="A852" s="1031" t="s">
        <v>2308</v>
      </c>
      <c r="B852" s="1043">
        <f>'[1]PLAN DE DESARROLLO 2024 - 2027'!$M$161</f>
        <v>0.24647581985093744</v>
      </c>
      <c r="C852" s="1031" t="s">
        <v>2332</v>
      </c>
      <c r="D852" s="1040">
        <f>'[1]PLAN DE DESARROLLO 2024 - 2027'!$M$191</f>
        <v>0.22981556695992181</v>
      </c>
      <c r="E852" s="1031" t="s">
        <v>2333</v>
      </c>
      <c r="F852" s="1041">
        <f>[2]Hoja1!$B$36</f>
        <v>1.1966666666666668</v>
      </c>
      <c r="G852" s="1031" t="s">
        <v>1766</v>
      </c>
      <c r="H852" s="1031" t="s">
        <v>1767</v>
      </c>
      <c r="I852" s="1031"/>
      <c r="J852" s="1031" t="s">
        <v>716</v>
      </c>
      <c r="K852" s="1042" t="s">
        <v>2454</v>
      </c>
    </row>
    <row r="853" spans="1:11" s="1028" customFormat="1" ht="30" x14ac:dyDescent="0.25">
      <c r="A853" s="1031" t="s">
        <v>2308</v>
      </c>
      <c r="B853" s="1043">
        <f>'[1]PLAN DE DESARROLLO 2024 - 2027'!$M$161</f>
        <v>0.24647581985093744</v>
      </c>
      <c r="C853" s="1031" t="s">
        <v>2332</v>
      </c>
      <c r="D853" s="1040">
        <f>'[1]PLAN DE DESARROLLO 2024 - 2027'!$M$191</f>
        <v>0.22981556695992181</v>
      </c>
      <c r="E853" s="1031" t="s">
        <v>2333</v>
      </c>
      <c r="F853" s="1041">
        <f>[2]Hoja1!$B$36</f>
        <v>1.1966666666666668</v>
      </c>
      <c r="G853" s="1031" t="s">
        <v>1768</v>
      </c>
      <c r="H853" s="1031" t="s">
        <v>1769</v>
      </c>
      <c r="I853" s="1031"/>
      <c r="J853" s="1031" t="s">
        <v>716</v>
      </c>
      <c r="K853" s="1042" t="s">
        <v>2454</v>
      </c>
    </row>
    <row r="854" spans="1:11" s="1028" customFormat="1" ht="30" x14ac:dyDescent="0.25">
      <c r="A854" s="1031" t="s">
        <v>2308</v>
      </c>
      <c r="B854" s="1043">
        <f>'[1]PLAN DE DESARROLLO 2024 - 2027'!$M$161</f>
        <v>0.24647581985093744</v>
      </c>
      <c r="C854" s="1031" t="s">
        <v>2332</v>
      </c>
      <c r="D854" s="1040">
        <f>'[1]PLAN DE DESARROLLO 2024 - 2027'!$M$191</f>
        <v>0.22981556695992181</v>
      </c>
      <c r="E854" s="1031" t="s">
        <v>2333</v>
      </c>
      <c r="F854" s="1041">
        <f>[2]Hoja1!$B$36</f>
        <v>1.1966666666666668</v>
      </c>
      <c r="G854" s="1031" t="s">
        <v>1770</v>
      </c>
      <c r="H854" s="1031" t="s">
        <v>1771</v>
      </c>
      <c r="I854" s="1031"/>
      <c r="J854" s="1031" t="s">
        <v>716</v>
      </c>
      <c r="K854" s="1042" t="s">
        <v>2454</v>
      </c>
    </row>
    <row r="855" spans="1:11" s="1028" customFormat="1" ht="30" x14ac:dyDescent="0.25">
      <c r="A855" s="1031" t="s">
        <v>2308</v>
      </c>
      <c r="B855" s="1043">
        <f>'[1]PLAN DE DESARROLLO 2024 - 2027'!$M$161</f>
        <v>0.24647581985093744</v>
      </c>
      <c r="C855" s="1031" t="s">
        <v>2332</v>
      </c>
      <c r="D855" s="1040">
        <f>'[1]PLAN DE DESARROLLO 2024 - 2027'!$M$191</f>
        <v>0.22981556695992181</v>
      </c>
      <c r="E855" s="1031" t="s">
        <v>2333</v>
      </c>
      <c r="F855" s="1041">
        <f>[2]Hoja1!$B$36</f>
        <v>1.1966666666666668</v>
      </c>
      <c r="G855" s="1031" t="s">
        <v>1772</v>
      </c>
      <c r="H855" s="1031" t="s">
        <v>1773</v>
      </c>
      <c r="I855" s="1031"/>
      <c r="J855" s="1031" t="s">
        <v>716</v>
      </c>
      <c r="K855" s="1042" t="s">
        <v>2454</v>
      </c>
    </row>
    <row r="856" spans="1:11" s="1028" customFormat="1" ht="30" x14ac:dyDescent="0.25">
      <c r="A856" s="1031" t="s">
        <v>2308</v>
      </c>
      <c r="B856" s="1043">
        <f>'[1]PLAN DE DESARROLLO 2024 - 2027'!$M$161</f>
        <v>0.24647581985093744</v>
      </c>
      <c r="C856" s="1031" t="s">
        <v>2332</v>
      </c>
      <c r="D856" s="1040">
        <f>'[1]PLAN DE DESARROLLO 2024 - 2027'!$M$191</f>
        <v>0.22981556695992181</v>
      </c>
      <c r="E856" s="1031" t="s">
        <v>2333</v>
      </c>
      <c r="F856" s="1041">
        <f>[2]Hoja1!$B$36</f>
        <v>1.1966666666666668</v>
      </c>
      <c r="G856" s="1031" t="s">
        <v>1774</v>
      </c>
      <c r="H856" s="1031" t="s">
        <v>1775</v>
      </c>
      <c r="I856" s="1031"/>
      <c r="J856" s="1031" t="s">
        <v>716</v>
      </c>
      <c r="K856" s="1042" t="s">
        <v>2454</v>
      </c>
    </row>
    <row r="857" spans="1:11" s="1028" customFormat="1" ht="30" x14ac:dyDescent="0.25">
      <c r="A857" s="1031" t="s">
        <v>2308</v>
      </c>
      <c r="B857" s="1043">
        <f>'[1]PLAN DE DESARROLLO 2024 - 2027'!$M$161</f>
        <v>0.24647581985093744</v>
      </c>
      <c r="C857" s="1031" t="s">
        <v>2326</v>
      </c>
      <c r="D857" s="1040">
        <f>'[1]PLAN DE DESARROLLO 2024 - 2027'!$M$178</f>
        <v>0.30658085759781617</v>
      </c>
      <c r="E857" s="1031" t="s">
        <v>1669</v>
      </c>
      <c r="F857" s="1041">
        <f>[2]Hoja1!$B$37</f>
        <v>0.36899999999999999</v>
      </c>
      <c r="G857" s="1031" t="s">
        <v>1670</v>
      </c>
      <c r="H857" s="1031" t="s">
        <v>1671</v>
      </c>
      <c r="I857" s="1031"/>
      <c r="J857" s="1031" t="s">
        <v>1666</v>
      </c>
      <c r="K857" s="1042" t="s">
        <v>2454</v>
      </c>
    </row>
    <row r="858" spans="1:11" s="1028" customFormat="1" ht="30" x14ac:dyDescent="0.25">
      <c r="A858" s="1031" t="s">
        <v>2308</v>
      </c>
      <c r="B858" s="1043">
        <f>'[1]PLAN DE DESARROLLO 2024 - 2027'!$M$161</f>
        <v>0.24647581985093744</v>
      </c>
      <c r="C858" s="1031" t="s">
        <v>2326</v>
      </c>
      <c r="D858" s="1040">
        <f>'[1]PLAN DE DESARROLLO 2024 - 2027'!$M$178</f>
        <v>0.30658085759781617</v>
      </c>
      <c r="E858" s="1031" t="s">
        <v>1669</v>
      </c>
      <c r="F858" s="1041">
        <f>[2]Hoja1!$B$37</f>
        <v>0.36899999999999999</v>
      </c>
      <c r="G858" s="1031" t="s">
        <v>1672</v>
      </c>
      <c r="H858" s="1031" t="s">
        <v>1673</v>
      </c>
      <c r="I858" s="1031"/>
      <c r="J858" s="1031" t="s">
        <v>1666</v>
      </c>
      <c r="K858" s="1042" t="s">
        <v>2454</v>
      </c>
    </row>
    <row r="859" spans="1:11" s="1028" customFormat="1" ht="45" x14ac:dyDescent="0.25">
      <c r="A859" s="1031" t="s">
        <v>2308</v>
      </c>
      <c r="B859" s="1043">
        <f>'[1]PLAN DE DESARROLLO 2024 - 2027'!$M$161</f>
        <v>0.24647581985093744</v>
      </c>
      <c r="C859" s="1031" t="s">
        <v>2326</v>
      </c>
      <c r="D859" s="1040">
        <f>'[1]PLAN DE DESARROLLO 2024 - 2027'!$M$178</f>
        <v>0.30658085759781617</v>
      </c>
      <c r="E859" s="1031" t="s">
        <v>1669</v>
      </c>
      <c r="F859" s="1041">
        <f>[2]Hoja1!$B$37</f>
        <v>0.36899999999999999</v>
      </c>
      <c r="G859" s="1031" t="s">
        <v>1674</v>
      </c>
      <c r="H859" s="1031" t="s">
        <v>1675</v>
      </c>
      <c r="I859" s="1031"/>
      <c r="J859" s="1031" t="s">
        <v>1666</v>
      </c>
      <c r="K859" s="1042" t="s">
        <v>2454</v>
      </c>
    </row>
    <row r="860" spans="1:11" s="1028" customFormat="1" ht="30" x14ac:dyDescent="0.25">
      <c r="A860" s="1031" t="s">
        <v>2308</v>
      </c>
      <c r="B860" s="1043">
        <f>'[1]PLAN DE DESARROLLO 2024 - 2027'!$M$161</f>
        <v>0.24647581985093744</v>
      </c>
      <c r="C860" s="1031" t="s">
        <v>2326</v>
      </c>
      <c r="D860" s="1040">
        <f>'[1]PLAN DE DESARROLLO 2024 - 2027'!$M$178</f>
        <v>0.30658085759781617</v>
      </c>
      <c r="E860" s="1031" t="s">
        <v>1669</v>
      </c>
      <c r="F860" s="1041">
        <f>[2]Hoja1!$B$37</f>
        <v>0.36899999999999999</v>
      </c>
      <c r="G860" s="1031" t="s">
        <v>1676</v>
      </c>
      <c r="H860" s="1031" t="s">
        <v>1677</v>
      </c>
      <c r="I860" s="1031"/>
      <c r="J860" s="1031" t="s">
        <v>1666</v>
      </c>
      <c r="K860" s="1042" t="s">
        <v>2454</v>
      </c>
    </row>
    <row r="861" spans="1:11" s="1028" customFormat="1" ht="45" x14ac:dyDescent="0.25">
      <c r="A861" s="1031" t="s">
        <v>2341</v>
      </c>
      <c r="B861" s="1039">
        <f>'[1]PLAN DE DESARROLLO 2024 - 2027'!$M$4</f>
        <v>0.24028917333263158</v>
      </c>
      <c r="C861" s="1031" t="s">
        <v>2344</v>
      </c>
      <c r="D861" s="1040">
        <f>'[1]PLAN DE DESARROLLO 2024 - 2027'!$M$11</f>
        <v>0.24196521875000004</v>
      </c>
      <c r="E861" s="1031" t="s">
        <v>2394</v>
      </c>
      <c r="F861" s="1041">
        <f>[2]Hoja1!$B$8</f>
        <v>0.151</v>
      </c>
      <c r="G861" s="1031" t="s">
        <v>148</v>
      </c>
      <c r="H861" s="1031" t="s">
        <v>149</v>
      </c>
      <c r="I861" s="1031"/>
      <c r="J861" s="1031" t="s">
        <v>47</v>
      </c>
      <c r="K861" s="1042" t="s">
        <v>2454</v>
      </c>
    </row>
    <row r="862" spans="1:11" s="1028" customFormat="1" ht="30" x14ac:dyDescent="0.25">
      <c r="A862" s="1031" t="s">
        <v>2341</v>
      </c>
      <c r="B862" s="1039">
        <f>'[1]PLAN DE DESARROLLO 2024 - 2027'!$M$4</f>
        <v>0.24028917333263158</v>
      </c>
      <c r="C862" s="1031" t="s">
        <v>2344</v>
      </c>
      <c r="D862" s="1040">
        <f>'[1]PLAN DE DESARROLLO 2024 - 2027'!$M$11</f>
        <v>0.24196521875000004</v>
      </c>
      <c r="E862" s="1031" t="s">
        <v>2393</v>
      </c>
      <c r="F862" s="1041">
        <f>[2]Hoja1!$B$17</f>
        <v>6.6166666666666665E-2</v>
      </c>
      <c r="G862" s="1031" t="s">
        <v>123</v>
      </c>
      <c r="H862" s="1031" t="s">
        <v>124</v>
      </c>
      <c r="I862" s="1031"/>
      <c r="J862" s="1031" t="s">
        <v>47</v>
      </c>
      <c r="K862" s="1042" t="s">
        <v>2454</v>
      </c>
    </row>
    <row r="863" spans="1:11" s="1028" customFormat="1" ht="30" x14ac:dyDescent="0.25">
      <c r="A863" s="1031" t="s">
        <v>2341</v>
      </c>
      <c r="B863" s="1039">
        <f>'[1]PLAN DE DESARROLLO 2024 - 2027'!$M$4</f>
        <v>0.24028917333263158</v>
      </c>
      <c r="C863" s="1031" t="s">
        <v>2344</v>
      </c>
      <c r="D863" s="1040">
        <f>'[1]PLAN DE DESARROLLO 2024 - 2027'!$M$11</f>
        <v>0.24196521875000004</v>
      </c>
      <c r="E863" s="1031" t="s">
        <v>2393</v>
      </c>
      <c r="F863" s="1041">
        <f>[2]Hoja1!$B$17</f>
        <v>6.6166666666666665E-2</v>
      </c>
      <c r="G863" s="1031" t="s">
        <v>125</v>
      </c>
      <c r="H863" s="1031" t="s">
        <v>126</v>
      </c>
      <c r="I863" s="1031"/>
      <c r="J863" s="1031" t="s">
        <v>47</v>
      </c>
      <c r="K863" s="1042" t="s">
        <v>2454</v>
      </c>
    </row>
    <row r="864" spans="1:11" s="1028" customFormat="1" ht="30" x14ac:dyDescent="0.25">
      <c r="A864" s="1031" t="s">
        <v>2341</v>
      </c>
      <c r="B864" s="1039">
        <f>'[1]PLAN DE DESARROLLO 2024 - 2027'!$M$4</f>
        <v>0.24028917333263158</v>
      </c>
      <c r="C864" s="1031" t="s">
        <v>2344</v>
      </c>
      <c r="D864" s="1040">
        <f>'[1]PLAN DE DESARROLLO 2024 - 2027'!$M$11</f>
        <v>0.24196521875000004</v>
      </c>
      <c r="E864" s="1031" t="s">
        <v>2393</v>
      </c>
      <c r="F864" s="1041">
        <f>[2]Hoja1!$B$17</f>
        <v>6.6166666666666665E-2</v>
      </c>
      <c r="G864" s="1031" t="s">
        <v>128</v>
      </c>
      <c r="H864" s="1031" t="s">
        <v>129</v>
      </c>
      <c r="I864" s="1031"/>
      <c r="J864" s="1031" t="s">
        <v>47</v>
      </c>
      <c r="K864" s="1042" t="s">
        <v>2454</v>
      </c>
    </row>
    <row r="865" spans="1:11" s="1028" customFormat="1" ht="30" x14ac:dyDescent="0.25">
      <c r="A865" s="1031" t="s">
        <v>2215</v>
      </c>
      <c r="B865" s="1043">
        <f>'[1]PLAN DE DESARROLLO 2024 - 2027'!$M$123</f>
        <v>0.20174333228533195</v>
      </c>
      <c r="C865" s="1031" t="s">
        <v>2252</v>
      </c>
      <c r="D865" s="1040">
        <f>'[1]PLAN DE DESARROLLO 2024 - 2027'!$M$136</f>
        <v>0.3779372351486594</v>
      </c>
      <c r="E865" s="1031" t="s">
        <v>1299</v>
      </c>
      <c r="F865" s="1041">
        <f>[2]Hoja1!$B$135</f>
        <v>0.62548089591567846</v>
      </c>
      <c r="G865" s="1031" t="s">
        <v>1308</v>
      </c>
      <c r="H865" s="1031" t="s">
        <v>1309</v>
      </c>
      <c r="I865" s="1031"/>
      <c r="J865" s="1031" t="s">
        <v>1224</v>
      </c>
      <c r="K865" s="1042" t="s">
        <v>2454</v>
      </c>
    </row>
    <row r="866" spans="1:11" s="1028" customFormat="1" ht="30" x14ac:dyDescent="0.25">
      <c r="A866" s="1031" t="s">
        <v>2215</v>
      </c>
      <c r="B866" s="1043">
        <f>'[1]PLAN DE DESARROLLO 2024 - 2027'!$M$123</f>
        <v>0.20174333228533195</v>
      </c>
      <c r="C866" s="1031" t="s">
        <v>2245</v>
      </c>
      <c r="D866" s="1040">
        <f>'[1]PLAN DE DESARROLLO 2024 - 2027'!$M$130</f>
        <v>9.8146749999999991E-2</v>
      </c>
      <c r="E866" s="1031" t="s">
        <v>2250</v>
      </c>
      <c r="F866" s="1041">
        <f>[2]Hoja1!$B$5</f>
        <v>0.14800000000000002</v>
      </c>
      <c r="G866" s="1031" t="s">
        <v>1264</v>
      </c>
      <c r="H866" s="1031" t="s">
        <v>1265</v>
      </c>
      <c r="I866" s="1031"/>
      <c r="J866" s="1031" t="s">
        <v>925</v>
      </c>
      <c r="K866" s="1042" t="s">
        <v>2454</v>
      </c>
    </row>
    <row r="867" spans="1:11" s="1028" customFormat="1" ht="30" x14ac:dyDescent="0.25">
      <c r="A867" s="1031" t="s">
        <v>2215</v>
      </c>
      <c r="B867" s="1043">
        <f>'[1]PLAN DE DESARROLLO 2024 - 2027'!$M$123</f>
        <v>0.20174333228533195</v>
      </c>
      <c r="C867" s="1031" t="s">
        <v>2245</v>
      </c>
      <c r="D867" s="1040">
        <f>'[1]PLAN DE DESARROLLO 2024 - 2027'!$M$130</f>
        <v>9.8146749999999991E-2</v>
      </c>
      <c r="E867" s="1031" t="s">
        <v>2250</v>
      </c>
      <c r="F867" s="1041">
        <f>[2]Hoja1!$B$5</f>
        <v>0.14800000000000002</v>
      </c>
      <c r="G867" s="1031" t="s">
        <v>1266</v>
      </c>
      <c r="H867" s="1031" t="s">
        <v>1267</v>
      </c>
      <c r="I867" s="1031"/>
      <c r="J867" s="1031" t="s">
        <v>925</v>
      </c>
      <c r="K867" s="1042" t="s">
        <v>2454</v>
      </c>
    </row>
    <row r="868" spans="1:11" s="1028" customFormat="1" ht="45" x14ac:dyDescent="0.25">
      <c r="A868" s="1031" t="s">
        <v>2215</v>
      </c>
      <c r="B868" s="1043">
        <f>'[1]PLAN DE DESARROLLO 2024 - 2027'!$M$123</f>
        <v>0.20174333228533195</v>
      </c>
      <c r="C868" s="1031" t="s">
        <v>2245</v>
      </c>
      <c r="D868" s="1040">
        <f>'[1]PLAN DE DESARROLLO 2024 - 2027'!$M$130</f>
        <v>9.8146749999999991E-2</v>
      </c>
      <c r="E868" s="1031" t="s">
        <v>2246</v>
      </c>
      <c r="F868" s="1041">
        <f>[2]Hoja1!$B$20</f>
        <v>3.3340000000000002E-2</v>
      </c>
      <c r="G868" s="1031" t="s">
        <v>1238</v>
      </c>
      <c r="H868" s="1031" t="s">
        <v>1239</v>
      </c>
      <c r="I868" s="1031"/>
      <c r="J868" s="1031" t="s">
        <v>1100</v>
      </c>
      <c r="K868" s="1042" t="s">
        <v>2454</v>
      </c>
    </row>
    <row r="869" spans="1:11" s="1028" customFormat="1" ht="30" x14ac:dyDescent="0.25">
      <c r="A869" s="1031" t="s">
        <v>2215</v>
      </c>
      <c r="B869" s="1043">
        <f>'[1]PLAN DE DESARROLLO 2024 - 2027'!$M$123</f>
        <v>0.20174333228533195</v>
      </c>
      <c r="C869" s="1031" t="s">
        <v>2245</v>
      </c>
      <c r="D869" s="1040">
        <f>'[1]PLAN DE DESARROLLO 2024 - 2027'!$M$130</f>
        <v>9.8146749999999991E-2</v>
      </c>
      <c r="E869" s="1031" t="s">
        <v>2246</v>
      </c>
      <c r="F869" s="1041">
        <f>[2]Hoja1!$B$20</f>
        <v>3.3340000000000002E-2</v>
      </c>
      <c r="G869" s="1031" t="s">
        <v>1240</v>
      </c>
      <c r="H869" s="1031" t="s">
        <v>1241</v>
      </c>
      <c r="I869" s="1031"/>
      <c r="J869" s="1031" t="s">
        <v>1100</v>
      </c>
      <c r="K869" s="1042" t="s">
        <v>2454</v>
      </c>
    </row>
    <row r="870" spans="1:11" s="1028" customFormat="1" ht="30" x14ac:dyDescent="0.25">
      <c r="A870" s="1031" t="s">
        <v>2215</v>
      </c>
      <c r="B870" s="1043">
        <f>'[1]PLAN DE DESARROLLO 2024 - 2027'!$M$123</f>
        <v>0.20174333228533195</v>
      </c>
      <c r="C870" s="1031" t="s">
        <v>2245</v>
      </c>
      <c r="D870" s="1040">
        <f>'[1]PLAN DE DESARROLLO 2024 - 2027'!$M$130</f>
        <v>9.8146749999999991E-2</v>
      </c>
      <c r="E870" s="1031" t="s">
        <v>2246</v>
      </c>
      <c r="F870" s="1041">
        <f>[2]Hoja1!$B$20</f>
        <v>3.3340000000000002E-2</v>
      </c>
      <c r="G870" s="1031" t="s">
        <v>1242</v>
      </c>
      <c r="H870" s="1031" t="s">
        <v>1243</v>
      </c>
      <c r="I870" s="1031"/>
      <c r="J870" s="1031" t="s">
        <v>1100</v>
      </c>
      <c r="K870" s="1042" t="s">
        <v>2454</v>
      </c>
    </row>
    <row r="871" spans="1:11" s="1028" customFormat="1" x14ac:dyDescent="0.25">
      <c r="A871" s="1031" t="s">
        <v>2215</v>
      </c>
      <c r="B871" s="1043">
        <f>'[1]PLAN DE DESARROLLO 2024 - 2027'!$M$123</f>
        <v>0.20174333228533195</v>
      </c>
      <c r="C871" s="1031" t="s">
        <v>2245</v>
      </c>
      <c r="D871" s="1040">
        <f>'[1]PLAN DE DESARROLLO 2024 - 2027'!$M$130</f>
        <v>9.8146749999999991E-2</v>
      </c>
      <c r="E871" s="1031" t="s">
        <v>2246</v>
      </c>
      <c r="F871" s="1041">
        <f>[2]Hoja1!$B$20</f>
        <v>3.3340000000000002E-2</v>
      </c>
      <c r="G871" s="1031" t="s">
        <v>1244</v>
      </c>
      <c r="H871" s="1031" t="s">
        <v>1245</v>
      </c>
      <c r="I871" s="1031"/>
      <c r="J871" s="1031" t="s">
        <v>1100</v>
      </c>
      <c r="K871" s="1042" t="s">
        <v>2454</v>
      </c>
    </row>
    <row r="872" spans="1:11" s="1028" customFormat="1" ht="30" x14ac:dyDescent="0.25">
      <c r="A872" s="1031" t="s">
        <v>2266</v>
      </c>
      <c r="B872" s="1043">
        <f>'[1]PLAN DE DESARROLLO 2024 - 2027'!$M$92</f>
        <v>0.25050860314981654</v>
      </c>
      <c r="C872" s="1031" t="s">
        <v>2295</v>
      </c>
      <c r="D872" s="1040">
        <f>'[1]PLAN DE DESARROLLO 2024 - 2027'!$M$116</f>
        <v>0.21525263088160634</v>
      </c>
      <c r="E872" s="1031" t="s">
        <v>2296</v>
      </c>
      <c r="F872" s="1041">
        <f>[2]Hoja1!$B$92</f>
        <v>0.30715959252971137</v>
      </c>
      <c r="G872" s="1031" t="s">
        <v>1101</v>
      </c>
      <c r="H872" s="1031" t="s">
        <v>1102</v>
      </c>
      <c r="I872" s="1031"/>
      <c r="J872" s="1031" t="s">
        <v>1100</v>
      </c>
      <c r="K872" s="1042" t="s">
        <v>2454</v>
      </c>
    </row>
    <row r="873" spans="1:11" s="1028" customFormat="1" ht="30" x14ac:dyDescent="0.25">
      <c r="A873" s="1031" t="s">
        <v>2266</v>
      </c>
      <c r="B873" s="1043">
        <f>'[1]PLAN DE DESARROLLO 2024 - 2027'!$M$92</f>
        <v>0.25050860314981654</v>
      </c>
      <c r="C873" s="1031" t="s">
        <v>2295</v>
      </c>
      <c r="D873" s="1040">
        <f>'[1]PLAN DE DESARROLLO 2024 - 2027'!$M$116</f>
        <v>0.21525263088160634</v>
      </c>
      <c r="E873" s="1031" t="s">
        <v>2296</v>
      </c>
      <c r="F873" s="1041">
        <f>[2]Hoja1!$B$92</f>
        <v>0.30715959252971137</v>
      </c>
      <c r="G873" s="1031" t="s">
        <v>1103</v>
      </c>
      <c r="H873" s="1031" t="s">
        <v>1104</v>
      </c>
      <c r="I873" s="1031"/>
      <c r="J873" s="1031" t="s">
        <v>1100</v>
      </c>
      <c r="K873" s="1042" t="s">
        <v>2454</v>
      </c>
    </row>
    <row r="874" spans="1:11" s="1028" customFormat="1" ht="30" x14ac:dyDescent="0.25">
      <c r="A874" s="1031" t="s">
        <v>2395</v>
      </c>
      <c r="B874" s="1039">
        <f>'[1]PLAN DE DESARROLLO 2024 - 2027'!$M$46</f>
        <v>0.25251661967012345</v>
      </c>
      <c r="C874" s="1031" t="s">
        <v>2399</v>
      </c>
      <c r="D874" s="1040">
        <f>'[1]PLAN DE DESARROLLO 2024 - 2027'!$M$73</f>
        <v>0.25984040977313172</v>
      </c>
      <c r="E874" s="1031" t="s">
        <v>2433</v>
      </c>
      <c r="F874" s="1041">
        <f>[2]Hoja1!$B$60</f>
        <v>0.12517636591043887</v>
      </c>
      <c r="G874" s="1031" t="s">
        <v>737</v>
      </c>
      <c r="H874" s="1031" t="s">
        <v>738</v>
      </c>
      <c r="I874" s="1031"/>
      <c r="J874" s="1031" t="s">
        <v>724</v>
      </c>
      <c r="K874" s="1042" t="s">
        <v>2454</v>
      </c>
    </row>
    <row r="875" spans="1:11" s="1028" customFormat="1" ht="30" x14ac:dyDescent="0.25">
      <c r="A875" s="1031" t="s">
        <v>2395</v>
      </c>
      <c r="B875" s="1039">
        <f>'[1]PLAN DE DESARROLLO 2024 - 2027'!$M$46</f>
        <v>0.25251661967012345</v>
      </c>
      <c r="C875" s="1031" t="s">
        <v>2399</v>
      </c>
      <c r="D875" s="1040">
        <f>'[1]PLAN DE DESARROLLO 2024 - 2027'!$M$73</f>
        <v>0.25984040977313172</v>
      </c>
      <c r="E875" s="1031" t="s">
        <v>2433</v>
      </c>
      <c r="F875" s="1041">
        <f>[2]Hoja1!$B$60</f>
        <v>0.12517636591043887</v>
      </c>
      <c r="G875" s="1031" t="s">
        <v>739</v>
      </c>
      <c r="H875" s="1031" t="s">
        <v>740</v>
      </c>
      <c r="I875" s="1031"/>
      <c r="J875" s="1031" t="s">
        <v>724</v>
      </c>
      <c r="K875" s="1042" t="s">
        <v>2454</v>
      </c>
    </row>
    <row r="876" spans="1:11" s="1028" customFormat="1" ht="30" x14ac:dyDescent="0.25">
      <c r="A876" s="1031" t="s">
        <v>2395</v>
      </c>
      <c r="B876" s="1039">
        <f>'[1]PLAN DE DESARROLLO 2024 - 2027'!$M$46</f>
        <v>0.25251661967012345</v>
      </c>
      <c r="C876" s="1031" t="s">
        <v>2399</v>
      </c>
      <c r="D876" s="1040">
        <f>'[1]PLAN DE DESARROLLO 2024 - 2027'!$M$73</f>
        <v>0.25984040977313172</v>
      </c>
      <c r="E876" s="1031" t="s">
        <v>2433</v>
      </c>
      <c r="F876" s="1041">
        <f>[2]Hoja1!$B$60</f>
        <v>0.12517636591043887</v>
      </c>
      <c r="G876" s="1031" t="s">
        <v>741</v>
      </c>
      <c r="H876" s="1031" t="s">
        <v>742</v>
      </c>
      <c r="I876" s="1031"/>
      <c r="J876" s="1031" t="s">
        <v>724</v>
      </c>
      <c r="K876" s="1042" t="s">
        <v>2454</v>
      </c>
    </row>
    <row r="877" spans="1:11" s="1028" customFormat="1" ht="30" x14ac:dyDescent="0.25">
      <c r="A877" s="1031" t="s">
        <v>2395</v>
      </c>
      <c r="B877" s="1039">
        <f>'[1]PLAN DE DESARROLLO 2024 - 2027'!$M$46</f>
        <v>0.25251661967012345</v>
      </c>
      <c r="C877" s="1031" t="s">
        <v>2399</v>
      </c>
      <c r="D877" s="1040">
        <f>'[1]PLAN DE DESARROLLO 2024 - 2027'!$M$73</f>
        <v>0.25984040977313172</v>
      </c>
      <c r="E877" s="1031" t="s">
        <v>2435</v>
      </c>
      <c r="F877" s="1041">
        <f>[2]Hoja1!$B$66</f>
        <v>0.34112500000000001</v>
      </c>
      <c r="G877" s="1031" t="s">
        <v>755</v>
      </c>
      <c r="H877" s="1031" t="s">
        <v>756</v>
      </c>
      <c r="I877" s="1031"/>
      <c r="J877" s="1031" t="s">
        <v>724</v>
      </c>
      <c r="K877" s="1042" t="s">
        <v>2454</v>
      </c>
    </row>
    <row r="878" spans="1:11" s="1028" customFormat="1" ht="30" x14ac:dyDescent="0.25">
      <c r="A878" s="1031" t="s">
        <v>2308</v>
      </c>
      <c r="B878" s="1043">
        <f>'[1]PLAN DE DESARROLLO 2024 - 2027'!$M$161</f>
        <v>0.24647581985093744</v>
      </c>
      <c r="C878" s="1031" t="s">
        <v>2316</v>
      </c>
      <c r="D878" s="1040">
        <f>'[1]PLAN DE DESARROLLO 2024 - 2027'!$M$184</f>
        <v>0.18265127235728812</v>
      </c>
      <c r="E878" s="1031" t="s">
        <v>2331</v>
      </c>
      <c r="F878" s="1041">
        <f>[2]Hoja1!$B$43</f>
        <v>7.6466666666666683E-2</v>
      </c>
      <c r="G878" s="1031" t="s">
        <v>1758</v>
      </c>
      <c r="H878" s="1031" t="s">
        <v>1759</v>
      </c>
      <c r="I878" s="1031"/>
      <c r="J878" s="1031" t="s">
        <v>103</v>
      </c>
      <c r="K878" s="1042" t="s">
        <v>2454</v>
      </c>
    </row>
    <row r="879" spans="1:11" s="1028" customFormat="1" ht="30" x14ac:dyDescent="0.25">
      <c r="A879" s="1031" t="s">
        <v>2308</v>
      </c>
      <c r="B879" s="1043">
        <f>'[1]PLAN DE DESARROLLO 2024 - 2027'!$M$161</f>
        <v>0.24647581985093744</v>
      </c>
      <c r="C879" s="1031" t="s">
        <v>2316</v>
      </c>
      <c r="D879" s="1040">
        <f>'[1]PLAN DE DESARROLLO 2024 - 2027'!$M$184</f>
        <v>0.18265127235728812</v>
      </c>
      <c r="E879" s="1031" t="s">
        <v>2331</v>
      </c>
      <c r="F879" s="1041">
        <f>[2]Hoja1!$B$43</f>
        <v>7.6466666666666683E-2</v>
      </c>
      <c r="G879" s="1031" t="s">
        <v>1760</v>
      </c>
      <c r="H879" s="1031" t="s">
        <v>1761</v>
      </c>
      <c r="I879" s="1031"/>
      <c r="J879" s="1031" t="s">
        <v>103</v>
      </c>
      <c r="K879" s="1042" t="s">
        <v>2454</v>
      </c>
    </row>
    <row r="880" spans="1:11" s="1028" customFormat="1" ht="30" x14ac:dyDescent="0.25">
      <c r="A880" s="1031" t="s">
        <v>2308</v>
      </c>
      <c r="B880" s="1043">
        <f>'[1]PLAN DE DESARROLLO 2024 - 2027'!$M$161</f>
        <v>0.24647581985093744</v>
      </c>
      <c r="C880" s="1031" t="s">
        <v>2316</v>
      </c>
      <c r="D880" s="1040">
        <f>'[1]PLAN DE DESARROLLO 2024 - 2027'!$M$184</f>
        <v>0.18265127235728812</v>
      </c>
      <c r="E880" s="1031" t="s">
        <v>2331</v>
      </c>
      <c r="F880" s="1041">
        <f>[2]Hoja1!$B$43</f>
        <v>7.6466666666666683E-2</v>
      </c>
      <c r="G880" s="1031" t="s">
        <v>1762</v>
      </c>
      <c r="H880" s="1031" t="s">
        <v>1763</v>
      </c>
      <c r="I880" s="1031"/>
      <c r="J880" s="1031" t="s">
        <v>103</v>
      </c>
      <c r="K880" s="1042" t="s">
        <v>2454</v>
      </c>
    </row>
    <row r="881" spans="1:11" s="1028" customFormat="1" ht="45" x14ac:dyDescent="0.25">
      <c r="A881" s="1031" t="s">
        <v>2341</v>
      </c>
      <c r="B881" s="1039">
        <f>'[1]PLAN DE DESARROLLO 2024 - 2027'!$M$4</f>
        <v>0.24028917333263158</v>
      </c>
      <c r="C881" s="1031" t="s">
        <v>2344</v>
      </c>
      <c r="D881" s="1040">
        <f>'[1]PLAN DE DESARROLLO 2024 - 2027'!$M$11</f>
        <v>0.24196521875000004</v>
      </c>
      <c r="E881" s="1031" t="s">
        <v>2393</v>
      </c>
      <c r="F881" s="1041">
        <f>[2]Hoja1!$B$17</f>
        <v>6.6166666666666665E-2</v>
      </c>
      <c r="G881" s="1031" t="s">
        <v>131</v>
      </c>
      <c r="H881" s="1031" t="s">
        <v>132</v>
      </c>
      <c r="I881" s="1031"/>
      <c r="J881" s="1031" t="s">
        <v>47</v>
      </c>
      <c r="K881" s="1042" t="s">
        <v>2454</v>
      </c>
    </row>
    <row r="882" spans="1:11" s="1028" customFormat="1" ht="30" x14ac:dyDescent="0.25">
      <c r="A882" s="1031" t="s">
        <v>2341</v>
      </c>
      <c r="B882" s="1039">
        <f>'[1]PLAN DE DESARROLLO 2024 - 2027'!$M$4</f>
        <v>0.24028917333263158</v>
      </c>
      <c r="C882" s="1031" t="s">
        <v>2344</v>
      </c>
      <c r="D882" s="1040">
        <f>'[1]PLAN DE DESARROLLO 2024 - 2027'!$M$11</f>
        <v>0.24196521875000004</v>
      </c>
      <c r="E882" s="1031" t="s">
        <v>2393</v>
      </c>
      <c r="F882" s="1041">
        <f>[2]Hoja1!$B$17</f>
        <v>6.6166666666666665E-2</v>
      </c>
      <c r="G882" s="1031" t="s">
        <v>135</v>
      </c>
      <c r="H882" s="1031" t="s">
        <v>136</v>
      </c>
      <c r="I882" s="1031"/>
      <c r="J882" s="1031" t="s">
        <v>47</v>
      </c>
      <c r="K882" s="1042" t="s">
        <v>2454</v>
      </c>
    </row>
    <row r="883" spans="1:11" s="1028" customFormat="1" ht="30" x14ac:dyDescent="0.25">
      <c r="A883" s="1031" t="s">
        <v>2266</v>
      </c>
      <c r="B883" s="1043">
        <f>'[1]PLAN DE DESARROLLO 2024 - 2027'!$M$92</f>
        <v>0.25050860314981654</v>
      </c>
      <c r="C883" s="1031" t="s">
        <v>2295</v>
      </c>
      <c r="D883" s="1040">
        <f>'[1]PLAN DE DESARROLLO 2024 - 2027'!$M$116</f>
        <v>0.21525263088160634</v>
      </c>
      <c r="E883" s="1031" t="s">
        <v>2296</v>
      </c>
      <c r="F883" s="1041">
        <f>[2]Hoja1!$B$92</f>
        <v>0.30715959252971137</v>
      </c>
      <c r="G883" s="1031" t="s">
        <v>1105</v>
      </c>
      <c r="H883" s="1031" t="s">
        <v>1106</v>
      </c>
      <c r="I883" s="1031"/>
      <c r="J883" s="1031" t="s">
        <v>1100</v>
      </c>
      <c r="K883" s="1042" t="s">
        <v>2454</v>
      </c>
    </row>
    <row r="884" spans="1:11" s="1028" customFormat="1" ht="30" x14ac:dyDescent="0.25">
      <c r="A884" s="1031" t="s">
        <v>2395</v>
      </c>
      <c r="B884" s="1039">
        <f>'[1]PLAN DE DESARROLLO 2024 - 2027'!$M$46</f>
        <v>0.25251661967012345</v>
      </c>
      <c r="C884" s="1031" t="s">
        <v>2399</v>
      </c>
      <c r="D884" s="1040">
        <f>'[1]PLAN DE DESARROLLO 2024 - 2027'!$M$73</f>
        <v>0.25984040977313172</v>
      </c>
      <c r="E884" s="1031" t="s">
        <v>2435</v>
      </c>
      <c r="F884" s="1041">
        <f>[2]Hoja1!$B$66</f>
        <v>0.34112500000000001</v>
      </c>
      <c r="G884" s="1031" t="s">
        <v>757</v>
      </c>
      <c r="H884" s="1031" t="s">
        <v>758</v>
      </c>
      <c r="I884" s="1031"/>
      <c r="J884" s="1031" t="s">
        <v>724</v>
      </c>
      <c r="K884" s="1042" t="s">
        <v>2454</v>
      </c>
    </row>
    <row r="885" spans="1:11" s="1028" customFormat="1" ht="30" x14ac:dyDescent="0.25">
      <c r="A885" s="1031" t="s">
        <v>2395</v>
      </c>
      <c r="B885" s="1039">
        <f>'[1]PLAN DE DESARROLLO 2024 - 2027'!$M$46</f>
        <v>0.25251661967012345</v>
      </c>
      <c r="C885" s="1031" t="s">
        <v>2399</v>
      </c>
      <c r="D885" s="1040">
        <f>'[1]PLAN DE DESARROLLO 2024 - 2027'!$M$73</f>
        <v>0.25984040977313172</v>
      </c>
      <c r="E885" s="1031" t="s">
        <v>2400</v>
      </c>
      <c r="F885" s="1041">
        <f>[2]Hoja1!$B$104</f>
        <v>0</v>
      </c>
      <c r="G885" s="1031" t="s">
        <v>783</v>
      </c>
      <c r="H885" s="1031" t="s">
        <v>784</v>
      </c>
      <c r="I885" s="1031"/>
      <c r="J885" s="1031" t="s">
        <v>2401</v>
      </c>
      <c r="K885" s="1042" t="s">
        <v>2454</v>
      </c>
    </row>
    <row r="886" spans="1:11" s="1028" customFormat="1" ht="30" x14ac:dyDescent="0.25">
      <c r="A886" s="1031" t="s">
        <v>2395</v>
      </c>
      <c r="B886" s="1039">
        <f>'[1]PLAN DE DESARROLLO 2024 - 2027'!$M$46</f>
        <v>0.25251661967012345</v>
      </c>
      <c r="C886" s="1031" t="s">
        <v>2399</v>
      </c>
      <c r="D886" s="1040">
        <f>'[1]PLAN DE DESARROLLO 2024 - 2027'!$M$73</f>
        <v>0.25984040977313172</v>
      </c>
      <c r="E886" s="1031" t="s">
        <v>2400</v>
      </c>
      <c r="F886" s="1041">
        <f>[2]Hoja1!$B$104</f>
        <v>0</v>
      </c>
      <c r="G886" s="1031" t="s">
        <v>786</v>
      </c>
      <c r="H886" s="1031" t="s">
        <v>787</v>
      </c>
      <c r="I886" s="1031"/>
      <c r="J886" s="1031" t="s">
        <v>2401</v>
      </c>
      <c r="K886" s="1042" t="s">
        <v>2454</v>
      </c>
    </row>
    <row r="887" spans="1:11" s="1028" customFormat="1" ht="30" x14ac:dyDescent="0.25">
      <c r="A887" s="1031" t="s">
        <v>2395</v>
      </c>
      <c r="B887" s="1039">
        <f>'[1]PLAN DE DESARROLLO 2024 - 2027'!$M$46</f>
        <v>0.25251661967012345</v>
      </c>
      <c r="C887" s="1031" t="s">
        <v>2399</v>
      </c>
      <c r="D887" s="1040">
        <f>'[1]PLAN DE DESARROLLO 2024 - 2027'!$M$73</f>
        <v>0.25984040977313172</v>
      </c>
      <c r="E887" s="1031" t="s">
        <v>2400</v>
      </c>
      <c r="F887" s="1041">
        <f>[2]Hoja1!$B$104</f>
        <v>0</v>
      </c>
      <c r="G887" s="1031" t="s">
        <v>788</v>
      </c>
      <c r="H887" s="1031" t="s">
        <v>789</v>
      </c>
      <c r="I887" s="1031"/>
      <c r="J887" s="1031" t="s">
        <v>2401</v>
      </c>
      <c r="K887" s="1042" t="s">
        <v>2454</v>
      </c>
    </row>
    <row r="888" spans="1:11" s="1028" customFormat="1" ht="30" x14ac:dyDescent="0.25">
      <c r="A888" s="1031" t="s">
        <v>2395</v>
      </c>
      <c r="B888" s="1039">
        <f>'[1]PLAN DE DESARROLLO 2024 - 2027'!$M$46</f>
        <v>0.25251661967012345</v>
      </c>
      <c r="C888" s="1031" t="s">
        <v>2438</v>
      </c>
      <c r="D888" s="1040">
        <f>'[1]PLAN DE DESARROLLO 2024 - 2027'!$M$80</f>
        <v>0.28962755963439352</v>
      </c>
      <c r="E888" s="1031" t="s">
        <v>2450</v>
      </c>
      <c r="F888" s="1041">
        <f>[2]Hoja1!$B$26</f>
        <v>0.47766974358974362</v>
      </c>
      <c r="G888" s="1031" t="s">
        <v>840</v>
      </c>
      <c r="H888" s="1031" t="s">
        <v>841</v>
      </c>
      <c r="I888" s="1031"/>
      <c r="J888" s="1031" t="s">
        <v>795</v>
      </c>
      <c r="K888" s="1042" t="s">
        <v>2454</v>
      </c>
    </row>
    <row r="889" spans="1:11" s="1028" customFormat="1" ht="30" x14ac:dyDescent="0.25">
      <c r="A889" s="1031" t="s">
        <v>2341</v>
      </c>
      <c r="B889" s="1039">
        <f>'[1]PLAN DE DESARROLLO 2024 - 2027'!$M$4</f>
        <v>0.24028917333263158</v>
      </c>
      <c r="C889" s="1031" t="s">
        <v>2344</v>
      </c>
      <c r="D889" s="1040">
        <f>'[1]PLAN DE DESARROLLO 2024 - 2027'!$M$11</f>
        <v>0.24196521875000004</v>
      </c>
      <c r="E889" s="1031" t="s">
        <v>2393</v>
      </c>
      <c r="F889" s="1041">
        <f>[2]Hoja1!$B$17</f>
        <v>6.6166666666666665E-2</v>
      </c>
      <c r="G889" s="1031" t="s">
        <v>137</v>
      </c>
      <c r="H889" s="1031" t="s">
        <v>138</v>
      </c>
      <c r="I889" s="1031"/>
      <c r="J889" s="1031" t="s">
        <v>47</v>
      </c>
      <c r="K889" s="1042" t="s">
        <v>2454</v>
      </c>
    </row>
    <row r="890" spans="1:11" s="1028" customFormat="1" ht="30" x14ac:dyDescent="0.25">
      <c r="A890" s="1031" t="s">
        <v>2341</v>
      </c>
      <c r="B890" s="1039">
        <f>'[1]PLAN DE DESARROLLO 2024 - 2027'!$M$4</f>
        <v>0.24028917333263158</v>
      </c>
      <c r="C890" s="1031" t="s">
        <v>2344</v>
      </c>
      <c r="D890" s="1040">
        <f>'[1]PLAN DE DESARROLLO 2024 - 2027'!$M$11</f>
        <v>0.24196521875000004</v>
      </c>
      <c r="E890" s="1031" t="s">
        <v>2393</v>
      </c>
      <c r="F890" s="1041">
        <f>[2]Hoja1!$B$17</f>
        <v>6.6166666666666665E-2</v>
      </c>
      <c r="G890" s="1031" t="s">
        <v>139</v>
      </c>
      <c r="H890" s="1031" t="s">
        <v>140</v>
      </c>
      <c r="I890" s="1031"/>
      <c r="J890" s="1031" t="s">
        <v>47</v>
      </c>
      <c r="K890" s="1042" t="s">
        <v>2454</v>
      </c>
    </row>
    <row r="891" spans="1:11" s="1028" customFormat="1" ht="45" x14ac:dyDescent="0.25">
      <c r="A891" s="1031" t="s">
        <v>2341</v>
      </c>
      <c r="B891" s="1039">
        <f>'[1]PLAN DE DESARROLLO 2024 - 2027'!$M$4</f>
        <v>0.24028917333263158</v>
      </c>
      <c r="C891" s="1031" t="s">
        <v>2344</v>
      </c>
      <c r="D891" s="1040">
        <f>'[1]PLAN DE DESARROLLO 2024 - 2027'!$M$11</f>
        <v>0.24196521875000004</v>
      </c>
      <c r="E891" s="1031" t="s">
        <v>113</v>
      </c>
      <c r="F891" s="1041">
        <f>[2]Hoja1!$B$21</f>
        <v>0.24583333333333335</v>
      </c>
      <c r="G891" s="1031" t="s">
        <v>114</v>
      </c>
      <c r="H891" s="1031" t="s">
        <v>115</v>
      </c>
      <c r="I891" s="1031"/>
      <c r="J891" s="1031" t="s">
        <v>47</v>
      </c>
      <c r="K891" s="1042" t="s">
        <v>2454</v>
      </c>
    </row>
    <row r="892" spans="1:11" s="1028" customFormat="1" ht="30" x14ac:dyDescent="0.25">
      <c r="A892" s="1031" t="s">
        <v>2341</v>
      </c>
      <c r="B892" s="1039">
        <f>'[1]PLAN DE DESARROLLO 2024 - 2027'!$M$4</f>
        <v>0.24028917333263158</v>
      </c>
      <c r="C892" s="1031" t="s">
        <v>2344</v>
      </c>
      <c r="D892" s="1040">
        <f>'[1]PLAN DE DESARROLLO 2024 - 2027'!$M$11</f>
        <v>0.24196521875000004</v>
      </c>
      <c r="E892" s="1031" t="s">
        <v>113</v>
      </c>
      <c r="F892" s="1041">
        <f>[2]Hoja1!$B$21</f>
        <v>0.24583333333333335</v>
      </c>
      <c r="G892" s="1031" t="s">
        <v>116</v>
      </c>
      <c r="H892" s="1031" t="s">
        <v>117</v>
      </c>
      <c r="I892" s="1031"/>
      <c r="J892" s="1031" t="s">
        <v>47</v>
      </c>
      <c r="K892" s="1042" t="s">
        <v>2454</v>
      </c>
    </row>
    <row r="893" spans="1:11" s="1028" customFormat="1" ht="30" x14ac:dyDescent="0.25">
      <c r="A893" s="1031" t="s">
        <v>2341</v>
      </c>
      <c r="B893" s="1039">
        <f>'[1]PLAN DE DESARROLLO 2024 - 2027'!$M$4</f>
        <v>0.24028917333263158</v>
      </c>
      <c r="C893" s="1031" t="s">
        <v>2344</v>
      </c>
      <c r="D893" s="1040">
        <f>'[1]PLAN DE DESARROLLO 2024 - 2027'!$M$11</f>
        <v>0.24196521875000004</v>
      </c>
      <c r="E893" s="1031" t="s">
        <v>113</v>
      </c>
      <c r="F893" s="1041">
        <f>[2]Hoja1!$B$21</f>
        <v>0.24583333333333335</v>
      </c>
      <c r="G893" s="1031" t="s">
        <v>118</v>
      </c>
      <c r="H893" s="1031" t="s">
        <v>119</v>
      </c>
      <c r="I893" s="1031"/>
      <c r="J893" s="1031" t="s">
        <v>47</v>
      </c>
      <c r="K893" s="1042" t="s">
        <v>2454</v>
      </c>
    </row>
    <row r="894" spans="1:11" s="1028" customFormat="1" ht="30" x14ac:dyDescent="0.25">
      <c r="A894" s="1031" t="s">
        <v>2341</v>
      </c>
      <c r="B894" s="1039">
        <f>'[1]PLAN DE DESARROLLO 2024 - 2027'!$M$4</f>
        <v>0.24028917333263158</v>
      </c>
      <c r="C894" s="1031" t="s">
        <v>2344</v>
      </c>
      <c r="D894" s="1040">
        <f>'[1]PLAN DE DESARROLLO 2024 - 2027'!$M$11</f>
        <v>0.24196521875000004</v>
      </c>
      <c r="E894" s="1031" t="s">
        <v>113</v>
      </c>
      <c r="F894" s="1041">
        <f>[2]Hoja1!$B$21</f>
        <v>0.24583333333333335</v>
      </c>
      <c r="G894" s="1031" t="s">
        <v>120</v>
      </c>
      <c r="H894" s="1031" t="s">
        <v>121</v>
      </c>
      <c r="I894" s="1031"/>
      <c r="J894" s="1031" t="s">
        <v>69</v>
      </c>
      <c r="K894" s="1042" t="s">
        <v>2454</v>
      </c>
    </row>
    <row r="895" spans="1:11" s="1028" customFormat="1" ht="45" x14ac:dyDescent="0.25">
      <c r="A895" s="1031" t="s">
        <v>2341</v>
      </c>
      <c r="B895" s="1039">
        <f>'[1]PLAN DE DESARROLLO 2024 - 2027'!$M$4</f>
        <v>0.24028917333263158</v>
      </c>
      <c r="C895" s="1031" t="s">
        <v>2344</v>
      </c>
      <c r="D895" s="1040">
        <f>'[1]PLAN DE DESARROLLO 2024 - 2027'!$M$11</f>
        <v>0.24196521875000004</v>
      </c>
      <c r="E895" s="1031" t="s">
        <v>2392</v>
      </c>
      <c r="F895" s="1041">
        <f>[2]Hoja1!$B$44</f>
        <v>0.38600000000000001</v>
      </c>
      <c r="G895" s="1031" t="s">
        <v>109</v>
      </c>
      <c r="H895" s="1031" t="s">
        <v>110</v>
      </c>
      <c r="I895" s="1031"/>
      <c r="J895" s="1031" t="s">
        <v>103</v>
      </c>
      <c r="K895" s="1042" t="s">
        <v>2454</v>
      </c>
    </row>
    <row r="896" spans="1:11" s="1028" customFormat="1" ht="45" x14ac:dyDescent="0.25">
      <c r="A896" s="1031" t="s">
        <v>2341</v>
      </c>
      <c r="B896" s="1039">
        <f>'[1]PLAN DE DESARROLLO 2024 - 2027'!$M$4</f>
        <v>0.24028917333263158</v>
      </c>
      <c r="C896" s="1031" t="s">
        <v>2344</v>
      </c>
      <c r="D896" s="1040">
        <f>'[1]PLAN DE DESARROLLO 2024 - 2027'!$M$11</f>
        <v>0.24196521875000004</v>
      </c>
      <c r="E896" s="1031" t="s">
        <v>2392</v>
      </c>
      <c r="F896" s="1041">
        <f>[2]Hoja1!$B$44</f>
        <v>0.38600000000000001</v>
      </c>
      <c r="G896" s="1031" t="s">
        <v>111</v>
      </c>
      <c r="H896" s="1031" t="s">
        <v>112</v>
      </c>
      <c r="I896" s="1031"/>
      <c r="J896" s="1031" t="s">
        <v>103</v>
      </c>
      <c r="K896" s="1042" t="s">
        <v>2454</v>
      </c>
    </row>
    <row r="897" spans="1:11" s="1028" customFormat="1" ht="30" x14ac:dyDescent="0.25">
      <c r="A897" s="1031" t="s">
        <v>2341</v>
      </c>
      <c r="B897" s="1039">
        <f>'[1]PLAN DE DESARROLLO 2024 - 2027'!$M$4</f>
        <v>0.24028917333263158</v>
      </c>
      <c r="C897" s="1031" t="s">
        <v>2344</v>
      </c>
      <c r="D897" s="1040">
        <f>'[1]PLAN DE DESARROLLO 2024 - 2027'!$M$11</f>
        <v>0.24196521875000004</v>
      </c>
      <c r="E897" s="1031" t="s">
        <v>189</v>
      </c>
      <c r="F897" s="1041">
        <f>[2]Hoja1!$B$48</f>
        <v>0.17574218750000001</v>
      </c>
      <c r="G897" s="1031" t="s">
        <v>190</v>
      </c>
      <c r="H897" s="1031" t="s">
        <v>191</v>
      </c>
      <c r="I897" s="1031"/>
      <c r="J897" s="1031" t="s">
        <v>47</v>
      </c>
      <c r="K897" s="1042" t="s">
        <v>2454</v>
      </c>
    </row>
    <row r="898" spans="1:11" s="1028" customFormat="1" ht="30" x14ac:dyDescent="0.25">
      <c r="A898" s="1031" t="s">
        <v>2341</v>
      </c>
      <c r="B898" s="1039">
        <f>'[1]PLAN DE DESARROLLO 2024 - 2027'!$M$4</f>
        <v>0.24028917333263158</v>
      </c>
      <c r="C898" s="1031" t="s">
        <v>2344</v>
      </c>
      <c r="D898" s="1040">
        <f>'[1]PLAN DE DESARROLLO 2024 - 2027'!$M$11</f>
        <v>0.24196521875000004</v>
      </c>
      <c r="E898" s="1031" t="s">
        <v>189</v>
      </c>
      <c r="F898" s="1041">
        <f>[2]Hoja1!$B$48</f>
        <v>0.17574218750000001</v>
      </c>
      <c r="G898" s="1031" t="s">
        <v>192</v>
      </c>
      <c r="H898" s="1031" t="s">
        <v>193</v>
      </c>
      <c r="I898" s="1031"/>
      <c r="J898" s="1031" t="s">
        <v>47</v>
      </c>
      <c r="K898" s="1042" t="s">
        <v>2454</v>
      </c>
    </row>
    <row r="899" spans="1:11" s="1028" customFormat="1" ht="30" x14ac:dyDescent="0.25">
      <c r="A899" s="1031" t="s">
        <v>2341</v>
      </c>
      <c r="B899" s="1039">
        <f>'[1]PLAN DE DESARROLLO 2024 - 2027'!$M$4</f>
        <v>0.24028917333263158</v>
      </c>
      <c r="C899" s="1031" t="s">
        <v>2344</v>
      </c>
      <c r="D899" s="1040">
        <f>'[1]PLAN DE DESARROLLO 2024 - 2027'!$M$11</f>
        <v>0.24196521875000004</v>
      </c>
      <c r="E899" s="1031" t="s">
        <v>189</v>
      </c>
      <c r="F899" s="1041">
        <f>[2]Hoja1!$B$48</f>
        <v>0.17574218750000001</v>
      </c>
      <c r="G899" s="1031" t="s">
        <v>194</v>
      </c>
      <c r="H899" s="1031" t="s">
        <v>195</v>
      </c>
      <c r="I899" s="1031"/>
      <c r="J899" s="1031" t="s">
        <v>47</v>
      </c>
      <c r="K899" s="1042" t="s">
        <v>2454</v>
      </c>
    </row>
    <row r="900" spans="1:11" s="1028" customFormat="1" ht="45" x14ac:dyDescent="0.25">
      <c r="A900" s="1031" t="s">
        <v>2266</v>
      </c>
      <c r="B900" s="1043">
        <f>'[1]PLAN DE DESARROLLO 2024 - 2027'!$M$92</f>
        <v>0.25050860314981654</v>
      </c>
      <c r="C900" s="1031" t="s">
        <v>2295</v>
      </c>
      <c r="D900" s="1040">
        <f>'[1]PLAN DE DESARROLLO 2024 - 2027'!$M$116</f>
        <v>0.21525263088160634</v>
      </c>
      <c r="E900" s="1031" t="s">
        <v>2296</v>
      </c>
      <c r="F900" s="1041">
        <f>[2]Hoja1!$B$92</f>
        <v>0.30715959252971137</v>
      </c>
      <c r="G900" s="1031" t="s">
        <v>1107</v>
      </c>
      <c r="H900" s="1031" t="s">
        <v>1108</v>
      </c>
      <c r="I900" s="1031"/>
      <c r="J900" s="1031" t="s">
        <v>1100</v>
      </c>
      <c r="K900" s="1042" t="s">
        <v>2454</v>
      </c>
    </row>
    <row r="901" spans="1:11" s="1028" customFormat="1" ht="30" x14ac:dyDescent="0.25">
      <c r="A901" s="1031" t="s">
        <v>2266</v>
      </c>
      <c r="B901" s="1043">
        <f>'[1]PLAN DE DESARROLLO 2024 - 2027'!$M$92</f>
        <v>0.25050860314981654</v>
      </c>
      <c r="C901" s="1031" t="s">
        <v>2278</v>
      </c>
      <c r="D901" s="1040">
        <f>'[1]PLAN DE DESARROLLO 2024 - 2027'!$M$96</f>
        <v>0.52752194656488549</v>
      </c>
      <c r="E901" s="1031" t="s">
        <v>2280</v>
      </c>
      <c r="F901" s="1041">
        <f>[2]Hoja1!$B$41</f>
        <v>0.38396946564885492</v>
      </c>
      <c r="G901" s="1031" t="s">
        <v>916</v>
      </c>
      <c r="H901" s="1031" t="s">
        <v>917</v>
      </c>
      <c r="I901" s="1031"/>
      <c r="J901" s="1031" t="s">
        <v>658</v>
      </c>
      <c r="K901" s="1042" t="s">
        <v>2454</v>
      </c>
    </row>
    <row r="902" spans="1:11" s="1028" customFormat="1" ht="30" x14ac:dyDescent="0.25">
      <c r="A902" s="1031" t="s">
        <v>2266</v>
      </c>
      <c r="B902" s="1043">
        <f>'[1]PLAN DE DESARROLLO 2024 - 2027'!$M$92</f>
        <v>0.25050860314981654</v>
      </c>
      <c r="C902" s="1031" t="s">
        <v>2278</v>
      </c>
      <c r="D902" s="1040">
        <f>'[1]PLAN DE DESARROLLO 2024 - 2027'!$M$96</f>
        <v>0.52752194656488549</v>
      </c>
      <c r="E902" s="1031" t="s">
        <v>2280</v>
      </c>
      <c r="F902" s="1041">
        <f>[2]Hoja1!$B$41</f>
        <v>0.38396946564885492</v>
      </c>
      <c r="G902" s="1031" t="s">
        <v>919</v>
      </c>
      <c r="H902" s="1031" t="s">
        <v>920</v>
      </c>
      <c r="I902" s="1031"/>
      <c r="J902" s="1031" t="s">
        <v>658</v>
      </c>
      <c r="K902" s="1042" t="s">
        <v>2454</v>
      </c>
    </row>
    <row r="903" spans="1:11" s="1028" customFormat="1" ht="45" x14ac:dyDescent="0.25">
      <c r="A903" s="1031" t="s">
        <v>2192</v>
      </c>
      <c r="B903" s="1043">
        <f>'[1]PLAN DE DESARROLLO 2024 - 2027'!$M$198</f>
        <v>3.4556250000000004E-2</v>
      </c>
      <c r="C903" s="1031" t="s">
        <v>2193</v>
      </c>
      <c r="D903" s="1045">
        <f>'[1]PLAN DE DESARROLLO 2024 - 2027'!$M$199</f>
        <v>3.5866666666666672E-2</v>
      </c>
      <c r="E903" s="1031" t="s">
        <v>2194</v>
      </c>
      <c r="F903" s="1046">
        <f>[2]Hoja1!$B$50</f>
        <v>0</v>
      </c>
      <c r="G903" s="1031" t="s">
        <v>1857</v>
      </c>
      <c r="H903" s="1031" t="s">
        <v>1858</v>
      </c>
      <c r="I903" s="1031"/>
      <c r="J903" s="1031" t="s">
        <v>219</v>
      </c>
      <c r="K903" s="1042" t="s">
        <v>2454</v>
      </c>
    </row>
    <row r="904" spans="1:11" s="1028" customFormat="1" ht="45" x14ac:dyDescent="0.25">
      <c r="A904" s="1031" t="s">
        <v>2192</v>
      </c>
      <c r="B904" s="1043">
        <f>'[1]PLAN DE DESARROLLO 2024 - 2027'!$M$198</f>
        <v>3.4556250000000004E-2</v>
      </c>
      <c r="C904" s="1031" t="s">
        <v>2193</v>
      </c>
      <c r="D904" s="1045">
        <f>'[1]PLAN DE DESARROLLO 2024 - 2027'!$M$199</f>
        <v>3.5866666666666672E-2</v>
      </c>
      <c r="E904" s="1031" t="s">
        <v>2194</v>
      </c>
      <c r="F904" s="1046">
        <f>[2]Hoja1!$B$50</f>
        <v>0</v>
      </c>
      <c r="G904" s="1031" t="s">
        <v>1860</v>
      </c>
      <c r="H904" s="1031" t="s">
        <v>1861</v>
      </c>
      <c r="I904" s="1031"/>
      <c r="J904" s="1031" t="s">
        <v>219</v>
      </c>
      <c r="K904" s="1042" t="s">
        <v>2454</v>
      </c>
    </row>
    <row r="905" spans="1:11" s="1028" customFormat="1" ht="45" x14ac:dyDescent="0.25">
      <c r="A905" s="1031" t="s">
        <v>2192</v>
      </c>
      <c r="B905" s="1043">
        <f>'[1]PLAN DE DESARROLLO 2024 - 2027'!$M$198</f>
        <v>3.4556250000000004E-2</v>
      </c>
      <c r="C905" s="1031" t="s">
        <v>2193</v>
      </c>
      <c r="D905" s="1045">
        <f>'[1]PLAN DE DESARROLLO 2024 - 2027'!$M$199</f>
        <v>3.5866666666666672E-2</v>
      </c>
      <c r="E905" s="1031" t="s">
        <v>2194</v>
      </c>
      <c r="F905" s="1046">
        <f>[2]Hoja1!$B$50</f>
        <v>0</v>
      </c>
      <c r="G905" s="1031" t="s">
        <v>1863</v>
      </c>
      <c r="H905" s="1031" t="s">
        <v>1864</v>
      </c>
      <c r="I905" s="1031"/>
      <c r="J905" s="1031" t="s">
        <v>795</v>
      </c>
      <c r="K905" s="1042" t="s">
        <v>2454</v>
      </c>
    </row>
    <row r="906" spans="1:11" s="1028" customFormat="1" ht="45" x14ac:dyDescent="0.25">
      <c r="A906" s="1031" t="s">
        <v>2192</v>
      </c>
      <c r="B906" s="1043">
        <f>'[1]PLAN DE DESARROLLO 2024 - 2027'!$M$198</f>
        <v>3.4556250000000004E-2</v>
      </c>
      <c r="C906" s="1031" t="s">
        <v>2193</v>
      </c>
      <c r="D906" s="1045">
        <f>'[1]PLAN DE DESARROLLO 2024 - 2027'!$M$199</f>
        <v>3.5866666666666672E-2</v>
      </c>
      <c r="E906" s="1031" t="s">
        <v>2194</v>
      </c>
      <c r="F906" s="1046">
        <f>[2]Hoja1!$B$50</f>
        <v>0</v>
      </c>
      <c r="G906" s="1031" t="s">
        <v>1866</v>
      </c>
      <c r="H906" s="1031" t="s">
        <v>1867</v>
      </c>
      <c r="I906" s="1031"/>
      <c r="J906" s="1031" t="s">
        <v>795</v>
      </c>
      <c r="K906" s="1042" t="s">
        <v>2454</v>
      </c>
    </row>
    <row r="907" spans="1:11" s="1028" customFormat="1" ht="75" x14ac:dyDescent="0.25">
      <c r="A907" s="1031" t="s">
        <v>2192</v>
      </c>
      <c r="B907" s="1043">
        <f>'[1]PLAN DE DESARROLLO 2024 - 2027'!$M$198</f>
        <v>3.4556250000000004E-2</v>
      </c>
      <c r="C907" s="1031" t="s">
        <v>2193</v>
      </c>
      <c r="D907" s="1045">
        <f>'[1]PLAN DE DESARROLLO 2024 - 2027'!$M$199</f>
        <v>3.5866666666666672E-2</v>
      </c>
      <c r="E907" s="1031" t="s">
        <v>2194</v>
      </c>
      <c r="F907" s="1046">
        <f>[2]Hoja1!$B$50</f>
        <v>0</v>
      </c>
      <c r="G907" s="1031" t="s">
        <v>1868</v>
      </c>
      <c r="H907" s="1031" t="s">
        <v>1869</v>
      </c>
      <c r="I907" s="1031"/>
      <c r="J907" s="1031" t="s">
        <v>950</v>
      </c>
      <c r="K907" s="1042" t="s">
        <v>2454</v>
      </c>
    </row>
    <row r="908" spans="1:11" s="1028" customFormat="1" ht="45" x14ac:dyDescent="0.25">
      <c r="A908" s="1031" t="s">
        <v>2192</v>
      </c>
      <c r="B908" s="1043">
        <f>'[1]PLAN DE DESARROLLO 2024 - 2027'!$M$198</f>
        <v>3.4556250000000004E-2</v>
      </c>
      <c r="C908" s="1031" t="s">
        <v>2193</v>
      </c>
      <c r="D908" s="1045">
        <f>'[1]PLAN DE DESARROLLO 2024 - 2027'!$M$199</f>
        <v>3.5866666666666672E-2</v>
      </c>
      <c r="E908" s="1031" t="s">
        <v>2194</v>
      </c>
      <c r="F908" s="1046">
        <f>[2]Hoja1!$B$50</f>
        <v>0</v>
      </c>
      <c r="G908" s="1031" t="s">
        <v>1872</v>
      </c>
      <c r="H908" s="1031" t="s">
        <v>1873</v>
      </c>
      <c r="I908" s="1031"/>
      <c r="J908" s="1031" t="s">
        <v>950</v>
      </c>
      <c r="K908" s="1042" t="s">
        <v>2454</v>
      </c>
    </row>
    <row r="909" spans="1:11" s="1028" customFormat="1" ht="45" x14ac:dyDescent="0.25">
      <c r="A909" s="1031" t="s">
        <v>2192</v>
      </c>
      <c r="B909" s="1043">
        <f>'[1]PLAN DE DESARROLLO 2024 - 2027'!$M$198</f>
        <v>3.4556250000000004E-2</v>
      </c>
      <c r="C909" s="1031" t="s">
        <v>2193</v>
      </c>
      <c r="D909" s="1045">
        <f>'[1]PLAN DE DESARROLLO 2024 - 2027'!$M$199</f>
        <v>3.5866666666666672E-2</v>
      </c>
      <c r="E909" s="1031" t="s">
        <v>2194</v>
      </c>
      <c r="F909" s="1046">
        <f>[2]Hoja1!$B$50</f>
        <v>0</v>
      </c>
      <c r="G909" s="1031" t="s">
        <v>1874</v>
      </c>
      <c r="H909" s="1031" t="s">
        <v>1875</v>
      </c>
      <c r="I909" s="1031"/>
      <c r="J909" s="1031" t="s">
        <v>704</v>
      </c>
      <c r="K909" s="1042" t="s">
        <v>2454</v>
      </c>
    </row>
    <row r="910" spans="1:11" s="1028" customFormat="1" ht="60" x14ac:dyDescent="0.25">
      <c r="A910" s="1031" t="s">
        <v>2192</v>
      </c>
      <c r="B910" s="1043">
        <f>'[1]PLAN DE DESARROLLO 2024 - 2027'!$M$198</f>
        <v>3.4556250000000004E-2</v>
      </c>
      <c r="C910" s="1031" t="s">
        <v>2193</v>
      </c>
      <c r="D910" s="1045">
        <f>'[1]PLAN DE DESARROLLO 2024 - 2027'!$M$199</f>
        <v>3.5866666666666672E-2</v>
      </c>
      <c r="E910" s="1031" t="s">
        <v>2202</v>
      </c>
      <c r="F910" s="1041">
        <f>[2]Hoja1!$B$51</f>
        <v>4.0000000000000008E-2</v>
      </c>
      <c r="G910" s="1031" t="s">
        <v>1878</v>
      </c>
      <c r="H910" s="1031" t="s">
        <v>1879</v>
      </c>
      <c r="I910" s="1031"/>
      <c r="J910" s="1031" t="s">
        <v>716</v>
      </c>
      <c r="K910" s="1042" t="s">
        <v>2454</v>
      </c>
    </row>
    <row r="911" spans="1:11" s="1028" customFormat="1" ht="45" x14ac:dyDescent="0.25">
      <c r="A911" s="1031" t="s">
        <v>2192</v>
      </c>
      <c r="B911" s="1043">
        <f>'[1]PLAN DE DESARROLLO 2024 - 2027'!$M$198</f>
        <v>3.4556250000000004E-2</v>
      </c>
      <c r="C911" s="1031" t="s">
        <v>2193</v>
      </c>
      <c r="D911" s="1045">
        <f>'[1]PLAN DE DESARROLLO 2024 - 2027'!$M$199</f>
        <v>3.5866666666666672E-2</v>
      </c>
      <c r="E911" s="1031" t="s">
        <v>2202</v>
      </c>
      <c r="F911" s="1041">
        <f>[2]Hoja1!$B$51</f>
        <v>4.0000000000000008E-2</v>
      </c>
      <c r="G911" s="1031" t="s">
        <v>1880</v>
      </c>
      <c r="H911" s="1031" t="s">
        <v>1881</v>
      </c>
      <c r="I911" s="1031"/>
      <c r="J911" s="1031" t="s">
        <v>925</v>
      </c>
      <c r="K911" s="1042" t="s">
        <v>2454</v>
      </c>
    </row>
    <row r="912" spans="1:11" s="1028" customFormat="1" ht="60" x14ac:dyDescent="0.25">
      <c r="A912" s="1031" t="s">
        <v>2192</v>
      </c>
      <c r="B912" s="1043">
        <f>'[1]PLAN DE DESARROLLO 2024 - 2027'!$M$198</f>
        <v>3.4556250000000004E-2</v>
      </c>
      <c r="C912" s="1031" t="s">
        <v>2193</v>
      </c>
      <c r="D912" s="1045">
        <f>'[1]PLAN DE DESARROLLO 2024 - 2027'!$M$199</f>
        <v>3.5866666666666672E-2</v>
      </c>
      <c r="E912" s="1031" t="s">
        <v>2202</v>
      </c>
      <c r="F912" s="1041">
        <f>[2]Hoja1!$B$51</f>
        <v>4.0000000000000008E-2</v>
      </c>
      <c r="G912" s="1031" t="s">
        <v>1883</v>
      </c>
      <c r="H912" s="1031" t="s">
        <v>1884</v>
      </c>
      <c r="I912" s="1031"/>
      <c r="J912" s="1031" t="s">
        <v>724</v>
      </c>
      <c r="K912" s="1042" t="s">
        <v>2454</v>
      </c>
    </row>
    <row r="913" spans="1:11" s="1028" customFormat="1" ht="45" x14ac:dyDescent="0.25">
      <c r="A913" s="1031" t="s">
        <v>2192</v>
      </c>
      <c r="B913" s="1043">
        <f>'[1]PLAN DE DESARROLLO 2024 - 2027'!$M$198</f>
        <v>3.4556250000000004E-2</v>
      </c>
      <c r="C913" s="1031" t="s">
        <v>2193</v>
      </c>
      <c r="D913" s="1045">
        <f>'[1]PLAN DE DESARROLLO 2024 - 2027'!$M$199</f>
        <v>3.5866666666666672E-2</v>
      </c>
      <c r="E913" s="1031" t="s">
        <v>2202</v>
      </c>
      <c r="F913" s="1041">
        <f>[2]Hoja1!$B$51</f>
        <v>4.0000000000000008E-2</v>
      </c>
      <c r="G913" s="1031" t="s">
        <v>1885</v>
      </c>
      <c r="H913" s="1031" t="s">
        <v>1886</v>
      </c>
      <c r="I913" s="1031"/>
      <c r="J913" s="1031" t="s">
        <v>1431</v>
      </c>
      <c r="K913" s="1042" t="s">
        <v>2454</v>
      </c>
    </row>
    <row r="914" spans="1:11" s="1028" customFormat="1" ht="60" x14ac:dyDescent="0.25">
      <c r="A914" s="1031" t="s">
        <v>2192</v>
      </c>
      <c r="B914" s="1043">
        <f>'[1]PLAN DE DESARROLLO 2024 - 2027'!$M$198</f>
        <v>3.4556250000000004E-2</v>
      </c>
      <c r="C914" s="1031" t="s">
        <v>2193</v>
      </c>
      <c r="D914" s="1045">
        <f>'[1]PLAN DE DESARROLLO 2024 - 2027'!$M$199</f>
        <v>3.5866666666666672E-2</v>
      </c>
      <c r="E914" s="1031" t="s">
        <v>2202</v>
      </c>
      <c r="F914" s="1041">
        <f>[2]Hoja1!$B$51</f>
        <v>4.0000000000000008E-2</v>
      </c>
      <c r="G914" s="1031" t="s">
        <v>1888</v>
      </c>
      <c r="H914" s="1031" t="s">
        <v>1889</v>
      </c>
      <c r="I914" s="1031"/>
      <c r="J914" s="1031" t="s">
        <v>2203</v>
      </c>
      <c r="K914" s="1042" t="s">
        <v>2454</v>
      </c>
    </row>
    <row r="915" spans="1:11" s="1028" customFormat="1" ht="60" x14ac:dyDescent="0.25">
      <c r="A915" s="1031" t="s">
        <v>2192</v>
      </c>
      <c r="B915" s="1043">
        <f>'[1]PLAN DE DESARROLLO 2024 - 2027'!$M$198</f>
        <v>3.4556250000000004E-2</v>
      </c>
      <c r="C915" s="1031" t="s">
        <v>2193</v>
      </c>
      <c r="D915" s="1045">
        <f>'[1]PLAN DE DESARROLLO 2024 - 2027'!$M$199</f>
        <v>3.5866666666666672E-2</v>
      </c>
      <c r="E915" s="1031" t="s">
        <v>2202</v>
      </c>
      <c r="F915" s="1041">
        <f>[2]Hoja1!$B$51</f>
        <v>4.0000000000000008E-2</v>
      </c>
      <c r="G915" s="1031" t="s">
        <v>1892</v>
      </c>
      <c r="H915" s="1031" t="s">
        <v>1893</v>
      </c>
      <c r="I915" s="1031"/>
      <c r="J915" s="1031" t="s">
        <v>2204</v>
      </c>
      <c r="K915" s="1042" t="s">
        <v>2454</v>
      </c>
    </row>
    <row r="916" spans="1:11" s="1028" customFormat="1" ht="45" x14ac:dyDescent="0.25">
      <c r="A916" s="1031" t="s">
        <v>2192</v>
      </c>
      <c r="B916" s="1043">
        <f>'[1]PLAN DE DESARROLLO 2024 - 2027'!$M$198</f>
        <v>3.4556250000000004E-2</v>
      </c>
      <c r="C916" s="1031" t="s">
        <v>2193</v>
      </c>
      <c r="D916" s="1045">
        <f>'[1]PLAN DE DESARROLLO 2024 - 2027'!$M$199</f>
        <v>3.5866666666666672E-2</v>
      </c>
      <c r="E916" s="1031" t="s">
        <v>2202</v>
      </c>
      <c r="F916" s="1041">
        <f>[2]Hoja1!$B$51</f>
        <v>4.0000000000000008E-2</v>
      </c>
      <c r="G916" s="1031" t="s">
        <v>1896</v>
      </c>
      <c r="H916" s="1031" t="s">
        <v>1897</v>
      </c>
      <c r="I916" s="1031"/>
      <c r="J916" s="1031" t="s">
        <v>716</v>
      </c>
      <c r="K916" s="1042" t="s">
        <v>2454</v>
      </c>
    </row>
    <row r="917" spans="1:11" s="1028" customFormat="1" ht="30" x14ac:dyDescent="0.25">
      <c r="A917" s="1031" t="s">
        <v>2308</v>
      </c>
      <c r="B917" s="1043">
        <f>'[1]PLAN DE DESARROLLO 2024 - 2027'!$M$161</f>
        <v>0.24647581985093744</v>
      </c>
      <c r="C917" s="1031" t="s">
        <v>2332</v>
      </c>
      <c r="D917" s="1040">
        <f>'[1]PLAN DE DESARROLLO 2024 - 2027'!$M$191</f>
        <v>0.22981556695992181</v>
      </c>
      <c r="E917" s="1031" t="s">
        <v>1809</v>
      </c>
      <c r="F917" s="1041">
        <f>[2]Hoja1!$B$52</f>
        <v>0.15833333333333333</v>
      </c>
      <c r="G917" s="1031" t="s">
        <v>1810</v>
      </c>
      <c r="H917" s="1031" t="s">
        <v>1811</v>
      </c>
      <c r="I917" s="1031"/>
      <c r="J917" s="1031" t="s">
        <v>2338</v>
      </c>
      <c r="K917" s="1042" t="s">
        <v>2454</v>
      </c>
    </row>
    <row r="918" spans="1:11" s="1028" customFormat="1" ht="30" x14ac:dyDescent="0.25">
      <c r="A918" s="1031" t="s">
        <v>2308</v>
      </c>
      <c r="B918" s="1043">
        <f>'[1]PLAN DE DESARROLLO 2024 - 2027'!$M$161</f>
        <v>0.24647581985093744</v>
      </c>
      <c r="C918" s="1031" t="s">
        <v>2332</v>
      </c>
      <c r="D918" s="1040">
        <f>'[1]PLAN DE DESARROLLO 2024 - 2027'!$M$191</f>
        <v>0.22981556695992181</v>
      </c>
      <c r="E918" s="1031" t="s">
        <v>1809</v>
      </c>
      <c r="F918" s="1041">
        <f>[2]Hoja1!$B$52</f>
        <v>0.15833333333333333</v>
      </c>
      <c r="G918" s="1031" t="s">
        <v>1813</v>
      </c>
      <c r="H918" s="1031" t="s">
        <v>1814</v>
      </c>
      <c r="I918" s="1031"/>
      <c r="J918" s="1031" t="s">
        <v>716</v>
      </c>
      <c r="K918" s="1042" t="s">
        <v>2454</v>
      </c>
    </row>
    <row r="919" spans="1:11" s="1028" customFormat="1" ht="30" x14ac:dyDescent="0.25">
      <c r="A919" s="1031" t="s">
        <v>2308</v>
      </c>
      <c r="B919" s="1043">
        <f>'[1]PLAN DE DESARROLLO 2024 - 2027'!$M$161</f>
        <v>0.24647581985093744</v>
      </c>
      <c r="C919" s="1031" t="s">
        <v>2332</v>
      </c>
      <c r="D919" s="1040">
        <f>'[1]PLAN DE DESARROLLO 2024 - 2027'!$M$191</f>
        <v>0.22981556695992181</v>
      </c>
      <c r="E919" s="1031" t="s">
        <v>1809</v>
      </c>
      <c r="F919" s="1041">
        <f>[2]Hoja1!$B$52</f>
        <v>0.15833333333333333</v>
      </c>
      <c r="G919" s="1031" t="s">
        <v>1815</v>
      </c>
      <c r="H919" s="1031" t="s">
        <v>1816</v>
      </c>
      <c r="I919" s="1031"/>
      <c r="J919" s="1031" t="s">
        <v>716</v>
      </c>
      <c r="K919" s="1042" t="s">
        <v>2454</v>
      </c>
    </row>
    <row r="920" spans="1:11" s="1028" customFormat="1" ht="60" x14ac:dyDescent="0.25">
      <c r="A920" s="1031" t="s">
        <v>2308</v>
      </c>
      <c r="B920" s="1043">
        <f>'[1]PLAN DE DESARROLLO 2024 - 2027'!$M$161</f>
        <v>0.24647581985093744</v>
      </c>
      <c r="C920" s="1031" t="s">
        <v>2332</v>
      </c>
      <c r="D920" s="1040">
        <f>'[1]PLAN DE DESARROLLO 2024 - 2027'!$M$191</f>
        <v>0.22981556695992181</v>
      </c>
      <c r="E920" s="1031" t="s">
        <v>1809</v>
      </c>
      <c r="F920" s="1041">
        <f>[2]Hoja1!$B$52</f>
        <v>0.15833333333333333</v>
      </c>
      <c r="G920" s="1031" t="s">
        <v>1817</v>
      </c>
      <c r="H920" s="1031" t="s">
        <v>1818</v>
      </c>
      <c r="I920" s="1031"/>
      <c r="J920" s="1031" t="s">
        <v>716</v>
      </c>
      <c r="K920" s="1042" t="s">
        <v>2454</v>
      </c>
    </row>
    <row r="921" spans="1:11" s="1028" customFormat="1" ht="45" x14ac:dyDescent="0.25">
      <c r="A921" s="1031" t="s">
        <v>2341</v>
      </c>
      <c r="B921" s="1039">
        <f>'[1]PLAN DE DESARROLLO 2024 - 2027'!$M$4</f>
        <v>0.24028917333263158</v>
      </c>
      <c r="C921" s="1031" t="s">
        <v>2344</v>
      </c>
      <c r="D921" s="1040">
        <f>'[1]PLAN DE DESARROLLO 2024 - 2027'!$M$11</f>
        <v>0.24196521875000004</v>
      </c>
      <c r="E921" s="1031" t="s">
        <v>189</v>
      </c>
      <c r="F921" s="1041">
        <f>[2]Hoja1!$B$48</f>
        <v>0.17574218750000001</v>
      </c>
      <c r="G921" s="1031" t="s">
        <v>196</v>
      </c>
      <c r="H921" s="1031" t="s">
        <v>197</v>
      </c>
      <c r="I921" s="1031"/>
      <c r="J921" s="1031" t="s">
        <v>47</v>
      </c>
      <c r="K921" s="1042" t="s">
        <v>2454</v>
      </c>
    </row>
    <row r="922" spans="1:11" s="1028" customFormat="1" ht="45" x14ac:dyDescent="0.25">
      <c r="A922" s="1031" t="s">
        <v>2341</v>
      </c>
      <c r="B922" s="1039">
        <f>'[1]PLAN DE DESARROLLO 2024 - 2027'!$M$4</f>
        <v>0.24028917333263158</v>
      </c>
      <c r="C922" s="1031" t="s">
        <v>2344</v>
      </c>
      <c r="D922" s="1040">
        <f>'[1]PLAN DE DESARROLLO 2024 - 2027'!$M$11</f>
        <v>0.24196521875000004</v>
      </c>
      <c r="E922" s="1031" t="s">
        <v>189</v>
      </c>
      <c r="F922" s="1041">
        <f>[2]Hoja1!$B$48</f>
        <v>0.17574218750000001</v>
      </c>
      <c r="G922" s="1031" t="s">
        <v>198</v>
      </c>
      <c r="H922" s="1031" t="s">
        <v>199</v>
      </c>
      <c r="I922" s="1031"/>
      <c r="J922" s="1031" t="s">
        <v>47</v>
      </c>
      <c r="K922" s="1042" t="s">
        <v>2454</v>
      </c>
    </row>
    <row r="923" spans="1:11" s="1028" customFormat="1" ht="30" x14ac:dyDescent="0.25">
      <c r="A923" s="1031" t="s">
        <v>2341</v>
      </c>
      <c r="B923" s="1039">
        <f>'[1]PLAN DE DESARROLLO 2024 - 2027'!$M$4</f>
        <v>0.24028917333263158</v>
      </c>
      <c r="C923" s="1031" t="s">
        <v>2344</v>
      </c>
      <c r="D923" s="1040">
        <f>'[1]PLAN DE DESARROLLO 2024 - 2027'!$M$11</f>
        <v>0.24196521875000004</v>
      </c>
      <c r="E923" s="1031" t="s">
        <v>189</v>
      </c>
      <c r="F923" s="1041">
        <f>[2]Hoja1!$B$48</f>
        <v>0.17574218750000001</v>
      </c>
      <c r="G923" s="1031" t="s">
        <v>200</v>
      </c>
      <c r="H923" s="1031" t="s">
        <v>201</v>
      </c>
      <c r="I923" s="1031"/>
      <c r="J923" s="1031" t="s">
        <v>47</v>
      </c>
      <c r="K923" s="1042" t="s">
        <v>2454</v>
      </c>
    </row>
    <row r="924" spans="1:11" s="1028" customFormat="1" x14ac:dyDescent="0.25">
      <c r="A924" s="1031" t="s">
        <v>2266</v>
      </c>
      <c r="B924" s="1043">
        <f>'[1]PLAN DE DESARROLLO 2024 - 2027'!$M$92</f>
        <v>0.25050860314981654</v>
      </c>
      <c r="C924" s="1031" t="s">
        <v>2278</v>
      </c>
      <c r="D924" s="1040">
        <f>'[1]PLAN DE DESARROLLO 2024 - 2027'!$M$96</f>
        <v>0.52752194656488549</v>
      </c>
      <c r="E924" s="1031" t="s">
        <v>2281</v>
      </c>
      <c r="F924" s="1041">
        <f>[2]Hoja1!$B$54</f>
        <v>0.21999999999999997</v>
      </c>
      <c r="G924" s="1031" t="s">
        <v>923</v>
      </c>
      <c r="H924" s="1031" t="s">
        <v>924</v>
      </c>
      <c r="I924" s="1031"/>
      <c r="J924" s="1031" t="s">
        <v>925</v>
      </c>
      <c r="K924" s="1042" t="s">
        <v>2454</v>
      </c>
    </row>
    <row r="925" spans="1:11" s="1028" customFormat="1" ht="45" x14ac:dyDescent="0.25">
      <c r="A925" s="1031" t="s">
        <v>2266</v>
      </c>
      <c r="B925" s="1043">
        <f>'[1]PLAN DE DESARROLLO 2024 - 2027'!$M$92</f>
        <v>0.25050860314981654</v>
      </c>
      <c r="C925" s="1031" t="s">
        <v>2278</v>
      </c>
      <c r="D925" s="1040">
        <f>'[1]PLAN DE DESARROLLO 2024 - 2027'!$M$96</f>
        <v>0.52752194656488549</v>
      </c>
      <c r="E925" s="1031" t="s">
        <v>2281</v>
      </c>
      <c r="F925" s="1041">
        <f>[2]Hoja1!$B$54</f>
        <v>0.21999999999999997</v>
      </c>
      <c r="G925" s="1031" t="s">
        <v>926</v>
      </c>
      <c r="H925" s="1031" t="s">
        <v>927</v>
      </c>
      <c r="I925" s="1031"/>
      <c r="J925" s="1031" t="s">
        <v>2282</v>
      </c>
      <c r="K925" s="1042" t="s">
        <v>2454</v>
      </c>
    </row>
    <row r="926" spans="1:11" s="1028" customFormat="1" ht="30" x14ac:dyDescent="0.25">
      <c r="A926" s="1031" t="s">
        <v>2266</v>
      </c>
      <c r="B926" s="1043">
        <f>'[1]PLAN DE DESARROLLO 2024 - 2027'!$M$92</f>
        <v>0.25050860314981654</v>
      </c>
      <c r="C926" s="1031" t="s">
        <v>2278</v>
      </c>
      <c r="D926" s="1040">
        <f>'[1]PLAN DE DESARROLLO 2024 - 2027'!$M$96</f>
        <v>0.52752194656488549</v>
      </c>
      <c r="E926" s="1031" t="s">
        <v>2281</v>
      </c>
      <c r="F926" s="1041">
        <f>[2]Hoja1!$B$54</f>
        <v>0.21999999999999997</v>
      </c>
      <c r="G926" s="1031" t="s">
        <v>930</v>
      </c>
      <c r="H926" s="1031" t="s">
        <v>931</v>
      </c>
      <c r="I926" s="1031"/>
      <c r="J926" s="1031" t="s">
        <v>658</v>
      </c>
      <c r="K926" s="1042" t="s">
        <v>2454</v>
      </c>
    </row>
    <row r="927" spans="1:11" s="1028" customFormat="1" ht="30" x14ac:dyDescent="0.25">
      <c r="A927" s="1031" t="s">
        <v>2341</v>
      </c>
      <c r="B927" s="1039">
        <f>'[1]PLAN DE DESARROLLO 2024 - 2027'!$M$4</f>
        <v>0.24028917333263158</v>
      </c>
      <c r="C927" s="1031" t="s">
        <v>2344</v>
      </c>
      <c r="D927" s="1040">
        <f>'[1]PLAN DE DESARROLLO 2024 - 2027'!$M$11</f>
        <v>0.24196521875000004</v>
      </c>
      <c r="E927" s="1031" t="s">
        <v>189</v>
      </c>
      <c r="F927" s="1041">
        <f>[2]Hoja1!$B$48</f>
        <v>0.17574218750000001</v>
      </c>
      <c r="G927" s="1031" t="s">
        <v>202</v>
      </c>
      <c r="H927" s="1031" t="s">
        <v>203</v>
      </c>
      <c r="I927" s="1031"/>
      <c r="J927" s="1031" t="s">
        <v>47</v>
      </c>
      <c r="K927" s="1042" t="s">
        <v>2454</v>
      </c>
    </row>
    <row r="928" spans="1:11" s="1028" customFormat="1" ht="45" x14ac:dyDescent="0.25">
      <c r="A928" s="1031" t="s">
        <v>2341</v>
      </c>
      <c r="B928" s="1039">
        <f>'[1]PLAN DE DESARROLLO 2024 - 2027'!$M$4</f>
        <v>0.24028917333263158</v>
      </c>
      <c r="C928" s="1031" t="s">
        <v>2344</v>
      </c>
      <c r="D928" s="1040">
        <f>'[1]PLAN DE DESARROLLO 2024 - 2027'!$M$11</f>
        <v>0.24196521875000004</v>
      </c>
      <c r="E928" s="1031" t="s">
        <v>189</v>
      </c>
      <c r="F928" s="1041">
        <f>[2]Hoja1!$B$48</f>
        <v>0.17574218750000001</v>
      </c>
      <c r="G928" s="1031" t="s">
        <v>204</v>
      </c>
      <c r="H928" s="1031" t="s">
        <v>205</v>
      </c>
      <c r="I928" s="1031"/>
      <c r="J928" s="1031" t="s">
        <v>47</v>
      </c>
      <c r="K928" s="1042" t="s">
        <v>2454</v>
      </c>
    </row>
    <row r="929" spans="1:11" s="1028" customFormat="1" ht="30" x14ac:dyDescent="0.25">
      <c r="A929" s="1031" t="s">
        <v>2341</v>
      </c>
      <c r="B929" s="1039">
        <f>'[1]PLAN DE DESARROLLO 2024 - 2027'!$M$4</f>
        <v>0.24028917333263158</v>
      </c>
      <c r="C929" s="1031" t="s">
        <v>2344</v>
      </c>
      <c r="D929" s="1040">
        <f>'[1]PLAN DE DESARROLLO 2024 - 2027'!$M$11</f>
        <v>0.24196521875000004</v>
      </c>
      <c r="E929" s="1031" t="s">
        <v>189</v>
      </c>
      <c r="F929" s="1041">
        <f>[2]Hoja1!$B$48</f>
        <v>0.17574218750000001</v>
      </c>
      <c r="G929" s="1031" t="s">
        <v>206</v>
      </c>
      <c r="H929" s="1031" t="s">
        <v>207</v>
      </c>
      <c r="I929" s="1031"/>
      <c r="J929" s="1031" t="s">
        <v>47</v>
      </c>
      <c r="K929" s="1042" t="s">
        <v>2454</v>
      </c>
    </row>
    <row r="930" spans="1:11" s="1028" customFormat="1" ht="45" x14ac:dyDescent="0.25">
      <c r="A930" s="1031" t="s">
        <v>2341</v>
      </c>
      <c r="B930" s="1039">
        <f>'[1]PLAN DE DESARROLLO 2024 - 2027'!$M$4</f>
        <v>0.24028917333263158</v>
      </c>
      <c r="C930" s="1031" t="s">
        <v>2344</v>
      </c>
      <c r="D930" s="1040">
        <f>'[1]PLAN DE DESARROLLO 2024 - 2027'!$M$11</f>
        <v>0.24196521875000004</v>
      </c>
      <c r="E930" s="1031" t="s">
        <v>208</v>
      </c>
      <c r="F930" s="1041">
        <f>[2]Hoja1!$B$147</f>
        <v>0.1875</v>
      </c>
      <c r="G930" s="1031" t="s">
        <v>209</v>
      </c>
      <c r="H930" s="1031" t="s">
        <v>210</v>
      </c>
      <c r="I930" s="1031"/>
      <c r="J930" s="1031" t="s">
        <v>47</v>
      </c>
      <c r="K930" s="1042" t="s">
        <v>2454</v>
      </c>
    </row>
    <row r="931" spans="1:11" s="1028" customFormat="1" ht="30" x14ac:dyDescent="0.25">
      <c r="A931" s="1031" t="s">
        <v>2341</v>
      </c>
      <c r="B931" s="1039">
        <f>'[1]PLAN DE DESARROLLO 2024 - 2027'!$M$4</f>
        <v>0.24028917333263158</v>
      </c>
      <c r="C931" s="1031" t="s">
        <v>2344</v>
      </c>
      <c r="D931" s="1040">
        <f>'[1]PLAN DE DESARROLLO 2024 - 2027'!$M$11</f>
        <v>0.24196521875000004</v>
      </c>
      <c r="E931" s="1031" t="s">
        <v>208</v>
      </c>
      <c r="F931" s="1041">
        <f>[2]Hoja1!$B$147</f>
        <v>0.1875</v>
      </c>
      <c r="G931" s="1031" t="s">
        <v>211</v>
      </c>
      <c r="H931" s="1031" t="s">
        <v>212</v>
      </c>
      <c r="I931" s="1031"/>
      <c r="J931" s="1031" t="s">
        <v>47</v>
      </c>
      <c r="K931" s="1042" t="s">
        <v>2454</v>
      </c>
    </row>
    <row r="932" spans="1:11" s="1028" customFormat="1" ht="30" x14ac:dyDescent="0.25">
      <c r="A932" s="1031" t="s">
        <v>2341</v>
      </c>
      <c r="B932" s="1039">
        <f>'[1]PLAN DE DESARROLLO 2024 - 2027'!$M$4</f>
        <v>0.24028917333263158</v>
      </c>
      <c r="C932" s="1031" t="s">
        <v>2344</v>
      </c>
      <c r="D932" s="1040">
        <f>'[1]PLAN DE DESARROLLO 2024 - 2027'!$M$11</f>
        <v>0.24196521875000004</v>
      </c>
      <c r="E932" s="1031" t="s">
        <v>208</v>
      </c>
      <c r="F932" s="1041">
        <f>[2]Hoja1!$B$147</f>
        <v>0.1875</v>
      </c>
      <c r="G932" s="1031" t="s">
        <v>213</v>
      </c>
      <c r="H932" s="1031" t="s">
        <v>214</v>
      </c>
      <c r="I932" s="1031"/>
      <c r="J932" s="1031" t="s">
        <v>47</v>
      </c>
      <c r="K932" s="1042" t="s">
        <v>2454</v>
      </c>
    </row>
    <row r="933" spans="1:11" s="1028" customFormat="1" ht="45" x14ac:dyDescent="0.25">
      <c r="A933" s="1031" t="s">
        <v>2341</v>
      </c>
      <c r="B933" s="1039">
        <f>'[1]PLAN DE DESARROLLO 2024 - 2027'!$M$4</f>
        <v>0.24028917333263158</v>
      </c>
      <c r="C933" s="1031" t="s">
        <v>2344</v>
      </c>
      <c r="D933" s="1040">
        <f>'[1]PLAN DE DESARROLLO 2024 - 2027'!$M$11</f>
        <v>0.24196521875000004</v>
      </c>
      <c r="E933" s="1031" t="s">
        <v>2391</v>
      </c>
      <c r="F933" s="1041">
        <f>[2]Hoja1!$B$157</f>
        <v>0.55504000000000009</v>
      </c>
      <c r="G933" s="1031" t="s">
        <v>101</v>
      </c>
      <c r="H933" s="1031" t="s">
        <v>102</v>
      </c>
      <c r="I933" s="1031"/>
      <c r="J933" s="1031" t="s">
        <v>103</v>
      </c>
      <c r="K933" s="1042" t="s">
        <v>2454</v>
      </c>
    </row>
    <row r="934" spans="1:11" s="1028" customFormat="1" ht="30" x14ac:dyDescent="0.25">
      <c r="A934" s="1031" t="s">
        <v>2341</v>
      </c>
      <c r="B934" s="1039">
        <f>'[1]PLAN DE DESARROLLO 2024 - 2027'!$M$4</f>
        <v>0.24028917333263158</v>
      </c>
      <c r="C934" s="1031" t="s">
        <v>2344</v>
      </c>
      <c r="D934" s="1040">
        <f>'[1]PLAN DE DESARROLLO 2024 - 2027'!$M$11</f>
        <v>0.24196521875000004</v>
      </c>
      <c r="E934" s="1031" t="s">
        <v>2391</v>
      </c>
      <c r="F934" s="1041">
        <f>[2]Hoja1!$B$157</f>
        <v>0.55504000000000009</v>
      </c>
      <c r="G934" s="1031" t="s">
        <v>104</v>
      </c>
      <c r="H934" s="1031" t="s">
        <v>105</v>
      </c>
      <c r="I934" s="1031"/>
      <c r="J934" s="1031" t="s">
        <v>103</v>
      </c>
      <c r="K934" s="1042" t="s">
        <v>2454</v>
      </c>
    </row>
    <row r="935" spans="1:11" s="1028" customFormat="1" ht="45" x14ac:dyDescent="0.25">
      <c r="A935" s="1031" t="s">
        <v>2341</v>
      </c>
      <c r="B935" s="1039">
        <f>'[1]PLAN DE DESARROLLO 2024 - 2027'!$M$4</f>
        <v>0.24028917333263158</v>
      </c>
      <c r="C935" s="1031" t="s">
        <v>2344</v>
      </c>
      <c r="D935" s="1040">
        <f>'[1]PLAN DE DESARROLLO 2024 - 2027'!$M$11</f>
        <v>0.24196521875000004</v>
      </c>
      <c r="E935" s="1031" t="s">
        <v>2391</v>
      </c>
      <c r="F935" s="1041">
        <f>[2]Hoja1!$B$157</f>
        <v>0.55504000000000009</v>
      </c>
      <c r="G935" s="1031" t="s">
        <v>106</v>
      </c>
      <c r="H935" s="1031" t="s">
        <v>107</v>
      </c>
      <c r="I935" s="1031"/>
      <c r="J935" s="1031" t="s">
        <v>103</v>
      </c>
      <c r="K935" s="1042" t="s">
        <v>2454</v>
      </c>
    </row>
    <row r="936" spans="1:11" s="1028" customFormat="1" ht="45" x14ac:dyDescent="0.25">
      <c r="A936" s="1031" t="s">
        <v>2341</v>
      </c>
      <c r="B936" s="1039">
        <f>'[1]PLAN DE DESARROLLO 2024 - 2027'!$M$4</f>
        <v>0.24028917333263158</v>
      </c>
      <c r="C936" s="1031" t="s">
        <v>2347</v>
      </c>
      <c r="D936" s="1040">
        <f>'[1]PLAN DE DESARROLLO 2024 - 2027'!$M$20</f>
        <v>0.2170625911038922</v>
      </c>
      <c r="E936" s="1031" t="s">
        <v>1955</v>
      </c>
      <c r="F936" s="1041">
        <f>[2]Hoja1!$B$35</f>
        <v>0.21</v>
      </c>
      <c r="G936" s="1031" t="s">
        <v>285</v>
      </c>
      <c r="H936" s="1031" t="s">
        <v>286</v>
      </c>
      <c r="I936" s="1031"/>
      <c r="J936" s="1031" t="s">
        <v>658</v>
      </c>
      <c r="K936" s="1042" t="s">
        <v>2454</v>
      </c>
    </row>
    <row r="937" spans="1:11" s="1028" customFormat="1" ht="45" x14ac:dyDescent="0.25">
      <c r="A937" s="1031" t="s">
        <v>2341</v>
      </c>
      <c r="B937" s="1039">
        <f>'[1]PLAN DE DESARROLLO 2024 - 2027'!$M$4</f>
        <v>0.24028917333263158</v>
      </c>
      <c r="C937" s="1031" t="s">
        <v>2347</v>
      </c>
      <c r="D937" s="1040">
        <f>'[1]PLAN DE DESARROLLO 2024 - 2027'!$M$20</f>
        <v>0.2170625911038922</v>
      </c>
      <c r="E937" s="1031" t="s">
        <v>1955</v>
      </c>
      <c r="F937" s="1041">
        <f>[2]Hoja1!$B$35</f>
        <v>0.21</v>
      </c>
      <c r="G937" s="1031" t="s">
        <v>288</v>
      </c>
      <c r="H937" s="1031" t="s">
        <v>289</v>
      </c>
      <c r="I937" s="1031"/>
      <c r="J937" s="1031" t="s">
        <v>658</v>
      </c>
      <c r="K937" s="1042" t="s">
        <v>2454</v>
      </c>
    </row>
    <row r="938" spans="1:11" s="1028" customFormat="1" ht="45" x14ac:dyDescent="0.25">
      <c r="A938" s="1031" t="s">
        <v>2266</v>
      </c>
      <c r="B938" s="1043">
        <f>'[1]PLAN DE DESARROLLO 2024 - 2027'!$M$92</f>
        <v>0.25050860314981654</v>
      </c>
      <c r="C938" s="1031" t="s">
        <v>2278</v>
      </c>
      <c r="D938" s="1040">
        <f>'[1]PLAN DE DESARROLLO 2024 - 2027'!$M$96</f>
        <v>0.52752194656488549</v>
      </c>
      <c r="E938" s="1031" t="s">
        <v>2283</v>
      </c>
      <c r="F938" s="1041">
        <f>[2]Hoja1!$B$153</f>
        <v>0.6</v>
      </c>
      <c r="G938" s="1031" t="s">
        <v>935</v>
      </c>
      <c r="H938" s="1031" t="s">
        <v>936</v>
      </c>
      <c r="I938" s="1031"/>
      <c r="J938" s="1031" t="s">
        <v>716</v>
      </c>
      <c r="K938" s="1042" t="s">
        <v>2454</v>
      </c>
    </row>
    <row r="939" spans="1:11" s="1028" customFormat="1" ht="30" x14ac:dyDescent="0.25">
      <c r="A939" s="1031" t="s">
        <v>2266</v>
      </c>
      <c r="B939" s="1043">
        <f>'[1]PLAN DE DESARROLLO 2024 - 2027'!$M$92</f>
        <v>0.25050860314981654</v>
      </c>
      <c r="C939" s="1031" t="s">
        <v>2278</v>
      </c>
      <c r="D939" s="1040">
        <f>'[1]PLAN DE DESARROLLO 2024 - 2027'!$M$96</f>
        <v>0.52752194656488549</v>
      </c>
      <c r="E939" s="1031" t="s">
        <v>2283</v>
      </c>
      <c r="F939" s="1041">
        <f>[2]Hoja1!$B$153</f>
        <v>0.6</v>
      </c>
      <c r="G939" s="1031" t="s">
        <v>937</v>
      </c>
      <c r="H939" s="1031" t="s">
        <v>938</v>
      </c>
      <c r="I939" s="1031"/>
      <c r="J939" s="1031" t="s">
        <v>716</v>
      </c>
      <c r="K939" s="1042" t="s">
        <v>2454</v>
      </c>
    </row>
    <row r="940" spans="1:11" s="1028" customFormat="1" ht="45" x14ac:dyDescent="0.25">
      <c r="A940" s="1031" t="s">
        <v>2266</v>
      </c>
      <c r="B940" s="1043">
        <f>'[1]PLAN DE DESARROLLO 2024 - 2027'!$M$92</f>
        <v>0.25050860314981654</v>
      </c>
      <c r="C940" s="1031" t="s">
        <v>2278</v>
      </c>
      <c r="D940" s="1040">
        <f>'[1]PLAN DE DESARROLLO 2024 - 2027'!$M$96</f>
        <v>0.52752194656488549</v>
      </c>
      <c r="E940" s="1031" t="s">
        <v>2283</v>
      </c>
      <c r="F940" s="1041">
        <f>[2]Hoja1!$B$153</f>
        <v>0.6</v>
      </c>
      <c r="G940" s="1031" t="s">
        <v>939</v>
      </c>
      <c r="H940" s="1031" t="s">
        <v>940</v>
      </c>
      <c r="I940" s="1031"/>
      <c r="J940" s="1031" t="s">
        <v>883</v>
      </c>
      <c r="K940" s="1042" t="s">
        <v>2454</v>
      </c>
    </row>
    <row r="941" spans="1:11" s="1028" customFormat="1" ht="45" x14ac:dyDescent="0.25">
      <c r="A941" s="1031" t="s">
        <v>2266</v>
      </c>
      <c r="B941" s="1043">
        <f>'[1]PLAN DE DESARROLLO 2024 - 2027'!$M$92</f>
        <v>0.25050860314981654</v>
      </c>
      <c r="C941" s="1031" t="s">
        <v>2278</v>
      </c>
      <c r="D941" s="1040">
        <f>'[1]PLAN DE DESARROLLO 2024 - 2027'!$M$96</f>
        <v>0.52752194656488549</v>
      </c>
      <c r="E941" s="1031" t="s">
        <v>2283</v>
      </c>
      <c r="F941" s="1041">
        <f>[2]Hoja1!$B$153</f>
        <v>0.6</v>
      </c>
      <c r="G941" s="1031" t="s">
        <v>943</v>
      </c>
      <c r="H941" s="1031" t="s">
        <v>944</v>
      </c>
      <c r="I941" s="1031"/>
      <c r="J941" s="1031" t="s">
        <v>883</v>
      </c>
      <c r="K941" s="1042" t="s">
        <v>2454</v>
      </c>
    </row>
    <row r="942" spans="1:11" s="1028" customFormat="1" ht="30" x14ac:dyDescent="0.25">
      <c r="A942" s="1031" t="s">
        <v>2266</v>
      </c>
      <c r="B942" s="1043">
        <f>'[1]PLAN DE DESARROLLO 2024 - 2027'!$M$92</f>
        <v>0.25050860314981654</v>
      </c>
      <c r="C942" s="1031" t="s">
        <v>2278</v>
      </c>
      <c r="D942" s="1040">
        <f>'[1]PLAN DE DESARROLLO 2024 - 2027'!$M$96</f>
        <v>0.52752194656488549</v>
      </c>
      <c r="E942" s="1031" t="s">
        <v>2279</v>
      </c>
      <c r="F942" s="1041">
        <f>[2]Hoja1!$B$160</f>
        <v>0.85250000000000004</v>
      </c>
      <c r="G942" s="1031" t="s">
        <v>906</v>
      </c>
      <c r="H942" s="1031" t="s">
        <v>907</v>
      </c>
      <c r="I942" s="1031"/>
      <c r="J942" s="1031" t="s">
        <v>883</v>
      </c>
      <c r="K942" s="1042" t="s">
        <v>2454</v>
      </c>
    </row>
    <row r="943" spans="1:11" s="1028" customFormat="1" ht="30" x14ac:dyDescent="0.25">
      <c r="A943" s="1031" t="s">
        <v>2395</v>
      </c>
      <c r="B943" s="1039">
        <f>'[1]PLAN DE DESARROLLO 2024 - 2027'!$M$46</f>
        <v>0.25251661967012345</v>
      </c>
      <c r="C943" s="1031" t="s">
        <v>2438</v>
      </c>
      <c r="D943" s="1040">
        <f>'[1]PLAN DE DESARROLLO 2024 - 2027'!$M$80</f>
        <v>0.28962755963439352</v>
      </c>
      <c r="E943" s="1031" t="s">
        <v>2450</v>
      </c>
      <c r="F943" s="1041">
        <f>[2]Hoja1!$B$26</f>
        <v>0.47766974358974362</v>
      </c>
      <c r="G943" s="1031" t="s">
        <v>843</v>
      </c>
      <c r="H943" s="1031" t="s">
        <v>844</v>
      </c>
      <c r="I943" s="1031"/>
      <c r="J943" s="1031" t="s">
        <v>795</v>
      </c>
      <c r="K943" s="1042" t="s">
        <v>2454</v>
      </c>
    </row>
    <row r="944" spans="1:11" s="1028" customFormat="1" ht="30" x14ac:dyDescent="0.25">
      <c r="A944" s="1031" t="s">
        <v>2395</v>
      </c>
      <c r="B944" s="1039">
        <f>'[1]PLAN DE DESARROLLO 2024 - 2027'!$M$46</f>
        <v>0.25251661967012345</v>
      </c>
      <c r="C944" s="1031" t="s">
        <v>2438</v>
      </c>
      <c r="D944" s="1040">
        <f>'[1]PLAN DE DESARROLLO 2024 - 2027'!$M$80</f>
        <v>0.28962755963439352</v>
      </c>
      <c r="E944" s="1031" t="s">
        <v>2450</v>
      </c>
      <c r="F944" s="1041">
        <f>[2]Hoja1!$B$26</f>
        <v>0.47766974358974362</v>
      </c>
      <c r="G944" s="1031" t="s">
        <v>845</v>
      </c>
      <c r="H944" s="1031" t="s">
        <v>846</v>
      </c>
      <c r="I944" s="1031"/>
      <c r="J944" s="1031" t="s">
        <v>795</v>
      </c>
      <c r="K944" s="1042" t="s">
        <v>2454</v>
      </c>
    </row>
    <row r="945" spans="1:11" s="1028" customFormat="1" ht="30" x14ac:dyDescent="0.25">
      <c r="A945" s="1031" t="s">
        <v>2395</v>
      </c>
      <c r="B945" s="1039">
        <f>'[1]PLAN DE DESARROLLO 2024 - 2027'!$M$46</f>
        <v>0.25251661967012345</v>
      </c>
      <c r="C945" s="1031" t="s">
        <v>2438</v>
      </c>
      <c r="D945" s="1040">
        <f>'[1]PLAN DE DESARROLLO 2024 - 2027'!$M$80</f>
        <v>0.28962755963439352</v>
      </c>
      <c r="E945" s="1031" t="s">
        <v>2450</v>
      </c>
      <c r="F945" s="1041">
        <f>[2]Hoja1!$B$26</f>
        <v>0.47766974358974362</v>
      </c>
      <c r="G945" s="1031" t="s">
        <v>847</v>
      </c>
      <c r="H945" s="1031" t="s">
        <v>848</v>
      </c>
      <c r="I945" s="1031"/>
      <c r="J945" s="1031" t="s">
        <v>795</v>
      </c>
      <c r="K945" s="1042" t="s">
        <v>2454</v>
      </c>
    </row>
    <row r="946" spans="1:11" s="1028" customFormat="1" ht="30" x14ac:dyDescent="0.25">
      <c r="A946" s="1031" t="s">
        <v>2395</v>
      </c>
      <c r="B946" s="1039">
        <f>'[1]PLAN DE DESARROLLO 2024 - 2027'!$M$46</f>
        <v>0.25251661967012345</v>
      </c>
      <c r="C946" s="1031" t="s">
        <v>2438</v>
      </c>
      <c r="D946" s="1040">
        <f>'[1]PLAN DE DESARROLLO 2024 - 2027'!$M$80</f>
        <v>0.28962755963439352</v>
      </c>
      <c r="E946" s="1031" t="s">
        <v>2440</v>
      </c>
      <c r="F946" s="1041">
        <f>[2]Hoja1!$B$64</f>
        <v>0.18225927561837454</v>
      </c>
      <c r="G946" s="1031" t="s">
        <v>805</v>
      </c>
      <c r="H946" s="1031" t="s">
        <v>806</v>
      </c>
      <c r="I946" s="1031"/>
      <c r="J946" s="1031" t="s">
        <v>795</v>
      </c>
      <c r="K946" s="1042" t="s">
        <v>2454</v>
      </c>
    </row>
    <row r="947" spans="1:11" s="1028" customFormat="1" ht="30" x14ac:dyDescent="0.25">
      <c r="A947" s="1031" t="s">
        <v>2395</v>
      </c>
      <c r="B947" s="1039">
        <f>'[1]PLAN DE DESARROLLO 2024 - 2027'!$M$46</f>
        <v>0.25251661967012345</v>
      </c>
      <c r="C947" s="1031" t="s">
        <v>2438</v>
      </c>
      <c r="D947" s="1040">
        <f>'[1]PLAN DE DESARROLLO 2024 - 2027'!$M$80</f>
        <v>0.28962755963439352</v>
      </c>
      <c r="E947" s="1031" t="s">
        <v>2440</v>
      </c>
      <c r="F947" s="1041">
        <f>[2]Hoja1!$B$64</f>
        <v>0.18225927561837454</v>
      </c>
      <c r="G947" s="1031" t="s">
        <v>807</v>
      </c>
      <c r="H947" s="1031" t="s">
        <v>808</v>
      </c>
      <c r="I947" s="1031"/>
      <c r="J947" s="1031" t="s">
        <v>795</v>
      </c>
      <c r="K947" s="1042" t="s">
        <v>2454</v>
      </c>
    </row>
    <row r="948" spans="1:11" s="1028" customFormat="1" ht="30" x14ac:dyDescent="0.25">
      <c r="A948" s="1031" t="s">
        <v>2395</v>
      </c>
      <c r="B948" s="1039">
        <f>'[1]PLAN DE DESARROLLO 2024 - 2027'!$M$46</f>
        <v>0.25251661967012345</v>
      </c>
      <c r="C948" s="1031" t="s">
        <v>2438</v>
      </c>
      <c r="D948" s="1040">
        <f>'[1]PLAN DE DESARROLLO 2024 - 2027'!$M$80</f>
        <v>0.28962755963439352</v>
      </c>
      <c r="E948" s="1031" t="s">
        <v>2441</v>
      </c>
      <c r="F948" s="1041">
        <f>[2]Hoja1!$B$72</f>
        <v>0.35626279069767441</v>
      </c>
      <c r="G948" s="1031" t="s">
        <v>810</v>
      </c>
      <c r="H948" s="1031" t="s">
        <v>811</v>
      </c>
      <c r="I948" s="1031"/>
      <c r="J948" s="1031" t="s">
        <v>795</v>
      </c>
      <c r="K948" s="1042" t="s">
        <v>2454</v>
      </c>
    </row>
    <row r="949" spans="1:11" s="1028" customFormat="1" ht="45" x14ac:dyDescent="0.25">
      <c r="A949" s="1031" t="s">
        <v>2395</v>
      </c>
      <c r="B949" s="1039">
        <f>'[1]PLAN DE DESARROLLO 2024 - 2027'!$M$46</f>
        <v>0.25251661967012345</v>
      </c>
      <c r="C949" s="1031" t="s">
        <v>2438</v>
      </c>
      <c r="D949" s="1040">
        <f>'[1]PLAN DE DESARROLLO 2024 - 2027'!$M$80</f>
        <v>0.28962755963439352</v>
      </c>
      <c r="E949" s="1031" t="s">
        <v>2441</v>
      </c>
      <c r="F949" s="1041">
        <f>[2]Hoja1!$B$72</f>
        <v>0.35626279069767441</v>
      </c>
      <c r="G949" s="1031" t="s">
        <v>812</v>
      </c>
      <c r="H949" s="1031" t="s">
        <v>813</v>
      </c>
      <c r="I949" s="1031"/>
      <c r="J949" s="1031" t="s">
        <v>795</v>
      </c>
      <c r="K949" s="1042" t="s">
        <v>2454</v>
      </c>
    </row>
    <row r="950" spans="1:11" s="1028" customFormat="1" ht="30" x14ac:dyDescent="0.25">
      <c r="A950" s="1031" t="s">
        <v>2395</v>
      </c>
      <c r="B950" s="1039">
        <f>'[1]PLAN DE DESARROLLO 2024 - 2027'!$M$46</f>
        <v>0.25251661967012345</v>
      </c>
      <c r="C950" s="1031" t="s">
        <v>2438</v>
      </c>
      <c r="D950" s="1040">
        <f>'[1]PLAN DE DESARROLLO 2024 - 2027'!$M$80</f>
        <v>0.28962755963439352</v>
      </c>
      <c r="E950" s="1031" t="s">
        <v>2442</v>
      </c>
      <c r="F950" s="1041">
        <f>[2]Hoja1!$B$74</f>
        <v>0.2885664090262971</v>
      </c>
      <c r="G950" s="1031" t="s">
        <v>815</v>
      </c>
      <c r="H950" s="1031" t="s">
        <v>816</v>
      </c>
      <c r="I950" s="1031"/>
      <c r="J950" s="1031" t="s">
        <v>795</v>
      </c>
      <c r="K950" s="1042" t="s">
        <v>2454</v>
      </c>
    </row>
    <row r="951" spans="1:11" s="1028" customFormat="1" ht="30" x14ac:dyDescent="0.25">
      <c r="A951" s="1031" t="s">
        <v>2395</v>
      </c>
      <c r="B951" s="1039">
        <f>'[1]PLAN DE DESARROLLO 2024 - 2027'!$M$46</f>
        <v>0.25251661967012345</v>
      </c>
      <c r="C951" s="1031" t="s">
        <v>2438</v>
      </c>
      <c r="D951" s="1040">
        <f>'[1]PLAN DE DESARROLLO 2024 - 2027'!$M$80</f>
        <v>0.28962755963439352</v>
      </c>
      <c r="E951" s="1031" t="s">
        <v>2442</v>
      </c>
      <c r="F951" s="1041">
        <f>[2]Hoja1!$B$74</f>
        <v>0.2885664090262971</v>
      </c>
      <c r="G951" s="1031" t="s">
        <v>817</v>
      </c>
      <c r="H951" s="1031" t="s">
        <v>818</v>
      </c>
      <c r="I951" s="1031"/>
      <c r="J951" s="1031" t="s">
        <v>795</v>
      </c>
      <c r="K951" s="1042" t="s">
        <v>2454</v>
      </c>
    </row>
    <row r="952" spans="1:11" s="1028" customFormat="1" ht="30" x14ac:dyDescent="0.25">
      <c r="A952" s="1031" t="s">
        <v>2395</v>
      </c>
      <c r="B952" s="1039">
        <f>'[1]PLAN DE DESARROLLO 2024 - 2027'!$M$46</f>
        <v>0.25251661967012345</v>
      </c>
      <c r="C952" s="1031" t="s">
        <v>2438</v>
      </c>
      <c r="D952" s="1040">
        <f>'[1]PLAN DE DESARROLLO 2024 - 2027'!$M$80</f>
        <v>0.28962755963439352</v>
      </c>
      <c r="E952" s="1031" t="s">
        <v>2442</v>
      </c>
      <c r="F952" s="1041">
        <f>[2]Hoja1!$B$74</f>
        <v>0.2885664090262971</v>
      </c>
      <c r="G952" s="1031" t="s">
        <v>2443</v>
      </c>
      <c r="H952" s="1031" t="s">
        <v>2444</v>
      </c>
      <c r="I952" s="1031"/>
      <c r="J952" s="1031" t="s">
        <v>2445</v>
      </c>
      <c r="K952" s="1042" t="s">
        <v>2454</v>
      </c>
    </row>
    <row r="953" spans="1:11" s="1028" customFormat="1" ht="30" x14ac:dyDescent="0.25">
      <c r="A953" s="1031" t="s">
        <v>2395</v>
      </c>
      <c r="B953" s="1039">
        <f>'[1]PLAN DE DESARROLLO 2024 - 2027'!$M$46</f>
        <v>0.25251661967012345</v>
      </c>
      <c r="C953" s="1031" t="s">
        <v>2438</v>
      </c>
      <c r="D953" s="1040">
        <f>'[1]PLAN DE DESARROLLO 2024 - 2027'!$M$80</f>
        <v>0.28962755963439352</v>
      </c>
      <c r="E953" s="1031" t="s">
        <v>2442</v>
      </c>
      <c r="F953" s="1041">
        <f>[2]Hoja1!$B$74</f>
        <v>0.2885664090262971</v>
      </c>
      <c r="G953" s="1031" t="s">
        <v>2446</v>
      </c>
      <c r="H953" s="1031" t="s">
        <v>2447</v>
      </c>
      <c r="I953" s="1031"/>
      <c r="J953" s="1031" t="s">
        <v>795</v>
      </c>
      <c r="K953" s="1042" t="s">
        <v>2454</v>
      </c>
    </row>
    <row r="954" spans="1:11" s="1028" customFormat="1" ht="45" x14ac:dyDescent="0.25">
      <c r="A954" s="1031" t="s">
        <v>2395</v>
      </c>
      <c r="B954" s="1039">
        <f>'[1]PLAN DE DESARROLLO 2024 - 2027'!$M$46</f>
        <v>0.25251661967012345</v>
      </c>
      <c r="C954" s="1031" t="s">
        <v>2438</v>
      </c>
      <c r="D954" s="1040">
        <f>'[1]PLAN DE DESARROLLO 2024 - 2027'!$M$80</f>
        <v>0.28962755963439352</v>
      </c>
      <c r="E954" s="1031" t="s">
        <v>2442</v>
      </c>
      <c r="F954" s="1041">
        <f>[2]Hoja1!$B$74</f>
        <v>0.2885664090262971</v>
      </c>
      <c r="G954" s="1031" t="s">
        <v>2448</v>
      </c>
      <c r="H954" s="1031" t="s">
        <v>828</v>
      </c>
      <c r="I954" s="1031"/>
      <c r="J954" s="1031" t="s">
        <v>2445</v>
      </c>
      <c r="K954" s="1042" t="s">
        <v>2454</v>
      </c>
    </row>
    <row r="955" spans="1:11" s="1028" customFormat="1" ht="30" x14ac:dyDescent="0.25">
      <c r="A955" s="1031" t="s">
        <v>2308</v>
      </c>
      <c r="B955" s="1043">
        <f>'[1]PLAN DE DESARROLLO 2024 - 2027'!$M$161</f>
        <v>0.24647581985093744</v>
      </c>
      <c r="C955" s="1031" t="s">
        <v>2326</v>
      </c>
      <c r="D955" s="1040">
        <f>'[1]PLAN DE DESARROLLO 2024 - 2027'!$M$178</f>
        <v>0.30658085759781617</v>
      </c>
      <c r="E955" s="1031" t="s">
        <v>1692</v>
      </c>
      <c r="F955" s="1041">
        <f>[2]Hoja1!$B$61</f>
        <v>0.26875000000000004</v>
      </c>
      <c r="G955" s="1031" t="s">
        <v>1693</v>
      </c>
      <c r="H955" s="1031" t="s">
        <v>1694</v>
      </c>
      <c r="I955" s="1031"/>
      <c r="J955" s="1031" t="s">
        <v>1666</v>
      </c>
      <c r="K955" s="1042" t="s">
        <v>2454</v>
      </c>
    </row>
    <row r="956" spans="1:11" s="1028" customFormat="1" ht="30" x14ac:dyDescent="0.25">
      <c r="A956" s="1031" t="s">
        <v>2308</v>
      </c>
      <c r="B956" s="1043">
        <f>'[1]PLAN DE DESARROLLO 2024 - 2027'!$M$161</f>
        <v>0.24647581985093744</v>
      </c>
      <c r="C956" s="1031" t="s">
        <v>2326</v>
      </c>
      <c r="D956" s="1040">
        <f>'[1]PLAN DE DESARROLLO 2024 - 2027'!$M$178</f>
        <v>0.30658085759781617</v>
      </c>
      <c r="E956" s="1031" t="s">
        <v>1692</v>
      </c>
      <c r="F956" s="1041">
        <f>[2]Hoja1!$B$61</f>
        <v>0.26875000000000004</v>
      </c>
      <c r="G956" s="1031" t="s">
        <v>1695</v>
      </c>
      <c r="H956" s="1031" t="s">
        <v>1696</v>
      </c>
      <c r="I956" s="1031"/>
      <c r="J956" s="1031" t="s">
        <v>1666</v>
      </c>
      <c r="K956" s="1042" t="s">
        <v>2454</v>
      </c>
    </row>
    <row r="957" spans="1:11" s="1028" customFormat="1" ht="30" x14ac:dyDescent="0.25">
      <c r="A957" s="1031" t="s">
        <v>2395</v>
      </c>
      <c r="B957" s="1039">
        <f>'[1]PLAN DE DESARROLLO 2024 - 2027'!$M$46</f>
        <v>0.25251661967012345</v>
      </c>
      <c r="C957" s="1031" t="s">
        <v>2438</v>
      </c>
      <c r="D957" s="1040">
        <f>'[1]PLAN DE DESARROLLO 2024 - 2027'!$M$80</f>
        <v>0.28962755963439352</v>
      </c>
      <c r="E957" s="1031" t="s">
        <v>2449</v>
      </c>
      <c r="F957" s="1041">
        <f>[2]Hoja1!$B$75</f>
        <v>0.25970491803278689</v>
      </c>
      <c r="G957" s="1031" t="s">
        <v>832</v>
      </c>
      <c r="H957" s="1031" t="s">
        <v>833</v>
      </c>
      <c r="I957" s="1031"/>
      <c r="J957" s="1031" t="s">
        <v>795</v>
      </c>
      <c r="K957" s="1042" t="s">
        <v>2454</v>
      </c>
    </row>
    <row r="958" spans="1:11" s="1028" customFormat="1" ht="30" x14ac:dyDescent="0.25">
      <c r="A958" s="1031" t="s">
        <v>2395</v>
      </c>
      <c r="B958" s="1039">
        <f>'[1]PLAN DE DESARROLLO 2024 - 2027'!$M$46</f>
        <v>0.25251661967012345</v>
      </c>
      <c r="C958" s="1031" t="s">
        <v>2438</v>
      </c>
      <c r="D958" s="1040">
        <f>'[1]PLAN DE DESARROLLO 2024 - 2027'!$M$80</f>
        <v>0.28962755963439352</v>
      </c>
      <c r="E958" s="1031" t="s">
        <v>2439</v>
      </c>
      <c r="F958" s="1041">
        <f>[2]Hoja1!$B$79</f>
        <v>0.29583333333333334</v>
      </c>
      <c r="G958" s="1031" t="s">
        <v>793</v>
      </c>
      <c r="H958" s="1031" t="s">
        <v>794</v>
      </c>
      <c r="I958" s="1031"/>
      <c r="J958" s="1031" t="s">
        <v>795</v>
      </c>
      <c r="K958" s="1042" t="s">
        <v>2454</v>
      </c>
    </row>
    <row r="959" spans="1:11" s="1028" customFormat="1" ht="30" x14ac:dyDescent="0.25">
      <c r="A959" s="1031" t="s">
        <v>2395</v>
      </c>
      <c r="B959" s="1039">
        <f>'[1]PLAN DE DESARROLLO 2024 - 2027'!$M$46</f>
        <v>0.25251661967012345</v>
      </c>
      <c r="C959" s="1031" t="s">
        <v>2438</v>
      </c>
      <c r="D959" s="1040">
        <f>'[1]PLAN DE DESARROLLO 2024 - 2027'!$M$80</f>
        <v>0.28962755963439352</v>
      </c>
      <c r="E959" s="1031" t="s">
        <v>2439</v>
      </c>
      <c r="F959" s="1041">
        <f>[2]Hoja1!$B$79</f>
        <v>0.29583333333333334</v>
      </c>
      <c r="G959" s="1031" t="s">
        <v>797</v>
      </c>
      <c r="H959" s="1031" t="s">
        <v>798</v>
      </c>
      <c r="I959" s="1031"/>
      <c r="J959" s="1031" t="s">
        <v>795</v>
      </c>
      <c r="K959" s="1042" t="s">
        <v>2454</v>
      </c>
    </row>
    <row r="960" spans="1:11" s="1028" customFormat="1" ht="30" x14ac:dyDescent="0.25">
      <c r="A960" s="1031" t="s">
        <v>2395</v>
      </c>
      <c r="B960" s="1039">
        <f>'[1]PLAN DE DESARROLLO 2024 - 2027'!$M$46</f>
        <v>0.25251661967012345</v>
      </c>
      <c r="C960" s="1031" t="s">
        <v>2438</v>
      </c>
      <c r="D960" s="1040">
        <f>'[1]PLAN DE DESARROLLO 2024 - 2027'!$M$80</f>
        <v>0.28962755963439352</v>
      </c>
      <c r="E960" s="1031" t="s">
        <v>2439</v>
      </c>
      <c r="F960" s="1041">
        <f>[2]Hoja1!$B$79</f>
        <v>0.29583333333333334</v>
      </c>
      <c r="G960" s="1031" t="s">
        <v>799</v>
      </c>
      <c r="H960" s="1031" t="s">
        <v>800</v>
      </c>
      <c r="I960" s="1031"/>
      <c r="J960" s="1031" t="s">
        <v>795</v>
      </c>
      <c r="K960" s="1042" t="s">
        <v>2454</v>
      </c>
    </row>
    <row r="961" spans="1:11" s="1028" customFormat="1" ht="30" x14ac:dyDescent="0.25">
      <c r="A961" s="1031" t="s">
        <v>2266</v>
      </c>
      <c r="B961" s="1043">
        <f>'[1]PLAN DE DESARROLLO 2024 - 2027'!$M$92</f>
        <v>0.25050860314981654</v>
      </c>
      <c r="C961" s="1031" t="s">
        <v>2278</v>
      </c>
      <c r="D961" s="1040">
        <f>'[1]PLAN DE DESARROLLO 2024 - 2027'!$M$96</f>
        <v>0.52752194656488549</v>
      </c>
      <c r="E961" s="1031" t="s">
        <v>2279</v>
      </c>
      <c r="F961" s="1041">
        <f>[2]Hoja1!$B$160</f>
        <v>0.85250000000000004</v>
      </c>
      <c r="G961" s="1031" t="s">
        <v>908</v>
      </c>
      <c r="H961" s="1031" t="s">
        <v>909</v>
      </c>
      <c r="I961" s="1031"/>
      <c r="J961" s="1031" t="s">
        <v>883</v>
      </c>
      <c r="K961" s="1042" t="s">
        <v>2454</v>
      </c>
    </row>
    <row r="962" spans="1:11" s="1028" customFormat="1" ht="30" x14ac:dyDescent="0.25">
      <c r="A962" s="1031" t="s">
        <v>2266</v>
      </c>
      <c r="B962" s="1043">
        <f>'[1]PLAN DE DESARROLLO 2024 - 2027'!$M$92</f>
        <v>0.25050860314981654</v>
      </c>
      <c r="C962" s="1031" t="s">
        <v>2278</v>
      </c>
      <c r="D962" s="1040">
        <f>'[1]PLAN DE DESARROLLO 2024 - 2027'!$M$96</f>
        <v>0.52752194656488549</v>
      </c>
      <c r="E962" s="1031" t="s">
        <v>2279</v>
      </c>
      <c r="F962" s="1041">
        <f>[2]Hoja1!$B$160</f>
        <v>0.85250000000000004</v>
      </c>
      <c r="G962" s="1031" t="s">
        <v>910</v>
      </c>
      <c r="H962" s="1031" t="s">
        <v>911</v>
      </c>
      <c r="I962" s="1031"/>
      <c r="J962" s="1031" t="s">
        <v>883</v>
      </c>
      <c r="K962" s="1042" t="s">
        <v>2454</v>
      </c>
    </row>
    <row r="963" spans="1:11" s="1028" customFormat="1" ht="30" x14ac:dyDescent="0.25">
      <c r="A963" s="1031" t="s">
        <v>2266</v>
      </c>
      <c r="B963" s="1043">
        <f>'[1]PLAN DE DESARROLLO 2024 - 2027'!$M$92</f>
        <v>0.25050860314981654</v>
      </c>
      <c r="C963" s="1031" t="s">
        <v>2278</v>
      </c>
      <c r="D963" s="1040">
        <f>'[1]PLAN DE DESARROLLO 2024 - 2027'!$M$96</f>
        <v>0.52752194656488549</v>
      </c>
      <c r="E963" s="1031" t="s">
        <v>2279</v>
      </c>
      <c r="F963" s="1041">
        <f>[2]Hoja1!$B$160</f>
        <v>0.85250000000000004</v>
      </c>
      <c r="G963" s="1031" t="s">
        <v>913</v>
      </c>
      <c r="H963" s="1031" t="s">
        <v>914</v>
      </c>
      <c r="I963" s="1031"/>
      <c r="J963" s="1031" t="s">
        <v>883</v>
      </c>
      <c r="K963" s="1042" t="s">
        <v>2454</v>
      </c>
    </row>
    <row r="964" spans="1:11" s="1028" customFormat="1" x14ac:dyDescent="0.25">
      <c r="A964" s="1031" t="s">
        <v>2266</v>
      </c>
      <c r="B964" s="1043">
        <f>'[1]PLAN DE DESARROLLO 2024 - 2027'!$M$92</f>
        <v>0.25050860314981654</v>
      </c>
      <c r="C964" s="1031" t="s">
        <v>2267</v>
      </c>
      <c r="D964" s="1040">
        <f>'[1]PLAN DE DESARROLLO 2024 - 2027'!$M$105</f>
        <v>0.1233525</v>
      </c>
      <c r="E964" s="1031" t="s">
        <v>2288</v>
      </c>
      <c r="F964" s="1041">
        <f>[2]Hoja1!$B$12</f>
        <v>7.375000000000001E-2</v>
      </c>
      <c r="G964" s="1031" t="s">
        <v>977</v>
      </c>
      <c r="H964" s="1031" t="s">
        <v>978</v>
      </c>
      <c r="I964" s="1031"/>
      <c r="J964" s="1031" t="s">
        <v>883</v>
      </c>
      <c r="K964" s="1042" t="s">
        <v>2454</v>
      </c>
    </row>
    <row r="965" spans="1:11" s="1028" customFormat="1" ht="30" x14ac:dyDescent="0.25">
      <c r="A965" s="1031" t="s">
        <v>2266</v>
      </c>
      <c r="B965" s="1043">
        <f>'[1]PLAN DE DESARROLLO 2024 - 2027'!$M$92</f>
        <v>0.25050860314981654</v>
      </c>
      <c r="C965" s="1031" t="s">
        <v>2267</v>
      </c>
      <c r="D965" s="1040">
        <f>'[1]PLAN DE DESARROLLO 2024 - 2027'!$M$105</f>
        <v>0.1233525</v>
      </c>
      <c r="E965" s="1031" t="s">
        <v>2288</v>
      </c>
      <c r="F965" s="1041">
        <f>[2]Hoja1!$B$12</f>
        <v>7.375000000000001E-2</v>
      </c>
      <c r="G965" s="1031" t="s">
        <v>979</v>
      </c>
      <c r="H965" s="1031" t="s">
        <v>980</v>
      </c>
      <c r="I965" s="1031"/>
      <c r="J965" s="1031" t="s">
        <v>883</v>
      </c>
      <c r="K965" s="1042" t="s">
        <v>2454</v>
      </c>
    </row>
    <row r="966" spans="1:11" s="1028" customFormat="1" ht="45" x14ac:dyDescent="0.25">
      <c r="A966" s="1031" t="s">
        <v>2266</v>
      </c>
      <c r="B966" s="1043">
        <f>'[1]PLAN DE DESARROLLO 2024 - 2027'!$M$92</f>
        <v>0.25050860314981654</v>
      </c>
      <c r="C966" s="1031" t="s">
        <v>2267</v>
      </c>
      <c r="D966" s="1040">
        <f>'[1]PLAN DE DESARROLLO 2024 - 2027'!$M$105</f>
        <v>0.1233525</v>
      </c>
      <c r="E966" s="1031" t="s">
        <v>2288</v>
      </c>
      <c r="F966" s="1041">
        <f>[2]Hoja1!$B$12</f>
        <v>7.375000000000001E-2</v>
      </c>
      <c r="G966" s="1031" t="s">
        <v>981</v>
      </c>
      <c r="H966" s="1031" t="s">
        <v>982</v>
      </c>
      <c r="I966" s="1031"/>
      <c r="J966" s="1031" t="s">
        <v>883</v>
      </c>
      <c r="K966" s="1042" t="s">
        <v>2454</v>
      </c>
    </row>
    <row r="967" spans="1:11" s="1028" customFormat="1" ht="30" x14ac:dyDescent="0.25">
      <c r="A967" s="1031" t="s">
        <v>2266</v>
      </c>
      <c r="B967" s="1043">
        <f>'[1]PLAN DE DESARROLLO 2024 - 2027'!$M$92</f>
        <v>0.25050860314981654</v>
      </c>
      <c r="C967" s="1031" t="s">
        <v>2267</v>
      </c>
      <c r="D967" s="1040">
        <f>'[1]PLAN DE DESARROLLO 2024 - 2027'!$M$105</f>
        <v>0.1233525</v>
      </c>
      <c r="E967" s="1031" t="s">
        <v>2288</v>
      </c>
      <c r="F967" s="1041">
        <f>[2]Hoja1!$B$12</f>
        <v>7.375000000000001E-2</v>
      </c>
      <c r="G967" s="1031" t="s">
        <v>983</v>
      </c>
      <c r="H967" s="1031" t="s">
        <v>984</v>
      </c>
      <c r="I967" s="1031"/>
      <c r="J967" s="1031" t="s">
        <v>883</v>
      </c>
      <c r="K967" s="1042" t="s">
        <v>2454</v>
      </c>
    </row>
    <row r="968" spans="1:11" s="1028" customFormat="1" ht="60" x14ac:dyDescent="0.25">
      <c r="A968" s="1031" t="s">
        <v>2266</v>
      </c>
      <c r="B968" s="1043">
        <f>'[1]PLAN DE DESARROLLO 2024 - 2027'!$M$92</f>
        <v>0.25050860314981654</v>
      </c>
      <c r="C968" s="1031" t="s">
        <v>2267</v>
      </c>
      <c r="D968" s="1040">
        <f>'[1]PLAN DE DESARROLLO 2024 - 2027'!$M$105</f>
        <v>0.1233525</v>
      </c>
      <c r="E968" s="1031" t="s">
        <v>2288</v>
      </c>
      <c r="F968" s="1041">
        <f>[2]Hoja1!$B$12</f>
        <v>7.375000000000001E-2</v>
      </c>
      <c r="G968" s="1031" t="s">
        <v>985</v>
      </c>
      <c r="H968" s="1031" t="s">
        <v>986</v>
      </c>
      <c r="I968" s="1031"/>
      <c r="J968" s="1031" t="s">
        <v>2289</v>
      </c>
      <c r="K968" s="1042" t="s">
        <v>2454</v>
      </c>
    </row>
    <row r="969" spans="1:11" s="1028" customFormat="1" ht="30" x14ac:dyDescent="0.25">
      <c r="A969" s="1031" t="s">
        <v>2266</v>
      </c>
      <c r="B969" s="1043">
        <f>'[1]PLAN DE DESARROLLO 2024 - 2027'!$M$92</f>
        <v>0.25050860314981654</v>
      </c>
      <c r="C969" s="1031" t="s">
        <v>2267</v>
      </c>
      <c r="D969" s="1040">
        <f>'[1]PLAN DE DESARROLLO 2024 - 2027'!$M$105</f>
        <v>0.1233525</v>
      </c>
      <c r="E969" s="1031" t="s">
        <v>2288</v>
      </c>
      <c r="F969" s="1041">
        <f>[2]Hoja1!$B$12</f>
        <v>7.375000000000001E-2</v>
      </c>
      <c r="G969" s="1031" t="s">
        <v>2290</v>
      </c>
      <c r="H969" s="1031" t="s">
        <v>2291</v>
      </c>
      <c r="I969" s="1031"/>
      <c r="J969" s="1031" t="s">
        <v>883</v>
      </c>
      <c r="K969" s="1042" t="s">
        <v>2454</v>
      </c>
    </row>
    <row r="970" spans="1:11" s="1028" customFormat="1" ht="45" x14ac:dyDescent="0.25">
      <c r="A970" s="1031" t="s">
        <v>2395</v>
      </c>
      <c r="B970" s="1039">
        <f>'[1]PLAN DE DESARROLLO 2024 - 2027'!$M$46</f>
        <v>0.25251661967012345</v>
      </c>
      <c r="C970" s="1031" t="s">
        <v>2438</v>
      </c>
      <c r="D970" s="1040">
        <f>'[1]PLAN DE DESARROLLO 2024 - 2027'!$M$80</f>
        <v>0.28962755963439352</v>
      </c>
      <c r="E970" s="1031" t="s">
        <v>2439</v>
      </c>
      <c r="F970" s="1041">
        <f>[2]Hoja1!$B$79</f>
        <v>0.29583333333333334</v>
      </c>
      <c r="G970" s="1031" t="s">
        <v>801</v>
      </c>
      <c r="H970" s="1031" t="s">
        <v>802</v>
      </c>
      <c r="I970" s="1031"/>
      <c r="J970" s="1031" t="s">
        <v>795</v>
      </c>
      <c r="K970" s="1042" t="s">
        <v>2454</v>
      </c>
    </row>
    <row r="971" spans="1:11" s="1028" customFormat="1" ht="45" x14ac:dyDescent="0.25">
      <c r="A971" s="1031" t="s">
        <v>2395</v>
      </c>
      <c r="B971" s="1039">
        <f>'[1]PLAN DE DESARROLLO 2024 - 2027'!$M$46</f>
        <v>0.25251661967012345</v>
      </c>
      <c r="C971" s="1031" t="s">
        <v>2438</v>
      </c>
      <c r="D971" s="1040">
        <f>'[1]PLAN DE DESARROLLO 2024 - 2027'!$M$80</f>
        <v>0.28962755963439352</v>
      </c>
      <c r="E971" s="1031" t="s">
        <v>834</v>
      </c>
      <c r="F971" s="1041">
        <f>[2]Hoja1!$B$125</f>
        <v>0.3529713888888889</v>
      </c>
      <c r="G971" s="1031" t="s">
        <v>835</v>
      </c>
      <c r="H971" s="1031" t="s">
        <v>836</v>
      </c>
      <c r="I971" s="1031"/>
      <c r="J971" s="1031" t="s">
        <v>795</v>
      </c>
      <c r="K971" s="1042" t="s">
        <v>2454</v>
      </c>
    </row>
    <row r="972" spans="1:11" s="1028" customFormat="1" x14ac:dyDescent="0.25">
      <c r="A972" s="1031" t="s">
        <v>2266</v>
      </c>
      <c r="B972" s="1043">
        <f>'[1]PLAN DE DESARROLLO 2024 - 2027'!$M$92</f>
        <v>0.25050860314981654</v>
      </c>
      <c r="C972" s="1031" t="s">
        <v>2267</v>
      </c>
      <c r="D972" s="1040">
        <f>'[1]PLAN DE DESARROLLO 2024 - 2027'!$M$105</f>
        <v>0.1233525</v>
      </c>
      <c r="E972" s="1031" t="s">
        <v>2288</v>
      </c>
      <c r="F972" s="1041">
        <f>[2]Hoja1!$B$12</f>
        <v>7.375000000000001E-2</v>
      </c>
      <c r="G972" s="1031" t="s">
        <v>992</v>
      </c>
      <c r="H972" s="1031" t="s">
        <v>993</v>
      </c>
      <c r="I972" s="1031"/>
      <c r="J972" s="1031" t="s">
        <v>658</v>
      </c>
      <c r="K972" s="1042" t="s">
        <v>2454</v>
      </c>
    </row>
    <row r="973" spans="1:11" s="1028" customFormat="1" ht="30" x14ac:dyDescent="0.25">
      <c r="A973" s="1031" t="s">
        <v>2266</v>
      </c>
      <c r="B973" s="1043">
        <f>'[1]PLAN DE DESARROLLO 2024 - 2027'!$M$92</f>
        <v>0.25050860314981654</v>
      </c>
      <c r="C973" s="1031" t="s">
        <v>2267</v>
      </c>
      <c r="D973" s="1040">
        <f>'[1]PLAN DE DESARROLLO 2024 - 2027'!$M$105</f>
        <v>0.1233525</v>
      </c>
      <c r="E973" s="1031" t="s">
        <v>995</v>
      </c>
      <c r="F973" s="1041">
        <f>[2]Hoja1!$B$14</f>
        <v>0.17424999999999999</v>
      </c>
      <c r="G973" s="1031" t="s">
        <v>996</v>
      </c>
      <c r="H973" s="1031" t="s">
        <v>997</v>
      </c>
      <c r="I973" s="1031"/>
      <c r="J973" s="1031" t="s">
        <v>103</v>
      </c>
      <c r="K973" s="1042" t="s">
        <v>2454</v>
      </c>
    </row>
    <row r="974" spans="1:11" s="1028" customFormat="1" ht="45" x14ac:dyDescent="0.25">
      <c r="A974" s="1031" t="s">
        <v>2395</v>
      </c>
      <c r="B974" s="1039">
        <f>'[1]PLAN DE DESARROLLO 2024 - 2027'!$M$46</f>
        <v>0.25251661967012345</v>
      </c>
      <c r="C974" s="1031" t="s">
        <v>2438</v>
      </c>
      <c r="D974" s="1040">
        <f>'[1]PLAN DE DESARROLLO 2024 - 2027'!$M$80</f>
        <v>0.28962755963439352</v>
      </c>
      <c r="E974" s="1031" t="s">
        <v>834</v>
      </c>
      <c r="F974" s="1041">
        <f>[2]Hoja1!$B$125</f>
        <v>0.3529713888888889</v>
      </c>
      <c r="G974" s="1031" t="s">
        <v>837</v>
      </c>
      <c r="H974" s="1031" t="s">
        <v>838</v>
      </c>
      <c r="I974" s="1031"/>
      <c r="J974" s="1031" t="s">
        <v>795</v>
      </c>
      <c r="K974" s="1042" t="s">
        <v>2454</v>
      </c>
    </row>
    <row r="975" spans="1:11" s="1028" customFormat="1" ht="45" x14ac:dyDescent="0.25">
      <c r="A975" s="1031" t="s">
        <v>2395</v>
      </c>
      <c r="B975" s="1039">
        <f>'[1]PLAN DE DESARROLLO 2024 - 2027'!$M$46</f>
        <v>0.25251661967012345</v>
      </c>
      <c r="C975" s="1031" t="s">
        <v>2396</v>
      </c>
      <c r="D975" s="1040">
        <f>'[1]PLAN DE DESARROLLO 2024 - 2027'!$M$47</f>
        <v>0.26592582694462413</v>
      </c>
      <c r="E975" s="1031" t="s">
        <v>2128</v>
      </c>
      <c r="F975" s="1041">
        <f>[2]Hoja1!$B$11</f>
        <v>0</v>
      </c>
      <c r="G975" s="1031" t="s">
        <v>557</v>
      </c>
      <c r="H975" s="1031" t="s">
        <v>558</v>
      </c>
      <c r="I975" s="1031"/>
      <c r="J975" s="1031" t="s">
        <v>2397</v>
      </c>
      <c r="K975" s="1042" t="s">
        <v>2454</v>
      </c>
    </row>
    <row r="976" spans="1:11" s="1028" customFormat="1" ht="45" x14ac:dyDescent="0.25">
      <c r="A976" s="1031" t="s">
        <v>2395</v>
      </c>
      <c r="B976" s="1039">
        <f>'[1]PLAN DE DESARROLLO 2024 - 2027'!$M$46</f>
        <v>0.25251661967012345</v>
      </c>
      <c r="C976" s="1031" t="s">
        <v>2396</v>
      </c>
      <c r="D976" s="1040">
        <f>'[1]PLAN DE DESARROLLO 2024 - 2027'!$M$47</f>
        <v>0.26592582694462413</v>
      </c>
      <c r="E976" s="1031" t="s">
        <v>2128</v>
      </c>
      <c r="F976" s="1041">
        <f>[2]Hoja1!$B$11</f>
        <v>0</v>
      </c>
      <c r="G976" s="1031" t="s">
        <v>559</v>
      </c>
      <c r="H976" s="1031" t="s">
        <v>560</v>
      </c>
      <c r="I976" s="1031"/>
      <c r="J976" s="1031" t="s">
        <v>2397</v>
      </c>
      <c r="K976" s="1042" t="s">
        <v>2454</v>
      </c>
    </row>
    <row r="977" spans="1:11" s="1028" customFormat="1" ht="30" x14ac:dyDescent="0.25">
      <c r="A977" s="1031" t="s">
        <v>2395</v>
      </c>
      <c r="B977" s="1039">
        <f>'[1]PLAN DE DESARROLLO 2024 - 2027'!$M$46</f>
        <v>0.25251661967012345</v>
      </c>
      <c r="C977" s="1031" t="s">
        <v>2396</v>
      </c>
      <c r="D977" s="1040">
        <f>'[1]PLAN DE DESARROLLO 2024 - 2027'!$M$47</f>
        <v>0.26592582694462413</v>
      </c>
      <c r="E977" s="1031" t="s">
        <v>2423</v>
      </c>
      <c r="F977" s="1041">
        <f>[2]Hoja1!$B$13</f>
        <v>0.20570526315789472</v>
      </c>
      <c r="G977" s="1031" t="s">
        <v>593</v>
      </c>
      <c r="H977" s="1031" t="s">
        <v>2424</v>
      </c>
      <c r="I977" s="1031"/>
      <c r="J977" s="1031" t="s">
        <v>2397</v>
      </c>
      <c r="K977" s="1042" t="s">
        <v>2454</v>
      </c>
    </row>
    <row r="978" spans="1:11" s="1028" customFormat="1" ht="45" x14ac:dyDescent="0.25">
      <c r="A978" s="1031" t="s">
        <v>2395</v>
      </c>
      <c r="B978" s="1039">
        <f>'[1]PLAN DE DESARROLLO 2024 - 2027'!$M$46</f>
        <v>0.25251661967012345</v>
      </c>
      <c r="C978" s="1031" t="s">
        <v>2396</v>
      </c>
      <c r="D978" s="1040">
        <f>'[1]PLAN DE DESARROLLO 2024 - 2027'!$M$47</f>
        <v>0.26592582694462413</v>
      </c>
      <c r="E978" s="1031" t="s">
        <v>2423</v>
      </c>
      <c r="F978" s="1041">
        <f>[2]Hoja1!$B$13</f>
        <v>0.20570526315789472</v>
      </c>
      <c r="G978" s="1031" t="s">
        <v>595</v>
      </c>
      <c r="H978" s="1031" t="s">
        <v>596</v>
      </c>
      <c r="I978" s="1031"/>
      <c r="J978" s="1031" t="s">
        <v>2397</v>
      </c>
      <c r="K978" s="1042" t="s">
        <v>2454</v>
      </c>
    </row>
    <row r="979" spans="1:11" s="1028" customFormat="1" ht="30" x14ac:dyDescent="0.25">
      <c r="A979" s="1031" t="s">
        <v>2395</v>
      </c>
      <c r="B979" s="1039">
        <f>'[1]PLAN DE DESARROLLO 2024 - 2027'!$M$46</f>
        <v>0.25251661967012345</v>
      </c>
      <c r="C979" s="1031" t="s">
        <v>2396</v>
      </c>
      <c r="D979" s="1040">
        <f>'[1]PLAN DE DESARROLLO 2024 - 2027'!$M$47</f>
        <v>0.26592582694462413</v>
      </c>
      <c r="E979" s="1031" t="s">
        <v>2423</v>
      </c>
      <c r="F979" s="1041">
        <f>[2]Hoja1!$B$13</f>
        <v>0.20570526315789472</v>
      </c>
      <c r="G979" s="1031" t="s">
        <v>597</v>
      </c>
      <c r="H979" s="1031" t="s">
        <v>598</v>
      </c>
      <c r="I979" s="1031"/>
      <c r="J979" s="1031" t="s">
        <v>2397</v>
      </c>
      <c r="K979" s="1042" t="s">
        <v>2454</v>
      </c>
    </row>
    <row r="980" spans="1:11" s="1028" customFormat="1" ht="45" x14ac:dyDescent="0.25">
      <c r="A980" s="1031" t="s">
        <v>2395</v>
      </c>
      <c r="B980" s="1039">
        <f>'[1]PLAN DE DESARROLLO 2024 - 2027'!$M$46</f>
        <v>0.25251661967012345</v>
      </c>
      <c r="C980" s="1031" t="s">
        <v>2396</v>
      </c>
      <c r="D980" s="1040">
        <f>'[1]PLAN DE DESARROLLO 2024 - 2027'!$M$47</f>
        <v>0.26592582694462413</v>
      </c>
      <c r="E980" s="1031" t="s">
        <v>2423</v>
      </c>
      <c r="F980" s="1041">
        <f>[2]Hoja1!$B$13</f>
        <v>0.20570526315789472</v>
      </c>
      <c r="G980" s="1031" t="s">
        <v>2425</v>
      </c>
      <c r="H980" s="1031" t="s">
        <v>2426</v>
      </c>
      <c r="I980" s="1031"/>
      <c r="J980" s="1031" t="s">
        <v>2397</v>
      </c>
      <c r="K980" s="1042" t="s">
        <v>2454</v>
      </c>
    </row>
    <row r="981" spans="1:11" s="1028" customFormat="1" ht="45" x14ac:dyDescent="0.25">
      <c r="A981" s="1031" t="s">
        <v>2395</v>
      </c>
      <c r="B981" s="1039">
        <f>'[1]PLAN DE DESARROLLO 2024 - 2027'!$M$46</f>
        <v>0.25251661967012345</v>
      </c>
      <c r="C981" s="1031" t="s">
        <v>2396</v>
      </c>
      <c r="D981" s="1040">
        <f>'[1]PLAN DE DESARROLLO 2024 - 2027'!$M$47</f>
        <v>0.26592582694462413</v>
      </c>
      <c r="E981" s="1031" t="s">
        <v>2402</v>
      </c>
      <c r="F981" s="1041">
        <f>[2]Hoja1!$B$16</f>
        <v>0.75238095238095237</v>
      </c>
      <c r="G981" s="1031" t="s">
        <v>2403</v>
      </c>
      <c r="H981" s="1031" t="s">
        <v>2404</v>
      </c>
      <c r="I981" s="1031"/>
      <c r="J981" s="1031" t="s">
        <v>2397</v>
      </c>
      <c r="K981" s="1042" t="s">
        <v>2454</v>
      </c>
    </row>
    <row r="982" spans="1:11" s="1028" customFormat="1" ht="75" x14ac:dyDescent="0.25">
      <c r="A982" s="1031" t="s">
        <v>2395</v>
      </c>
      <c r="B982" s="1039">
        <f>'[1]PLAN DE DESARROLLO 2024 - 2027'!$M$46</f>
        <v>0.25251661967012345</v>
      </c>
      <c r="C982" s="1031" t="s">
        <v>2396</v>
      </c>
      <c r="D982" s="1040">
        <f>'[1]PLAN DE DESARROLLO 2024 - 2027'!$M$47</f>
        <v>0.26592582694462413</v>
      </c>
      <c r="E982" s="1031" t="s">
        <v>2402</v>
      </c>
      <c r="F982" s="1041">
        <f>[2]Hoja1!$B$16</f>
        <v>0.75238095238095237</v>
      </c>
      <c r="G982" s="1031" t="s">
        <v>484</v>
      </c>
      <c r="H982" s="1031" t="s">
        <v>485</v>
      </c>
      <c r="I982" s="1031"/>
      <c r="J982" s="1031" t="s">
        <v>2397</v>
      </c>
      <c r="K982" s="1042" t="s">
        <v>2454</v>
      </c>
    </row>
    <row r="983" spans="1:11" s="1028" customFormat="1" ht="30" x14ac:dyDescent="0.25">
      <c r="A983" s="1031" t="s">
        <v>2395</v>
      </c>
      <c r="B983" s="1039">
        <f>'[1]PLAN DE DESARROLLO 2024 - 2027'!$M$46</f>
        <v>0.25251661967012345</v>
      </c>
      <c r="C983" s="1031" t="s">
        <v>2396</v>
      </c>
      <c r="D983" s="1040">
        <f>'[1]PLAN DE DESARROLLO 2024 - 2027'!$M$47</f>
        <v>0.26592582694462413</v>
      </c>
      <c r="E983" s="1031" t="s">
        <v>536</v>
      </c>
      <c r="F983" s="1041">
        <f>[2]Hoja1!$B$31</f>
        <v>0.3129859335038363</v>
      </c>
      <c r="G983" s="1031" t="s">
        <v>537</v>
      </c>
      <c r="H983" s="1031" t="s">
        <v>538</v>
      </c>
      <c r="I983" s="1031"/>
      <c r="J983" s="1031" t="s">
        <v>2397</v>
      </c>
      <c r="K983" s="1042" t="s">
        <v>2454</v>
      </c>
    </row>
    <row r="984" spans="1:11" s="1028" customFormat="1" ht="30" x14ac:dyDescent="0.25">
      <c r="A984" s="1031" t="s">
        <v>2341</v>
      </c>
      <c r="B984" s="1039">
        <f>'[1]PLAN DE DESARROLLO 2024 - 2027'!$M$4</f>
        <v>0.24028917333263158</v>
      </c>
      <c r="C984" s="1031" t="s">
        <v>2347</v>
      </c>
      <c r="D984" s="1040">
        <f>'[1]PLAN DE DESARROLLO 2024 - 2027'!$M$20</f>
        <v>0.2170625911038922</v>
      </c>
      <c r="E984" s="1031" t="s">
        <v>1955</v>
      </c>
      <c r="F984" s="1041">
        <f>[2]Hoja1!$B$35</f>
        <v>0.21</v>
      </c>
      <c r="G984" s="1031" t="s">
        <v>290</v>
      </c>
      <c r="H984" s="1031" t="s">
        <v>291</v>
      </c>
      <c r="I984" s="1031"/>
      <c r="J984" s="1031" t="s">
        <v>658</v>
      </c>
      <c r="K984" s="1042" t="s">
        <v>2454</v>
      </c>
    </row>
    <row r="985" spans="1:11" s="1028" customFormat="1" ht="30" x14ac:dyDescent="0.25">
      <c r="A985" s="1031" t="s">
        <v>2341</v>
      </c>
      <c r="B985" s="1039">
        <f>'[1]PLAN DE DESARROLLO 2024 - 2027'!$M$4</f>
        <v>0.24028917333263158</v>
      </c>
      <c r="C985" s="1031" t="s">
        <v>2347</v>
      </c>
      <c r="D985" s="1040">
        <f>'[1]PLAN DE DESARROLLO 2024 - 2027'!$M$20</f>
        <v>0.2170625911038922</v>
      </c>
      <c r="E985" s="1031" t="s">
        <v>1955</v>
      </c>
      <c r="F985" s="1041">
        <f>[2]Hoja1!$B$35</f>
        <v>0.21</v>
      </c>
      <c r="G985" s="1031" t="s">
        <v>292</v>
      </c>
      <c r="H985" s="1031" t="s">
        <v>293</v>
      </c>
      <c r="I985" s="1031"/>
      <c r="J985" s="1031" t="s">
        <v>658</v>
      </c>
      <c r="K985" s="1042" t="s">
        <v>2454</v>
      </c>
    </row>
    <row r="986" spans="1:11" s="1028" customFormat="1" ht="45" x14ac:dyDescent="0.25">
      <c r="A986" s="1031" t="s">
        <v>2341</v>
      </c>
      <c r="B986" s="1039">
        <f>'[1]PLAN DE DESARROLLO 2024 - 2027'!$M$4</f>
        <v>0.24028917333263158</v>
      </c>
      <c r="C986" s="1031" t="s">
        <v>2347</v>
      </c>
      <c r="D986" s="1040">
        <f>'[1]PLAN DE DESARROLLO 2024 - 2027'!$M$20</f>
        <v>0.2170625911038922</v>
      </c>
      <c r="E986" s="1031" t="s">
        <v>2350</v>
      </c>
      <c r="F986" s="1041">
        <f>[2]Hoja1!$B$47</f>
        <v>0.22916000000000003</v>
      </c>
      <c r="G986" s="1031" t="s">
        <v>234</v>
      </c>
      <c r="H986" s="1031" t="s">
        <v>235</v>
      </c>
      <c r="I986" s="1031"/>
      <c r="J986" s="1031" t="s">
        <v>219</v>
      </c>
      <c r="K986" s="1042" t="s">
        <v>2454</v>
      </c>
    </row>
    <row r="987" spans="1:11" s="1028" customFormat="1" ht="45" x14ac:dyDescent="0.25">
      <c r="A987" s="1031" t="s">
        <v>2341</v>
      </c>
      <c r="B987" s="1039">
        <f>'[1]PLAN DE DESARROLLO 2024 - 2027'!$M$4</f>
        <v>0.24028917333263158</v>
      </c>
      <c r="C987" s="1031" t="s">
        <v>2347</v>
      </c>
      <c r="D987" s="1040">
        <f>'[1]PLAN DE DESARROLLO 2024 - 2027'!$M$20</f>
        <v>0.2170625911038922</v>
      </c>
      <c r="E987" s="1031" t="s">
        <v>2350</v>
      </c>
      <c r="F987" s="1041">
        <f>[2]Hoja1!$B$47</f>
        <v>0.22916000000000003</v>
      </c>
      <c r="G987" s="1031" t="s">
        <v>2351</v>
      </c>
      <c r="H987" s="1031" t="s">
        <v>237</v>
      </c>
      <c r="I987" s="1031"/>
      <c r="J987" s="1031" t="s">
        <v>219</v>
      </c>
      <c r="K987" s="1042" t="s">
        <v>2454</v>
      </c>
    </row>
    <row r="988" spans="1:11" s="1028" customFormat="1" ht="60" x14ac:dyDescent="0.25">
      <c r="A988" s="1031" t="s">
        <v>2341</v>
      </c>
      <c r="B988" s="1039">
        <f>'[1]PLAN DE DESARROLLO 2024 - 2027'!$M$4</f>
        <v>0.24028917333263158</v>
      </c>
      <c r="C988" s="1031" t="s">
        <v>2347</v>
      </c>
      <c r="D988" s="1040">
        <f>'[1]PLAN DE DESARROLLO 2024 - 2027'!$M$20</f>
        <v>0.2170625911038922</v>
      </c>
      <c r="E988" s="1031" t="s">
        <v>2352</v>
      </c>
      <c r="F988" s="1041">
        <f>[2]Hoja1!$B$73</f>
        <v>6.3793103448275865E-2</v>
      </c>
      <c r="G988" s="1031" t="s">
        <v>2353</v>
      </c>
      <c r="H988" s="1031" t="s">
        <v>240</v>
      </c>
      <c r="I988" s="1031"/>
      <c r="J988" s="1031" t="s">
        <v>219</v>
      </c>
      <c r="K988" s="1042" t="s">
        <v>2454</v>
      </c>
    </row>
    <row r="989" spans="1:11" s="1028" customFormat="1" ht="45" x14ac:dyDescent="0.25">
      <c r="A989" s="1031" t="s">
        <v>2341</v>
      </c>
      <c r="B989" s="1039">
        <f>'[1]PLAN DE DESARROLLO 2024 - 2027'!$M$4</f>
        <v>0.24028917333263158</v>
      </c>
      <c r="C989" s="1031" t="s">
        <v>2347</v>
      </c>
      <c r="D989" s="1040">
        <f>'[1]PLAN DE DESARROLLO 2024 - 2027'!$M$20</f>
        <v>0.2170625911038922</v>
      </c>
      <c r="E989" s="1031" t="s">
        <v>2352</v>
      </c>
      <c r="F989" s="1041">
        <f>[2]Hoja1!$B$73</f>
        <v>6.3793103448275865E-2</v>
      </c>
      <c r="G989" s="1031" t="s">
        <v>241</v>
      </c>
      <c r="H989" s="1031" t="s">
        <v>242</v>
      </c>
      <c r="I989" s="1031"/>
      <c r="J989" s="1031" t="s">
        <v>219</v>
      </c>
      <c r="K989" s="1042" t="s">
        <v>2454</v>
      </c>
    </row>
    <row r="990" spans="1:11" s="1028" customFormat="1" ht="45" x14ac:dyDescent="0.25">
      <c r="A990" s="1031" t="s">
        <v>2341</v>
      </c>
      <c r="B990" s="1039">
        <f>'[1]PLAN DE DESARROLLO 2024 - 2027'!$M$4</f>
        <v>0.24028917333263158</v>
      </c>
      <c r="C990" s="1031" t="s">
        <v>2347</v>
      </c>
      <c r="D990" s="1040">
        <f>'[1]PLAN DE DESARROLLO 2024 - 2027'!$M$20</f>
        <v>0.2170625911038922</v>
      </c>
      <c r="E990" s="1031" t="s">
        <v>2348</v>
      </c>
      <c r="F990" s="1041">
        <f>[2]Hoja1!$B$137</f>
        <v>0.211759440843759</v>
      </c>
      <c r="G990" s="1031" t="s">
        <v>217</v>
      </c>
      <c r="H990" s="1031" t="s">
        <v>218</v>
      </c>
      <c r="I990" s="1031"/>
      <c r="J990" s="1031" t="s">
        <v>219</v>
      </c>
      <c r="K990" s="1042" t="s">
        <v>2454</v>
      </c>
    </row>
    <row r="991" spans="1:11" s="1028" customFormat="1" ht="30" x14ac:dyDescent="0.25">
      <c r="A991" s="1031" t="s">
        <v>2341</v>
      </c>
      <c r="B991" s="1039">
        <f>'[1]PLAN DE DESARROLLO 2024 - 2027'!$M$4</f>
        <v>0.24028917333263158</v>
      </c>
      <c r="C991" s="1031" t="s">
        <v>2347</v>
      </c>
      <c r="D991" s="1040">
        <f>'[1]PLAN DE DESARROLLO 2024 - 2027'!$M$20</f>
        <v>0.2170625911038922</v>
      </c>
      <c r="E991" s="1031" t="s">
        <v>2348</v>
      </c>
      <c r="F991" s="1041">
        <f>[2]Hoja1!$B$137</f>
        <v>0.211759440843759</v>
      </c>
      <c r="G991" s="1031" t="s">
        <v>221</v>
      </c>
      <c r="H991" s="1031" t="s">
        <v>222</v>
      </c>
      <c r="I991" s="1031"/>
      <c r="J991" s="1031" t="s">
        <v>219</v>
      </c>
      <c r="K991" s="1042" t="s">
        <v>2454</v>
      </c>
    </row>
    <row r="992" spans="1:11" s="1028" customFormat="1" ht="45" x14ac:dyDescent="0.25">
      <c r="A992" s="1031" t="s">
        <v>2308</v>
      </c>
      <c r="B992" s="1043">
        <f>'[1]PLAN DE DESARROLLO 2024 - 2027'!$M$161</f>
        <v>0.24647581985093744</v>
      </c>
      <c r="C992" s="1031" t="s">
        <v>2310</v>
      </c>
      <c r="D992" s="1040">
        <f>'[1]PLAN DE DESARROLLO 2024 - 2027'!$M$166</f>
        <v>0.23451309458253802</v>
      </c>
      <c r="E992" s="1031" t="s">
        <v>2324</v>
      </c>
      <c r="F992" s="1041">
        <f>[2]Hoja1!$B$70</f>
        <v>0.10187067756482795</v>
      </c>
      <c r="G992" s="1031" t="s">
        <v>1636</v>
      </c>
      <c r="H992" s="1031" t="s">
        <v>1637</v>
      </c>
      <c r="I992" s="1031"/>
      <c r="J992" s="1031" t="s">
        <v>92</v>
      </c>
      <c r="K992" s="1042" t="s">
        <v>2454</v>
      </c>
    </row>
    <row r="993" spans="1:11" s="1028" customFormat="1" ht="45" x14ac:dyDescent="0.25">
      <c r="A993" s="1031" t="s">
        <v>2308</v>
      </c>
      <c r="B993" s="1043">
        <f>'[1]PLAN DE DESARROLLO 2024 - 2027'!$M$161</f>
        <v>0.24647581985093744</v>
      </c>
      <c r="C993" s="1031" t="s">
        <v>2310</v>
      </c>
      <c r="D993" s="1040">
        <f>'[1]PLAN DE DESARROLLO 2024 - 2027'!$M$166</f>
        <v>0.23451309458253802</v>
      </c>
      <c r="E993" s="1031" t="s">
        <v>2324</v>
      </c>
      <c r="F993" s="1041">
        <f>[2]Hoja1!$B$70</f>
        <v>0.10187067756482795</v>
      </c>
      <c r="G993" s="1031" t="s">
        <v>1638</v>
      </c>
      <c r="H993" s="1031" t="s">
        <v>1639</v>
      </c>
      <c r="I993" s="1031"/>
      <c r="J993" s="1031" t="s">
        <v>92</v>
      </c>
      <c r="K993" s="1042" t="s">
        <v>2454</v>
      </c>
    </row>
    <row r="994" spans="1:11" s="1028" customFormat="1" ht="45" x14ac:dyDescent="0.25">
      <c r="A994" s="1031" t="s">
        <v>2308</v>
      </c>
      <c r="B994" s="1043">
        <f>'[1]PLAN DE DESARROLLO 2024 - 2027'!$M$161</f>
        <v>0.24647581985093744</v>
      </c>
      <c r="C994" s="1031" t="s">
        <v>2310</v>
      </c>
      <c r="D994" s="1040">
        <f>'[1]PLAN DE DESARROLLO 2024 - 2027'!$M$166</f>
        <v>0.23451309458253802</v>
      </c>
      <c r="E994" s="1031" t="s">
        <v>2324</v>
      </c>
      <c r="F994" s="1041">
        <f>[2]Hoja1!$B$70</f>
        <v>0.10187067756482795</v>
      </c>
      <c r="G994" s="1031" t="s">
        <v>1640</v>
      </c>
      <c r="H994" s="1031" t="s">
        <v>1641</v>
      </c>
      <c r="I994" s="1031"/>
      <c r="J994" s="1031" t="s">
        <v>92</v>
      </c>
      <c r="K994" s="1042" t="s">
        <v>2454</v>
      </c>
    </row>
    <row r="995" spans="1:11" s="1028" customFormat="1" ht="45" x14ac:dyDescent="0.25">
      <c r="A995" s="1031" t="s">
        <v>2308</v>
      </c>
      <c r="B995" s="1043">
        <f>'[1]PLAN DE DESARROLLO 2024 - 2027'!$M$161</f>
        <v>0.24647581985093744</v>
      </c>
      <c r="C995" s="1031" t="s">
        <v>2310</v>
      </c>
      <c r="D995" s="1040">
        <f>'[1]PLAN DE DESARROLLO 2024 - 2027'!$M$166</f>
        <v>0.23451309458253802</v>
      </c>
      <c r="E995" s="1031" t="s">
        <v>2324</v>
      </c>
      <c r="F995" s="1041">
        <f>[2]Hoja1!$B$70</f>
        <v>0.10187067756482795</v>
      </c>
      <c r="G995" s="1031" t="s">
        <v>1642</v>
      </c>
      <c r="H995" s="1031" t="s">
        <v>1643</v>
      </c>
      <c r="I995" s="1031"/>
      <c r="J995" s="1031" t="s">
        <v>92</v>
      </c>
      <c r="K995" s="1042" t="s">
        <v>2454</v>
      </c>
    </row>
    <row r="996" spans="1:11" s="1028" customFormat="1" ht="45" x14ac:dyDescent="0.25">
      <c r="A996" s="1031" t="s">
        <v>2395</v>
      </c>
      <c r="B996" s="1039">
        <f>'[1]PLAN DE DESARROLLO 2024 - 2027'!$M$46</f>
        <v>0.25251661967012345</v>
      </c>
      <c r="C996" s="1031" t="s">
        <v>2396</v>
      </c>
      <c r="D996" s="1040">
        <f>'[1]PLAN DE DESARROLLO 2024 - 2027'!$M$47</f>
        <v>0.26592582694462413</v>
      </c>
      <c r="E996" s="1031" t="s">
        <v>536</v>
      </c>
      <c r="F996" s="1041">
        <f>[2]Hoja1!$B$31</f>
        <v>0.3129859335038363</v>
      </c>
      <c r="G996" s="1031" t="s">
        <v>540</v>
      </c>
      <c r="H996" s="1031" t="s">
        <v>541</v>
      </c>
      <c r="I996" s="1031"/>
      <c r="J996" s="1031" t="s">
        <v>2397</v>
      </c>
      <c r="K996" s="1042" t="s">
        <v>2454</v>
      </c>
    </row>
    <row r="997" spans="1:11" s="1028" customFormat="1" ht="30" x14ac:dyDescent="0.25">
      <c r="A997" s="1031" t="s">
        <v>2395</v>
      </c>
      <c r="B997" s="1039">
        <f>'[1]PLAN DE DESARROLLO 2024 - 2027'!$M$46</f>
        <v>0.25251661967012345</v>
      </c>
      <c r="C997" s="1031" t="s">
        <v>2396</v>
      </c>
      <c r="D997" s="1040">
        <f>'[1]PLAN DE DESARROLLO 2024 - 2027'!$M$47</f>
        <v>0.26592582694462413</v>
      </c>
      <c r="E997" s="1031" t="s">
        <v>536</v>
      </c>
      <c r="F997" s="1041">
        <f>[2]Hoja1!$B$31</f>
        <v>0.3129859335038363</v>
      </c>
      <c r="G997" s="1031" t="s">
        <v>542</v>
      </c>
      <c r="H997" s="1031" t="s">
        <v>543</v>
      </c>
      <c r="I997" s="1031"/>
      <c r="J997" s="1031" t="s">
        <v>2397</v>
      </c>
      <c r="K997" s="1042" t="s">
        <v>2454</v>
      </c>
    </row>
    <row r="998" spans="1:11" s="1028" customFormat="1" ht="90" x14ac:dyDescent="0.25">
      <c r="A998" s="1031" t="s">
        <v>2395</v>
      </c>
      <c r="B998" s="1039">
        <f>'[1]PLAN DE DESARROLLO 2024 - 2027'!$M$46</f>
        <v>0.25251661967012345</v>
      </c>
      <c r="C998" s="1031" t="s">
        <v>2396</v>
      </c>
      <c r="D998" s="1040">
        <f>'[1]PLAN DE DESARROLLO 2024 - 2027'!$M$47</f>
        <v>0.26592582694462413</v>
      </c>
      <c r="E998" s="1031" t="s">
        <v>2411</v>
      </c>
      <c r="F998" s="1041">
        <f>[2]Hoja1!$B$32</f>
        <v>0.18148717948717949</v>
      </c>
      <c r="G998" s="1031" t="s">
        <v>528</v>
      </c>
      <c r="H998" s="1031" t="s">
        <v>529</v>
      </c>
      <c r="I998" s="1031"/>
      <c r="J998" s="1031" t="s">
        <v>2397</v>
      </c>
      <c r="K998" s="1042" t="s">
        <v>2454</v>
      </c>
    </row>
    <row r="999" spans="1:11" s="1028" customFormat="1" ht="30" x14ac:dyDescent="0.25">
      <c r="A999" s="1031" t="s">
        <v>2395</v>
      </c>
      <c r="B999" s="1039">
        <f>'[1]PLAN DE DESARROLLO 2024 - 2027'!$M$46</f>
        <v>0.25251661967012345</v>
      </c>
      <c r="C999" s="1031" t="s">
        <v>2396</v>
      </c>
      <c r="D999" s="1040">
        <f>'[1]PLAN DE DESARROLLO 2024 - 2027'!$M$47</f>
        <v>0.26592582694462413</v>
      </c>
      <c r="E999" s="1031" t="s">
        <v>2411</v>
      </c>
      <c r="F999" s="1041">
        <f>[2]Hoja1!$B$32</f>
        <v>0.18148717948717949</v>
      </c>
      <c r="G999" s="1031" t="s">
        <v>530</v>
      </c>
      <c r="H999" s="1031" t="s">
        <v>531</v>
      </c>
      <c r="I999" s="1031"/>
      <c r="J999" s="1031" t="s">
        <v>2397</v>
      </c>
      <c r="K999" s="1042" t="s">
        <v>2454</v>
      </c>
    </row>
    <row r="1000" spans="1:11" s="1028" customFormat="1" ht="60" x14ac:dyDescent="0.25">
      <c r="A1000" s="1031" t="s">
        <v>2395</v>
      </c>
      <c r="B1000" s="1039">
        <f>'[1]PLAN DE DESARROLLO 2024 - 2027'!$M$46</f>
        <v>0.25251661967012345</v>
      </c>
      <c r="C1000" s="1031" t="s">
        <v>2396</v>
      </c>
      <c r="D1000" s="1040">
        <f>'[1]PLAN DE DESARROLLO 2024 - 2027'!$M$47</f>
        <v>0.26592582694462413</v>
      </c>
      <c r="E1000" s="1031" t="s">
        <v>2411</v>
      </c>
      <c r="F1000" s="1041">
        <f>[2]Hoja1!$B$32</f>
        <v>0.18148717948717949</v>
      </c>
      <c r="G1000" s="1031" t="s">
        <v>532</v>
      </c>
      <c r="H1000" s="1031" t="s">
        <v>533</v>
      </c>
      <c r="I1000" s="1031"/>
      <c r="J1000" s="1031" t="s">
        <v>2397</v>
      </c>
      <c r="K1000" s="1042" t="s">
        <v>2454</v>
      </c>
    </row>
    <row r="1001" spans="1:11" s="1028" customFormat="1" ht="30" x14ac:dyDescent="0.25">
      <c r="A1001" s="1031" t="s">
        <v>2341</v>
      </c>
      <c r="B1001" s="1039">
        <f>'[1]PLAN DE DESARROLLO 2024 - 2027'!$M$4</f>
        <v>0.24028917333263158</v>
      </c>
      <c r="C1001" s="1031" t="s">
        <v>2347</v>
      </c>
      <c r="D1001" s="1040">
        <f>'[1]PLAN DE DESARROLLO 2024 - 2027'!$M$20</f>
        <v>0.2170625911038922</v>
      </c>
      <c r="E1001" s="1031" t="s">
        <v>2348</v>
      </c>
      <c r="F1001" s="1041">
        <f>[2]Hoja1!$B$137</f>
        <v>0.211759440843759</v>
      </c>
      <c r="G1001" s="1031" t="s">
        <v>223</v>
      </c>
      <c r="H1001" s="1031" t="s">
        <v>224</v>
      </c>
      <c r="I1001" s="1031"/>
      <c r="J1001" s="1031" t="s">
        <v>219</v>
      </c>
      <c r="K1001" s="1042" t="s">
        <v>2454</v>
      </c>
    </row>
    <row r="1002" spans="1:11" s="1028" customFormat="1" ht="30" x14ac:dyDescent="0.25">
      <c r="A1002" s="1031" t="s">
        <v>2341</v>
      </c>
      <c r="B1002" s="1039">
        <f>'[1]PLAN DE DESARROLLO 2024 - 2027'!$M$4</f>
        <v>0.24028917333263158</v>
      </c>
      <c r="C1002" s="1031" t="s">
        <v>2347</v>
      </c>
      <c r="D1002" s="1040">
        <f>'[1]PLAN DE DESARROLLO 2024 - 2027'!$M$20</f>
        <v>0.2170625911038922</v>
      </c>
      <c r="E1002" s="1031" t="s">
        <v>2348</v>
      </c>
      <c r="F1002" s="1041">
        <f>[2]Hoja1!$B$137</f>
        <v>0.211759440843759</v>
      </c>
      <c r="G1002" s="1031" t="s">
        <v>225</v>
      </c>
      <c r="H1002" s="1031" t="s">
        <v>226</v>
      </c>
      <c r="I1002" s="1031"/>
      <c r="J1002" s="1031" t="s">
        <v>219</v>
      </c>
      <c r="K1002" s="1042" t="s">
        <v>2454</v>
      </c>
    </row>
    <row r="1003" spans="1:11" s="1028" customFormat="1" x14ac:dyDescent="0.25">
      <c r="A1003" s="1031" t="s">
        <v>2395</v>
      </c>
      <c r="B1003" s="1039">
        <f>'[1]PLAN DE DESARROLLO 2024 - 2027'!$M$46</f>
        <v>0.25251661967012345</v>
      </c>
      <c r="C1003" s="1031" t="s">
        <v>2396</v>
      </c>
      <c r="D1003" s="1040">
        <f>'[1]PLAN DE DESARROLLO 2024 - 2027'!$M$47</f>
        <v>0.26592582694462413</v>
      </c>
      <c r="E1003" s="1031" t="s">
        <v>2411</v>
      </c>
      <c r="F1003" s="1041">
        <f>[2]Hoja1!$B$32</f>
        <v>0.18148717948717949</v>
      </c>
      <c r="G1003" s="1031" t="s">
        <v>534</v>
      </c>
      <c r="H1003" s="1031" t="s">
        <v>535</v>
      </c>
      <c r="I1003" s="1031"/>
      <c r="J1003" s="1031" t="s">
        <v>2397</v>
      </c>
      <c r="K1003" s="1042" t="s">
        <v>2454</v>
      </c>
    </row>
    <row r="1004" spans="1:11" s="1028" customFormat="1" ht="30" x14ac:dyDescent="0.25">
      <c r="A1004" s="1031" t="s">
        <v>2395</v>
      </c>
      <c r="B1004" s="1039">
        <f>'[1]PLAN DE DESARROLLO 2024 - 2027'!$M$46</f>
        <v>0.25251661967012345</v>
      </c>
      <c r="C1004" s="1031" t="s">
        <v>2396</v>
      </c>
      <c r="D1004" s="1040">
        <f>'[1]PLAN DE DESARROLLO 2024 - 2027'!$M$47</f>
        <v>0.26592582694462413</v>
      </c>
      <c r="E1004" s="1031" t="s">
        <v>601</v>
      </c>
      <c r="F1004" s="1041">
        <f>[2]Hoja1!$B$33</f>
        <v>0.25094117647058822</v>
      </c>
      <c r="G1004" s="1031" t="s">
        <v>602</v>
      </c>
      <c r="H1004" s="1031" t="s">
        <v>603</v>
      </c>
      <c r="I1004" s="1031"/>
      <c r="J1004" s="1031" t="s">
        <v>2397</v>
      </c>
      <c r="K1004" s="1042" t="s">
        <v>2454</v>
      </c>
    </row>
    <row r="1005" spans="1:11" s="1028" customFormat="1" ht="45" x14ac:dyDescent="0.25">
      <c r="A1005" s="1031" t="s">
        <v>2395</v>
      </c>
      <c r="B1005" s="1039">
        <f>'[1]PLAN DE DESARROLLO 2024 - 2027'!$M$46</f>
        <v>0.25251661967012345</v>
      </c>
      <c r="C1005" s="1031" t="s">
        <v>2396</v>
      </c>
      <c r="D1005" s="1040">
        <f>'[1]PLAN DE DESARROLLO 2024 - 2027'!$M$47</f>
        <v>0.26592582694462413</v>
      </c>
      <c r="E1005" s="1031" t="s">
        <v>601</v>
      </c>
      <c r="F1005" s="1041">
        <f>[2]Hoja1!$B$33</f>
        <v>0.25094117647058822</v>
      </c>
      <c r="G1005" s="1031" t="s">
        <v>604</v>
      </c>
      <c r="H1005" s="1031" t="s">
        <v>605</v>
      </c>
      <c r="I1005" s="1031"/>
      <c r="J1005" s="1031" t="s">
        <v>2397</v>
      </c>
      <c r="K1005" s="1042" t="s">
        <v>2454</v>
      </c>
    </row>
    <row r="1006" spans="1:11" s="1028" customFormat="1" ht="30" x14ac:dyDescent="0.25">
      <c r="A1006" s="1031" t="s">
        <v>2395</v>
      </c>
      <c r="B1006" s="1039">
        <f>'[1]PLAN DE DESARROLLO 2024 - 2027'!$M$46</f>
        <v>0.25251661967012345</v>
      </c>
      <c r="C1006" s="1031" t="s">
        <v>2396</v>
      </c>
      <c r="D1006" s="1040">
        <f>'[1]PLAN DE DESARROLLO 2024 - 2027'!$M$47</f>
        <v>0.26592582694462413</v>
      </c>
      <c r="E1006" s="1031" t="s">
        <v>601</v>
      </c>
      <c r="F1006" s="1041">
        <f>[2]Hoja1!$B$33</f>
        <v>0.25094117647058822</v>
      </c>
      <c r="G1006" s="1031" t="s">
        <v>606</v>
      </c>
      <c r="H1006" s="1031" t="s">
        <v>607</v>
      </c>
      <c r="I1006" s="1031"/>
      <c r="J1006" s="1031" t="s">
        <v>2397</v>
      </c>
      <c r="K1006" s="1042" t="s">
        <v>2454</v>
      </c>
    </row>
    <row r="1007" spans="1:11" s="1028" customFormat="1" ht="45" x14ac:dyDescent="0.25">
      <c r="A1007" s="1031" t="s">
        <v>2395</v>
      </c>
      <c r="B1007" s="1039">
        <f>'[1]PLAN DE DESARROLLO 2024 - 2027'!$M$46</f>
        <v>0.25251661967012345</v>
      </c>
      <c r="C1007" s="1031" t="s">
        <v>2396</v>
      </c>
      <c r="D1007" s="1040">
        <f>'[1]PLAN DE DESARROLLO 2024 - 2027'!$M$47</f>
        <v>0.26592582694462413</v>
      </c>
      <c r="E1007" s="1031" t="s">
        <v>2408</v>
      </c>
      <c r="F1007" s="1041">
        <f>[2]Hoja1!$B$62</f>
        <v>0.40093061935688268</v>
      </c>
      <c r="G1007" s="1031" t="s">
        <v>519</v>
      </c>
      <c r="H1007" s="1031" t="s">
        <v>520</v>
      </c>
      <c r="I1007" s="1031"/>
      <c r="J1007" s="1031" t="s">
        <v>2397</v>
      </c>
      <c r="K1007" s="1042" t="s">
        <v>2454</v>
      </c>
    </row>
    <row r="1008" spans="1:11" s="1028" customFormat="1" ht="45" x14ac:dyDescent="0.25">
      <c r="A1008" s="1031" t="s">
        <v>2395</v>
      </c>
      <c r="B1008" s="1039">
        <f>'[1]PLAN DE DESARROLLO 2024 - 2027'!$M$46</f>
        <v>0.25251661967012345</v>
      </c>
      <c r="C1008" s="1031" t="s">
        <v>2396</v>
      </c>
      <c r="D1008" s="1040">
        <f>'[1]PLAN DE DESARROLLO 2024 - 2027'!$M$47</f>
        <v>0.26592582694462413</v>
      </c>
      <c r="E1008" s="1031" t="s">
        <v>2408</v>
      </c>
      <c r="F1008" s="1041">
        <f>[2]Hoja1!$B$62</f>
        <v>0.40093061935688268</v>
      </c>
      <c r="G1008" s="1031" t="s">
        <v>2409</v>
      </c>
      <c r="H1008" s="1031" t="s">
        <v>2410</v>
      </c>
      <c r="I1008" s="1031"/>
      <c r="J1008" s="1031" t="s">
        <v>2397</v>
      </c>
      <c r="K1008" s="1042" t="s">
        <v>2454</v>
      </c>
    </row>
    <row r="1009" spans="1:11" s="1028" customFormat="1" ht="30" x14ac:dyDescent="0.25">
      <c r="A1009" s="1031" t="s">
        <v>2308</v>
      </c>
      <c r="B1009" s="1043">
        <f>'[1]PLAN DE DESARROLLO 2024 - 2027'!$M$161</f>
        <v>0.24647581985093744</v>
      </c>
      <c r="C1009" s="1031" t="s">
        <v>2310</v>
      </c>
      <c r="D1009" s="1040">
        <f>'[1]PLAN DE DESARROLLO 2024 - 2027'!$M$166</f>
        <v>0.23451309458253802</v>
      </c>
      <c r="E1009" s="1031" t="s">
        <v>2312</v>
      </c>
      <c r="F1009" s="1041">
        <f>[2]Hoja1!$B$76</f>
        <v>0</v>
      </c>
      <c r="G1009" s="1031" t="s">
        <v>1629</v>
      </c>
      <c r="H1009" s="1031" t="s">
        <v>1630</v>
      </c>
      <c r="I1009" s="1031"/>
      <c r="J1009" s="1031" t="s">
        <v>2313</v>
      </c>
      <c r="K1009" s="1042" t="s">
        <v>2454</v>
      </c>
    </row>
    <row r="1010" spans="1:11" s="1028" customFormat="1" ht="30" x14ac:dyDescent="0.25">
      <c r="A1010" s="1031" t="s">
        <v>2308</v>
      </c>
      <c r="B1010" s="1043">
        <f>'[1]PLAN DE DESARROLLO 2024 - 2027'!$M$161</f>
        <v>0.24647581985093744</v>
      </c>
      <c r="C1010" s="1031" t="s">
        <v>2310</v>
      </c>
      <c r="D1010" s="1040">
        <f>'[1]PLAN DE DESARROLLO 2024 - 2027'!$M$166</f>
        <v>0.23451309458253802</v>
      </c>
      <c r="E1010" s="1031" t="s">
        <v>2312</v>
      </c>
      <c r="F1010" s="1041">
        <f>[2]Hoja1!$B$76</f>
        <v>0</v>
      </c>
      <c r="G1010" s="1031" t="s">
        <v>1633</v>
      </c>
      <c r="H1010" s="1031" t="s">
        <v>1634</v>
      </c>
      <c r="I1010" s="1031"/>
      <c r="J1010" s="1031" t="s">
        <v>2313</v>
      </c>
      <c r="K1010" s="1042" t="s">
        <v>2454</v>
      </c>
    </row>
    <row r="1011" spans="1:11" s="1028" customFormat="1" ht="60" x14ac:dyDescent="0.25">
      <c r="A1011" s="1031" t="s">
        <v>2341</v>
      </c>
      <c r="B1011" s="1039">
        <f>'[1]PLAN DE DESARROLLO 2024 - 2027'!$M$4</f>
        <v>0.24028917333263158</v>
      </c>
      <c r="C1011" s="1031" t="s">
        <v>2347</v>
      </c>
      <c r="D1011" s="1040">
        <f>'[1]PLAN DE DESARROLLO 2024 - 2027'!$M$20</f>
        <v>0.2170625911038922</v>
      </c>
      <c r="E1011" s="1031" t="s">
        <v>2348</v>
      </c>
      <c r="F1011" s="1041">
        <f>[2]Hoja1!$B$137</f>
        <v>0.211759440843759</v>
      </c>
      <c r="G1011" s="1031" t="s">
        <v>228</v>
      </c>
      <c r="H1011" s="1031" t="s">
        <v>229</v>
      </c>
      <c r="I1011" s="1031"/>
      <c r="J1011" s="1031" t="s">
        <v>219</v>
      </c>
      <c r="K1011" s="1042" t="s">
        <v>2454</v>
      </c>
    </row>
    <row r="1012" spans="1:11" s="1028" customFormat="1" ht="45" x14ac:dyDescent="0.25">
      <c r="A1012" s="1031" t="s">
        <v>2341</v>
      </c>
      <c r="B1012" s="1039">
        <f>'[1]PLAN DE DESARROLLO 2024 - 2027'!$M$4</f>
        <v>0.24028917333263158</v>
      </c>
      <c r="C1012" s="1031" t="s">
        <v>2347</v>
      </c>
      <c r="D1012" s="1040">
        <f>'[1]PLAN DE DESARROLLO 2024 - 2027'!$M$20</f>
        <v>0.2170625911038922</v>
      </c>
      <c r="E1012" s="1031" t="s">
        <v>2348</v>
      </c>
      <c r="F1012" s="1041">
        <f>[2]Hoja1!$B$137</f>
        <v>0.211759440843759</v>
      </c>
      <c r="G1012" s="1031" t="s">
        <v>230</v>
      </c>
      <c r="H1012" s="1031" t="s">
        <v>231</v>
      </c>
      <c r="I1012" s="1031"/>
      <c r="J1012" s="1031" t="s">
        <v>2349</v>
      </c>
      <c r="K1012" s="1042" t="s">
        <v>2454</v>
      </c>
    </row>
    <row r="1013" spans="1:11" s="1028" customFormat="1" ht="45" x14ac:dyDescent="0.25">
      <c r="A1013" s="1031" t="s">
        <v>2341</v>
      </c>
      <c r="B1013" s="1039">
        <f>'[1]PLAN DE DESARROLLO 2024 - 2027'!$M$4</f>
        <v>0.24028917333263158</v>
      </c>
      <c r="C1013" s="1031" t="s">
        <v>2347</v>
      </c>
      <c r="D1013" s="1040">
        <f>'[1]PLAN DE DESARROLLO 2024 - 2027'!$M$20</f>
        <v>0.2170625911038922</v>
      </c>
      <c r="E1013" s="1031" t="s">
        <v>1954</v>
      </c>
      <c r="F1013" s="1041">
        <f>[2]Hoja1!$B$139</f>
        <v>0.25787869115937234</v>
      </c>
      <c r="G1013" s="1031" t="s">
        <v>244</v>
      </c>
      <c r="H1013" s="1031" t="s">
        <v>245</v>
      </c>
      <c r="I1013" s="1031"/>
      <c r="J1013" s="1031" t="s">
        <v>219</v>
      </c>
      <c r="K1013" s="1042" t="s">
        <v>2454</v>
      </c>
    </row>
    <row r="1014" spans="1:11" s="1028" customFormat="1" ht="30" x14ac:dyDescent="0.25">
      <c r="A1014" s="1031" t="s">
        <v>2341</v>
      </c>
      <c r="B1014" s="1039">
        <f>'[1]PLAN DE DESARROLLO 2024 - 2027'!$M$4</f>
        <v>0.24028917333263158</v>
      </c>
      <c r="C1014" s="1031" t="s">
        <v>2347</v>
      </c>
      <c r="D1014" s="1040">
        <f>'[1]PLAN DE DESARROLLO 2024 - 2027'!$M$20</f>
        <v>0.2170625911038922</v>
      </c>
      <c r="E1014" s="1031" t="s">
        <v>1954</v>
      </c>
      <c r="F1014" s="1041">
        <f>[2]Hoja1!$B$139</f>
        <v>0.25787869115937234</v>
      </c>
      <c r="G1014" s="1031" t="s">
        <v>246</v>
      </c>
      <c r="H1014" s="1031" t="s">
        <v>247</v>
      </c>
      <c r="I1014" s="1031"/>
      <c r="J1014" s="1031" t="s">
        <v>219</v>
      </c>
      <c r="K1014" s="1042" t="s">
        <v>2454</v>
      </c>
    </row>
    <row r="1015" spans="1:11" s="1028" customFormat="1" ht="45" x14ac:dyDescent="0.25">
      <c r="A1015" s="1031" t="s">
        <v>2395</v>
      </c>
      <c r="B1015" s="1039">
        <f>'[1]PLAN DE DESARROLLO 2024 - 2027'!$M$46</f>
        <v>0.25251661967012345</v>
      </c>
      <c r="C1015" s="1031" t="s">
        <v>2396</v>
      </c>
      <c r="D1015" s="1040">
        <f>'[1]PLAN DE DESARROLLO 2024 - 2027'!$M$47</f>
        <v>0.26592582694462413</v>
      </c>
      <c r="E1015" s="1031" t="s">
        <v>2408</v>
      </c>
      <c r="F1015" s="1041">
        <f>[2]Hoja1!$B$62</f>
        <v>0.40093061935688268</v>
      </c>
      <c r="G1015" s="1031" t="s">
        <v>523</v>
      </c>
      <c r="H1015" s="1031" t="s">
        <v>524</v>
      </c>
      <c r="I1015" s="1031"/>
      <c r="J1015" s="1031" t="s">
        <v>2397</v>
      </c>
      <c r="K1015" s="1042" t="s">
        <v>2454</v>
      </c>
    </row>
    <row r="1016" spans="1:11" s="1028" customFormat="1" ht="60" x14ac:dyDescent="0.25">
      <c r="A1016" s="1031" t="s">
        <v>2395</v>
      </c>
      <c r="B1016" s="1039">
        <f>'[1]PLAN DE DESARROLLO 2024 - 2027'!$M$46</f>
        <v>0.25251661967012345</v>
      </c>
      <c r="C1016" s="1031" t="s">
        <v>2396</v>
      </c>
      <c r="D1016" s="1040">
        <f>'[1]PLAN DE DESARROLLO 2024 - 2027'!$M$47</f>
        <v>0.26592582694462413</v>
      </c>
      <c r="E1016" s="1031" t="s">
        <v>2408</v>
      </c>
      <c r="F1016" s="1041">
        <f>[2]Hoja1!$B$62</f>
        <v>0.40093061935688268</v>
      </c>
      <c r="G1016" s="1031" t="s">
        <v>525</v>
      </c>
      <c r="H1016" s="1031" t="s">
        <v>526</v>
      </c>
      <c r="I1016" s="1031"/>
      <c r="J1016" s="1031" t="s">
        <v>2397</v>
      </c>
      <c r="K1016" s="1042" t="s">
        <v>2454</v>
      </c>
    </row>
    <row r="1017" spans="1:11" s="1028" customFormat="1" ht="30" x14ac:dyDescent="0.25">
      <c r="A1017" s="1031" t="s">
        <v>2395</v>
      </c>
      <c r="B1017" s="1039">
        <f>'[1]PLAN DE DESARROLLO 2024 - 2027'!$M$46</f>
        <v>0.25251661967012345</v>
      </c>
      <c r="C1017" s="1031" t="s">
        <v>2396</v>
      </c>
      <c r="D1017" s="1040">
        <f>'[1]PLAN DE DESARROLLO 2024 - 2027'!$M$47</f>
        <v>0.26592582694462413</v>
      </c>
      <c r="E1017" s="1031" t="s">
        <v>625</v>
      </c>
      <c r="F1017" s="1041">
        <f>[2]Hoja1!$B$67</f>
        <v>0.60631944444444441</v>
      </c>
      <c r="G1017" s="1031" t="s">
        <v>626</v>
      </c>
      <c r="H1017" s="1031" t="s">
        <v>627</v>
      </c>
      <c r="I1017" s="1031"/>
      <c r="J1017" s="1031" t="s">
        <v>628</v>
      </c>
      <c r="K1017" s="1042" t="s">
        <v>2454</v>
      </c>
    </row>
    <row r="1018" spans="1:11" s="1028" customFormat="1" ht="30" x14ac:dyDescent="0.25">
      <c r="A1018" s="1031" t="s">
        <v>2395</v>
      </c>
      <c r="B1018" s="1039">
        <f>'[1]PLAN DE DESARROLLO 2024 - 2027'!$M$46</f>
        <v>0.25251661967012345</v>
      </c>
      <c r="C1018" s="1031" t="s">
        <v>2396</v>
      </c>
      <c r="D1018" s="1040">
        <f>'[1]PLAN DE DESARROLLO 2024 - 2027'!$M$47</f>
        <v>0.26592582694462413</v>
      </c>
      <c r="E1018" s="1031" t="s">
        <v>625</v>
      </c>
      <c r="F1018" s="1041">
        <f>[2]Hoja1!$B$67</f>
        <v>0.60631944444444441</v>
      </c>
      <c r="G1018" s="1031" t="s">
        <v>629</v>
      </c>
      <c r="H1018" s="1031" t="s">
        <v>630</v>
      </c>
      <c r="I1018" s="1031"/>
      <c r="J1018" s="1031" t="s">
        <v>628</v>
      </c>
      <c r="K1018" s="1042" t="s">
        <v>2454</v>
      </c>
    </row>
    <row r="1019" spans="1:11" s="1028" customFormat="1" ht="45" x14ac:dyDescent="0.25">
      <c r="A1019" s="1031" t="s">
        <v>2215</v>
      </c>
      <c r="B1019" s="1043">
        <f>'[1]PLAN DE DESARROLLO 2024 - 2027'!$M$123</f>
        <v>0.20174333228533195</v>
      </c>
      <c r="C1019" s="1031" t="s">
        <v>2245</v>
      </c>
      <c r="D1019" s="1040">
        <f>'[1]PLAN DE DESARROLLO 2024 - 2027'!$M$130</f>
        <v>9.8146749999999991E-2</v>
      </c>
      <c r="E1019" s="1031" t="s">
        <v>2246</v>
      </c>
      <c r="F1019" s="1041">
        <f>[2]Hoja1!$B$20</f>
        <v>3.3340000000000002E-2</v>
      </c>
      <c r="G1019" s="1031" t="s">
        <v>1246</v>
      </c>
      <c r="H1019" s="1031" t="s">
        <v>1247</v>
      </c>
      <c r="I1019" s="1031"/>
      <c r="J1019" s="1031" t="s">
        <v>1100</v>
      </c>
      <c r="K1019" s="1042" t="s">
        <v>2454</v>
      </c>
    </row>
    <row r="1020" spans="1:11" s="1028" customFormat="1" ht="30" x14ac:dyDescent="0.25">
      <c r="A1020" s="1031" t="s">
        <v>2215</v>
      </c>
      <c r="B1020" s="1043">
        <f>'[1]PLAN DE DESARROLLO 2024 - 2027'!$M$123</f>
        <v>0.20174333228533195</v>
      </c>
      <c r="C1020" s="1031" t="s">
        <v>2245</v>
      </c>
      <c r="D1020" s="1040">
        <f>'[1]PLAN DE DESARROLLO 2024 - 2027'!$M$130</f>
        <v>9.8146749999999991E-2</v>
      </c>
      <c r="E1020" s="1031" t="s">
        <v>2246</v>
      </c>
      <c r="F1020" s="1041">
        <f>[2]Hoja1!$B$20</f>
        <v>3.3340000000000002E-2</v>
      </c>
      <c r="G1020" s="1031" t="s">
        <v>1248</v>
      </c>
      <c r="H1020" s="1031" t="s">
        <v>1249</v>
      </c>
      <c r="I1020" s="1031"/>
      <c r="J1020" s="1031" t="s">
        <v>2247</v>
      </c>
      <c r="K1020" s="1042" t="s">
        <v>2454</v>
      </c>
    </row>
    <row r="1021" spans="1:11" s="1028" customFormat="1" ht="30" x14ac:dyDescent="0.25">
      <c r="A1021" s="1031" t="s">
        <v>2308</v>
      </c>
      <c r="B1021" s="1043">
        <f>'[1]PLAN DE DESARROLLO 2024 - 2027'!$M$161</f>
        <v>0.24647581985093744</v>
      </c>
      <c r="C1021" s="1031" t="s">
        <v>2332</v>
      </c>
      <c r="D1021" s="1040">
        <f>'[1]PLAN DE DESARROLLO 2024 - 2027'!$M$191</f>
        <v>0.22981556695992181</v>
      </c>
      <c r="E1021" s="1031" t="s">
        <v>2339</v>
      </c>
      <c r="F1021" s="1041">
        <f>[2]Hoja1!$B$81</f>
        <v>0.1875</v>
      </c>
      <c r="G1021" s="1031" t="s">
        <v>1820</v>
      </c>
      <c r="H1021" s="1031" t="s">
        <v>1821</v>
      </c>
      <c r="I1021" s="1031"/>
      <c r="J1021" s="1031" t="s">
        <v>2340</v>
      </c>
      <c r="K1021" s="1042" t="s">
        <v>2454</v>
      </c>
    </row>
    <row r="1022" spans="1:11" s="1028" customFormat="1" ht="30" x14ac:dyDescent="0.25">
      <c r="A1022" s="1031" t="s">
        <v>2308</v>
      </c>
      <c r="B1022" s="1043">
        <f>'[1]PLAN DE DESARROLLO 2024 - 2027'!$M$161</f>
        <v>0.24647581985093744</v>
      </c>
      <c r="C1022" s="1031" t="s">
        <v>2332</v>
      </c>
      <c r="D1022" s="1040">
        <f>'[1]PLAN DE DESARROLLO 2024 - 2027'!$M$191</f>
        <v>0.22981556695992181</v>
      </c>
      <c r="E1022" s="1031" t="s">
        <v>2339</v>
      </c>
      <c r="F1022" s="1041">
        <f>[2]Hoja1!$B$81</f>
        <v>0.1875</v>
      </c>
      <c r="G1022" s="1031" t="s">
        <v>1826</v>
      </c>
      <c r="H1022" s="1031" t="s">
        <v>1827</v>
      </c>
      <c r="I1022" s="1031"/>
      <c r="J1022" s="1031" t="s">
        <v>2340</v>
      </c>
      <c r="K1022" s="1042" t="s">
        <v>2454</v>
      </c>
    </row>
    <row r="1023" spans="1:11" s="1028" customFormat="1" ht="30" x14ac:dyDescent="0.25">
      <c r="A1023" s="1031" t="s">
        <v>2215</v>
      </c>
      <c r="B1023" s="1043">
        <f>'[1]PLAN DE DESARROLLO 2024 - 2027'!$M$123</f>
        <v>0.20174333228533195</v>
      </c>
      <c r="C1023" s="1031" t="s">
        <v>2245</v>
      </c>
      <c r="D1023" s="1040">
        <f>'[1]PLAN DE DESARROLLO 2024 - 2027'!$M$130</f>
        <v>9.8146749999999991E-2</v>
      </c>
      <c r="E1023" s="1031" t="s">
        <v>2246</v>
      </c>
      <c r="F1023" s="1041">
        <f>[2]Hoja1!$B$20</f>
        <v>3.3340000000000002E-2</v>
      </c>
      <c r="G1023" s="1031" t="s">
        <v>1251</v>
      </c>
      <c r="H1023" s="1031" t="s">
        <v>1252</v>
      </c>
      <c r="I1023" s="1031"/>
      <c r="J1023" s="1031" t="s">
        <v>2248</v>
      </c>
      <c r="K1023" s="1042" t="s">
        <v>2454</v>
      </c>
    </row>
    <row r="1024" spans="1:11" s="1028" customFormat="1" ht="30" x14ac:dyDescent="0.25">
      <c r="A1024" s="1031" t="s">
        <v>2215</v>
      </c>
      <c r="B1024" s="1043">
        <f>'[1]PLAN DE DESARROLLO 2024 - 2027'!$M$123</f>
        <v>0.20174333228533195</v>
      </c>
      <c r="C1024" s="1031" t="s">
        <v>2245</v>
      </c>
      <c r="D1024" s="1040">
        <f>'[1]PLAN DE DESARROLLO 2024 - 2027'!$M$130</f>
        <v>9.8146749999999991E-2</v>
      </c>
      <c r="E1024" s="1031" t="s">
        <v>1275</v>
      </c>
      <c r="F1024" s="1041">
        <f>[2]Hoja1!$B$80</f>
        <v>6.6666666666666666E-2</v>
      </c>
      <c r="G1024" s="1031" t="s">
        <v>1276</v>
      </c>
      <c r="H1024" s="1031" t="s">
        <v>1277</v>
      </c>
      <c r="I1024" s="1031"/>
      <c r="J1024" s="1031" t="s">
        <v>1206</v>
      </c>
      <c r="K1024" s="1042" t="s">
        <v>2454</v>
      </c>
    </row>
    <row r="1025" spans="1:11" s="1028" customFormat="1" ht="30" x14ac:dyDescent="0.25">
      <c r="A1025" s="1031" t="s">
        <v>2215</v>
      </c>
      <c r="B1025" s="1043">
        <f>'[1]PLAN DE DESARROLLO 2024 - 2027'!$M$123</f>
        <v>0.20174333228533195</v>
      </c>
      <c r="C1025" s="1031" t="s">
        <v>2245</v>
      </c>
      <c r="D1025" s="1040">
        <f>'[1]PLAN DE DESARROLLO 2024 - 2027'!$M$130</f>
        <v>9.8146749999999991E-2</v>
      </c>
      <c r="E1025" s="1031" t="s">
        <v>1275</v>
      </c>
      <c r="F1025" s="1041">
        <f>[2]Hoja1!$B$80</f>
        <v>6.6666666666666666E-2</v>
      </c>
      <c r="G1025" s="1031" t="s">
        <v>1278</v>
      </c>
      <c r="H1025" s="1031" t="s">
        <v>1279</v>
      </c>
      <c r="I1025" s="1031"/>
      <c r="J1025" s="1031" t="s">
        <v>1206</v>
      </c>
      <c r="K1025" s="1042" t="s">
        <v>2454</v>
      </c>
    </row>
    <row r="1026" spans="1:11" s="1028" customFormat="1" ht="30" x14ac:dyDescent="0.25">
      <c r="A1026" s="1031" t="s">
        <v>2215</v>
      </c>
      <c r="B1026" s="1043">
        <f>'[1]PLAN DE DESARROLLO 2024 - 2027'!$M$123</f>
        <v>0.20174333228533195</v>
      </c>
      <c r="C1026" s="1031" t="s">
        <v>2245</v>
      </c>
      <c r="D1026" s="1040">
        <f>'[1]PLAN DE DESARROLLO 2024 - 2027'!$M$130</f>
        <v>9.8146749999999991E-2</v>
      </c>
      <c r="E1026" s="1031" t="s">
        <v>2249</v>
      </c>
      <c r="F1026" s="1041">
        <f>[2]Hoja1!$B$85</f>
        <v>0.10056933333333333</v>
      </c>
      <c r="G1026" s="1031" t="s">
        <v>1255</v>
      </c>
      <c r="H1026" s="1031" t="s">
        <v>1256</v>
      </c>
      <c r="I1026" s="1031"/>
      <c r="J1026" s="1031" t="s">
        <v>925</v>
      </c>
      <c r="K1026" s="1042" t="s">
        <v>2454</v>
      </c>
    </row>
    <row r="1027" spans="1:11" s="1028" customFormat="1" ht="30" x14ac:dyDescent="0.25">
      <c r="A1027" s="1031" t="s">
        <v>2215</v>
      </c>
      <c r="B1027" s="1043">
        <f>'[1]PLAN DE DESARROLLO 2024 - 2027'!$M$123</f>
        <v>0.20174333228533195</v>
      </c>
      <c r="C1027" s="1031" t="s">
        <v>2245</v>
      </c>
      <c r="D1027" s="1040">
        <f>'[1]PLAN DE DESARROLLO 2024 - 2027'!$M$130</f>
        <v>9.8146749999999991E-2</v>
      </c>
      <c r="E1027" s="1031" t="s">
        <v>2249</v>
      </c>
      <c r="F1027" s="1041">
        <f>[2]Hoja1!$B$85</f>
        <v>0.10056933333333333</v>
      </c>
      <c r="G1027" s="1031" t="s">
        <v>1258</v>
      </c>
      <c r="H1027" s="1031" t="s">
        <v>1259</v>
      </c>
      <c r="I1027" s="1031"/>
      <c r="J1027" s="1031" t="s">
        <v>925</v>
      </c>
      <c r="K1027" s="1042" t="s">
        <v>2454</v>
      </c>
    </row>
    <row r="1028" spans="1:11" s="1028" customFormat="1" ht="30" x14ac:dyDescent="0.25">
      <c r="A1028" s="1031" t="s">
        <v>2215</v>
      </c>
      <c r="B1028" s="1043">
        <f>'[1]PLAN DE DESARROLLO 2024 - 2027'!$M$123</f>
        <v>0.20174333228533195</v>
      </c>
      <c r="C1028" s="1031" t="s">
        <v>2245</v>
      </c>
      <c r="D1028" s="1040">
        <f>'[1]PLAN DE DESARROLLO 2024 - 2027'!$M$130</f>
        <v>9.8146749999999991E-2</v>
      </c>
      <c r="E1028" s="1031" t="s">
        <v>2249</v>
      </c>
      <c r="F1028" s="1041">
        <f>[2]Hoja1!$B$85</f>
        <v>0.10056933333333333</v>
      </c>
      <c r="G1028" s="1031" t="s">
        <v>1260</v>
      </c>
      <c r="H1028" s="1031" t="s">
        <v>1261</v>
      </c>
      <c r="I1028" s="1031"/>
      <c r="J1028" s="1031" t="s">
        <v>925</v>
      </c>
      <c r="K1028" s="1042" t="s">
        <v>2454</v>
      </c>
    </row>
    <row r="1029" spans="1:11" s="1028" customFormat="1" ht="30" x14ac:dyDescent="0.25">
      <c r="A1029" s="1031" t="s">
        <v>2215</v>
      </c>
      <c r="B1029" s="1043">
        <f>'[1]PLAN DE DESARROLLO 2024 - 2027'!$M$123</f>
        <v>0.20174333228533195</v>
      </c>
      <c r="C1029" s="1031" t="s">
        <v>2245</v>
      </c>
      <c r="D1029" s="1040">
        <f>'[1]PLAN DE DESARROLLO 2024 - 2027'!$M$130</f>
        <v>9.8146749999999991E-2</v>
      </c>
      <c r="E1029" s="1031" t="s">
        <v>2251</v>
      </c>
      <c r="F1029" s="1041">
        <f>[2]Hoja1!$B$98</f>
        <v>0.25802750000000002</v>
      </c>
      <c r="G1029" s="1031" t="s">
        <v>1269</v>
      </c>
      <c r="H1029" s="1031" t="s">
        <v>1270</v>
      </c>
      <c r="I1029" s="1031"/>
      <c r="J1029" s="1031" t="s">
        <v>925</v>
      </c>
      <c r="K1029" s="1042" t="s">
        <v>2454</v>
      </c>
    </row>
    <row r="1030" spans="1:11" s="1028" customFormat="1" ht="30" x14ac:dyDescent="0.25">
      <c r="A1030" s="1031" t="s">
        <v>2308</v>
      </c>
      <c r="B1030" s="1043">
        <f>'[1]PLAN DE DESARROLLO 2024 - 2027'!$M$161</f>
        <v>0.24647581985093744</v>
      </c>
      <c r="C1030" s="1031" t="s">
        <v>2314</v>
      </c>
      <c r="D1030" s="1040">
        <f>'[1]PLAN DE DESARROLLO 2024 - 2027'!$M$175</f>
        <v>0.32167780464535306</v>
      </c>
      <c r="E1030" s="1031" t="s">
        <v>2325</v>
      </c>
      <c r="F1030" s="1041">
        <f>[2]Hoja1!$B$83</f>
        <v>0.32545032067931901</v>
      </c>
      <c r="G1030" s="1031" t="s">
        <v>1647</v>
      </c>
      <c r="H1030" s="1031" t="s">
        <v>1648</v>
      </c>
      <c r="I1030" s="1031"/>
      <c r="J1030" s="1031" t="s">
        <v>883</v>
      </c>
      <c r="K1030" s="1042" t="s">
        <v>2454</v>
      </c>
    </row>
    <row r="1031" spans="1:11" s="1028" customFormat="1" ht="30" x14ac:dyDescent="0.25">
      <c r="A1031" s="1031" t="s">
        <v>2308</v>
      </c>
      <c r="B1031" s="1043">
        <f>'[1]PLAN DE DESARROLLO 2024 - 2027'!$M$161</f>
        <v>0.24647581985093744</v>
      </c>
      <c r="C1031" s="1031" t="s">
        <v>2314</v>
      </c>
      <c r="D1031" s="1040">
        <f>'[1]PLAN DE DESARROLLO 2024 - 2027'!$M$175</f>
        <v>0.32167780464535306</v>
      </c>
      <c r="E1031" s="1031" t="s">
        <v>2325</v>
      </c>
      <c r="F1031" s="1041">
        <f>[2]Hoja1!$B$83</f>
        <v>0.32545032067931901</v>
      </c>
      <c r="G1031" s="1031" t="s">
        <v>1649</v>
      </c>
      <c r="H1031" s="1031" t="s">
        <v>1650</v>
      </c>
      <c r="I1031" s="1031"/>
      <c r="J1031" s="1031" t="s">
        <v>883</v>
      </c>
      <c r="K1031" s="1042" t="s">
        <v>2454</v>
      </c>
    </row>
    <row r="1032" spans="1:11" s="1028" customFormat="1" ht="30" x14ac:dyDescent="0.25">
      <c r="A1032" s="1031" t="s">
        <v>2308</v>
      </c>
      <c r="B1032" s="1043">
        <f>'[1]PLAN DE DESARROLLO 2024 - 2027'!$M$161</f>
        <v>0.24647581985093744</v>
      </c>
      <c r="C1032" s="1031" t="s">
        <v>2314</v>
      </c>
      <c r="D1032" s="1040">
        <f>'[1]PLAN DE DESARROLLO 2024 - 2027'!$M$175</f>
        <v>0.32167780464535306</v>
      </c>
      <c r="E1032" s="1031" t="s">
        <v>2325</v>
      </c>
      <c r="F1032" s="1041">
        <f>[2]Hoja1!$B$83</f>
        <v>0.32545032067931901</v>
      </c>
      <c r="G1032" s="1031" t="s">
        <v>1651</v>
      </c>
      <c r="H1032" s="1031" t="s">
        <v>1652</v>
      </c>
      <c r="I1032" s="1031"/>
      <c r="J1032" s="1031" t="s">
        <v>883</v>
      </c>
      <c r="K1032" s="1042" t="s">
        <v>2454</v>
      </c>
    </row>
    <row r="1033" spans="1:11" s="1028" customFormat="1" ht="30" x14ac:dyDescent="0.25">
      <c r="A1033" s="1031" t="s">
        <v>2308</v>
      </c>
      <c r="B1033" s="1043">
        <f>'[1]PLAN DE DESARROLLO 2024 - 2027'!$M$161</f>
        <v>0.24647581985093744</v>
      </c>
      <c r="C1033" s="1031" t="s">
        <v>2314</v>
      </c>
      <c r="D1033" s="1040">
        <f>'[1]PLAN DE DESARROLLO 2024 - 2027'!$M$175</f>
        <v>0.32167780464535306</v>
      </c>
      <c r="E1033" s="1031" t="s">
        <v>2325</v>
      </c>
      <c r="F1033" s="1041">
        <f>[2]Hoja1!$B$83</f>
        <v>0.32545032067931901</v>
      </c>
      <c r="G1033" s="1031" t="s">
        <v>1653</v>
      </c>
      <c r="H1033" s="1031" t="s">
        <v>1654</v>
      </c>
      <c r="I1033" s="1031"/>
      <c r="J1033" s="1031" t="s">
        <v>883</v>
      </c>
      <c r="K1033" s="1042" t="s">
        <v>2454</v>
      </c>
    </row>
    <row r="1034" spans="1:11" s="1028" customFormat="1" ht="30" x14ac:dyDescent="0.25">
      <c r="A1034" s="1031" t="s">
        <v>2308</v>
      </c>
      <c r="B1034" s="1043">
        <f>'[1]PLAN DE DESARROLLO 2024 - 2027'!$M$161</f>
        <v>0.24647581985093744</v>
      </c>
      <c r="C1034" s="1031" t="s">
        <v>2314</v>
      </c>
      <c r="D1034" s="1040">
        <f>'[1]PLAN DE DESARROLLO 2024 - 2027'!$M$175</f>
        <v>0.32167780464535306</v>
      </c>
      <c r="E1034" s="1031" t="s">
        <v>2325</v>
      </c>
      <c r="F1034" s="1041">
        <f>[2]Hoja1!$B$83</f>
        <v>0.32545032067931901</v>
      </c>
      <c r="G1034" s="1031" t="s">
        <v>1655</v>
      </c>
      <c r="H1034" s="1031" t="s">
        <v>1656</v>
      </c>
      <c r="I1034" s="1031"/>
      <c r="J1034" s="1031" t="s">
        <v>883</v>
      </c>
      <c r="K1034" s="1042" t="s">
        <v>2454</v>
      </c>
    </row>
    <row r="1035" spans="1:11" s="1028" customFormat="1" ht="30" x14ac:dyDescent="0.25">
      <c r="A1035" s="1031" t="s">
        <v>2266</v>
      </c>
      <c r="B1035" s="1043">
        <f>'[1]PLAN DE DESARROLLO 2024 - 2027'!$M$92</f>
        <v>0.25050860314981654</v>
      </c>
      <c r="C1035" s="1031" t="s">
        <v>2267</v>
      </c>
      <c r="D1035" s="1040">
        <f>'[1]PLAN DE DESARROLLO 2024 - 2027'!$M$105</f>
        <v>0.1233525</v>
      </c>
      <c r="E1035" s="1031" t="s">
        <v>995</v>
      </c>
      <c r="F1035" s="1041">
        <f>[2]Hoja1!$B$14</f>
        <v>0.17424999999999999</v>
      </c>
      <c r="G1035" s="1031" t="s">
        <v>998</v>
      </c>
      <c r="H1035" s="1031" t="s">
        <v>999</v>
      </c>
      <c r="I1035" s="1031"/>
      <c r="J1035" s="1031" t="s">
        <v>103</v>
      </c>
      <c r="K1035" s="1042" t="s">
        <v>2454</v>
      </c>
    </row>
    <row r="1036" spans="1:11" s="1028" customFormat="1" ht="30" x14ac:dyDescent="0.25">
      <c r="A1036" s="1031" t="s">
        <v>2266</v>
      </c>
      <c r="B1036" s="1043">
        <f>'[1]PLAN DE DESARROLLO 2024 - 2027'!$M$92</f>
        <v>0.25050860314981654</v>
      </c>
      <c r="C1036" s="1031" t="s">
        <v>2267</v>
      </c>
      <c r="D1036" s="1040">
        <f>'[1]PLAN DE DESARROLLO 2024 - 2027'!$M$105</f>
        <v>0.1233525</v>
      </c>
      <c r="E1036" s="1031" t="s">
        <v>995</v>
      </c>
      <c r="F1036" s="1041">
        <f>[2]Hoja1!$B$14</f>
        <v>0.17424999999999999</v>
      </c>
      <c r="G1036" s="1031" t="s">
        <v>1000</v>
      </c>
      <c r="H1036" s="1031" t="s">
        <v>1001</v>
      </c>
      <c r="I1036" s="1031"/>
      <c r="J1036" s="1031" t="s">
        <v>103</v>
      </c>
      <c r="K1036" s="1042" t="s">
        <v>2454</v>
      </c>
    </row>
    <row r="1037" spans="1:11" s="1028" customFormat="1" ht="45" x14ac:dyDescent="0.25">
      <c r="A1037" s="1031" t="s">
        <v>2266</v>
      </c>
      <c r="B1037" s="1043">
        <f>'[1]PLAN DE DESARROLLO 2024 - 2027'!$M$92</f>
        <v>0.25050860314981654</v>
      </c>
      <c r="C1037" s="1031" t="s">
        <v>2267</v>
      </c>
      <c r="D1037" s="1040">
        <f>'[1]PLAN DE DESARROLLO 2024 - 2027'!$M$105</f>
        <v>0.1233525</v>
      </c>
      <c r="E1037" s="1031" t="s">
        <v>995</v>
      </c>
      <c r="F1037" s="1041">
        <f>[2]Hoja1!$B$14</f>
        <v>0.17424999999999999</v>
      </c>
      <c r="G1037" s="1031" t="s">
        <v>1002</v>
      </c>
      <c r="H1037" s="1031" t="s">
        <v>1003</v>
      </c>
      <c r="I1037" s="1031"/>
      <c r="J1037" s="1031" t="s">
        <v>103</v>
      </c>
      <c r="K1037" s="1042" t="s">
        <v>2454</v>
      </c>
    </row>
    <row r="1038" spans="1:11" s="1028" customFormat="1" ht="30" x14ac:dyDescent="0.25">
      <c r="A1038" s="1031" t="s">
        <v>2215</v>
      </c>
      <c r="B1038" s="1043">
        <f>'[1]PLAN DE DESARROLLO 2024 - 2027'!$M$123</f>
        <v>0.20174333228533195</v>
      </c>
      <c r="C1038" s="1031" t="s">
        <v>2245</v>
      </c>
      <c r="D1038" s="1040">
        <f>'[1]PLAN DE DESARROLLO 2024 - 2027'!$M$130</f>
        <v>9.8146749999999991E-2</v>
      </c>
      <c r="E1038" s="1031" t="s">
        <v>2251</v>
      </c>
      <c r="F1038" s="1041">
        <f>[2]Hoja1!$B$98</f>
        <v>0.25802750000000002</v>
      </c>
      <c r="G1038" s="1031" t="s">
        <v>1271</v>
      </c>
      <c r="H1038" s="1031" t="s">
        <v>1272</v>
      </c>
      <c r="I1038" s="1031"/>
      <c r="J1038" s="1031" t="s">
        <v>925</v>
      </c>
      <c r="K1038" s="1042" t="s">
        <v>2454</v>
      </c>
    </row>
    <row r="1039" spans="1:11" s="1028" customFormat="1" x14ac:dyDescent="0.25">
      <c r="A1039" s="1031" t="s">
        <v>2215</v>
      </c>
      <c r="B1039" s="1043">
        <f>'[1]PLAN DE DESARROLLO 2024 - 2027'!$M$123</f>
        <v>0.20174333228533195</v>
      </c>
      <c r="C1039" s="1031" t="s">
        <v>2245</v>
      </c>
      <c r="D1039" s="1040">
        <f>'[1]PLAN DE DESARROLLO 2024 - 2027'!$M$130</f>
        <v>9.8146749999999991E-2</v>
      </c>
      <c r="E1039" s="1031" t="s">
        <v>2251</v>
      </c>
      <c r="F1039" s="1041">
        <f>[2]Hoja1!$B$98</f>
        <v>0.25802750000000002</v>
      </c>
      <c r="G1039" s="1031" t="s">
        <v>1273</v>
      </c>
      <c r="H1039" s="1031" t="s">
        <v>1274</v>
      </c>
      <c r="I1039" s="1031"/>
      <c r="J1039" s="1031" t="s">
        <v>925</v>
      </c>
      <c r="K1039" s="1042" t="s">
        <v>2454</v>
      </c>
    </row>
    <row r="1040" spans="1:11" s="1028" customFormat="1" ht="30" x14ac:dyDescent="0.25">
      <c r="A1040" s="1031" t="s">
        <v>2215</v>
      </c>
      <c r="B1040" s="1043">
        <f>'[1]PLAN DE DESARROLLO 2024 - 2027'!$M$123</f>
        <v>0.20174333228533195</v>
      </c>
      <c r="C1040" s="1031" t="s">
        <v>2223</v>
      </c>
      <c r="D1040" s="1045">
        <f>'[1]PLAN DE DESARROLLO 2024 - 2027'!$M$153</f>
        <v>0.24618175</v>
      </c>
      <c r="E1040" s="1031" t="s">
        <v>2224</v>
      </c>
      <c r="F1040" s="1041">
        <f>[2]Hoja1!$B$82</f>
        <v>0</v>
      </c>
      <c r="G1040" s="1031" t="s">
        <v>1523</v>
      </c>
      <c r="H1040" s="1031" t="s">
        <v>1524</v>
      </c>
      <c r="I1040" s="1031"/>
      <c r="J1040" s="1031" t="s">
        <v>716</v>
      </c>
      <c r="K1040" s="1042" t="s">
        <v>2454</v>
      </c>
    </row>
    <row r="1041" spans="1:11" s="1028" customFormat="1" ht="30" x14ac:dyDescent="0.25">
      <c r="A1041" s="1031" t="s">
        <v>2215</v>
      </c>
      <c r="B1041" s="1043">
        <f>'[1]PLAN DE DESARROLLO 2024 - 2027'!$M$123</f>
        <v>0.20174333228533195</v>
      </c>
      <c r="C1041" s="1031" t="s">
        <v>2223</v>
      </c>
      <c r="D1041" s="1045">
        <f>'[1]PLAN DE DESARROLLO 2024 - 2027'!$M$153</f>
        <v>0.24618175</v>
      </c>
      <c r="E1041" s="1031" t="s">
        <v>2224</v>
      </c>
      <c r="F1041" s="1041">
        <f>[2]Hoja1!$B$82</f>
        <v>0</v>
      </c>
      <c r="G1041" s="1031" t="s">
        <v>1525</v>
      </c>
      <c r="H1041" s="1031" t="s">
        <v>1526</v>
      </c>
      <c r="I1041" s="1031"/>
      <c r="J1041" s="1031" t="s">
        <v>716</v>
      </c>
      <c r="K1041" s="1042" t="s">
        <v>2454</v>
      </c>
    </row>
    <row r="1042" spans="1:11" s="1028" customFormat="1" x14ac:dyDescent="0.25">
      <c r="A1042" s="1031" t="s">
        <v>2215</v>
      </c>
      <c r="B1042" s="1043">
        <f>'[1]PLAN DE DESARROLLO 2024 - 2027'!$M$123</f>
        <v>0.20174333228533195</v>
      </c>
      <c r="C1042" s="1031" t="s">
        <v>2223</v>
      </c>
      <c r="D1042" s="1045">
        <f>'[1]PLAN DE DESARROLLO 2024 - 2027'!$M$153</f>
        <v>0.24618175</v>
      </c>
      <c r="E1042" s="1031" t="s">
        <v>2224</v>
      </c>
      <c r="F1042" s="1041">
        <f>[2]Hoja1!$B$82</f>
        <v>0</v>
      </c>
      <c r="G1042" s="1031" t="s">
        <v>1527</v>
      </c>
      <c r="H1042" s="1031" t="s">
        <v>1528</v>
      </c>
      <c r="I1042" s="1031"/>
      <c r="J1042" s="1031" t="s">
        <v>716</v>
      </c>
      <c r="K1042" s="1042" t="s">
        <v>2454</v>
      </c>
    </row>
    <row r="1043" spans="1:11" s="1028" customFormat="1" ht="45" x14ac:dyDescent="0.25">
      <c r="A1043" s="1031" t="s">
        <v>2215</v>
      </c>
      <c r="B1043" s="1043">
        <f>'[1]PLAN DE DESARROLLO 2024 - 2027'!$M$123</f>
        <v>0.20174333228533195</v>
      </c>
      <c r="C1043" s="1031" t="s">
        <v>2223</v>
      </c>
      <c r="D1043" s="1045">
        <f>'[1]PLAN DE DESARROLLO 2024 - 2027'!$M$153</f>
        <v>0.24618175</v>
      </c>
      <c r="E1043" s="1031" t="s">
        <v>2224</v>
      </c>
      <c r="F1043" s="1041">
        <f>[2]Hoja1!$B$82</f>
        <v>0</v>
      </c>
      <c r="G1043" s="1031" t="s">
        <v>1529</v>
      </c>
      <c r="H1043" s="1031" t="s">
        <v>1530</v>
      </c>
      <c r="I1043" s="1031"/>
      <c r="J1043" s="1031" t="s">
        <v>716</v>
      </c>
      <c r="K1043" s="1042" t="s">
        <v>2454</v>
      </c>
    </row>
    <row r="1044" spans="1:11" s="1028" customFormat="1" ht="30" x14ac:dyDescent="0.25">
      <c r="A1044" s="1031" t="s">
        <v>2266</v>
      </c>
      <c r="B1044" s="1043">
        <f>'[1]PLAN DE DESARROLLO 2024 - 2027'!$M$92</f>
        <v>0.25050860314981654</v>
      </c>
      <c r="C1044" s="1031" t="s">
        <v>2267</v>
      </c>
      <c r="D1044" s="1040">
        <f>'[1]PLAN DE DESARROLLO 2024 - 2027'!$M$105</f>
        <v>0.1233525</v>
      </c>
      <c r="E1044" s="1031" t="s">
        <v>2292</v>
      </c>
      <c r="F1044" s="1041">
        <f>[2]Hoja1!$B$29</f>
        <v>0.146425</v>
      </c>
      <c r="G1044" s="1031" t="s">
        <v>1005</v>
      </c>
      <c r="H1044" s="1031" t="s">
        <v>1006</v>
      </c>
      <c r="I1044" s="1031"/>
      <c r="J1044" s="1031" t="s">
        <v>103</v>
      </c>
      <c r="K1044" s="1042" t="s">
        <v>2454</v>
      </c>
    </row>
    <row r="1045" spans="1:11" s="1028" customFormat="1" x14ac:dyDescent="0.25">
      <c r="A1045" s="1031" t="s">
        <v>2266</v>
      </c>
      <c r="B1045" s="1043">
        <f>'[1]PLAN DE DESARROLLO 2024 - 2027'!$M$92</f>
        <v>0.25050860314981654</v>
      </c>
      <c r="C1045" s="1031" t="s">
        <v>2267</v>
      </c>
      <c r="D1045" s="1040">
        <f>'[1]PLAN DE DESARROLLO 2024 - 2027'!$M$105</f>
        <v>0.1233525</v>
      </c>
      <c r="E1045" s="1031" t="s">
        <v>2292</v>
      </c>
      <c r="F1045" s="1041">
        <f>[2]Hoja1!$B$29</f>
        <v>0.146425</v>
      </c>
      <c r="G1045" s="1031" t="s">
        <v>1007</v>
      </c>
      <c r="H1045" s="1031" t="s">
        <v>1008</v>
      </c>
      <c r="I1045" s="1031"/>
      <c r="J1045" s="1031" t="s">
        <v>103</v>
      </c>
      <c r="K1045" s="1042" t="s">
        <v>2454</v>
      </c>
    </row>
    <row r="1046" spans="1:11" s="1028" customFormat="1" ht="30" x14ac:dyDescent="0.25">
      <c r="A1046" s="1031" t="s">
        <v>2266</v>
      </c>
      <c r="B1046" s="1043">
        <f>'[1]PLAN DE DESARROLLO 2024 - 2027'!$M$92</f>
        <v>0.25050860314981654</v>
      </c>
      <c r="C1046" s="1031" t="s">
        <v>2267</v>
      </c>
      <c r="D1046" s="1040">
        <f>'[1]PLAN DE DESARROLLO 2024 - 2027'!$M$105</f>
        <v>0.1233525</v>
      </c>
      <c r="E1046" s="1031" t="s">
        <v>2292</v>
      </c>
      <c r="F1046" s="1041">
        <f>[2]Hoja1!$B$29</f>
        <v>0.146425</v>
      </c>
      <c r="G1046" s="1031" t="s">
        <v>1009</v>
      </c>
      <c r="H1046" s="1031" t="s">
        <v>1010</v>
      </c>
      <c r="I1046" s="1031"/>
      <c r="J1046" s="1031" t="s">
        <v>103</v>
      </c>
      <c r="K1046" s="1042" t="s">
        <v>2454</v>
      </c>
    </row>
    <row r="1047" spans="1:11" s="1028" customFormat="1" ht="45" x14ac:dyDescent="0.25">
      <c r="A1047" s="1031" t="s">
        <v>2192</v>
      </c>
      <c r="B1047" s="1043">
        <f>'[1]PLAN DE DESARROLLO 2024 - 2027'!$M$198</f>
        <v>3.4556250000000004E-2</v>
      </c>
      <c r="C1047" s="1031" t="s">
        <v>2193</v>
      </c>
      <c r="D1047" s="1045">
        <f>'[1]PLAN DE DESARROLLO 2024 - 2027'!$M$199</f>
        <v>3.5866666666666672E-2</v>
      </c>
      <c r="E1047" s="1031" t="s">
        <v>2197</v>
      </c>
      <c r="F1047" s="1046">
        <f>[2]Hoja1!$B$88</f>
        <v>6.9666666666666668E-2</v>
      </c>
      <c r="G1047" s="1031" t="s">
        <v>1835</v>
      </c>
      <c r="H1047" s="1031" t="s">
        <v>1836</v>
      </c>
      <c r="I1047" s="1031"/>
      <c r="J1047" s="1031" t="s">
        <v>2198</v>
      </c>
      <c r="K1047" s="1042" t="s">
        <v>2454</v>
      </c>
    </row>
    <row r="1048" spans="1:11" s="1028" customFormat="1" ht="45" x14ac:dyDescent="0.25">
      <c r="A1048" s="1031" t="s">
        <v>2192</v>
      </c>
      <c r="B1048" s="1043">
        <f>'[1]PLAN DE DESARROLLO 2024 - 2027'!$M$198</f>
        <v>3.4556250000000004E-2</v>
      </c>
      <c r="C1048" s="1031" t="s">
        <v>2193</v>
      </c>
      <c r="D1048" s="1045">
        <f>'[1]PLAN DE DESARROLLO 2024 - 2027'!$M$199</f>
        <v>3.5866666666666672E-2</v>
      </c>
      <c r="E1048" s="1031" t="s">
        <v>2197</v>
      </c>
      <c r="F1048" s="1046">
        <f>[2]Hoja1!$B$88</f>
        <v>6.9666666666666668E-2</v>
      </c>
      <c r="G1048" s="1031" t="s">
        <v>1838</v>
      </c>
      <c r="H1048" s="1031" t="s">
        <v>1839</v>
      </c>
      <c r="I1048" s="1031"/>
      <c r="J1048" s="1031" t="s">
        <v>2199</v>
      </c>
      <c r="K1048" s="1042" t="s">
        <v>2454</v>
      </c>
    </row>
    <row r="1049" spans="1:11" s="1028" customFormat="1" ht="45" x14ac:dyDescent="0.25">
      <c r="A1049" s="1031" t="s">
        <v>2192</v>
      </c>
      <c r="B1049" s="1043">
        <f>'[1]PLAN DE DESARROLLO 2024 - 2027'!$M$198</f>
        <v>3.4556250000000004E-2</v>
      </c>
      <c r="C1049" s="1031" t="s">
        <v>2193</v>
      </c>
      <c r="D1049" s="1045">
        <f>'[1]PLAN DE DESARROLLO 2024 - 2027'!$M$199</f>
        <v>3.5866666666666672E-2</v>
      </c>
      <c r="E1049" s="1031" t="s">
        <v>2197</v>
      </c>
      <c r="F1049" s="1046">
        <f>[2]Hoja1!$B$88</f>
        <v>6.9666666666666668E-2</v>
      </c>
      <c r="G1049" s="1031" t="s">
        <v>1841</v>
      </c>
      <c r="H1049" s="1031" t="s">
        <v>1842</v>
      </c>
      <c r="I1049" s="1031"/>
      <c r="J1049" s="1031" t="s">
        <v>2198</v>
      </c>
      <c r="K1049" s="1042" t="s">
        <v>2454</v>
      </c>
    </row>
    <row r="1050" spans="1:11" s="1028" customFormat="1" ht="60" x14ac:dyDescent="0.25">
      <c r="A1050" s="1031" t="s">
        <v>2192</v>
      </c>
      <c r="B1050" s="1043">
        <f>'[1]PLAN DE DESARROLLO 2024 - 2027'!$M$198</f>
        <v>3.4556250000000004E-2</v>
      </c>
      <c r="C1050" s="1031" t="s">
        <v>2193</v>
      </c>
      <c r="D1050" s="1045">
        <f>'[1]PLAN DE DESARROLLO 2024 - 2027'!$M$199</f>
        <v>3.5866666666666672E-2</v>
      </c>
      <c r="E1050" s="1031" t="s">
        <v>2197</v>
      </c>
      <c r="F1050" s="1046">
        <f>[2]Hoja1!$B$88</f>
        <v>6.9666666666666668E-2</v>
      </c>
      <c r="G1050" s="1031" t="s">
        <v>2200</v>
      </c>
      <c r="H1050" s="1031" t="s">
        <v>2201</v>
      </c>
      <c r="I1050" s="1031"/>
      <c r="J1050" s="1031" t="s">
        <v>2198</v>
      </c>
      <c r="K1050" s="1042" t="s">
        <v>2454</v>
      </c>
    </row>
    <row r="1051" spans="1:11" s="1028" customFormat="1" ht="45" x14ac:dyDescent="0.25">
      <c r="A1051" s="1031" t="s">
        <v>2192</v>
      </c>
      <c r="B1051" s="1043">
        <f>'[1]PLAN DE DESARROLLO 2024 - 2027'!$M$198</f>
        <v>3.4556250000000004E-2</v>
      </c>
      <c r="C1051" s="1031" t="s">
        <v>2193</v>
      </c>
      <c r="D1051" s="1045">
        <f>'[1]PLAN DE DESARROLLO 2024 - 2027'!$M$199</f>
        <v>3.5866666666666672E-2</v>
      </c>
      <c r="E1051" s="1031" t="s">
        <v>2197</v>
      </c>
      <c r="F1051" s="1046">
        <f>[2]Hoja1!$B$88</f>
        <v>6.9666666666666668E-2</v>
      </c>
      <c r="G1051" s="1031" t="s">
        <v>1845</v>
      </c>
      <c r="H1051" s="1031" t="s">
        <v>1846</v>
      </c>
      <c r="I1051" s="1031"/>
      <c r="J1051" s="1031" t="s">
        <v>2198</v>
      </c>
      <c r="K1051" s="1042" t="s">
        <v>2454</v>
      </c>
    </row>
    <row r="1052" spans="1:11" s="1028" customFormat="1" ht="45" x14ac:dyDescent="0.25">
      <c r="A1052" s="1031" t="s">
        <v>2192</v>
      </c>
      <c r="B1052" s="1043">
        <f>'[1]PLAN DE DESARROLLO 2024 - 2027'!$M$198</f>
        <v>3.4556250000000004E-2</v>
      </c>
      <c r="C1052" s="1031" t="s">
        <v>2193</v>
      </c>
      <c r="D1052" s="1045">
        <f>'[1]PLAN DE DESARROLLO 2024 - 2027'!$M$199</f>
        <v>3.5866666666666672E-2</v>
      </c>
      <c r="E1052" s="1031" t="s">
        <v>2197</v>
      </c>
      <c r="F1052" s="1046">
        <f>[2]Hoja1!$B$88</f>
        <v>6.9666666666666668E-2</v>
      </c>
      <c r="G1052" s="1031" t="s">
        <v>1848</v>
      </c>
      <c r="H1052" s="1031" t="s">
        <v>1849</v>
      </c>
      <c r="I1052" s="1031"/>
      <c r="J1052" s="1031" t="s">
        <v>2198</v>
      </c>
      <c r="K1052" s="1042" t="s">
        <v>2454</v>
      </c>
    </row>
    <row r="1053" spans="1:11" s="1028" customFormat="1" ht="45" x14ac:dyDescent="0.25">
      <c r="A1053" s="1031" t="s">
        <v>2192</v>
      </c>
      <c r="B1053" s="1043">
        <f>'[1]PLAN DE DESARROLLO 2024 - 2027'!$M$198</f>
        <v>3.4556250000000004E-2</v>
      </c>
      <c r="C1053" s="1031" t="s">
        <v>2193</v>
      </c>
      <c r="D1053" s="1045">
        <f>'[1]PLAN DE DESARROLLO 2024 - 2027'!$M$199</f>
        <v>3.5866666666666672E-2</v>
      </c>
      <c r="E1053" s="1031" t="s">
        <v>2197</v>
      </c>
      <c r="F1053" s="1046">
        <f>[2]Hoja1!$B$88</f>
        <v>6.9666666666666668E-2</v>
      </c>
      <c r="G1053" s="1031" t="s">
        <v>1850</v>
      </c>
      <c r="H1053" s="1031" t="s">
        <v>1851</v>
      </c>
      <c r="I1053" s="1031"/>
      <c r="J1053" s="1031" t="s">
        <v>2198</v>
      </c>
      <c r="K1053" s="1042" t="s">
        <v>2454</v>
      </c>
    </row>
    <row r="1054" spans="1:11" s="1028" customFormat="1" ht="60" x14ac:dyDescent="0.25">
      <c r="A1054" s="1031" t="s">
        <v>2192</v>
      </c>
      <c r="B1054" s="1043">
        <f>'[1]PLAN DE DESARROLLO 2024 - 2027'!$M$198</f>
        <v>3.4556250000000004E-2</v>
      </c>
      <c r="C1054" s="1031" t="s">
        <v>2193</v>
      </c>
      <c r="D1054" s="1045">
        <f>'[1]PLAN DE DESARROLLO 2024 - 2027'!$M$199</f>
        <v>3.5866666666666672E-2</v>
      </c>
      <c r="E1054" s="1031" t="s">
        <v>2197</v>
      </c>
      <c r="F1054" s="1046">
        <f>[2]Hoja1!$B$88</f>
        <v>6.9666666666666668E-2</v>
      </c>
      <c r="G1054" s="1031" t="s">
        <v>1852</v>
      </c>
      <c r="H1054" s="1031" t="s">
        <v>1853</v>
      </c>
      <c r="I1054" s="1031"/>
      <c r="J1054" s="1031" t="s">
        <v>2198</v>
      </c>
      <c r="K1054" s="1042" t="s">
        <v>2454</v>
      </c>
    </row>
    <row r="1055" spans="1:11" s="1028" customFormat="1" ht="45" x14ac:dyDescent="0.25">
      <c r="A1055" s="1031" t="s">
        <v>2341</v>
      </c>
      <c r="B1055" s="1039">
        <f>'[1]PLAN DE DESARROLLO 2024 - 2027'!$M$4</f>
        <v>0.24028917333263158</v>
      </c>
      <c r="C1055" s="1031" t="s">
        <v>2347</v>
      </c>
      <c r="D1055" s="1040">
        <f>'[1]PLAN DE DESARROLLO 2024 - 2027'!$M$20</f>
        <v>0.2170625911038922</v>
      </c>
      <c r="E1055" s="1031" t="s">
        <v>1954</v>
      </c>
      <c r="F1055" s="1041">
        <f>[2]Hoja1!$B$139</f>
        <v>0.25787869115937234</v>
      </c>
      <c r="G1055" s="1031" t="s">
        <v>248</v>
      </c>
      <c r="H1055" s="1031" t="s">
        <v>249</v>
      </c>
      <c r="I1055" s="1031"/>
      <c r="J1055" s="1031" t="s">
        <v>219</v>
      </c>
      <c r="K1055" s="1042" t="s">
        <v>2454</v>
      </c>
    </row>
    <row r="1056" spans="1:11" s="1028" customFormat="1" ht="30" x14ac:dyDescent="0.25">
      <c r="A1056" s="1031" t="s">
        <v>2308</v>
      </c>
      <c r="B1056" s="1043">
        <f>'[1]PLAN DE DESARROLLO 2024 - 2027'!$M$161</f>
        <v>0.24647581985093744</v>
      </c>
      <c r="C1056" s="1031" t="s">
        <v>2314</v>
      </c>
      <c r="D1056" s="1040">
        <f>'[1]PLAN DE DESARROLLO 2024 - 2027'!$M$175</f>
        <v>0.32167780464535306</v>
      </c>
      <c r="E1056" s="1031" t="s">
        <v>2315</v>
      </c>
      <c r="F1056" s="1041">
        <f>[2]Hoja1!$B$90</f>
        <v>0.25</v>
      </c>
      <c r="G1056" s="1031" t="s">
        <v>1658</v>
      </c>
      <c r="H1056" s="1031" t="s">
        <v>1659</v>
      </c>
      <c r="I1056" s="1031"/>
      <c r="J1056" s="1031" t="s">
        <v>883</v>
      </c>
      <c r="K1056" s="1042" t="s">
        <v>2454</v>
      </c>
    </row>
    <row r="1057" spans="1:11" s="1028" customFormat="1" ht="60" x14ac:dyDescent="0.25">
      <c r="A1057" s="1031" t="s">
        <v>2341</v>
      </c>
      <c r="B1057" s="1039">
        <f>'[1]PLAN DE DESARROLLO 2024 - 2027'!$M$4</f>
        <v>0.24028917333263158</v>
      </c>
      <c r="C1057" s="1031" t="s">
        <v>2347</v>
      </c>
      <c r="D1057" s="1040">
        <f>'[1]PLAN DE DESARROLLO 2024 - 2027'!$M$20</f>
        <v>0.2170625911038922</v>
      </c>
      <c r="E1057" s="1031" t="s">
        <v>1954</v>
      </c>
      <c r="F1057" s="1041">
        <f>[2]Hoja1!$B$139</f>
        <v>0.25787869115937234</v>
      </c>
      <c r="G1057" s="1031" t="s">
        <v>250</v>
      </c>
      <c r="H1057" s="1031" t="s">
        <v>251</v>
      </c>
      <c r="I1057" s="1031"/>
      <c r="J1057" s="1031" t="s">
        <v>219</v>
      </c>
      <c r="K1057" s="1042" t="s">
        <v>2454</v>
      </c>
    </row>
    <row r="1058" spans="1:11" s="1028" customFormat="1" ht="30" x14ac:dyDescent="0.25">
      <c r="A1058" s="1031" t="s">
        <v>2341</v>
      </c>
      <c r="B1058" s="1039">
        <f>'[1]PLAN DE DESARROLLO 2024 - 2027'!$M$4</f>
        <v>0.24028917333263158</v>
      </c>
      <c r="C1058" s="1031" t="s">
        <v>2347</v>
      </c>
      <c r="D1058" s="1040">
        <f>'[1]PLAN DE DESARROLLO 2024 - 2027'!$M$20</f>
        <v>0.2170625911038922</v>
      </c>
      <c r="E1058" s="1031" t="s">
        <v>1954</v>
      </c>
      <c r="F1058" s="1041">
        <f>[2]Hoja1!$B$139</f>
        <v>0.25787869115937234</v>
      </c>
      <c r="G1058" s="1031" t="s">
        <v>2354</v>
      </c>
      <c r="H1058" s="1031" t="s">
        <v>253</v>
      </c>
      <c r="I1058" s="1031"/>
      <c r="J1058" s="1031" t="s">
        <v>219</v>
      </c>
      <c r="K1058" s="1042" t="s">
        <v>2454</v>
      </c>
    </row>
    <row r="1059" spans="1:11" s="1028" customFormat="1" ht="45" x14ac:dyDescent="0.25">
      <c r="A1059" s="1031" t="s">
        <v>2266</v>
      </c>
      <c r="B1059" s="1043">
        <f>'[1]PLAN DE DESARROLLO 2024 - 2027'!$M$92</f>
        <v>0.25050860314981654</v>
      </c>
      <c r="C1059" s="1031" t="s">
        <v>2267</v>
      </c>
      <c r="D1059" s="1040">
        <f>'[1]PLAN DE DESARROLLO 2024 - 2027'!$M$105</f>
        <v>0.1233525</v>
      </c>
      <c r="E1059" s="1031" t="s">
        <v>2292</v>
      </c>
      <c r="F1059" s="1041">
        <f>[2]Hoja1!$B$29</f>
        <v>0.146425</v>
      </c>
      <c r="G1059" s="1031" t="s">
        <v>1011</v>
      </c>
      <c r="H1059" s="1031" t="s">
        <v>1012</v>
      </c>
      <c r="I1059" s="1031"/>
      <c r="J1059" s="1031" t="s">
        <v>103</v>
      </c>
      <c r="K1059" s="1042" t="s">
        <v>2454</v>
      </c>
    </row>
    <row r="1060" spans="1:11" s="1028" customFormat="1" ht="30" x14ac:dyDescent="0.25">
      <c r="A1060" s="1031" t="s">
        <v>2266</v>
      </c>
      <c r="B1060" s="1043">
        <f>'[1]PLAN DE DESARROLLO 2024 - 2027'!$M$92</f>
        <v>0.25050860314981654</v>
      </c>
      <c r="C1060" s="1031" t="s">
        <v>2267</v>
      </c>
      <c r="D1060" s="1040">
        <f>'[1]PLAN DE DESARROLLO 2024 - 2027'!$M$105</f>
        <v>0.1233525</v>
      </c>
      <c r="E1060" s="1031" t="s">
        <v>1013</v>
      </c>
      <c r="F1060" s="1041">
        <f>[2]Hoja1!$B$65</f>
        <v>0</v>
      </c>
      <c r="G1060" s="1031" t="s">
        <v>1014</v>
      </c>
      <c r="H1060" s="1031" t="s">
        <v>1015</v>
      </c>
      <c r="I1060" s="1031"/>
      <c r="J1060" s="1031" t="s">
        <v>1021</v>
      </c>
      <c r="K1060" s="1042" t="s">
        <v>2454</v>
      </c>
    </row>
    <row r="1061" spans="1:11" s="1028" customFormat="1" ht="30" x14ac:dyDescent="0.25">
      <c r="A1061" s="1031" t="s">
        <v>2266</v>
      </c>
      <c r="B1061" s="1043">
        <f>'[1]PLAN DE DESARROLLO 2024 - 2027'!$M$92</f>
        <v>0.25050860314981654</v>
      </c>
      <c r="C1061" s="1031" t="s">
        <v>2267</v>
      </c>
      <c r="D1061" s="1040">
        <f>'[1]PLAN DE DESARROLLO 2024 - 2027'!$M$105</f>
        <v>0.1233525</v>
      </c>
      <c r="E1061" s="1031" t="s">
        <v>1013</v>
      </c>
      <c r="F1061" s="1041">
        <f>[2]Hoja1!$B$65</f>
        <v>0</v>
      </c>
      <c r="G1061" s="1031" t="s">
        <v>1019</v>
      </c>
      <c r="H1061" s="1031" t="s">
        <v>1020</v>
      </c>
      <c r="I1061" s="1031"/>
      <c r="J1061" s="1031" t="s">
        <v>1021</v>
      </c>
      <c r="K1061" s="1042" t="s">
        <v>2454</v>
      </c>
    </row>
    <row r="1062" spans="1:11" s="1028" customFormat="1" ht="90" x14ac:dyDescent="0.25">
      <c r="A1062" s="1031" t="s">
        <v>2266</v>
      </c>
      <c r="B1062" s="1043">
        <f>'[1]PLAN DE DESARROLLO 2024 - 2027'!$M$92</f>
        <v>0.25050860314981654</v>
      </c>
      <c r="C1062" s="1031" t="s">
        <v>2303</v>
      </c>
      <c r="D1062" s="1040">
        <f>'[1]PLAN DE DESARROLLO 2024 - 2027'!$M$120</f>
        <v>0.19011249999999999</v>
      </c>
      <c r="E1062" s="1031" t="s">
        <v>2304</v>
      </c>
      <c r="F1062" s="1041">
        <f>[2]Hoja1!$B$49</f>
        <v>0.16666666666666666</v>
      </c>
      <c r="G1062" s="1031" t="s">
        <v>1148</v>
      </c>
      <c r="H1062" s="1031" t="s">
        <v>2305</v>
      </c>
      <c r="I1062" s="1031"/>
      <c r="J1062" s="1031" t="s">
        <v>2306</v>
      </c>
      <c r="K1062" s="1042" t="s">
        <v>2454</v>
      </c>
    </row>
    <row r="1063" spans="1:11" s="1028" customFormat="1" ht="45" x14ac:dyDescent="0.25">
      <c r="A1063" s="1031" t="s">
        <v>2266</v>
      </c>
      <c r="B1063" s="1043">
        <f>'[1]PLAN DE DESARROLLO 2024 - 2027'!$M$92</f>
        <v>0.25050860314981654</v>
      </c>
      <c r="C1063" s="1031" t="s">
        <v>2303</v>
      </c>
      <c r="D1063" s="1040">
        <f>'[1]PLAN DE DESARROLLO 2024 - 2027'!$M$120</f>
        <v>0.19011249999999999</v>
      </c>
      <c r="E1063" s="1031" t="s">
        <v>2304</v>
      </c>
      <c r="F1063" s="1041">
        <f>[2]Hoja1!$B$49</f>
        <v>0.16666666666666666</v>
      </c>
      <c r="G1063" s="1031" t="s">
        <v>1151</v>
      </c>
      <c r="H1063" s="1031" t="s">
        <v>1152</v>
      </c>
      <c r="I1063" s="1031"/>
      <c r="J1063" s="1031" t="s">
        <v>1206</v>
      </c>
      <c r="K1063" s="1042" t="s">
        <v>2454</v>
      </c>
    </row>
    <row r="1064" spans="1:11" s="1028" customFormat="1" ht="45" x14ac:dyDescent="0.25">
      <c r="A1064" s="1031" t="s">
        <v>2266</v>
      </c>
      <c r="B1064" s="1043">
        <f>'[1]PLAN DE DESARROLLO 2024 - 2027'!$M$92</f>
        <v>0.25050860314981654</v>
      </c>
      <c r="C1064" s="1031" t="s">
        <v>2303</v>
      </c>
      <c r="D1064" s="1040">
        <f>'[1]PLAN DE DESARROLLO 2024 - 2027'!$M$120</f>
        <v>0.19011249999999999</v>
      </c>
      <c r="E1064" s="1031" t="s">
        <v>2304</v>
      </c>
      <c r="F1064" s="1041">
        <f>[2]Hoja1!$B$49</f>
        <v>0.16666666666666666</v>
      </c>
      <c r="G1064" s="1031" t="s">
        <v>1154</v>
      </c>
      <c r="H1064" s="1031" t="s">
        <v>1155</v>
      </c>
      <c r="I1064" s="1031"/>
      <c r="J1064" s="1031" t="s">
        <v>1206</v>
      </c>
      <c r="K1064" s="1042" t="s">
        <v>2454</v>
      </c>
    </row>
    <row r="1065" spans="1:11" s="1028" customFormat="1" ht="30" x14ac:dyDescent="0.25">
      <c r="A1065" s="1031" t="s">
        <v>2266</v>
      </c>
      <c r="B1065" s="1043">
        <f>'[1]PLAN DE DESARROLLO 2024 - 2027'!$M$92</f>
        <v>0.25050860314981654</v>
      </c>
      <c r="C1065" s="1031" t="s">
        <v>2303</v>
      </c>
      <c r="D1065" s="1040">
        <f>'[1]PLAN DE DESARROLLO 2024 - 2027'!$M$120</f>
        <v>0.19011249999999999</v>
      </c>
      <c r="E1065" s="1031" t="s">
        <v>2307</v>
      </c>
      <c r="F1065" s="1041">
        <f>[2]Hoja1!$B$84</f>
        <v>0.26044999999999996</v>
      </c>
      <c r="G1065" s="1031" t="s">
        <v>1157</v>
      </c>
      <c r="H1065" s="1031" t="s">
        <v>1158</v>
      </c>
      <c r="I1065" s="1031"/>
      <c r="J1065" s="1031" t="s">
        <v>658</v>
      </c>
      <c r="K1065" s="1042" t="s">
        <v>2454</v>
      </c>
    </row>
    <row r="1066" spans="1:11" s="1028" customFormat="1" ht="30" x14ac:dyDescent="0.25">
      <c r="A1066" s="1031" t="s">
        <v>2266</v>
      </c>
      <c r="B1066" s="1043">
        <f>'[1]PLAN DE DESARROLLO 2024 - 2027'!$M$92</f>
        <v>0.25050860314981654</v>
      </c>
      <c r="C1066" s="1031" t="s">
        <v>2303</v>
      </c>
      <c r="D1066" s="1040">
        <f>'[1]PLAN DE DESARROLLO 2024 - 2027'!$M$120</f>
        <v>0.19011249999999999</v>
      </c>
      <c r="E1066" s="1031" t="s">
        <v>2307</v>
      </c>
      <c r="F1066" s="1041">
        <f>[2]Hoja1!$B$84</f>
        <v>0.26044999999999996</v>
      </c>
      <c r="G1066" s="1031" t="s">
        <v>1159</v>
      </c>
      <c r="H1066" s="1031" t="s">
        <v>1160</v>
      </c>
      <c r="I1066" s="1031"/>
      <c r="J1066" s="1031" t="s">
        <v>658</v>
      </c>
      <c r="K1066" s="1042" t="s">
        <v>2454</v>
      </c>
    </row>
    <row r="1067" spans="1:11" s="1028" customFormat="1" ht="45" x14ac:dyDescent="0.25">
      <c r="A1067" s="1031" t="s">
        <v>2266</v>
      </c>
      <c r="B1067" s="1043">
        <f>'[1]PLAN DE DESARROLLO 2024 - 2027'!$M$92</f>
        <v>0.25050860314981654</v>
      </c>
      <c r="C1067" s="1031" t="s">
        <v>2303</v>
      </c>
      <c r="D1067" s="1040">
        <f>'[1]PLAN DE DESARROLLO 2024 - 2027'!$M$120</f>
        <v>0.19011249999999999</v>
      </c>
      <c r="E1067" s="1031" t="s">
        <v>2307</v>
      </c>
      <c r="F1067" s="1041">
        <f>[2]Hoja1!$B$84</f>
        <v>0.26044999999999996</v>
      </c>
      <c r="G1067" s="1031" t="s">
        <v>1161</v>
      </c>
      <c r="H1067" s="1031" t="s">
        <v>1162</v>
      </c>
      <c r="I1067" s="1031"/>
      <c r="J1067" s="1031" t="s">
        <v>658</v>
      </c>
      <c r="K1067" s="1042" t="s">
        <v>2454</v>
      </c>
    </row>
    <row r="1068" spans="1:11" s="1028" customFormat="1" ht="45" x14ac:dyDescent="0.25">
      <c r="A1068" s="1031" t="s">
        <v>2341</v>
      </c>
      <c r="B1068" s="1039">
        <f>'[1]PLAN DE DESARROLLO 2024 - 2027'!$M$4</f>
        <v>0.24028917333263158</v>
      </c>
      <c r="C1068" s="1031" t="s">
        <v>2347</v>
      </c>
      <c r="D1068" s="1040">
        <f>'[1]PLAN DE DESARROLLO 2024 - 2027'!$M$20</f>
        <v>0.2170625911038922</v>
      </c>
      <c r="E1068" s="1031" t="s">
        <v>1954</v>
      </c>
      <c r="F1068" s="1041">
        <f>[2]Hoja1!$B$139</f>
        <v>0.25787869115937234</v>
      </c>
      <c r="G1068" s="1031" t="s">
        <v>254</v>
      </c>
      <c r="H1068" s="1031" t="s">
        <v>255</v>
      </c>
      <c r="I1068" s="1031"/>
      <c r="J1068" s="1031" t="s">
        <v>219</v>
      </c>
      <c r="K1068" s="1042" t="s">
        <v>2454</v>
      </c>
    </row>
    <row r="1069" spans="1:11" s="1028" customFormat="1" ht="60" x14ac:dyDescent="0.25">
      <c r="A1069" s="1031" t="s">
        <v>2341</v>
      </c>
      <c r="B1069" s="1039">
        <f>'[1]PLAN DE DESARROLLO 2024 - 2027'!$M$4</f>
        <v>0.24028917333263158</v>
      </c>
      <c r="C1069" s="1031" t="s">
        <v>2347</v>
      </c>
      <c r="D1069" s="1040">
        <f>'[1]PLAN DE DESARROLLO 2024 - 2027'!$M$20</f>
        <v>0.2170625911038922</v>
      </c>
      <c r="E1069" s="1031" t="s">
        <v>1954</v>
      </c>
      <c r="F1069" s="1041">
        <f>[2]Hoja1!$B$139</f>
        <v>0.25787869115937234</v>
      </c>
      <c r="G1069" s="1031" t="s">
        <v>256</v>
      </c>
      <c r="H1069" s="1031" t="s">
        <v>257</v>
      </c>
      <c r="I1069" s="1031"/>
      <c r="J1069" s="1031" t="s">
        <v>219</v>
      </c>
      <c r="K1069" s="1042" t="s">
        <v>2454</v>
      </c>
    </row>
    <row r="1070" spans="1:11" s="1028" customFormat="1" ht="45" x14ac:dyDescent="0.25">
      <c r="A1070" s="1031" t="s">
        <v>2341</v>
      </c>
      <c r="B1070" s="1039">
        <f>'[1]PLAN DE DESARROLLO 2024 - 2027'!$M$4</f>
        <v>0.24028917333263158</v>
      </c>
      <c r="C1070" s="1031" t="s">
        <v>2347</v>
      </c>
      <c r="D1070" s="1040">
        <f>'[1]PLAN DE DESARROLLO 2024 - 2027'!$M$20</f>
        <v>0.2170625911038922</v>
      </c>
      <c r="E1070" s="1031" t="s">
        <v>1954</v>
      </c>
      <c r="F1070" s="1041">
        <f>[2]Hoja1!$B$139</f>
        <v>0.25787869115937234</v>
      </c>
      <c r="G1070" s="1031" t="s">
        <v>258</v>
      </c>
      <c r="H1070" s="1031" t="s">
        <v>259</v>
      </c>
      <c r="I1070" s="1031"/>
      <c r="J1070" s="1031" t="s">
        <v>219</v>
      </c>
      <c r="K1070" s="1042" t="s">
        <v>2454</v>
      </c>
    </row>
    <row r="1071" spans="1:11" s="1028" customFormat="1" ht="60" x14ac:dyDescent="0.25">
      <c r="A1071" s="1031" t="s">
        <v>2341</v>
      </c>
      <c r="B1071" s="1039">
        <f>'[1]PLAN DE DESARROLLO 2024 - 2027'!$M$4</f>
        <v>0.24028917333263158</v>
      </c>
      <c r="C1071" s="1031" t="s">
        <v>2347</v>
      </c>
      <c r="D1071" s="1040">
        <f>'[1]PLAN DE DESARROLLO 2024 - 2027'!$M$20</f>
        <v>0.2170625911038922</v>
      </c>
      <c r="E1071" s="1031" t="s">
        <v>1954</v>
      </c>
      <c r="F1071" s="1041">
        <f>[2]Hoja1!$B$139</f>
        <v>0.25787869115937234</v>
      </c>
      <c r="G1071" s="1031" t="s">
        <v>260</v>
      </c>
      <c r="H1071" s="1031" t="s">
        <v>261</v>
      </c>
      <c r="I1071" s="1031"/>
      <c r="J1071" s="1031" t="s">
        <v>219</v>
      </c>
      <c r="K1071" s="1042" t="s">
        <v>2454</v>
      </c>
    </row>
    <row r="1072" spans="1:11" s="1028" customFormat="1" ht="30" x14ac:dyDescent="0.25">
      <c r="A1072" s="1031" t="s">
        <v>2341</v>
      </c>
      <c r="B1072" s="1039">
        <f>'[1]PLAN DE DESARROLLO 2024 - 2027'!$M$4</f>
        <v>0.24028917333263158</v>
      </c>
      <c r="C1072" s="1031" t="s">
        <v>2347</v>
      </c>
      <c r="D1072" s="1040">
        <f>'[1]PLAN DE DESARROLLO 2024 - 2027'!$M$20</f>
        <v>0.2170625911038922</v>
      </c>
      <c r="E1072" s="1031" t="s">
        <v>1954</v>
      </c>
      <c r="F1072" s="1041">
        <f>[2]Hoja1!$B$139</f>
        <v>0.25787869115937234</v>
      </c>
      <c r="G1072" s="1031" t="s">
        <v>262</v>
      </c>
      <c r="H1072" s="1031" t="s">
        <v>263</v>
      </c>
      <c r="I1072" s="1031"/>
      <c r="J1072" s="1031" t="s">
        <v>219</v>
      </c>
      <c r="K1072" s="1042" t="s">
        <v>2454</v>
      </c>
    </row>
    <row r="1073" spans="1:11" s="1028" customFormat="1" ht="30" x14ac:dyDescent="0.25">
      <c r="A1073" s="1031" t="s">
        <v>2215</v>
      </c>
      <c r="B1073" s="1043">
        <f>'[1]PLAN DE DESARROLLO 2024 - 2027'!$M$123</f>
        <v>0.20174333228533195</v>
      </c>
      <c r="C1073" s="1031" t="s">
        <v>2223</v>
      </c>
      <c r="D1073" s="1045">
        <f>'[1]PLAN DE DESARROLLO 2024 - 2027'!$M$153</f>
        <v>0.24618175</v>
      </c>
      <c r="E1073" s="1031" t="s">
        <v>2224</v>
      </c>
      <c r="F1073" s="1041">
        <f>[2]Hoja1!$B$82</f>
        <v>0</v>
      </c>
      <c r="G1073" s="1031" t="s">
        <v>1531</v>
      </c>
      <c r="H1073" s="1031" t="s">
        <v>1532</v>
      </c>
      <c r="I1073" s="1031"/>
      <c r="J1073" s="1031" t="s">
        <v>2225</v>
      </c>
      <c r="K1073" s="1042" t="s">
        <v>2454</v>
      </c>
    </row>
    <row r="1074" spans="1:11" s="1028" customFormat="1" ht="45" x14ac:dyDescent="0.25">
      <c r="A1074" s="1031" t="s">
        <v>2215</v>
      </c>
      <c r="B1074" s="1043">
        <f>'[1]PLAN DE DESARROLLO 2024 - 2027'!$M$123</f>
        <v>0.20174333228533195</v>
      </c>
      <c r="C1074" s="1031" t="s">
        <v>2223</v>
      </c>
      <c r="D1074" s="1045">
        <f>'[1]PLAN DE DESARROLLO 2024 - 2027'!$M$153</f>
        <v>0.24618175</v>
      </c>
      <c r="E1074" s="1031" t="s">
        <v>2224</v>
      </c>
      <c r="F1074" s="1041">
        <f>[2]Hoja1!$B$82</f>
        <v>0</v>
      </c>
      <c r="G1074" s="1031" t="s">
        <v>1533</v>
      </c>
      <c r="H1074" s="1031" t="s">
        <v>1534</v>
      </c>
      <c r="I1074" s="1031"/>
      <c r="J1074" s="1031" t="s">
        <v>716</v>
      </c>
      <c r="K1074" s="1042" t="s">
        <v>2454</v>
      </c>
    </row>
    <row r="1075" spans="1:11" s="1028" customFormat="1" ht="60" x14ac:dyDescent="0.25">
      <c r="A1075" s="1031" t="s">
        <v>2215</v>
      </c>
      <c r="B1075" s="1043">
        <f>'[1]PLAN DE DESARROLLO 2024 - 2027'!$M$123</f>
        <v>0.20174333228533195</v>
      </c>
      <c r="C1075" s="1031" t="s">
        <v>2223</v>
      </c>
      <c r="D1075" s="1045">
        <f>'[1]PLAN DE DESARROLLO 2024 - 2027'!$M$153</f>
        <v>0.24618175</v>
      </c>
      <c r="E1075" s="1031" t="s">
        <v>2224</v>
      </c>
      <c r="F1075" s="1041">
        <f>[2]Hoja1!$B$82</f>
        <v>0</v>
      </c>
      <c r="G1075" s="1031" t="s">
        <v>1536</v>
      </c>
      <c r="H1075" s="1031" t="s">
        <v>1537</v>
      </c>
      <c r="I1075" s="1031"/>
      <c r="J1075" s="1031" t="s">
        <v>716</v>
      </c>
      <c r="K1075" s="1042" t="s">
        <v>2454</v>
      </c>
    </row>
    <row r="1076" spans="1:11" s="1028" customFormat="1" ht="30" x14ac:dyDescent="0.25">
      <c r="A1076" s="1031" t="s">
        <v>2215</v>
      </c>
      <c r="B1076" s="1043">
        <f>'[1]PLAN DE DESARROLLO 2024 - 2027'!$M$123</f>
        <v>0.20174333228533195</v>
      </c>
      <c r="C1076" s="1031" t="s">
        <v>2223</v>
      </c>
      <c r="D1076" s="1045">
        <f>'[1]PLAN DE DESARROLLO 2024 - 2027'!$M$153</f>
        <v>0.24618175</v>
      </c>
      <c r="E1076" s="1031" t="s">
        <v>1466</v>
      </c>
      <c r="F1076" s="1041">
        <f>[2]Hoja1!$B$86</f>
        <v>8.3283750000000004E-2</v>
      </c>
      <c r="G1076" s="1031" t="s">
        <v>1467</v>
      </c>
      <c r="H1076" s="1031" t="s">
        <v>1468</v>
      </c>
      <c r="I1076" s="1031"/>
      <c r="J1076" s="1031" t="s">
        <v>925</v>
      </c>
      <c r="K1076" s="1042" t="s">
        <v>2454</v>
      </c>
    </row>
    <row r="1077" spans="1:11" s="1028" customFormat="1" ht="45" x14ac:dyDescent="0.25">
      <c r="A1077" s="1031" t="s">
        <v>2215</v>
      </c>
      <c r="B1077" s="1043">
        <f>'[1]PLAN DE DESARROLLO 2024 - 2027'!$M$123</f>
        <v>0.20174333228533195</v>
      </c>
      <c r="C1077" s="1031" t="s">
        <v>2223</v>
      </c>
      <c r="D1077" s="1045">
        <f>'[1]PLAN DE DESARROLLO 2024 - 2027'!$M$153</f>
        <v>0.24618175</v>
      </c>
      <c r="E1077" s="1031" t="s">
        <v>1466</v>
      </c>
      <c r="F1077" s="1041">
        <f>[2]Hoja1!$B$86</f>
        <v>8.3283750000000004E-2</v>
      </c>
      <c r="G1077" s="1031" t="s">
        <v>1469</v>
      </c>
      <c r="H1077" s="1031" t="s">
        <v>1470</v>
      </c>
      <c r="I1077" s="1031"/>
      <c r="J1077" s="1031" t="s">
        <v>2233</v>
      </c>
      <c r="K1077" s="1042" t="s">
        <v>2454</v>
      </c>
    </row>
    <row r="1078" spans="1:11" s="1028" customFormat="1" ht="30" x14ac:dyDescent="0.25">
      <c r="A1078" s="1031" t="s">
        <v>2215</v>
      </c>
      <c r="B1078" s="1043">
        <f>'[1]PLAN DE DESARROLLO 2024 - 2027'!$M$123</f>
        <v>0.20174333228533195</v>
      </c>
      <c r="C1078" s="1031" t="s">
        <v>2223</v>
      </c>
      <c r="D1078" s="1045">
        <f>'[1]PLAN DE DESARROLLO 2024 - 2027'!$M$153</f>
        <v>0.24618175</v>
      </c>
      <c r="E1078" s="1031" t="s">
        <v>1466</v>
      </c>
      <c r="F1078" s="1041">
        <f>[2]Hoja1!$B$86</f>
        <v>8.3283750000000004E-2</v>
      </c>
      <c r="G1078" s="1031" t="s">
        <v>1474</v>
      </c>
      <c r="H1078" s="1031" t="s">
        <v>1475</v>
      </c>
      <c r="I1078" s="1031"/>
      <c r="J1078" s="1031" t="s">
        <v>2234</v>
      </c>
      <c r="K1078" s="1042" t="s">
        <v>2454</v>
      </c>
    </row>
    <row r="1079" spans="1:11" s="1028" customFormat="1" ht="30" x14ac:dyDescent="0.25">
      <c r="A1079" s="1031" t="s">
        <v>2215</v>
      </c>
      <c r="B1079" s="1043">
        <f>'[1]PLAN DE DESARROLLO 2024 - 2027'!$M$123</f>
        <v>0.20174333228533195</v>
      </c>
      <c r="C1079" s="1031" t="s">
        <v>2223</v>
      </c>
      <c r="D1079" s="1045">
        <f>'[1]PLAN DE DESARROLLO 2024 - 2027'!$M$153</f>
        <v>0.24618175</v>
      </c>
      <c r="E1079" s="1031" t="s">
        <v>2238</v>
      </c>
      <c r="F1079" s="1041">
        <f>[2]Hoja1!$B$120</f>
        <v>0.10250000000000001</v>
      </c>
      <c r="G1079" s="1031" t="s">
        <v>1504</v>
      </c>
      <c r="H1079" s="1031" t="s">
        <v>1505</v>
      </c>
      <c r="I1079" s="1031"/>
      <c r="J1079" s="1031" t="s">
        <v>925</v>
      </c>
      <c r="K1079" s="1042" t="s">
        <v>2454</v>
      </c>
    </row>
    <row r="1080" spans="1:11" s="1028" customFormat="1" ht="60" x14ac:dyDescent="0.25">
      <c r="A1080" s="1031" t="s">
        <v>2215</v>
      </c>
      <c r="B1080" s="1043">
        <f>'[1]PLAN DE DESARROLLO 2024 - 2027'!$M$123</f>
        <v>0.20174333228533195</v>
      </c>
      <c r="C1080" s="1031" t="s">
        <v>2223</v>
      </c>
      <c r="D1080" s="1045">
        <f>'[1]PLAN DE DESARROLLO 2024 - 2027'!$M$153</f>
        <v>0.24618175</v>
      </c>
      <c r="E1080" s="1031" t="s">
        <v>2238</v>
      </c>
      <c r="F1080" s="1041">
        <f>[2]Hoja1!$B$120</f>
        <v>0.10250000000000001</v>
      </c>
      <c r="G1080" s="1031" t="s">
        <v>1507</v>
      </c>
      <c r="H1080" s="1031" t="s">
        <v>1508</v>
      </c>
      <c r="I1080" s="1031"/>
      <c r="J1080" s="1031" t="s">
        <v>925</v>
      </c>
      <c r="K1080" s="1042" t="s">
        <v>2454</v>
      </c>
    </row>
    <row r="1081" spans="1:11" s="1028" customFormat="1" ht="45" x14ac:dyDescent="0.25">
      <c r="A1081" s="1031" t="s">
        <v>2215</v>
      </c>
      <c r="B1081" s="1043">
        <f>'[1]PLAN DE DESARROLLO 2024 - 2027'!$M$123</f>
        <v>0.20174333228533195</v>
      </c>
      <c r="C1081" s="1031" t="s">
        <v>2223</v>
      </c>
      <c r="D1081" s="1045">
        <f>'[1]PLAN DE DESARROLLO 2024 - 2027'!$M$153</f>
        <v>0.24618175</v>
      </c>
      <c r="E1081" s="1031" t="s">
        <v>2238</v>
      </c>
      <c r="F1081" s="1041">
        <f>[2]Hoja1!$B$120</f>
        <v>0.10250000000000001</v>
      </c>
      <c r="G1081" s="1031" t="s">
        <v>1509</v>
      </c>
      <c r="H1081" s="1031" t="s">
        <v>1510</v>
      </c>
      <c r="I1081" s="1031"/>
      <c r="J1081" s="1031" t="s">
        <v>925</v>
      </c>
      <c r="K1081" s="1042" t="s">
        <v>2454</v>
      </c>
    </row>
    <row r="1082" spans="1:11" s="1028" customFormat="1" ht="30" x14ac:dyDescent="0.25">
      <c r="A1082" s="1031" t="s">
        <v>2215</v>
      </c>
      <c r="B1082" s="1043">
        <f>'[1]PLAN DE DESARROLLO 2024 - 2027'!$M$123</f>
        <v>0.20174333228533195</v>
      </c>
      <c r="C1082" s="1031" t="s">
        <v>2223</v>
      </c>
      <c r="D1082" s="1045">
        <f>'[1]PLAN DE DESARROLLO 2024 - 2027'!$M$153</f>
        <v>0.24618175</v>
      </c>
      <c r="E1082" s="1031" t="s">
        <v>2238</v>
      </c>
      <c r="F1082" s="1041">
        <f>[2]Hoja1!$B$120</f>
        <v>0.10250000000000001</v>
      </c>
      <c r="G1082" s="1031" t="s">
        <v>1511</v>
      </c>
      <c r="H1082" s="1031" t="s">
        <v>1512</v>
      </c>
      <c r="I1082" s="1031"/>
      <c r="J1082" s="1031" t="s">
        <v>716</v>
      </c>
      <c r="K1082" s="1042" t="s">
        <v>2454</v>
      </c>
    </row>
    <row r="1083" spans="1:11" s="1028" customFormat="1" ht="30" x14ac:dyDescent="0.25">
      <c r="A1083" s="1031" t="s">
        <v>2215</v>
      </c>
      <c r="B1083" s="1043">
        <f>'[1]PLAN DE DESARROLLO 2024 - 2027'!$M$123</f>
        <v>0.20174333228533195</v>
      </c>
      <c r="C1083" s="1031" t="s">
        <v>2223</v>
      </c>
      <c r="D1083" s="1045">
        <f>'[1]PLAN DE DESARROLLO 2024 - 2027'!$M$153</f>
        <v>0.24618175</v>
      </c>
      <c r="E1083" s="1031" t="s">
        <v>2238</v>
      </c>
      <c r="F1083" s="1041">
        <f>[2]Hoja1!$B$120</f>
        <v>0.10250000000000001</v>
      </c>
      <c r="G1083" s="1031" t="s">
        <v>1513</v>
      </c>
      <c r="H1083" s="1031" t="s">
        <v>1514</v>
      </c>
      <c r="I1083" s="1031"/>
      <c r="J1083" s="1031" t="s">
        <v>716</v>
      </c>
      <c r="K1083" s="1042" t="s">
        <v>2454</v>
      </c>
    </row>
    <row r="1084" spans="1:11" s="1028" customFormat="1" ht="30" x14ac:dyDescent="0.25">
      <c r="A1084" s="1031" t="s">
        <v>2215</v>
      </c>
      <c r="B1084" s="1043">
        <f>'[1]PLAN DE DESARROLLO 2024 - 2027'!$M$123</f>
        <v>0.20174333228533195</v>
      </c>
      <c r="C1084" s="1031" t="s">
        <v>2223</v>
      </c>
      <c r="D1084" s="1045">
        <f>'[1]PLAN DE DESARROLLO 2024 - 2027'!$M$153</f>
        <v>0.24618175</v>
      </c>
      <c r="E1084" s="1031" t="s">
        <v>2238</v>
      </c>
      <c r="F1084" s="1041">
        <f>[2]Hoja1!$B$120</f>
        <v>0.10250000000000001</v>
      </c>
      <c r="G1084" s="1031" t="s">
        <v>1515</v>
      </c>
      <c r="H1084" s="1031" t="s">
        <v>1516</v>
      </c>
      <c r="I1084" s="1031"/>
      <c r="J1084" s="1031" t="s">
        <v>716</v>
      </c>
      <c r="K1084" s="1042" t="s">
        <v>2454</v>
      </c>
    </row>
    <row r="1085" spans="1:11" s="1028" customFormat="1" x14ac:dyDescent="0.25">
      <c r="A1085" s="1031" t="s">
        <v>2215</v>
      </c>
      <c r="B1085" s="1043">
        <f>'[1]PLAN DE DESARROLLO 2024 - 2027'!$M$123</f>
        <v>0.20174333228533195</v>
      </c>
      <c r="C1085" s="1031" t="s">
        <v>2223</v>
      </c>
      <c r="D1085" s="1045">
        <f>'[1]PLAN DE DESARROLLO 2024 - 2027'!$M$153</f>
        <v>0.24618175</v>
      </c>
      <c r="E1085" s="1031" t="s">
        <v>2238</v>
      </c>
      <c r="F1085" s="1041">
        <f>[2]Hoja1!$B$120</f>
        <v>0.10250000000000001</v>
      </c>
      <c r="G1085" s="1031" t="s">
        <v>1517</v>
      </c>
      <c r="H1085" s="1031" t="s">
        <v>1518</v>
      </c>
      <c r="I1085" s="1031"/>
      <c r="J1085" s="1031" t="s">
        <v>716</v>
      </c>
      <c r="K1085" s="1042" t="s">
        <v>2454</v>
      </c>
    </row>
    <row r="1086" spans="1:11" s="1028" customFormat="1" ht="30" x14ac:dyDescent="0.25">
      <c r="A1086" s="1031" t="s">
        <v>2215</v>
      </c>
      <c r="B1086" s="1043">
        <f>'[1]PLAN DE DESARROLLO 2024 - 2027'!$M$123</f>
        <v>0.20174333228533195</v>
      </c>
      <c r="C1086" s="1031" t="s">
        <v>2223</v>
      </c>
      <c r="D1086" s="1045">
        <f>'[1]PLAN DE DESARROLLO 2024 - 2027'!$M$153</f>
        <v>0.24618175</v>
      </c>
      <c r="E1086" s="1031" t="s">
        <v>2238</v>
      </c>
      <c r="F1086" s="1041">
        <f>[2]Hoja1!$B$120</f>
        <v>0.10250000000000001</v>
      </c>
      <c r="G1086" s="1031" t="s">
        <v>1520</v>
      </c>
      <c r="H1086" s="1031" t="s">
        <v>1521</v>
      </c>
      <c r="I1086" s="1031"/>
      <c r="J1086" s="1031" t="s">
        <v>716</v>
      </c>
      <c r="K1086" s="1042" t="s">
        <v>2454</v>
      </c>
    </row>
    <row r="1087" spans="1:11" s="1028" customFormat="1" ht="30" x14ac:dyDescent="0.25">
      <c r="A1087" s="1031" t="s">
        <v>2215</v>
      </c>
      <c r="B1087" s="1043">
        <f>'[1]PLAN DE DESARROLLO 2024 - 2027'!$M$123</f>
        <v>0.20174333228533195</v>
      </c>
      <c r="C1087" s="1031" t="s">
        <v>2223</v>
      </c>
      <c r="D1087" s="1045">
        <f>'[1]PLAN DE DESARROLLO 2024 - 2027'!$M$153</f>
        <v>0.24618175</v>
      </c>
      <c r="E1087" s="1031" t="s">
        <v>1478</v>
      </c>
      <c r="F1087" s="1041">
        <f>[2]Hoja1!$B$130</f>
        <v>0.79849999999999999</v>
      </c>
      <c r="G1087" s="1031" t="s">
        <v>1479</v>
      </c>
      <c r="H1087" s="1031" t="s">
        <v>1480</v>
      </c>
      <c r="I1087" s="1031"/>
      <c r="J1087" s="1031" t="s">
        <v>2235</v>
      </c>
      <c r="K1087" s="1042" t="s">
        <v>2454</v>
      </c>
    </row>
    <row r="1088" spans="1:11" s="1028" customFormat="1" ht="30" x14ac:dyDescent="0.25">
      <c r="A1088" s="1031" t="s">
        <v>2215</v>
      </c>
      <c r="B1088" s="1043">
        <f>'[1]PLAN DE DESARROLLO 2024 - 2027'!$M$123</f>
        <v>0.20174333228533195</v>
      </c>
      <c r="C1088" s="1031" t="s">
        <v>2223</v>
      </c>
      <c r="D1088" s="1045">
        <f>'[1]PLAN DE DESARROLLO 2024 - 2027'!$M$153</f>
        <v>0.24618175</v>
      </c>
      <c r="E1088" s="1031" t="s">
        <v>1478</v>
      </c>
      <c r="F1088" s="1041">
        <f>[2]Hoja1!$B$130</f>
        <v>0.79849999999999999</v>
      </c>
      <c r="G1088" s="1031" t="s">
        <v>1482</v>
      </c>
      <c r="H1088" s="1031" t="s">
        <v>1483</v>
      </c>
      <c r="I1088" s="1031"/>
      <c r="J1088" s="1031" t="s">
        <v>2235</v>
      </c>
      <c r="K1088" s="1042" t="s">
        <v>2454</v>
      </c>
    </row>
    <row r="1089" spans="1:11" s="1028" customFormat="1" ht="30" x14ac:dyDescent="0.25">
      <c r="A1089" s="1031" t="s">
        <v>2215</v>
      </c>
      <c r="B1089" s="1043">
        <f>'[1]PLAN DE DESARROLLO 2024 - 2027'!$M$123</f>
        <v>0.20174333228533195</v>
      </c>
      <c r="C1089" s="1031" t="s">
        <v>2223</v>
      </c>
      <c r="D1089" s="1045">
        <f>'[1]PLAN DE DESARROLLO 2024 - 2027'!$M$153</f>
        <v>0.24618175</v>
      </c>
      <c r="E1089" s="1031" t="s">
        <v>1478</v>
      </c>
      <c r="F1089" s="1041">
        <f>[2]Hoja1!$B$130</f>
        <v>0.79849999999999999</v>
      </c>
      <c r="G1089" s="1031" t="s">
        <v>1486</v>
      </c>
      <c r="H1089" s="1031" t="s">
        <v>1487</v>
      </c>
      <c r="I1089" s="1031"/>
      <c r="J1089" s="1031" t="s">
        <v>2235</v>
      </c>
      <c r="K1089" s="1042" t="s">
        <v>2454</v>
      </c>
    </row>
    <row r="1090" spans="1:11" s="1028" customFormat="1" ht="30" x14ac:dyDescent="0.25">
      <c r="A1090" s="1031" t="s">
        <v>2308</v>
      </c>
      <c r="B1090" s="1043">
        <f>'[1]PLAN DE DESARROLLO 2024 - 2027'!$M$161</f>
        <v>0.24647581985093744</v>
      </c>
      <c r="C1090" s="1031" t="s">
        <v>2332</v>
      </c>
      <c r="D1090" s="1040">
        <f>'[1]PLAN DE DESARROLLO 2024 - 2027'!$M$191</f>
        <v>0.22981556695992181</v>
      </c>
      <c r="E1090" s="1031" t="s">
        <v>2336</v>
      </c>
      <c r="F1090" s="1041">
        <f>[2]Hoja1!$B$97</f>
        <v>0.29315510752688173</v>
      </c>
      <c r="G1090" s="1031" t="s">
        <v>1790</v>
      </c>
      <c r="H1090" s="1031" t="s">
        <v>1791</v>
      </c>
      <c r="I1090" s="1031"/>
      <c r="J1090" s="1031" t="s">
        <v>716</v>
      </c>
      <c r="K1090" s="1042" t="s">
        <v>2454</v>
      </c>
    </row>
    <row r="1091" spans="1:11" s="1028" customFormat="1" ht="30" x14ac:dyDescent="0.25">
      <c r="A1091" s="1031" t="s">
        <v>2308</v>
      </c>
      <c r="B1091" s="1043">
        <f>'[1]PLAN DE DESARROLLO 2024 - 2027'!$M$161</f>
        <v>0.24647581985093744</v>
      </c>
      <c r="C1091" s="1031" t="s">
        <v>2332</v>
      </c>
      <c r="D1091" s="1040">
        <f>'[1]PLAN DE DESARROLLO 2024 - 2027'!$M$191</f>
        <v>0.22981556695992181</v>
      </c>
      <c r="E1091" s="1031" t="s">
        <v>2336</v>
      </c>
      <c r="F1091" s="1041">
        <f>[2]Hoja1!$B$97</f>
        <v>0.29315510752688173</v>
      </c>
      <c r="G1091" s="1031" t="s">
        <v>1792</v>
      </c>
      <c r="H1091" s="1031" t="s">
        <v>1793</v>
      </c>
      <c r="I1091" s="1031"/>
      <c r="J1091" s="1031" t="s">
        <v>716</v>
      </c>
      <c r="K1091" s="1042" t="s">
        <v>2454</v>
      </c>
    </row>
    <row r="1092" spans="1:11" s="1028" customFormat="1" ht="30" x14ac:dyDescent="0.25">
      <c r="A1092" s="1031" t="s">
        <v>2308</v>
      </c>
      <c r="B1092" s="1043">
        <f>'[1]PLAN DE DESARROLLO 2024 - 2027'!$M$161</f>
        <v>0.24647581985093744</v>
      </c>
      <c r="C1092" s="1031" t="s">
        <v>2332</v>
      </c>
      <c r="D1092" s="1040">
        <f>'[1]PLAN DE DESARROLLO 2024 - 2027'!$M$191</f>
        <v>0.22981556695992181</v>
      </c>
      <c r="E1092" s="1031" t="s">
        <v>2336</v>
      </c>
      <c r="F1092" s="1041">
        <f>[2]Hoja1!$B$97</f>
        <v>0.29315510752688173</v>
      </c>
      <c r="G1092" s="1031" t="s">
        <v>1794</v>
      </c>
      <c r="H1092" s="1031" t="s">
        <v>1795</v>
      </c>
      <c r="I1092" s="1031"/>
      <c r="J1092" s="1031" t="s">
        <v>716</v>
      </c>
      <c r="K1092" s="1042" t="s">
        <v>2454</v>
      </c>
    </row>
    <row r="1093" spans="1:11" s="1028" customFormat="1" ht="30" x14ac:dyDescent="0.25">
      <c r="A1093" s="1031" t="s">
        <v>2308</v>
      </c>
      <c r="B1093" s="1043">
        <f>'[1]PLAN DE DESARROLLO 2024 - 2027'!$M$161</f>
        <v>0.24647581985093744</v>
      </c>
      <c r="C1093" s="1031" t="s">
        <v>2332</v>
      </c>
      <c r="D1093" s="1040">
        <f>'[1]PLAN DE DESARROLLO 2024 - 2027'!$M$191</f>
        <v>0.22981556695992181</v>
      </c>
      <c r="E1093" s="1031" t="s">
        <v>2336</v>
      </c>
      <c r="F1093" s="1041">
        <f>[2]Hoja1!$B$97</f>
        <v>0.29315510752688173</v>
      </c>
      <c r="G1093" s="1031" t="s">
        <v>1796</v>
      </c>
      <c r="H1093" s="1031" t="s">
        <v>1797</v>
      </c>
      <c r="I1093" s="1031"/>
      <c r="J1093" s="1031" t="s">
        <v>716</v>
      </c>
      <c r="K1093" s="1042" t="s">
        <v>2454</v>
      </c>
    </row>
    <row r="1094" spans="1:11" s="1028" customFormat="1" ht="30" x14ac:dyDescent="0.25">
      <c r="A1094" s="1031" t="s">
        <v>2308</v>
      </c>
      <c r="B1094" s="1043">
        <f>'[1]PLAN DE DESARROLLO 2024 - 2027'!$M$161</f>
        <v>0.24647581985093744</v>
      </c>
      <c r="C1094" s="1031" t="s">
        <v>2332</v>
      </c>
      <c r="D1094" s="1040">
        <f>'[1]PLAN DE DESARROLLO 2024 - 2027'!$M$191</f>
        <v>0.22981556695992181</v>
      </c>
      <c r="E1094" s="1031" t="s">
        <v>2336</v>
      </c>
      <c r="F1094" s="1041">
        <f>[2]Hoja1!$B$97</f>
        <v>0.29315510752688173</v>
      </c>
      <c r="G1094" s="1031" t="s">
        <v>1798</v>
      </c>
      <c r="H1094" s="1031" t="s">
        <v>1799</v>
      </c>
      <c r="I1094" s="1031"/>
      <c r="J1094" s="1031" t="s">
        <v>716</v>
      </c>
      <c r="K1094" s="1042" t="s">
        <v>2454</v>
      </c>
    </row>
    <row r="1095" spans="1:11" s="1028" customFormat="1" ht="30" x14ac:dyDescent="0.25">
      <c r="A1095" s="1031" t="s">
        <v>2308</v>
      </c>
      <c r="B1095" s="1043">
        <f>'[1]PLAN DE DESARROLLO 2024 - 2027'!$M$161</f>
        <v>0.24647581985093744</v>
      </c>
      <c r="C1095" s="1031" t="s">
        <v>2332</v>
      </c>
      <c r="D1095" s="1040">
        <f>'[1]PLAN DE DESARROLLO 2024 - 2027'!$M$191</f>
        <v>0.22981556695992181</v>
      </c>
      <c r="E1095" s="1031" t="s">
        <v>2336</v>
      </c>
      <c r="F1095" s="1041">
        <f>[2]Hoja1!$B$97</f>
        <v>0.29315510752688173</v>
      </c>
      <c r="G1095" s="1031" t="s">
        <v>1800</v>
      </c>
      <c r="H1095" s="1031" t="s">
        <v>1801</v>
      </c>
      <c r="I1095" s="1031"/>
      <c r="J1095" s="1031" t="s">
        <v>716</v>
      </c>
      <c r="K1095" s="1042" t="s">
        <v>2454</v>
      </c>
    </row>
    <row r="1096" spans="1:11" s="1028" customFormat="1" ht="30" x14ac:dyDescent="0.25">
      <c r="A1096" s="1031" t="s">
        <v>2308</v>
      </c>
      <c r="B1096" s="1043">
        <f>'[1]PLAN DE DESARROLLO 2024 - 2027'!$M$161</f>
        <v>0.24647581985093744</v>
      </c>
      <c r="C1096" s="1031" t="s">
        <v>2332</v>
      </c>
      <c r="D1096" s="1040">
        <f>'[1]PLAN DE DESARROLLO 2024 - 2027'!$M$191</f>
        <v>0.22981556695992181</v>
      </c>
      <c r="E1096" s="1031" t="s">
        <v>2336</v>
      </c>
      <c r="F1096" s="1041">
        <f>[2]Hoja1!$B$97</f>
        <v>0.29315510752688173</v>
      </c>
      <c r="G1096" s="1031" t="s">
        <v>1802</v>
      </c>
      <c r="H1096" s="1031" t="s">
        <v>1803</v>
      </c>
      <c r="I1096" s="1031"/>
      <c r="J1096" s="1031" t="s">
        <v>716</v>
      </c>
      <c r="K1096" s="1042" t="s">
        <v>2454</v>
      </c>
    </row>
    <row r="1097" spans="1:11" s="1028" customFormat="1" ht="30" x14ac:dyDescent="0.25">
      <c r="A1097" s="1031" t="s">
        <v>2215</v>
      </c>
      <c r="B1097" s="1043">
        <f>'[1]PLAN DE DESARROLLO 2024 - 2027'!$M$123</f>
        <v>0.20174333228533195</v>
      </c>
      <c r="C1097" s="1031" t="s">
        <v>2223</v>
      </c>
      <c r="D1097" s="1045">
        <f>'[1]PLAN DE DESARROLLO 2024 - 2027'!$M$153</f>
        <v>0.24618175</v>
      </c>
      <c r="E1097" s="1031" t="s">
        <v>2236</v>
      </c>
      <c r="F1097" s="1041">
        <f>[2]Hoja1!$B$131</f>
        <v>0.31600000000000006</v>
      </c>
      <c r="G1097" s="1031" t="s">
        <v>1490</v>
      </c>
      <c r="H1097" s="1031" t="s">
        <v>1491</v>
      </c>
      <c r="I1097" s="1031"/>
      <c r="J1097" s="1031" t="s">
        <v>2237</v>
      </c>
      <c r="K1097" s="1042" t="s">
        <v>2454</v>
      </c>
    </row>
    <row r="1098" spans="1:11" s="1028" customFormat="1" ht="30" x14ac:dyDescent="0.25">
      <c r="A1098" s="1031" t="s">
        <v>2215</v>
      </c>
      <c r="B1098" s="1043">
        <f>'[1]PLAN DE DESARROLLO 2024 - 2027'!$M$123</f>
        <v>0.20174333228533195</v>
      </c>
      <c r="C1098" s="1031" t="s">
        <v>2223</v>
      </c>
      <c r="D1098" s="1045">
        <f>'[1]PLAN DE DESARROLLO 2024 - 2027'!$M$153</f>
        <v>0.24618175</v>
      </c>
      <c r="E1098" s="1031" t="s">
        <v>2236</v>
      </c>
      <c r="F1098" s="1041">
        <f>[2]Hoja1!$B$131</f>
        <v>0.31600000000000006</v>
      </c>
      <c r="G1098" s="1031" t="s">
        <v>1493</v>
      </c>
      <c r="H1098" s="1031" t="s">
        <v>1494</v>
      </c>
      <c r="I1098" s="1031"/>
      <c r="J1098" s="1031" t="s">
        <v>925</v>
      </c>
      <c r="K1098" s="1042" t="s">
        <v>2454</v>
      </c>
    </row>
    <row r="1099" spans="1:11" s="1028" customFormat="1" ht="30" x14ac:dyDescent="0.25">
      <c r="A1099" s="1031" t="s">
        <v>2215</v>
      </c>
      <c r="B1099" s="1043">
        <f>'[1]PLAN DE DESARROLLO 2024 - 2027'!$M$123</f>
        <v>0.20174333228533195</v>
      </c>
      <c r="C1099" s="1031" t="s">
        <v>2223</v>
      </c>
      <c r="D1099" s="1045">
        <f>'[1]PLAN DE DESARROLLO 2024 - 2027'!$M$153</f>
        <v>0.24618175</v>
      </c>
      <c r="E1099" s="1031" t="s">
        <v>2236</v>
      </c>
      <c r="F1099" s="1041">
        <f>[2]Hoja1!$B$131</f>
        <v>0.31600000000000006</v>
      </c>
      <c r="G1099" s="1031" t="s">
        <v>1495</v>
      </c>
      <c r="H1099" s="1031" t="s">
        <v>1496</v>
      </c>
      <c r="I1099" s="1031"/>
      <c r="J1099" s="1031" t="s">
        <v>925</v>
      </c>
      <c r="K1099" s="1042" t="s">
        <v>2454</v>
      </c>
    </row>
    <row r="1100" spans="1:11" s="1028" customFormat="1" ht="30" x14ac:dyDescent="0.25">
      <c r="A1100" s="1031" t="s">
        <v>2395</v>
      </c>
      <c r="B1100" s="1039">
        <f>'[1]PLAN DE DESARROLLO 2024 - 2027'!$M$46</f>
        <v>0.25251661967012345</v>
      </c>
      <c r="C1100" s="1031" t="s">
        <v>2396</v>
      </c>
      <c r="D1100" s="1040">
        <f>'[1]PLAN DE DESARROLLO 2024 - 2027'!$M$47</f>
        <v>0.26592582694462413</v>
      </c>
      <c r="E1100" s="1031" t="s">
        <v>625</v>
      </c>
      <c r="F1100" s="1041">
        <f>[2]Hoja1!$B$67</f>
        <v>0.60631944444444441</v>
      </c>
      <c r="G1100" s="1031" t="s">
        <v>631</v>
      </c>
      <c r="H1100" s="1031" t="s">
        <v>632</v>
      </c>
      <c r="I1100" s="1031"/>
      <c r="J1100" s="1031" t="s">
        <v>628</v>
      </c>
      <c r="K1100" s="1042" t="s">
        <v>2454</v>
      </c>
    </row>
    <row r="1101" spans="1:11" s="1028" customFormat="1" ht="30" x14ac:dyDescent="0.25">
      <c r="A1101" s="1031" t="s">
        <v>2395</v>
      </c>
      <c r="B1101" s="1039">
        <f>'[1]PLAN DE DESARROLLO 2024 - 2027'!$M$46</f>
        <v>0.25251661967012345</v>
      </c>
      <c r="C1101" s="1031" t="s">
        <v>2396</v>
      </c>
      <c r="D1101" s="1040">
        <f>'[1]PLAN DE DESARROLLO 2024 - 2027'!$M$47</f>
        <v>0.26592582694462413</v>
      </c>
      <c r="E1101" s="1031" t="s">
        <v>625</v>
      </c>
      <c r="F1101" s="1041">
        <f>[2]Hoja1!$B$67</f>
        <v>0.60631944444444441</v>
      </c>
      <c r="G1101" s="1031" t="s">
        <v>633</v>
      </c>
      <c r="H1101" s="1031" t="s">
        <v>634</v>
      </c>
      <c r="I1101" s="1031"/>
      <c r="J1101" s="1031" t="s">
        <v>628</v>
      </c>
      <c r="K1101" s="1042" t="s">
        <v>2454</v>
      </c>
    </row>
    <row r="1102" spans="1:11" s="1028" customFormat="1" x14ac:dyDescent="0.25">
      <c r="A1102" s="1031" t="s">
        <v>2395</v>
      </c>
      <c r="B1102" s="1039">
        <f>'[1]PLAN DE DESARROLLO 2024 - 2027'!$M$46</f>
        <v>0.25251661967012345</v>
      </c>
      <c r="C1102" s="1031" t="s">
        <v>2396</v>
      </c>
      <c r="D1102" s="1040">
        <f>'[1]PLAN DE DESARROLLO 2024 - 2027'!$M$47</f>
        <v>0.26592582694462413</v>
      </c>
      <c r="E1102" s="1031" t="s">
        <v>625</v>
      </c>
      <c r="F1102" s="1041">
        <f>[2]Hoja1!$B$67</f>
        <v>0.60631944444444441</v>
      </c>
      <c r="G1102" s="1031" t="s">
        <v>636</v>
      </c>
      <c r="H1102" s="1031" t="s">
        <v>637</v>
      </c>
      <c r="I1102" s="1031"/>
      <c r="J1102" s="1031" t="s">
        <v>628</v>
      </c>
      <c r="K1102" s="1042" t="s">
        <v>2454</v>
      </c>
    </row>
    <row r="1103" spans="1:11" s="1028" customFormat="1" ht="30" x14ac:dyDescent="0.25">
      <c r="A1103" s="1031" t="s">
        <v>2395</v>
      </c>
      <c r="B1103" s="1039">
        <f>'[1]PLAN DE DESARROLLO 2024 - 2027'!$M$46</f>
        <v>0.25251661967012345</v>
      </c>
      <c r="C1103" s="1031" t="s">
        <v>2396</v>
      </c>
      <c r="D1103" s="1040">
        <f>'[1]PLAN DE DESARROLLO 2024 - 2027'!$M$47</f>
        <v>0.26592582694462413</v>
      </c>
      <c r="E1103" s="1031" t="s">
        <v>2413</v>
      </c>
      <c r="F1103" s="1041">
        <f>[2]Hoja1!$B$68</f>
        <v>0.3801401869158878</v>
      </c>
      <c r="G1103" s="1031" t="s">
        <v>562</v>
      </c>
      <c r="H1103" s="1031" t="s">
        <v>563</v>
      </c>
      <c r="I1103" s="1031"/>
      <c r="J1103" s="1031" t="s">
        <v>2397</v>
      </c>
      <c r="K1103" s="1042" t="s">
        <v>2454</v>
      </c>
    </row>
    <row r="1104" spans="1:11" s="1028" customFormat="1" ht="30" x14ac:dyDescent="0.25">
      <c r="A1104" s="1031" t="s">
        <v>2395</v>
      </c>
      <c r="B1104" s="1039">
        <f>'[1]PLAN DE DESARROLLO 2024 - 2027'!$M$46</f>
        <v>0.25251661967012345</v>
      </c>
      <c r="C1104" s="1031" t="s">
        <v>2396</v>
      </c>
      <c r="D1104" s="1040">
        <f>'[1]PLAN DE DESARROLLO 2024 - 2027'!$M$47</f>
        <v>0.26592582694462413</v>
      </c>
      <c r="E1104" s="1031" t="s">
        <v>2413</v>
      </c>
      <c r="F1104" s="1041">
        <f>[2]Hoja1!$B$68</f>
        <v>0.3801401869158878</v>
      </c>
      <c r="G1104" s="1031" t="s">
        <v>564</v>
      </c>
      <c r="H1104" s="1031" t="s">
        <v>565</v>
      </c>
      <c r="I1104" s="1031"/>
      <c r="J1104" s="1031" t="s">
        <v>2397</v>
      </c>
      <c r="K1104" s="1042" t="s">
        <v>2454</v>
      </c>
    </row>
    <row r="1105" spans="1:11" s="1028" customFormat="1" ht="30" x14ac:dyDescent="0.25">
      <c r="A1105" s="1031" t="s">
        <v>2395</v>
      </c>
      <c r="B1105" s="1039">
        <f>'[1]PLAN DE DESARROLLO 2024 - 2027'!$M$46</f>
        <v>0.25251661967012345</v>
      </c>
      <c r="C1105" s="1031" t="s">
        <v>2396</v>
      </c>
      <c r="D1105" s="1040">
        <f>'[1]PLAN DE DESARROLLO 2024 - 2027'!$M$47</f>
        <v>0.26592582694462413</v>
      </c>
      <c r="E1105" s="1031" t="s">
        <v>2413</v>
      </c>
      <c r="F1105" s="1041">
        <f>[2]Hoja1!$B$68</f>
        <v>0.3801401869158878</v>
      </c>
      <c r="G1105" s="1031" t="s">
        <v>566</v>
      </c>
      <c r="H1105" s="1031" t="s">
        <v>567</v>
      </c>
      <c r="I1105" s="1031"/>
      <c r="J1105" s="1031" t="s">
        <v>2397</v>
      </c>
      <c r="K1105" s="1042" t="s">
        <v>2454</v>
      </c>
    </row>
    <row r="1106" spans="1:11" s="1028" customFormat="1" ht="45" x14ac:dyDescent="0.25">
      <c r="A1106" s="1031" t="s">
        <v>2395</v>
      </c>
      <c r="B1106" s="1039">
        <f>'[1]PLAN DE DESARROLLO 2024 - 2027'!$M$46</f>
        <v>0.25251661967012345</v>
      </c>
      <c r="C1106" s="1031" t="s">
        <v>2396</v>
      </c>
      <c r="D1106" s="1040">
        <f>'[1]PLAN DE DESARROLLO 2024 - 2027'!$M$47</f>
        <v>0.26592582694462413</v>
      </c>
      <c r="E1106" s="1031" t="s">
        <v>2414</v>
      </c>
      <c r="F1106" s="1041">
        <f>[2]Hoja1!$B$71</f>
        <v>0.19542056074766356</v>
      </c>
      <c r="G1106" s="1031" t="s">
        <v>569</v>
      </c>
      <c r="H1106" s="1031" t="s">
        <v>570</v>
      </c>
      <c r="I1106" s="1031"/>
      <c r="J1106" s="1031" t="s">
        <v>2397</v>
      </c>
      <c r="K1106" s="1042" t="s">
        <v>2454</v>
      </c>
    </row>
    <row r="1107" spans="1:11" s="1028" customFormat="1" ht="30" x14ac:dyDescent="0.25">
      <c r="A1107" s="1031" t="s">
        <v>2215</v>
      </c>
      <c r="B1107" s="1043">
        <f>'[1]PLAN DE DESARROLLO 2024 - 2027'!$M$123</f>
        <v>0.20174333228533195</v>
      </c>
      <c r="C1107" s="1031" t="s">
        <v>2223</v>
      </c>
      <c r="D1107" s="1045">
        <f>'[1]PLAN DE DESARROLLO 2024 - 2027'!$M$153</f>
        <v>0.24618175</v>
      </c>
      <c r="E1107" s="1031" t="s">
        <v>2236</v>
      </c>
      <c r="F1107" s="1041">
        <f>[2]Hoja1!$B$131</f>
        <v>0.31600000000000006</v>
      </c>
      <c r="G1107" s="1031" t="s">
        <v>1498</v>
      </c>
      <c r="H1107" s="1031" t="s">
        <v>1499</v>
      </c>
      <c r="I1107" s="1031"/>
      <c r="J1107" s="1031" t="s">
        <v>716</v>
      </c>
      <c r="K1107" s="1042" t="s">
        <v>2454</v>
      </c>
    </row>
    <row r="1108" spans="1:11" s="1028" customFormat="1" ht="30" x14ac:dyDescent="0.25">
      <c r="A1108" s="1031" t="s">
        <v>2215</v>
      </c>
      <c r="B1108" s="1043">
        <f>'[1]PLAN DE DESARROLLO 2024 - 2027'!$M$123</f>
        <v>0.20174333228533195</v>
      </c>
      <c r="C1108" s="1031" t="s">
        <v>2223</v>
      </c>
      <c r="D1108" s="1045">
        <f>'[1]PLAN DE DESARROLLO 2024 - 2027'!$M$153</f>
        <v>0.24618175</v>
      </c>
      <c r="E1108" s="1031" t="s">
        <v>2236</v>
      </c>
      <c r="F1108" s="1041">
        <f>[2]Hoja1!$B$131</f>
        <v>0.31600000000000006</v>
      </c>
      <c r="G1108" s="1031" t="s">
        <v>1500</v>
      </c>
      <c r="H1108" s="1031" t="s">
        <v>1501</v>
      </c>
      <c r="I1108" s="1031"/>
      <c r="J1108" s="1031" t="s">
        <v>2234</v>
      </c>
      <c r="K1108" s="1042" t="s">
        <v>2454</v>
      </c>
    </row>
    <row r="1109" spans="1:11" s="1028" customFormat="1" ht="21.75" customHeight="1" x14ac:dyDescent="0.25">
      <c r="A1109" s="1031" t="s">
        <v>2215</v>
      </c>
      <c r="B1109" s="1043">
        <f>'[1]PLAN DE DESARROLLO 2024 - 2027'!$M$123</f>
        <v>0.20174333228533195</v>
      </c>
      <c r="C1109" s="1031" t="s">
        <v>2216</v>
      </c>
      <c r="D1109" s="1045">
        <f>'[1]PLAN DE DESARROLLO 2024 - 2027'!$M$143</f>
        <v>9.5123946428571443E-2</v>
      </c>
      <c r="E1109" s="1031" t="s">
        <v>2217</v>
      </c>
      <c r="F1109" s="1041">
        <f>[2]Hoja1!$B$39</f>
        <v>0.01</v>
      </c>
      <c r="G1109" s="1031" t="s">
        <v>1353</v>
      </c>
      <c r="H1109" s="1031" t="s">
        <v>1354</v>
      </c>
      <c r="I1109" s="1031"/>
      <c r="J1109" s="1031" t="s">
        <v>2218</v>
      </c>
      <c r="K1109" s="1042" t="s">
        <v>2454</v>
      </c>
    </row>
    <row r="1110" spans="1:11" s="1028" customFormat="1" ht="30" x14ac:dyDescent="0.25">
      <c r="A1110" s="1031" t="s">
        <v>2395</v>
      </c>
      <c r="B1110" s="1039">
        <f>'[1]PLAN DE DESARROLLO 2024 - 2027'!$M$46</f>
        <v>0.25251661967012345</v>
      </c>
      <c r="C1110" s="1031" t="s">
        <v>2396</v>
      </c>
      <c r="D1110" s="1040">
        <f>'[1]PLAN DE DESARROLLO 2024 - 2027'!$M$47</f>
        <v>0.26592582694462413</v>
      </c>
      <c r="E1110" s="1031" t="s">
        <v>2414</v>
      </c>
      <c r="F1110" s="1041">
        <f>[2]Hoja1!$B$71</f>
        <v>0.19542056074766356</v>
      </c>
      <c r="G1110" s="1031" t="s">
        <v>571</v>
      </c>
      <c r="H1110" s="1031" t="s">
        <v>572</v>
      </c>
      <c r="I1110" s="1031"/>
      <c r="J1110" s="1031" t="s">
        <v>2397</v>
      </c>
      <c r="K1110" s="1042" t="s">
        <v>2454</v>
      </c>
    </row>
    <row r="1111" spans="1:11" s="1028" customFormat="1" ht="45" x14ac:dyDescent="0.25">
      <c r="A1111" s="1031" t="s">
        <v>2395</v>
      </c>
      <c r="B1111" s="1039">
        <f>'[1]PLAN DE DESARROLLO 2024 - 2027'!$M$46</f>
        <v>0.25251661967012345</v>
      </c>
      <c r="C1111" s="1031" t="s">
        <v>2396</v>
      </c>
      <c r="D1111" s="1040">
        <f>'[1]PLAN DE DESARROLLO 2024 - 2027'!$M$47</f>
        <v>0.26592582694462413</v>
      </c>
      <c r="E1111" s="1031" t="s">
        <v>2414</v>
      </c>
      <c r="F1111" s="1041">
        <f>[2]Hoja1!$B$71</f>
        <v>0.19542056074766356</v>
      </c>
      <c r="G1111" s="1031" t="s">
        <v>2415</v>
      </c>
      <c r="H1111" s="1031" t="s">
        <v>2416</v>
      </c>
      <c r="I1111" s="1031"/>
      <c r="J1111" s="1031" t="s">
        <v>2397</v>
      </c>
      <c r="K1111" s="1042" t="s">
        <v>2454</v>
      </c>
    </row>
    <row r="1112" spans="1:11" s="1028" customFormat="1" ht="45" x14ac:dyDescent="0.25">
      <c r="A1112" s="1031" t="s">
        <v>2395</v>
      </c>
      <c r="B1112" s="1039">
        <f>'[1]PLAN DE DESARROLLO 2024 - 2027'!$M$46</f>
        <v>0.25251661967012345</v>
      </c>
      <c r="C1112" s="1031" t="s">
        <v>2396</v>
      </c>
      <c r="D1112" s="1040">
        <f>'[1]PLAN DE DESARROLLO 2024 - 2027'!$M$47</f>
        <v>0.26592582694462413</v>
      </c>
      <c r="E1112" s="1031" t="s">
        <v>2412</v>
      </c>
      <c r="F1112" s="1041">
        <f>[2]Hoja1!$B$100</f>
        <v>0.22135057471264369</v>
      </c>
      <c r="G1112" s="1031" t="s">
        <v>545</v>
      </c>
      <c r="H1112" s="1031" t="s">
        <v>546</v>
      </c>
      <c r="I1112" s="1031"/>
      <c r="J1112" s="1031" t="s">
        <v>2397</v>
      </c>
      <c r="K1112" s="1042" t="s">
        <v>2454</v>
      </c>
    </row>
    <row r="1113" spans="1:11" s="1028" customFormat="1" ht="30" x14ac:dyDescent="0.25">
      <c r="A1113" s="1031" t="s">
        <v>2395</v>
      </c>
      <c r="B1113" s="1039">
        <f>'[1]PLAN DE DESARROLLO 2024 - 2027'!$M$46</f>
        <v>0.25251661967012345</v>
      </c>
      <c r="C1113" s="1031" t="s">
        <v>2396</v>
      </c>
      <c r="D1113" s="1040">
        <f>'[1]PLAN DE DESARROLLO 2024 - 2027'!$M$47</f>
        <v>0.26592582694462413</v>
      </c>
      <c r="E1113" s="1031" t="s">
        <v>2412</v>
      </c>
      <c r="F1113" s="1041">
        <f>[2]Hoja1!$B$100</f>
        <v>0.22135057471264369</v>
      </c>
      <c r="G1113" s="1031" t="s">
        <v>547</v>
      </c>
      <c r="H1113" s="1031" t="s">
        <v>548</v>
      </c>
      <c r="I1113" s="1031"/>
      <c r="J1113" s="1031" t="s">
        <v>2397</v>
      </c>
      <c r="K1113" s="1042" t="s">
        <v>2454</v>
      </c>
    </row>
    <row r="1114" spans="1:11" s="1028" customFormat="1" ht="30" x14ac:dyDescent="0.25">
      <c r="A1114" s="1031" t="s">
        <v>2395</v>
      </c>
      <c r="B1114" s="1039">
        <f>'[1]PLAN DE DESARROLLO 2024 - 2027'!$M$46</f>
        <v>0.25251661967012345</v>
      </c>
      <c r="C1114" s="1031" t="s">
        <v>2396</v>
      </c>
      <c r="D1114" s="1040">
        <f>'[1]PLAN DE DESARROLLO 2024 - 2027'!$M$47</f>
        <v>0.26592582694462413</v>
      </c>
      <c r="E1114" s="1031" t="s">
        <v>2412</v>
      </c>
      <c r="F1114" s="1041">
        <f>[2]Hoja1!$B$100</f>
        <v>0.22135057471264369</v>
      </c>
      <c r="G1114" s="1031" t="s">
        <v>549</v>
      </c>
      <c r="H1114" s="1031" t="s">
        <v>550</v>
      </c>
      <c r="I1114" s="1031"/>
      <c r="J1114" s="1031" t="s">
        <v>2397</v>
      </c>
      <c r="K1114" s="1042" t="s">
        <v>2454</v>
      </c>
    </row>
    <row r="1115" spans="1:11" s="1028" customFormat="1" ht="30" x14ac:dyDescent="0.25">
      <c r="A1115" s="1031" t="s">
        <v>2308</v>
      </c>
      <c r="B1115" s="1043">
        <f>'[1]PLAN DE DESARROLLO 2024 - 2027'!$M$161</f>
        <v>0.24647581985093744</v>
      </c>
      <c r="C1115" s="1031" t="s">
        <v>2310</v>
      </c>
      <c r="D1115" s="1040">
        <f>'[1]PLAN DE DESARROLLO 2024 - 2027'!$M$166</f>
        <v>0.23451309458253802</v>
      </c>
      <c r="E1115" s="1031" t="s">
        <v>1594</v>
      </c>
      <c r="F1115" s="1041">
        <f>[2]Hoja1!$B$103</f>
        <v>0.25</v>
      </c>
      <c r="G1115" s="1031" t="s">
        <v>1595</v>
      </c>
      <c r="H1115" s="1031" t="s">
        <v>1596</v>
      </c>
      <c r="I1115" s="1031"/>
      <c r="J1115" s="1031" t="s">
        <v>658</v>
      </c>
      <c r="K1115" s="1042" t="s">
        <v>2454</v>
      </c>
    </row>
    <row r="1116" spans="1:11" s="1028" customFormat="1" ht="30" x14ac:dyDescent="0.25">
      <c r="A1116" s="1031" t="s">
        <v>2308</v>
      </c>
      <c r="B1116" s="1043">
        <f>'[1]PLAN DE DESARROLLO 2024 - 2027'!$M$161</f>
        <v>0.24647581985093744</v>
      </c>
      <c r="C1116" s="1031" t="s">
        <v>2310</v>
      </c>
      <c r="D1116" s="1040">
        <f>'[1]PLAN DE DESARROLLO 2024 - 2027'!$M$166</f>
        <v>0.23451309458253802</v>
      </c>
      <c r="E1116" s="1031" t="s">
        <v>1594</v>
      </c>
      <c r="F1116" s="1041">
        <f>[2]Hoja1!$B$103</f>
        <v>0.25</v>
      </c>
      <c r="G1116" s="1031" t="s">
        <v>1598</v>
      </c>
      <c r="H1116" s="1031" t="s">
        <v>1599</v>
      </c>
      <c r="I1116" s="1031"/>
      <c r="J1116" s="1031" t="s">
        <v>658</v>
      </c>
      <c r="K1116" s="1042" t="s">
        <v>2454</v>
      </c>
    </row>
    <row r="1117" spans="1:11" s="1028" customFormat="1" x14ac:dyDescent="0.25">
      <c r="A1117" s="1031" t="s">
        <v>2395</v>
      </c>
      <c r="B1117" s="1039">
        <f>'[1]PLAN DE DESARROLLO 2024 - 2027'!$M$46</f>
        <v>0.25251661967012345</v>
      </c>
      <c r="C1117" s="1031" t="s">
        <v>2396</v>
      </c>
      <c r="D1117" s="1040">
        <f>'[1]PLAN DE DESARROLLO 2024 - 2027'!$M$47</f>
        <v>0.26592582694462413</v>
      </c>
      <c r="E1117" s="1031" t="s">
        <v>2412</v>
      </c>
      <c r="F1117" s="1041">
        <f>[2]Hoja1!$B$100</f>
        <v>0.22135057471264369</v>
      </c>
      <c r="G1117" s="1031" t="s">
        <v>551</v>
      </c>
      <c r="H1117" s="1031" t="s">
        <v>552</v>
      </c>
      <c r="I1117" s="1031"/>
      <c r="J1117" s="1031" t="s">
        <v>2397</v>
      </c>
      <c r="K1117" s="1042" t="s">
        <v>2454</v>
      </c>
    </row>
    <row r="1118" spans="1:11" s="1028" customFormat="1" ht="30" x14ac:dyDescent="0.25">
      <c r="A1118" s="1031" t="s">
        <v>2395</v>
      </c>
      <c r="B1118" s="1039">
        <f>'[1]PLAN DE DESARROLLO 2024 - 2027'!$M$46</f>
        <v>0.25251661967012345</v>
      </c>
      <c r="C1118" s="1031" t="s">
        <v>2396</v>
      </c>
      <c r="D1118" s="1040">
        <f>'[1]PLAN DE DESARROLLO 2024 - 2027'!$M$47</f>
        <v>0.26592582694462413</v>
      </c>
      <c r="E1118" s="1031" t="s">
        <v>2412</v>
      </c>
      <c r="F1118" s="1041">
        <f>[2]Hoja1!$B$100</f>
        <v>0.22135057471264369</v>
      </c>
      <c r="G1118" s="1031" t="s">
        <v>553</v>
      </c>
      <c r="H1118" s="1031" t="s">
        <v>554</v>
      </c>
      <c r="I1118" s="1031"/>
      <c r="J1118" s="1031" t="s">
        <v>2397</v>
      </c>
      <c r="K1118" s="1042" t="s">
        <v>2454</v>
      </c>
    </row>
    <row r="1119" spans="1:11" s="1028" customFormat="1" ht="30" x14ac:dyDescent="0.25">
      <c r="A1119" s="1031" t="s">
        <v>2395</v>
      </c>
      <c r="B1119" s="1039">
        <f>'[1]PLAN DE DESARROLLO 2024 - 2027'!$M$46</f>
        <v>0.25251661967012345</v>
      </c>
      <c r="C1119" s="1031" t="s">
        <v>2396</v>
      </c>
      <c r="D1119" s="1040">
        <f>'[1]PLAN DE DESARROLLO 2024 - 2027'!$M$47</f>
        <v>0.26592582694462413</v>
      </c>
      <c r="E1119" s="1031" t="s">
        <v>487</v>
      </c>
      <c r="F1119" s="1041">
        <f>[2]Hoja1!$B$102</f>
        <v>0.30189198330677819</v>
      </c>
      <c r="G1119" s="1031" t="s">
        <v>488</v>
      </c>
      <c r="H1119" s="1031" t="s">
        <v>489</v>
      </c>
      <c r="I1119" s="1031"/>
      <c r="J1119" s="1031" t="s">
        <v>2397</v>
      </c>
      <c r="K1119" s="1042" t="s">
        <v>2454</v>
      </c>
    </row>
    <row r="1120" spans="1:11" s="1028" customFormat="1" ht="45" x14ac:dyDescent="0.25">
      <c r="A1120" s="1031" t="s">
        <v>2395</v>
      </c>
      <c r="B1120" s="1039">
        <f>'[1]PLAN DE DESARROLLO 2024 - 2027'!$M$46</f>
        <v>0.25251661967012345</v>
      </c>
      <c r="C1120" s="1031" t="s">
        <v>2396</v>
      </c>
      <c r="D1120" s="1040">
        <f>'[1]PLAN DE DESARROLLO 2024 - 2027'!$M$47</f>
        <v>0.26592582694462413</v>
      </c>
      <c r="E1120" s="1031" t="s">
        <v>487</v>
      </c>
      <c r="F1120" s="1041">
        <f>[2]Hoja1!$B$102</f>
        <v>0.30189198330677819</v>
      </c>
      <c r="G1120" s="1031" t="s">
        <v>491</v>
      </c>
      <c r="H1120" s="1031" t="s">
        <v>492</v>
      </c>
      <c r="I1120" s="1031"/>
      <c r="J1120" s="1031" t="s">
        <v>2397</v>
      </c>
      <c r="K1120" s="1042" t="s">
        <v>2454</v>
      </c>
    </row>
    <row r="1121" spans="1:11" s="1028" customFormat="1" ht="30" x14ac:dyDescent="0.25">
      <c r="A1121" s="1031" t="s">
        <v>2395</v>
      </c>
      <c r="B1121" s="1039">
        <f>'[1]PLAN DE DESARROLLO 2024 - 2027'!$M$46</f>
        <v>0.25251661967012345</v>
      </c>
      <c r="C1121" s="1031" t="s">
        <v>2396</v>
      </c>
      <c r="D1121" s="1040">
        <f>'[1]PLAN DE DESARROLLO 2024 - 2027'!$M$47</f>
        <v>0.26592582694462413</v>
      </c>
      <c r="E1121" s="1031" t="s">
        <v>487</v>
      </c>
      <c r="F1121" s="1041">
        <f>[2]Hoja1!$B$102</f>
        <v>0.30189198330677819</v>
      </c>
      <c r="G1121" s="1031" t="s">
        <v>494</v>
      </c>
      <c r="H1121" s="1031" t="s">
        <v>495</v>
      </c>
      <c r="I1121" s="1031"/>
      <c r="J1121" s="1031" t="s">
        <v>2397</v>
      </c>
      <c r="K1121" s="1042" t="s">
        <v>2454</v>
      </c>
    </row>
    <row r="1122" spans="1:11" s="1028" customFormat="1" ht="30" x14ac:dyDescent="0.25">
      <c r="A1122" s="1031" t="s">
        <v>2266</v>
      </c>
      <c r="B1122" s="1043">
        <f>'[1]PLAN DE DESARROLLO 2024 - 2027'!$M$92</f>
        <v>0.25050860314981654</v>
      </c>
      <c r="C1122" s="1031" t="s">
        <v>2284</v>
      </c>
      <c r="D1122" s="1040">
        <f>'[1]PLAN DE DESARROLLO 2024 - 2027'!$M$120</f>
        <v>0.19011249999999999</v>
      </c>
      <c r="E1122" s="1031" t="s">
        <v>2287</v>
      </c>
      <c r="F1122" s="1041">
        <f>[2]Hoja1!$B$45</f>
        <v>0.44538461538461538</v>
      </c>
      <c r="G1122" s="1031" t="s">
        <v>972</v>
      </c>
      <c r="H1122" s="1031" t="s">
        <v>973</v>
      </c>
      <c r="I1122" s="1031"/>
      <c r="J1122" s="1031" t="s">
        <v>103</v>
      </c>
      <c r="K1122" s="1042" t="s">
        <v>2454</v>
      </c>
    </row>
    <row r="1123" spans="1:11" s="1028" customFormat="1" ht="45" x14ac:dyDescent="0.25">
      <c r="A1123" s="1031" t="s">
        <v>2266</v>
      </c>
      <c r="B1123" s="1043">
        <f>'[1]PLAN DE DESARROLLO 2024 - 2027'!$M$92</f>
        <v>0.25050860314981654</v>
      </c>
      <c r="C1123" s="1031" t="s">
        <v>2284</v>
      </c>
      <c r="D1123" s="1040">
        <f>'[1]PLAN DE DESARROLLO 2024 - 2027'!$M$120</f>
        <v>0.19011249999999999</v>
      </c>
      <c r="E1123" s="1031" t="s">
        <v>2285</v>
      </c>
      <c r="F1123" s="1041">
        <f>[2]Hoja1!$B$58</f>
        <v>9.4384999999999997E-2</v>
      </c>
      <c r="G1123" s="1031" t="s">
        <v>948</v>
      </c>
      <c r="H1123" s="1031" t="s">
        <v>949</v>
      </c>
      <c r="I1123" s="1031"/>
      <c r="J1123" s="1031" t="s">
        <v>950</v>
      </c>
      <c r="K1123" s="1042" t="s">
        <v>2454</v>
      </c>
    </row>
    <row r="1124" spans="1:11" s="1028" customFormat="1" ht="60" x14ac:dyDescent="0.25">
      <c r="A1124" s="1031" t="s">
        <v>2395</v>
      </c>
      <c r="B1124" s="1039">
        <f>'[1]PLAN DE DESARROLLO 2024 - 2027'!$M$46</f>
        <v>0.25251661967012345</v>
      </c>
      <c r="C1124" s="1031" t="s">
        <v>2396</v>
      </c>
      <c r="D1124" s="1040">
        <f>'[1]PLAN DE DESARROLLO 2024 - 2027'!$M$47</f>
        <v>0.26592582694462413</v>
      </c>
      <c r="E1124" s="1031" t="s">
        <v>487</v>
      </c>
      <c r="F1124" s="1041">
        <f>[2]Hoja1!$B$102</f>
        <v>0.30189198330677819</v>
      </c>
      <c r="G1124" s="1031" t="s">
        <v>496</v>
      </c>
      <c r="H1124" s="1031" t="s">
        <v>497</v>
      </c>
      <c r="I1124" s="1031"/>
      <c r="J1124" s="1031" t="s">
        <v>2397</v>
      </c>
      <c r="K1124" s="1042" t="s">
        <v>2454</v>
      </c>
    </row>
    <row r="1125" spans="1:11" s="1028" customFormat="1" ht="45" x14ac:dyDescent="0.25">
      <c r="A1125" s="1031" t="s">
        <v>2395</v>
      </c>
      <c r="B1125" s="1039">
        <f>'[1]PLAN DE DESARROLLO 2024 - 2027'!$M$46</f>
        <v>0.25251661967012345</v>
      </c>
      <c r="C1125" s="1031" t="s">
        <v>2396</v>
      </c>
      <c r="D1125" s="1040">
        <f>'[1]PLAN DE DESARROLLO 2024 - 2027'!$M$47</f>
        <v>0.26592582694462413</v>
      </c>
      <c r="E1125" s="1031" t="s">
        <v>487</v>
      </c>
      <c r="F1125" s="1041">
        <f>[2]Hoja1!$B$102</f>
        <v>0.30189198330677819</v>
      </c>
      <c r="G1125" s="1031" t="s">
        <v>498</v>
      </c>
      <c r="H1125" s="1031" t="s">
        <v>499</v>
      </c>
      <c r="I1125" s="1031"/>
      <c r="J1125" s="1031" t="s">
        <v>2397</v>
      </c>
      <c r="K1125" s="1042" t="s">
        <v>2454</v>
      </c>
    </row>
    <row r="1126" spans="1:11" s="1028" customFormat="1" ht="30" x14ac:dyDescent="0.25">
      <c r="A1126" s="1031" t="s">
        <v>2395</v>
      </c>
      <c r="B1126" s="1039">
        <f>'[1]PLAN DE DESARROLLO 2024 - 2027'!$M$46</f>
        <v>0.25251661967012345</v>
      </c>
      <c r="C1126" s="1031" t="s">
        <v>2396</v>
      </c>
      <c r="D1126" s="1040">
        <f>'[1]PLAN DE DESARROLLO 2024 - 2027'!$M$47</f>
        <v>0.26592582694462413</v>
      </c>
      <c r="E1126" s="1031" t="s">
        <v>464</v>
      </c>
      <c r="F1126" s="1041">
        <f>[2]Hoja1!$B$110</f>
        <v>0.16166666666666668</v>
      </c>
      <c r="G1126" s="1031" t="s">
        <v>465</v>
      </c>
      <c r="H1126" s="1031" t="s">
        <v>466</v>
      </c>
      <c r="I1126" s="1031"/>
      <c r="J1126" s="1031" t="s">
        <v>2397</v>
      </c>
      <c r="K1126" s="1042" t="s">
        <v>2454</v>
      </c>
    </row>
    <row r="1127" spans="1:11" s="1028" customFormat="1" ht="30" x14ac:dyDescent="0.25">
      <c r="A1127" s="1031" t="s">
        <v>2308</v>
      </c>
      <c r="B1127" s="1043">
        <f>'[1]PLAN DE DESARROLLO 2024 - 2027'!$M$161</f>
        <v>0.24647581985093744</v>
      </c>
      <c r="C1127" s="1031" t="s">
        <v>2310</v>
      </c>
      <c r="D1127" s="1040">
        <f>'[1]PLAN DE DESARROLLO 2024 - 2027'!$M$166</f>
        <v>0.23451309458253802</v>
      </c>
      <c r="E1127" s="1031" t="s">
        <v>2321</v>
      </c>
      <c r="F1127" s="1041">
        <f>[2]Hoja1!$B$109</f>
        <v>0.44041666666666668</v>
      </c>
      <c r="G1127" s="1031" t="s">
        <v>1584</v>
      </c>
      <c r="H1127" s="1031" t="s">
        <v>1585</v>
      </c>
      <c r="I1127" s="1031"/>
      <c r="J1127" s="1031" t="s">
        <v>658</v>
      </c>
      <c r="K1127" s="1042" t="s">
        <v>2454</v>
      </c>
    </row>
    <row r="1128" spans="1:11" s="1028" customFormat="1" ht="30" x14ac:dyDescent="0.25">
      <c r="A1128" s="1031" t="s">
        <v>2308</v>
      </c>
      <c r="B1128" s="1043">
        <f>'[1]PLAN DE DESARROLLO 2024 - 2027'!$M$161</f>
        <v>0.24647581985093744</v>
      </c>
      <c r="C1128" s="1031" t="s">
        <v>2310</v>
      </c>
      <c r="D1128" s="1040">
        <f>'[1]PLAN DE DESARROLLO 2024 - 2027'!$M$166</f>
        <v>0.23451309458253802</v>
      </c>
      <c r="E1128" s="1031" t="s">
        <v>2321</v>
      </c>
      <c r="F1128" s="1041">
        <f>[2]Hoja1!$B$109</f>
        <v>0.44041666666666668</v>
      </c>
      <c r="G1128" s="1031" t="s">
        <v>1587</v>
      </c>
      <c r="H1128" s="1031" t="s">
        <v>1588</v>
      </c>
      <c r="I1128" s="1031"/>
      <c r="J1128" s="1031" t="s">
        <v>658</v>
      </c>
      <c r="K1128" s="1042" t="s">
        <v>2454</v>
      </c>
    </row>
    <row r="1129" spans="1:11" s="1028" customFormat="1" ht="30" x14ac:dyDescent="0.25">
      <c r="A1129" s="1031" t="s">
        <v>2308</v>
      </c>
      <c r="B1129" s="1043">
        <f>'[1]PLAN DE DESARROLLO 2024 - 2027'!$M$161</f>
        <v>0.24647581985093744</v>
      </c>
      <c r="C1129" s="1031" t="s">
        <v>2310</v>
      </c>
      <c r="D1129" s="1040">
        <f>'[1]PLAN DE DESARROLLO 2024 - 2027'!$M$166</f>
        <v>0.23451309458253802</v>
      </c>
      <c r="E1129" s="1031" t="s">
        <v>2321</v>
      </c>
      <c r="F1129" s="1041">
        <f>[2]Hoja1!$B$109</f>
        <v>0.44041666666666668</v>
      </c>
      <c r="G1129" s="1031" t="s">
        <v>1590</v>
      </c>
      <c r="H1129" s="1031" t="s">
        <v>1591</v>
      </c>
      <c r="I1129" s="1031"/>
      <c r="J1129" s="1031" t="s">
        <v>925</v>
      </c>
      <c r="K1129" s="1042" t="s">
        <v>2454</v>
      </c>
    </row>
    <row r="1130" spans="1:11" s="1028" customFormat="1" ht="45" x14ac:dyDescent="0.25">
      <c r="A1130" s="1031" t="s">
        <v>2308</v>
      </c>
      <c r="B1130" s="1043">
        <f>'[1]PLAN DE DESARROLLO 2024 - 2027'!$M$161</f>
        <v>0.24647581985093744</v>
      </c>
      <c r="C1130" s="1031" t="s">
        <v>2310</v>
      </c>
      <c r="D1130" s="1040">
        <f>'[1]PLAN DE DESARROLLO 2024 - 2027'!$M$166</f>
        <v>0.23451309458253802</v>
      </c>
      <c r="E1130" s="1031" t="s">
        <v>2321</v>
      </c>
      <c r="F1130" s="1041">
        <f>[2]Hoja1!$B$109</f>
        <v>0.44041666666666668</v>
      </c>
      <c r="G1130" s="1031" t="s">
        <v>1592</v>
      </c>
      <c r="H1130" s="1031" t="s">
        <v>1593</v>
      </c>
      <c r="I1130" s="1031"/>
      <c r="J1130" s="1031" t="s">
        <v>925</v>
      </c>
      <c r="K1130" s="1042" t="s">
        <v>2454</v>
      </c>
    </row>
    <row r="1131" spans="1:11" s="1028" customFormat="1" x14ac:dyDescent="0.25">
      <c r="A1131" s="1031" t="s">
        <v>2395</v>
      </c>
      <c r="B1131" s="1039">
        <f>'[1]PLAN DE DESARROLLO 2024 - 2027'!$M$46</f>
        <v>0.25251661967012345</v>
      </c>
      <c r="C1131" s="1031" t="s">
        <v>2396</v>
      </c>
      <c r="D1131" s="1040">
        <f>'[1]PLAN DE DESARROLLO 2024 - 2027'!$M$47</f>
        <v>0.26592582694462413</v>
      </c>
      <c r="E1131" s="1031" t="s">
        <v>464</v>
      </c>
      <c r="F1131" s="1041">
        <f>[2]Hoja1!$B$110</f>
        <v>0.16166666666666668</v>
      </c>
      <c r="G1131" s="1031" t="s">
        <v>470</v>
      </c>
      <c r="H1131" s="1031" t="s">
        <v>471</v>
      </c>
      <c r="I1131" s="1031"/>
      <c r="J1131" s="1031" t="s">
        <v>2397</v>
      </c>
      <c r="K1131" s="1042" t="s">
        <v>2454</v>
      </c>
    </row>
    <row r="1132" spans="1:11" s="1028" customFormat="1" ht="30" x14ac:dyDescent="0.25">
      <c r="A1132" s="1031" t="s">
        <v>2395</v>
      </c>
      <c r="B1132" s="1039">
        <f>'[1]PLAN DE DESARROLLO 2024 - 2027'!$M$46</f>
        <v>0.25251661967012345</v>
      </c>
      <c r="C1132" s="1031" t="s">
        <v>2396</v>
      </c>
      <c r="D1132" s="1040">
        <f>'[1]PLAN DE DESARROLLO 2024 - 2027'!$M$47</f>
        <v>0.26592582694462413</v>
      </c>
      <c r="E1132" s="1031" t="s">
        <v>464</v>
      </c>
      <c r="F1132" s="1041">
        <f>[2]Hoja1!$B$110</f>
        <v>0.16166666666666668</v>
      </c>
      <c r="G1132" s="1031" t="s">
        <v>472</v>
      </c>
      <c r="H1132" s="1031" t="s">
        <v>473</v>
      </c>
      <c r="I1132" s="1031"/>
      <c r="J1132" s="1031" t="s">
        <v>2397</v>
      </c>
      <c r="K1132" s="1042" t="s">
        <v>2454</v>
      </c>
    </row>
    <row r="1133" spans="1:11" s="1028" customFormat="1" ht="30" x14ac:dyDescent="0.25">
      <c r="A1133" s="1031" t="s">
        <v>2395</v>
      </c>
      <c r="B1133" s="1039">
        <f>'[1]PLAN DE DESARROLLO 2024 - 2027'!$M$46</f>
        <v>0.25251661967012345</v>
      </c>
      <c r="C1133" s="1031" t="s">
        <v>2396</v>
      </c>
      <c r="D1133" s="1040">
        <f>'[1]PLAN DE DESARROLLO 2024 - 2027'!$M$47</f>
        <v>0.26592582694462413</v>
      </c>
      <c r="E1133" s="1031" t="s">
        <v>464</v>
      </c>
      <c r="F1133" s="1041">
        <f>[2]Hoja1!$B$110</f>
        <v>0.16166666666666668</v>
      </c>
      <c r="G1133" s="1031" t="s">
        <v>474</v>
      </c>
      <c r="H1133" s="1031" t="s">
        <v>475</v>
      </c>
      <c r="I1133" s="1031"/>
      <c r="J1133" s="1031" t="s">
        <v>2397</v>
      </c>
      <c r="K1133" s="1042" t="s">
        <v>2454</v>
      </c>
    </row>
    <row r="1134" spans="1:11" s="1028" customFormat="1" x14ac:dyDescent="0.25">
      <c r="A1134" s="1031" t="s">
        <v>2395</v>
      </c>
      <c r="B1134" s="1039">
        <f>'[1]PLAN DE DESARROLLO 2024 - 2027'!$M$46</f>
        <v>0.25251661967012345</v>
      </c>
      <c r="C1134" s="1031" t="s">
        <v>2396</v>
      </c>
      <c r="D1134" s="1040">
        <f>'[1]PLAN DE DESARROLLO 2024 - 2027'!$M$47</f>
        <v>0.26592582694462413</v>
      </c>
      <c r="E1134" s="1031" t="s">
        <v>464</v>
      </c>
      <c r="F1134" s="1041">
        <f>[2]Hoja1!$B$110</f>
        <v>0.16166666666666668</v>
      </c>
      <c r="G1134" s="1031" t="s">
        <v>476</v>
      </c>
      <c r="H1134" s="1031" t="s">
        <v>477</v>
      </c>
      <c r="I1134" s="1031"/>
      <c r="J1134" s="1031" t="s">
        <v>2397</v>
      </c>
      <c r="K1134" s="1042" t="s">
        <v>2454</v>
      </c>
    </row>
    <row r="1135" spans="1:11" s="1028" customFormat="1" ht="30" x14ac:dyDescent="0.25">
      <c r="A1135" s="1031" t="s">
        <v>2395</v>
      </c>
      <c r="B1135" s="1039">
        <f>'[1]PLAN DE DESARROLLO 2024 - 2027'!$M$46</f>
        <v>0.25251661967012345</v>
      </c>
      <c r="C1135" s="1031" t="s">
        <v>2396</v>
      </c>
      <c r="D1135" s="1040">
        <f>'[1]PLAN DE DESARROLLO 2024 - 2027'!$M$47</f>
        <v>0.26592582694462413</v>
      </c>
      <c r="E1135" s="1031" t="s">
        <v>464</v>
      </c>
      <c r="F1135" s="1041">
        <f>[2]Hoja1!$B$110</f>
        <v>0.16166666666666668</v>
      </c>
      <c r="G1135" s="1031" t="s">
        <v>478</v>
      </c>
      <c r="H1135" s="1031" t="s">
        <v>479</v>
      </c>
      <c r="I1135" s="1031"/>
      <c r="J1135" s="1031" t="s">
        <v>2397</v>
      </c>
      <c r="K1135" s="1042" t="s">
        <v>2454</v>
      </c>
    </row>
    <row r="1136" spans="1:11" s="1028" customFormat="1" ht="30" x14ac:dyDescent="0.25">
      <c r="A1136" s="1031" t="s">
        <v>2395</v>
      </c>
      <c r="B1136" s="1039">
        <f>'[1]PLAN DE DESARROLLO 2024 - 2027'!$M$46</f>
        <v>0.25251661967012345</v>
      </c>
      <c r="C1136" s="1031" t="s">
        <v>2396</v>
      </c>
      <c r="D1136" s="1040">
        <f>'[1]PLAN DE DESARROLLO 2024 - 2027'!$M$47</f>
        <v>0.26592582694462413</v>
      </c>
      <c r="E1136" s="1031" t="s">
        <v>608</v>
      </c>
      <c r="F1136" s="1041">
        <f>[2]Hoja1!$B$114</f>
        <v>0</v>
      </c>
      <c r="G1136" s="1031" t="s">
        <v>609</v>
      </c>
      <c r="H1136" s="1031" t="s">
        <v>610</v>
      </c>
      <c r="I1136" s="1031"/>
      <c r="J1136" s="1031" t="s">
        <v>2398</v>
      </c>
      <c r="K1136" s="1042" t="s">
        <v>2454</v>
      </c>
    </row>
    <row r="1137" spans="1:11" s="1028" customFormat="1" ht="60" x14ac:dyDescent="0.25">
      <c r="A1137" s="1031" t="s">
        <v>2215</v>
      </c>
      <c r="B1137" s="1043">
        <f>'[1]PLAN DE DESARROLLO 2024 - 2027'!$M$123</f>
        <v>0.20174333228533195</v>
      </c>
      <c r="C1137" s="1031" t="s">
        <v>2216</v>
      </c>
      <c r="D1137" s="1045">
        <f>'[1]PLAN DE DESARROLLO 2024 - 2027'!$M$143</f>
        <v>9.5123946428571443E-2</v>
      </c>
      <c r="E1137" s="1031" t="s">
        <v>2217</v>
      </c>
      <c r="F1137" s="1041">
        <f>[2]Hoja1!$B$39</f>
        <v>0.01</v>
      </c>
      <c r="G1137" s="1031" t="s">
        <v>1358</v>
      </c>
      <c r="H1137" s="1031" t="s">
        <v>1359</v>
      </c>
      <c r="I1137" s="1031"/>
      <c r="J1137" s="1031" t="s">
        <v>2219</v>
      </c>
      <c r="K1137" s="1042" t="s">
        <v>2454</v>
      </c>
    </row>
    <row r="1138" spans="1:11" s="1028" customFormat="1" ht="45" x14ac:dyDescent="0.25">
      <c r="A1138" s="1031" t="s">
        <v>2215</v>
      </c>
      <c r="B1138" s="1043">
        <f>'[1]PLAN DE DESARROLLO 2024 - 2027'!$M$123</f>
        <v>0.20174333228533195</v>
      </c>
      <c r="C1138" s="1031" t="s">
        <v>2216</v>
      </c>
      <c r="D1138" s="1045">
        <f>'[1]PLAN DE DESARROLLO 2024 - 2027'!$M$143</f>
        <v>9.5123946428571443E-2</v>
      </c>
      <c r="E1138" s="1031" t="s">
        <v>2217</v>
      </c>
      <c r="F1138" s="1041">
        <f>[2]Hoja1!$B$39</f>
        <v>0.01</v>
      </c>
      <c r="G1138" s="1031" t="s">
        <v>1363</v>
      </c>
      <c r="H1138" s="1031" t="s">
        <v>1364</v>
      </c>
      <c r="I1138" s="1031"/>
      <c r="J1138" s="1031" t="s">
        <v>2220</v>
      </c>
      <c r="K1138" s="1042" t="s">
        <v>2454</v>
      </c>
    </row>
    <row r="1139" spans="1:11" s="1028" customFormat="1" ht="30" x14ac:dyDescent="0.25">
      <c r="A1139" s="1031" t="s">
        <v>2215</v>
      </c>
      <c r="B1139" s="1043">
        <f>'[1]PLAN DE DESARROLLO 2024 - 2027'!$M$123</f>
        <v>0.20174333228533195</v>
      </c>
      <c r="C1139" s="1031" t="s">
        <v>2216</v>
      </c>
      <c r="D1139" s="1045">
        <f>'[1]PLAN DE DESARROLLO 2024 - 2027'!$M$143</f>
        <v>9.5123946428571443E-2</v>
      </c>
      <c r="E1139" s="1031" t="s">
        <v>2265</v>
      </c>
      <c r="F1139" s="1041">
        <f>[2]Hoja1!$B$113</f>
        <v>0.375</v>
      </c>
      <c r="G1139" s="1031" t="s">
        <v>1368</v>
      </c>
      <c r="H1139" s="1031" t="s">
        <v>1369</v>
      </c>
      <c r="I1139" s="1031"/>
      <c r="J1139" s="1031" t="s">
        <v>628</v>
      </c>
      <c r="K1139" s="1042" t="s">
        <v>2454</v>
      </c>
    </row>
    <row r="1140" spans="1:11" s="1028" customFormat="1" ht="45" x14ac:dyDescent="0.25">
      <c r="A1140" s="1031" t="s">
        <v>2215</v>
      </c>
      <c r="B1140" s="1043">
        <f>'[1]PLAN DE DESARROLLO 2024 - 2027'!$M$123</f>
        <v>0.20174333228533195</v>
      </c>
      <c r="C1140" s="1031" t="s">
        <v>2216</v>
      </c>
      <c r="D1140" s="1045">
        <f>'[1]PLAN DE DESARROLLO 2024 - 2027'!$M$143</f>
        <v>9.5123946428571443E-2</v>
      </c>
      <c r="E1140" s="1031" t="s">
        <v>2260</v>
      </c>
      <c r="F1140" s="1041">
        <f>[2]Hoja1!$B$150</f>
        <v>0.1180532142857143</v>
      </c>
      <c r="G1140" s="1031" t="s">
        <v>1331</v>
      </c>
      <c r="H1140" s="1031" t="s">
        <v>1332</v>
      </c>
      <c r="I1140" s="1031"/>
      <c r="J1140" s="1031" t="s">
        <v>2261</v>
      </c>
      <c r="K1140" s="1042" t="s">
        <v>2454</v>
      </c>
    </row>
    <row r="1141" spans="1:11" s="1028" customFormat="1" ht="30" x14ac:dyDescent="0.25">
      <c r="A1141" s="1031" t="s">
        <v>2215</v>
      </c>
      <c r="B1141" s="1043">
        <f>'[1]PLAN DE DESARROLLO 2024 - 2027'!$M$123</f>
        <v>0.20174333228533195</v>
      </c>
      <c r="C1141" s="1031" t="s">
        <v>2216</v>
      </c>
      <c r="D1141" s="1045">
        <f>'[1]PLAN DE DESARROLLO 2024 - 2027'!$M$143</f>
        <v>9.5123946428571443E-2</v>
      </c>
      <c r="E1141" s="1031" t="s">
        <v>2260</v>
      </c>
      <c r="F1141" s="1041">
        <f>[2]Hoja1!$B$150</f>
        <v>0.1180532142857143</v>
      </c>
      <c r="G1141" s="1031" t="s">
        <v>1334</v>
      </c>
      <c r="H1141" s="1031" t="s">
        <v>1335</v>
      </c>
      <c r="I1141" s="1031"/>
      <c r="J1141" s="1031" t="s">
        <v>1224</v>
      </c>
      <c r="K1141" s="1042" t="s">
        <v>2454</v>
      </c>
    </row>
    <row r="1142" spans="1:11" s="1028" customFormat="1" ht="30" x14ac:dyDescent="0.25">
      <c r="A1142" s="1031" t="s">
        <v>2215</v>
      </c>
      <c r="B1142" s="1043">
        <f>'[1]PLAN DE DESARROLLO 2024 - 2027'!$M$123</f>
        <v>0.20174333228533195</v>
      </c>
      <c r="C1142" s="1031" t="s">
        <v>2216</v>
      </c>
      <c r="D1142" s="1045">
        <f>'[1]PLAN DE DESARROLLO 2024 - 2027'!$M$143</f>
        <v>9.5123946428571443E-2</v>
      </c>
      <c r="E1142" s="1031" t="s">
        <v>2260</v>
      </c>
      <c r="F1142" s="1041">
        <f>[2]Hoja1!$B$150</f>
        <v>0.1180532142857143</v>
      </c>
      <c r="G1142" s="1031" t="s">
        <v>1336</v>
      </c>
      <c r="H1142" s="1031" t="s">
        <v>1337</v>
      </c>
      <c r="I1142" s="1031"/>
      <c r="J1142" s="1031" t="s">
        <v>1206</v>
      </c>
      <c r="K1142" s="1042" t="s">
        <v>2454</v>
      </c>
    </row>
    <row r="1143" spans="1:11" s="1028" customFormat="1" ht="30" x14ac:dyDescent="0.25">
      <c r="A1143" s="1031" t="s">
        <v>2215</v>
      </c>
      <c r="B1143" s="1043">
        <f>'[1]PLAN DE DESARROLLO 2024 - 2027'!$M$123</f>
        <v>0.20174333228533195</v>
      </c>
      <c r="C1143" s="1031" t="s">
        <v>2216</v>
      </c>
      <c r="D1143" s="1045">
        <f>'[1]PLAN DE DESARROLLO 2024 - 2027'!$M$143</f>
        <v>9.5123946428571443E-2</v>
      </c>
      <c r="E1143" s="1031" t="s">
        <v>2260</v>
      </c>
      <c r="F1143" s="1041">
        <f>[2]Hoja1!$B$150</f>
        <v>0.1180532142857143</v>
      </c>
      <c r="G1143" s="1031" t="s">
        <v>1339</v>
      </c>
      <c r="H1143" s="1031" t="s">
        <v>1340</v>
      </c>
      <c r="I1143" s="1031"/>
      <c r="J1143" s="1031" t="s">
        <v>2262</v>
      </c>
      <c r="K1143" s="1042" t="s">
        <v>2454</v>
      </c>
    </row>
    <row r="1144" spans="1:11" s="1028" customFormat="1" ht="30" x14ac:dyDescent="0.25">
      <c r="A1144" s="1031" t="s">
        <v>2215</v>
      </c>
      <c r="B1144" s="1043">
        <f>'[1]PLAN DE DESARROLLO 2024 - 2027'!$M$123</f>
        <v>0.20174333228533195</v>
      </c>
      <c r="C1144" s="1031" t="s">
        <v>2216</v>
      </c>
      <c r="D1144" s="1045">
        <f>'[1]PLAN DE DESARROLLO 2024 - 2027'!$M$143</f>
        <v>9.5123946428571443E-2</v>
      </c>
      <c r="E1144" s="1031" t="s">
        <v>2260</v>
      </c>
      <c r="F1144" s="1041">
        <f>[2]Hoja1!$B$150</f>
        <v>0.1180532142857143</v>
      </c>
      <c r="G1144" s="1031" t="s">
        <v>1342</v>
      </c>
      <c r="H1144" s="1031" t="s">
        <v>1343</v>
      </c>
      <c r="I1144" s="1031"/>
      <c r="J1144" s="1031" t="s">
        <v>2263</v>
      </c>
      <c r="K1144" s="1042" t="s">
        <v>2454</v>
      </c>
    </row>
    <row r="1145" spans="1:11" s="1028" customFormat="1" ht="60" x14ac:dyDescent="0.25">
      <c r="A1145" s="1031" t="s">
        <v>2215</v>
      </c>
      <c r="B1145" s="1043">
        <f>'[1]PLAN DE DESARROLLO 2024 - 2027'!$M$123</f>
        <v>0.20174333228533195</v>
      </c>
      <c r="C1145" s="1031" t="s">
        <v>2216</v>
      </c>
      <c r="D1145" s="1045">
        <f>'[1]PLAN DE DESARROLLO 2024 - 2027'!$M$143</f>
        <v>9.5123946428571443E-2</v>
      </c>
      <c r="E1145" s="1031" t="s">
        <v>2260</v>
      </c>
      <c r="F1145" s="1041">
        <f>[2]Hoja1!$B$150</f>
        <v>0.1180532142857143</v>
      </c>
      <c r="G1145" s="1031" t="s">
        <v>1345</v>
      </c>
      <c r="H1145" s="1031" t="s">
        <v>1346</v>
      </c>
      <c r="I1145" s="1031"/>
      <c r="J1145" s="1031" t="s">
        <v>2264</v>
      </c>
      <c r="K1145" s="1042" t="s">
        <v>2454</v>
      </c>
    </row>
    <row r="1146" spans="1:11" s="1028" customFormat="1" ht="30" x14ac:dyDescent="0.25">
      <c r="A1146" s="1031" t="s">
        <v>2215</v>
      </c>
      <c r="B1146" s="1043">
        <f>'[1]PLAN DE DESARROLLO 2024 - 2027'!$M$123</f>
        <v>0.20174333228533195</v>
      </c>
      <c r="C1146" s="1031" t="s">
        <v>2216</v>
      </c>
      <c r="D1146" s="1045">
        <f>'[1]PLAN DE DESARROLLO 2024 - 2027'!$M$143</f>
        <v>9.5123946428571443E-2</v>
      </c>
      <c r="E1146" s="1031" t="s">
        <v>2260</v>
      </c>
      <c r="F1146" s="1041">
        <f>[2]Hoja1!$B$150</f>
        <v>0.1180532142857143</v>
      </c>
      <c r="G1146" s="1031" t="s">
        <v>1348</v>
      </c>
      <c r="H1146" s="1031" t="s">
        <v>1349</v>
      </c>
      <c r="I1146" s="1031"/>
      <c r="J1146" s="1031" t="s">
        <v>658</v>
      </c>
      <c r="K1146" s="1042" t="s">
        <v>2454</v>
      </c>
    </row>
    <row r="1147" spans="1:11" s="1028" customFormat="1" ht="30" x14ac:dyDescent="0.25">
      <c r="A1147" s="1031" t="s">
        <v>2215</v>
      </c>
      <c r="B1147" s="1043">
        <f>'[1]PLAN DE DESARROLLO 2024 - 2027'!$M$123</f>
        <v>0.20174333228533195</v>
      </c>
      <c r="C1147" s="1031" t="s">
        <v>2242</v>
      </c>
      <c r="D1147" s="1040">
        <f>'[1]PLAN DE DESARROLLO 2024 - 2027'!$M$127</f>
        <v>0.32068750000000001</v>
      </c>
      <c r="E1147" s="1031" t="s">
        <v>2244</v>
      </c>
      <c r="F1147" s="1041">
        <f>[2]Hoja1!$B$22</f>
        <v>0.15775</v>
      </c>
      <c r="G1147" s="1031" t="s">
        <v>1229</v>
      </c>
      <c r="H1147" s="1031" t="s">
        <v>1230</v>
      </c>
      <c r="I1147" s="1031"/>
      <c r="J1147" s="1031" t="s">
        <v>716</v>
      </c>
      <c r="K1147" s="1042" t="s">
        <v>2454</v>
      </c>
    </row>
    <row r="1148" spans="1:11" s="1028" customFormat="1" ht="30" x14ac:dyDescent="0.25">
      <c r="A1148" s="1031" t="s">
        <v>2192</v>
      </c>
      <c r="B1148" s="1043">
        <f>'[1]PLAN DE DESARROLLO 2024 - 2027'!$M$198</f>
        <v>3.4556250000000004E-2</v>
      </c>
      <c r="C1148" s="1031" t="s">
        <v>2196</v>
      </c>
      <c r="D1148" s="1045">
        <f>'[1]PLAN DE DESARROLLO 2024 - 2027'!$M$203</f>
        <v>3.0624999999999999E-2</v>
      </c>
      <c r="E1148" s="1031" t="s">
        <v>1933</v>
      </c>
      <c r="F1148" s="1041">
        <f>[2]Hoja1!$B$112</f>
        <v>5.2499999999999998E-2</v>
      </c>
      <c r="G1148" s="1031" t="s">
        <v>1934</v>
      </c>
      <c r="H1148" s="1031" t="s">
        <v>1935</v>
      </c>
      <c r="I1148" s="1031"/>
      <c r="J1148" s="1031" t="s">
        <v>103</v>
      </c>
      <c r="K1148" s="1042" t="s">
        <v>2454</v>
      </c>
    </row>
    <row r="1149" spans="1:11" s="1028" customFormat="1" ht="30" x14ac:dyDescent="0.25">
      <c r="A1149" s="1031" t="s">
        <v>2192</v>
      </c>
      <c r="B1149" s="1043">
        <f>'[1]PLAN DE DESARROLLO 2024 - 2027'!$M$198</f>
        <v>3.4556250000000004E-2</v>
      </c>
      <c r="C1149" s="1031" t="s">
        <v>2196</v>
      </c>
      <c r="D1149" s="1045">
        <f>'[1]PLAN DE DESARROLLO 2024 - 2027'!$M$203</f>
        <v>3.0624999999999999E-2</v>
      </c>
      <c r="E1149" s="1031" t="s">
        <v>1933</v>
      </c>
      <c r="F1149" s="1041">
        <f>[2]Hoja1!$B$112</f>
        <v>5.2499999999999998E-2</v>
      </c>
      <c r="G1149" s="1031" t="s">
        <v>1936</v>
      </c>
      <c r="H1149" s="1031" t="s">
        <v>1937</v>
      </c>
      <c r="I1149" s="1031"/>
      <c r="J1149" s="1031" t="s">
        <v>386</v>
      </c>
      <c r="K1149" s="1042" t="s">
        <v>2454</v>
      </c>
    </row>
    <row r="1150" spans="1:11" s="1028" customFormat="1" ht="45" x14ac:dyDescent="0.25">
      <c r="A1150" s="1031" t="s">
        <v>2192</v>
      </c>
      <c r="B1150" s="1043">
        <f>'[1]PLAN DE DESARROLLO 2024 - 2027'!$M$198</f>
        <v>3.4556250000000004E-2</v>
      </c>
      <c r="C1150" s="1031" t="s">
        <v>2196</v>
      </c>
      <c r="D1150" s="1045">
        <f>'[1]PLAN DE DESARROLLO 2024 - 2027'!$M$203</f>
        <v>3.0624999999999999E-2</v>
      </c>
      <c r="E1150" s="1031" t="s">
        <v>1933</v>
      </c>
      <c r="F1150" s="1041">
        <f>[2]Hoja1!$B$112</f>
        <v>5.2499999999999998E-2</v>
      </c>
      <c r="G1150" s="1031" t="s">
        <v>1939</v>
      </c>
      <c r="H1150" s="1031" t="s">
        <v>1940</v>
      </c>
      <c r="I1150" s="1031"/>
      <c r="J1150" s="1031" t="s">
        <v>658</v>
      </c>
      <c r="K1150" s="1042" t="s">
        <v>2454</v>
      </c>
    </row>
    <row r="1151" spans="1:11" s="1028" customFormat="1" ht="30" x14ac:dyDescent="0.25">
      <c r="A1151" s="1031" t="s">
        <v>2192</v>
      </c>
      <c r="B1151" s="1043">
        <f>'[1]PLAN DE DESARROLLO 2024 - 2027'!$M$198</f>
        <v>3.4556250000000004E-2</v>
      </c>
      <c r="C1151" s="1031" t="s">
        <v>2196</v>
      </c>
      <c r="D1151" s="1045">
        <f>'[1]PLAN DE DESARROLLO 2024 - 2027'!$M$203</f>
        <v>3.0624999999999999E-2</v>
      </c>
      <c r="E1151" s="1031" t="s">
        <v>1933</v>
      </c>
      <c r="F1151" s="1041">
        <f>[2]Hoja1!$B$112</f>
        <v>5.2499999999999998E-2</v>
      </c>
      <c r="G1151" s="1031" t="s">
        <v>1941</v>
      </c>
      <c r="H1151" s="1031" t="s">
        <v>1942</v>
      </c>
      <c r="I1151" s="1031"/>
      <c r="J1151" s="1031" t="s">
        <v>1943</v>
      </c>
      <c r="K1151" s="1042" t="s">
        <v>2454</v>
      </c>
    </row>
    <row r="1152" spans="1:11" s="1028" customFormat="1" ht="30" x14ac:dyDescent="0.25">
      <c r="A1152" s="1031" t="s">
        <v>2192</v>
      </c>
      <c r="B1152" s="1043">
        <f>'[1]PLAN DE DESARROLLO 2024 - 2027'!$M$198</f>
        <v>3.4556250000000004E-2</v>
      </c>
      <c r="C1152" s="1031" t="s">
        <v>2196</v>
      </c>
      <c r="D1152" s="1045">
        <f>'[1]PLAN DE DESARROLLO 2024 - 2027'!$M$203</f>
        <v>3.0624999999999999E-2</v>
      </c>
      <c r="E1152" s="1031" t="s">
        <v>1933</v>
      </c>
      <c r="F1152" s="1041">
        <f>[2]Hoja1!$B$112</f>
        <v>5.2499999999999998E-2</v>
      </c>
      <c r="G1152" s="1031" t="s">
        <v>1944</v>
      </c>
      <c r="H1152" s="1031" t="s">
        <v>1945</v>
      </c>
      <c r="I1152" s="1031"/>
      <c r="J1152" s="1031" t="s">
        <v>1943</v>
      </c>
      <c r="K1152" s="1042" t="s">
        <v>2454</v>
      </c>
    </row>
    <row r="1153" spans="1:11" s="1028" customFormat="1" ht="30" x14ac:dyDescent="0.25">
      <c r="A1153" s="1031" t="s">
        <v>2215</v>
      </c>
      <c r="B1153" s="1043">
        <f>'[1]PLAN DE DESARROLLO 2024 - 2027'!$M$123</f>
        <v>0.20174333228533195</v>
      </c>
      <c r="C1153" s="1031" t="s">
        <v>2242</v>
      </c>
      <c r="D1153" s="1040">
        <f>'[1]PLAN DE DESARROLLO 2024 - 2027'!$M$127</f>
        <v>0.32068750000000001</v>
      </c>
      <c r="E1153" s="1031" t="s">
        <v>2244</v>
      </c>
      <c r="F1153" s="1041">
        <f>[2]Hoja1!$B$22</f>
        <v>0.15775</v>
      </c>
      <c r="G1153" s="1031" t="s">
        <v>1231</v>
      </c>
      <c r="H1153" s="1031" t="s">
        <v>1232</v>
      </c>
      <c r="I1153" s="1031"/>
      <c r="J1153" s="1031" t="s">
        <v>716</v>
      </c>
      <c r="K1153" s="1042" t="s">
        <v>2454</v>
      </c>
    </row>
    <row r="1154" spans="1:11" s="1028" customFormat="1" x14ac:dyDescent="0.25">
      <c r="A1154" s="1031" t="s">
        <v>2395</v>
      </c>
      <c r="B1154" s="1039">
        <f>'[1]PLAN DE DESARROLLO 2024 - 2027'!$M$46</f>
        <v>0.25251661967012345</v>
      </c>
      <c r="C1154" s="1031" t="s">
        <v>2396</v>
      </c>
      <c r="D1154" s="1040">
        <f>'[1]PLAN DE DESARROLLO 2024 - 2027'!$M$47</f>
        <v>0.26592582694462413</v>
      </c>
      <c r="E1154" s="1031" t="s">
        <v>608</v>
      </c>
      <c r="F1154" s="1041">
        <f>[2]Hoja1!$B$114</f>
        <v>0</v>
      </c>
      <c r="G1154" s="1031" t="s">
        <v>613</v>
      </c>
      <c r="H1154" s="1031" t="s">
        <v>614</v>
      </c>
      <c r="I1154" s="1031"/>
      <c r="J1154" s="1031" t="s">
        <v>2398</v>
      </c>
      <c r="K1154" s="1042" t="s">
        <v>2454</v>
      </c>
    </row>
    <row r="1155" spans="1:11" s="1028" customFormat="1" ht="30" x14ac:dyDescent="0.25">
      <c r="A1155" s="1031" t="s">
        <v>2395</v>
      </c>
      <c r="B1155" s="1039">
        <f>'[1]PLAN DE DESARROLLO 2024 - 2027'!$M$46</f>
        <v>0.25251661967012345</v>
      </c>
      <c r="C1155" s="1031" t="s">
        <v>2396</v>
      </c>
      <c r="D1155" s="1040">
        <f>'[1]PLAN DE DESARROLLO 2024 - 2027'!$M$47</f>
        <v>0.26592582694462413</v>
      </c>
      <c r="E1155" s="1031" t="s">
        <v>608</v>
      </c>
      <c r="F1155" s="1041">
        <f>[2]Hoja1!$B$114</f>
        <v>0</v>
      </c>
      <c r="G1155" s="1031" t="s">
        <v>615</v>
      </c>
      <c r="H1155" s="1031" t="s">
        <v>616</v>
      </c>
      <c r="I1155" s="1031"/>
      <c r="J1155" s="1031" t="s">
        <v>2398</v>
      </c>
      <c r="K1155" s="1042" t="s">
        <v>2454</v>
      </c>
    </row>
    <row r="1156" spans="1:11" s="1028" customFormat="1" ht="30" x14ac:dyDescent="0.25">
      <c r="A1156" s="1031" t="s">
        <v>2395</v>
      </c>
      <c r="B1156" s="1039">
        <f>'[1]PLAN DE DESARROLLO 2024 - 2027'!$M$46</f>
        <v>0.25251661967012345</v>
      </c>
      <c r="C1156" s="1031" t="s">
        <v>2396</v>
      </c>
      <c r="D1156" s="1040">
        <f>'[1]PLAN DE DESARROLLO 2024 - 2027'!$M$47</f>
        <v>0.26592582694462413</v>
      </c>
      <c r="E1156" s="1031" t="s">
        <v>608</v>
      </c>
      <c r="F1156" s="1041">
        <f>[2]Hoja1!$B$114</f>
        <v>0</v>
      </c>
      <c r="G1156" s="1031" t="s">
        <v>617</v>
      </c>
      <c r="H1156" s="1031" t="s">
        <v>618</v>
      </c>
      <c r="I1156" s="1031"/>
      <c r="J1156" s="1031" t="s">
        <v>2398</v>
      </c>
      <c r="K1156" s="1042" t="s">
        <v>2454</v>
      </c>
    </row>
    <row r="1157" spans="1:11" s="1028" customFormat="1" x14ac:dyDescent="0.25">
      <c r="A1157" s="1031" t="s">
        <v>2395</v>
      </c>
      <c r="B1157" s="1039">
        <f>'[1]PLAN DE DESARROLLO 2024 - 2027'!$M$46</f>
        <v>0.25251661967012345</v>
      </c>
      <c r="C1157" s="1031" t="s">
        <v>2396</v>
      </c>
      <c r="D1157" s="1040">
        <f>'[1]PLAN DE DESARROLLO 2024 - 2027'!$M$47</f>
        <v>0.26592582694462413</v>
      </c>
      <c r="E1157" s="1031" t="s">
        <v>608</v>
      </c>
      <c r="F1157" s="1041">
        <f>[2]Hoja1!$B$114</f>
        <v>0</v>
      </c>
      <c r="G1157" s="1031" t="s">
        <v>619</v>
      </c>
      <c r="H1157" s="1031" t="s">
        <v>620</v>
      </c>
      <c r="I1157" s="1031"/>
      <c r="J1157" s="1031" t="s">
        <v>2398</v>
      </c>
      <c r="K1157" s="1042" t="s">
        <v>2454</v>
      </c>
    </row>
    <row r="1158" spans="1:11" s="1028" customFormat="1" x14ac:dyDescent="0.25">
      <c r="A1158" s="1031" t="s">
        <v>2395</v>
      </c>
      <c r="B1158" s="1039">
        <f>'[1]PLAN DE DESARROLLO 2024 - 2027'!$M$46</f>
        <v>0.25251661967012345</v>
      </c>
      <c r="C1158" s="1031" t="s">
        <v>2396</v>
      </c>
      <c r="D1158" s="1040">
        <f>'[1]PLAN DE DESARROLLO 2024 - 2027'!$M$47</f>
        <v>0.26592582694462413</v>
      </c>
      <c r="E1158" s="1031" t="s">
        <v>608</v>
      </c>
      <c r="F1158" s="1041">
        <f>[2]Hoja1!$B$114</f>
        <v>0</v>
      </c>
      <c r="G1158" s="1031" t="s">
        <v>621</v>
      </c>
      <c r="H1158" s="1031" t="s">
        <v>622</v>
      </c>
      <c r="I1158" s="1031"/>
      <c r="J1158" s="1031" t="s">
        <v>2398</v>
      </c>
      <c r="K1158" s="1042" t="s">
        <v>2454</v>
      </c>
    </row>
    <row r="1159" spans="1:11" s="1028" customFormat="1" ht="30" x14ac:dyDescent="0.25">
      <c r="A1159" s="1031" t="s">
        <v>2395</v>
      </c>
      <c r="B1159" s="1039">
        <f>'[1]PLAN DE DESARROLLO 2024 - 2027'!$M$46</f>
        <v>0.25251661967012345</v>
      </c>
      <c r="C1159" s="1031" t="s">
        <v>2396</v>
      </c>
      <c r="D1159" s="1040">
        <f>'[1]PLAN DE DESARROLLO 2024 - 2027'!$M$47</f>
        <v>0.26592582694462413</v>
      </c>
      <c r="E1159" s="1031" t="s">
        <v>608</v>
      </c>
      <c r="F1159" s="1041">
        <f>[2]Hoja1!$B$114</f>
        <v>0</v>
      </c>
      <c r="G1159" s="1031" t="s">
        <v>623</v>
      </c>
      <c r="H1159" s="1031" t="s">
        <v>624</v>
      </c>
      <c r="I1159" s="1031"/>
      <c r="J1159" s="1031" t="s">
        <v>2398</v>
      </c>
      <c r="K1159" s="1042" t="s">
        <v>2454</v>
      </c>
    </row>
    <row r="1160" spans="1:11" s="1028" customFormat="1" ht="45" x14ac:dyDescent="0.25">
      <c r="A1160" s="1031" t="s">
        <v>2395</v>
      </c>
      <c r="B1160" s="1039">
        <f>'[1]PLAN DE DESARROLLO 2024 - 2027'!$M$46</f>
        <v>0.25251661967012345</v>
      </c>
      <c r="C1160" s="1031" t="s">
        <v>2396</v>
      </c>
      <c r="D1160" s="1040">
        <f>'[1]PLAN DE DESARROLLO 2024 - 2027'!$M$47</f>
        <v>0.26592582694462413</v>
      </c>
      <c r="E1160" s="1031" t="s">
        <v>576</v>
      </c>
      <c r="F1160" s="1041">
        <f>[2]Hoja1!$B$159</f>
        <v>0.15592630718954248</v>
      </c>
      <c r="G1160" s="1031" t="s">
        <v>2417</v>
      </c>
      <c r="H1160" s="1031" t="s">
        <v>2418</v>
      </c>
      <c r="I1160" s="1031"/>
      <c r="J1160" s="1031" t="s">
        <v>2397</v>
      </c>
      <c r="K1160" s="1042" t="s">
        <v>2454</v>
      </c>
    </row>
    <row r="1161" spans="1:11" s="1028" customFormat="1" ht="30" x14ac:dyDescent="0.25">
      <c r="A1161" s="1031" t="s">
        <v>2215</v>
      </c>
      <c r="B1161" s="1043">
        <f>'[1]PLAN DE DESARROLLO 2024 - 2027'!$M$123</f>
        <v>0.20174333228533195</v>
      </c>
      <c r="C1161" s="1031" t="s">
        <v>2242</v>
      </c>
      <c r="D1161" s="1040">
        <f>'[1]PLAN DE DESARROLLO 2024 - 2027'!$M$127</f>
        <v>0.32068750000000001</v>
      </c>
      <c r="E1161" s="1031" t="s">
        <v>2244</v>
      </c>
      <c r="F1161" s="1041">
        <f>[2]Hoja1!$B$22</f>
        <v>0.15775</v>
      </c>
      <c r="G1161" s="1031" t="s">
        <v>1234</v>
      </c>
      <c r="H1161" s="1031" t="s">
        <v>1235</v>
      </c>
      <c r="I1161" s="1031"/>
      <c r="J1161" s="1031" t="s">
        <v>716</v>
      </c>
      <c r="K1161" s="1042" t="s">
        <v>2454</v>
      </c>
    </row>
    <row r="1162" spans="1:11" s="1028" customFormat="1" ht="30" x14ac:dyDescent="0.25">
      <c r="A1162" s="1031" t="s">
        <v>2215</v>
      </c>
      <c r="B1162" s="1043">
        <f>'[1]PLAN DE DESARROLLO 2024 - 2027'!$M$123</f>
        <v>0.20174333228533195</v>
      </c>
      <c r="C1162" s="1031" t="s">
        <v>2242</v>
      </c>
      <c r="D1162" s="1040">
        <f>'[1]PLAN DE DESARROLLO 2024 - 2027'!$M$127</f>
        <v>0.32068750000000001</v>
      </c>
      <c r="E1162" s="1031" t="s">
        <v>2243</v>
      </c>
      <c r="F1162" s="1041">
        <f>[2]Hoja1!$B$133</f>
        <v>0.375</v>
      </c>
      <c r="G1162" s="1031" t="s">
        <v>1213</v>
      </c>
      <c r="H1162" s="1031" t="s">
        <v>1214</v>
      </c>
      <c r="I1162" s="1031"/>
      <c r="J1162" s="1031" t="s">
        <v>716</v>
      </c>
      <c r="K1162" s="1042" t="s">
        <v>2454</v>
      </c>
    </row>
    <row r="1163" spans="1:11" s="1028" customFormat="1" ht="45" x14ac:dyDescent="0.25">
      <c r="A1163" s="1031" t="s">
        <v>2308</v>
      </c>
      <c r="B1163" s="1043">
        <f>'[1]PLAN DE DESARROLLO 2024 - 2027'!$M$161</f>
        <v>0.24647581985093744</v>
      </c>
      <c r="C1163" s="1031" t="s">
        <v>2316</v>
      </c>
      <c r="D1163" s="1040">
        <f>'[1]PLAN DE DESARROLLO 2024 - 2027'!$M$184</f>
        <v>0.18265127235728812</v>
      </c>
      <c r="E1163" s="1031" t="s">
        <v>2328</v>
      </c>
      <c r="F1163" s="1041">
        <f>[2]Hoja1!$B$116</f>
        <v>0.382994593493032</v>
      </c>
      <c r="G1163" s="1031" t="s">
        <v>1699</v>
      </c>
      <c r="H1163" s="1031" t="s">
        <v>1700</v>
      </c>
      <c r="I1163" s="1031"/>
      <c r="J1163" s="1031" t="s">
        <v>1701</v>
      </c>
      <c r="K1163" s="1042" t="s">
        <v>2454</v>
      </c>
    </row>
    <row r="1164" spans="1:11" s="1028" customFormat="1" ht="45" x14ac:dyDescent="0.25">
      <c r="A1164" s="1031" t="s">
        <v>2308</v>
      </c>
      <c r="B1164" s="1043">
        <f>'[1]PLAN DE DESARROLLO 2024 - 2027'!$M$161</f>
        <v>0.24647581985093744</v>
      </c>
      <c r="C1164" s="1031" t="s">
        <v>2316</v>
      </c>
      <c r="D1164" s="1040">
        <f>'[1]PLAN DE DESARROLLO 2024 - 2027'!$M$184</f>
        <v>0.18265127235728812</v>
      </c>
      <c r="E1164" s="1031" t="s">
        <v>2328</v>
      </c>
      <c r="F1164" s="1041">
        <f>[2]Hoja1!$B$116</f>
        <v>0.382994593493032</v>
      </c>
      <c r="G1164" s="1031" t="s">
        <v>1702</v>
      </c>
      <c r="H1164" s="1031" t="s">
        <v>1703</v>
      </c>
      <c r="I1164" s="1031"/>
      <c r="J1164" s="1031" t="s">
        <v>1701</v>
      </c>
      <c r="K1164" s="1042" t="s">
        <v>2454</v>
      </c>
    </row>
    <row r="1165" spans="1:11" s="1028" customFormat="1" ht="30" x14ac:dyDescent="0.25">
      <c r="A1165" s="1031" t="s">
        <v>2308</v>
      </c>
      <c r="B1165" s="1043">
        <f>'[1]PLAN DE DESARROLLO 2024 - 2027'!$M$161</f>
        <v>0.24647581985093744</v>
      </c>
      <c r="C1165" s="1031" t="s">
        <v>2316</v>
      </c>
      <c r="D1165" s="1040">
        <f>'[1]PLAN DE DESARROLLO 2024 - 2027'!$M$184</f>
        <v>0.18265127235728812</v>
      </c>
      <c r="E1165" s="1031" t="s">
        <v>2328</v>
      </c>
      <c r="F1165" s="1041">
        <f>[2]Hoja1!$B$116</f>
        <v>0.382994593493032</v>
      </c>
      <c r="G1165" s="1031" t="s">
        <v>1704</v>
      </c>
      <c r="H1165" s="1031" t="s">
        <v>1705</v>
      </c>
      <c r="I1165" s="1031"/>
      <c r="J1165" s="1031" t="s">
        <v>1701</v>
      </c>
      <c r="K1165" s="1042" t="s">
        <v>2454</v>
      </c>
    </row>
    <row r="1166" spans="1:11" s="1028" customFormat="1" ht="45" x14ac:dyDescent="0.25">
      <c r="A1166" s="1031" t="s">
        <v>2308</v>
      </c>
      <c r="B1166" s="1043">
        <f>'[1]PLAN DE DESARROLLO 2024 - 2027'!$M$161</f>
        <v>0.24647581985093744</v>
      </c>
      <c r="C1166" s="1031" t="s">
        <v>2316</v>
      </c>
      <c r="D1166" s="1040">
        <f>'[1]PLAN DE DESARROLLO 2024 - 2027'!$M$184</f>
        <v>0.18265127235728812</v>
      </c>
      <c r="E1166" s="1031" t="s">
        <v>2328</v>
      </c>
      <c r="F1166" s="1041">
        <f>[2]Hoja1!$B$116</f>
        <v>0.382994593493032</v>
      </c>
      <c r="G1166" s="1031" t="s">
        <v>1706</v>
      </c>
      <c r="H1166" s="1031" t="s">
        <v>1707</v>
      </c>
      <c r="I1166" s="1031"/>
      <c r="J1166" s="1031" t="s">
        <v>1701</v>
      </c>
      <c r="K1166" s="1042" t="s">
        <v>2454</v>
      </c>
    </row>
    <row r="1167" spans="1:11" s="1028" customFormat="1" ht="60" x14ac:dyDescent="0.25">
      <c r="A1167" s="1031" t="s">
        <v>2308</v>
      </c>
      <c r="B1167" s="1043">
        <f>'[1]PLAN DE DESARROLLO 2024 - 2027'!$M$161</f>
        <v>0.24647581985093744</v>
      </c>
      <c r="C1167" s="1031" t="s">
        <v>2316</v>
      </c>
      <c r="D1167" s="1040">
        <f>'[1]PLAN DE DESARROLLO 2024 - 2027'!$M$184</f>
        <v>0.18265127235728812</v>
      </c>
      <c r="E1167" s="1031" t="s">
        <v>2328</v>
      </c>
      <c r="F1167" s="1041">
        <f>[2]Hoja1!$B$116</f>
        <v>0.382994593493032</v>
      </c>
      <c r="G1167" s="1031" t="s">
        <v>1709</v>
      </c>
      <c r="H1167" s="1031" t="s">
        <v>1710</v>
      </c>
      <c r="I1167" s="1031"/>
      <c r="J1167" s="1031" t="s">
        <v>1701</v>
      </c>
      <c r="K1167" s="1042" t="s">
        <v>2454</v>
      </c>
    </row>
    <row r="1168" spans="1:11" s="1028" customFormat="1" ht="60" x14ac:dyDescent="0.25">
      <c r="A1168" s="1031" t="s">
        <v>2308</v>
      </c>
      <c r="B1168" s="1043">
        <f>'[1]PLAN DE DESARROLLO 2024 - 2027'!$M$161</f>
        <v>0.24647581985093744</v>
      </c>
      <c r="C1168" s="1031" t="s">
        <v>2316</v>
      </c>
      <c r="D1168" s="1040">
        <f>'[1]PLAN DE DESARROLLO 2024 - 2027'!$M$184</f>
        <v>0.18265127235728812</v>
      </c>
      <c r="E1168" s="1031" t="s">
        <v>2328</v>
      </c>
      <c r="F1168" s="1041">
        <f>[2]Hoja1!$B$116</f>
        <v>0.382994593493032</v>
      </c>
      <c r="G1168" s="1031" t="s">
        <v>1712</v>
      </c>
      <c r="H1168" s="1031" t="s">
        <v>1713</v>
      </c>
      <c r="I1168" s="1031"/>
      <c r="J1168" s="1031" t="s">
        <v>1701</v>
      </c>
      <c r="K1168" s="1042" t="s">
        <v>2454</v>
      </c>
    </row>
    <row r="1169" spans="1:11" s="1028" customFormat="1" ht="45" x14ac:dyDescent="0.25">
      <c r="A1169" s="1031" t="s">
        <v>2308</v>
      </c>
      <c r="B1169" s="1043">
        <f>'[1]PLAN DE DESARROLLO 2024 - 2027'!$M$161</f>
        <v>0.24647581985093744</v>
      </c>
      <c r="C1169" s="1031" t="s">
        <v>2316</v>
      </c>
      <c r="D1169" s="1040">
        <f>'[1]PLAN DE DESARROLLO 2024 - 2027'!$M$184</f>
        <v>0.18265127235728812</v>
      </c>
      <c r="E1169" s="1031" t="s">
        <v>2329</v>
      </c>
      <c r="F1169" s="1041">
        <f>[2]Hoja1!$B$117</f>
        <v>0.14799999999999999</v>
      </c>
      <c r="G1169" s="1031" t="s">
        <v>1716</v>
      </c>
      <c r="H1169" s="1031" t="s">
        <v>1717</v>
      </c>
      <c r="I1169" s="1031"/>
      <c r="J1169" s="1031" t="s">
        <v>1701</v>
      </c>
      <c r="K1169" s="1042" t="s">
        <v>2454</v>
      </c>
    </row>
    <row r="1170" spans="1:11" s="1028" customFormat="1" ht="30" x14ac:dyDescent="0.25">
      <c r="A1170" s="1031" t="s">
        <v>2308</v>
      </c>
      <c r="B1170" s="1043">
        <f>'[1]PLAN DE DESARROLLO 2024 - 2027'!$M$161</f>
        <v>0.24647581985093744</v>
      </c>
      <c r="C1170" s="1031" t="s">
        <v>2316</v>
      </c>
      <c r="D1170" s="1040">
        <f>'[1]PLAN DE DESARROLLO 2024 - 2027'!$M$184</f>
        <v>0.18265127235728812</v>
      </c>
      <c r="E1170" s="1031" t="s">
        <v>2329</v>
      </c>
      <c r="F1170" s="1041">
        <f>[2]Hoja1!$B$117</f>
        <v>0.14799999999999999</v>
      </c>
      <c r="G1170" s="1031" t="s">
        <v>1719</v>
      </c>
      <c r="H1170" s="1031" t="s">
        <v>1720</v>
      </c>
      <c r="I1170" s="1031"/>
      <c r="J1170" s="1031" t="s">
        <v>1701</v>
      </c>
      <c r="K1170" s="1042" t="s">
        <v>2454</v>
      </c>
    </row>
    <row r="1171" spans="1:11" s="1028" customFormat="1" ht="30" x14ac:dyDescent="0.25">
      <c r="A1171" s="1031" t="s">
        <v>2308</v>
      </c>
      <c r="B1171" s="1043">
        <f>'[1]PLAN DE DESARROLLO 2024 - 2027'!$M$161</f>
        <v>0.24647581985093744</v>
      </c>
      <c r="C1171" s="1031" t="s">
        <v>2316</v>
      </c>
      <c r="D1171" s="1040">
        <f>'[1]PLAN DE DESARROLLO 2024 - 2027'!$M$184</f>
        <v>0.18265127235728812</v>
      </c>
      <c r="E1171" s="1031" t="s">
        <v>2329</v>
      </c>
      <c r="F1171" s="1041">
        <f>[2]Hoja1!$B$117</f>
        <v>0.14799999999999999</v>
      </c>
      <c r="G1171" s="1031" t="s">
        <v>1721</v>
      </c>
      <c r="H1171" s="1031" t="s">
        <v>1722</v>
      </c>
      <c r="I1171" s="1031"/>
      <c r="J1171" s="1031" t="s">
        <v>1701</v>
      </c>
      <c r="K1171" s="1042" t="s">
        <v>2454</v>
      </c>
    </row>
    <row r="1172" spans="1:11" s="1028" customFormat="1" ht="30" x14ac:dyDescent="0.25">
      <c r="A1172" s="1031" t="s">
        <v>2308</v>
      </c>
      <c r="B1172" s="1043">
        <f>'[1]PLAN DE DESARROLLO 2024 - 2027'!$M$161</f>
        <v>0.24647581985093744</v>
      </c>
      <c r="C1172" s="1031" t="s">
        <v>2316</v>
      </c>
      <c r="D1172" s="1040">
        <f>'[1]PLAN DE DESARROLLO 2024 - 2027'!$M$184</f>
        <v>0.18265127235728812</v>
      </c>
      <c r="E1172" s="1031" t="s">
        <v>2329</v>
      </c>
      <c r="F1172" s="1041">
        <f>[2]Hoja1!$B$117</f>
        <v>0.14799999999999999</v>
      </c>
      <c r="G1172" s="1031" t="s">
        <v>1724</v>
      </c>
      <c r="H1172" s="1031" t="s">
        <v>1725</v>
      </c>
      <c r="I1172" s="1031"/>
      <c r="J1172" s="1031" t="s">
        <v>1701</v>
      </c>
      <c r="K1172" s="1042" t="s">
        <v>2454</v>
      </c>
    </row>
    <row r="1173" spans="1:11" s="1028" customFormat="1" ht="45" x14ac:dyDescent="0.25">
      <c r="A1173" s="1031" t="s">
        <v>2308</v>
      </c>
      <c r="B1173" s="1043">
        <f>'[1]PLAN DE DESARROLLO 2024 - 2027'!$M$161</f>
        <v>0.24647581985093744</v>
      </c>
      <c r="C1173" s="1031" t="s">
        <v>2316</v>
      </c>
      <c r="D1173" s="1040">
        <f>'[1]PLAN DE DESARROLLO 2024 - 2027'!$M$184</f>
        <v>0.18265127235728812</v>
      </c>
      <c r="E1173" s="1031" t="s">
        <v>2329</v>
      </c>
      <c r="F1173" s="1041">
        <f>[2]Hoja1!$B$117</f>
        <v>0.14799999999999999</v>
      </c>
      <c r="G1173" s="1031" t="s">
        <v>1727</v>
      </c>
      <c r="H1173" s="1031" t="s">
        <v>1728</v>
      </c>
      <c r="I1173" s="1031"/>
      <c r="J1173" s="1031" t="s">
        <v>1701</v>
      </c>
      <c r="K1173" s="1042" t="s">
        <v>2454</v>
      </c>
    </row>
    <row r="1174" spans="1:11" s="1028" customFormat="1" ht="60" x14ac:dyDescent="0.25">
      <c r="A1174" s="1031" t="s">
        <v>2308</v>
      </c>
      <c r="B1174" s="1043">
        <f>'[1]PLAN DE DESARROLLO 2024 - 2027'!$M$161</f>
        <v>0.24647581985093744</v>
      </c>
      <c r="C1174" s="1031" t="s">
        <v>2316</v>
      </c>
      <c r="D1174" s="1040">
        <f>'[1]PLAN DE DESARROLLO 2024 - 2027'!$M$184</f>
        <v>0.18265127235728812</v>
      </c>
      <c r="E1174" s="1031" t="s">
        <v>2329</v>
      </c>
      <c r="F1174" s="1041">
        <f>[2]Hoja1!$B$117</f>
        <v>0.14799999999999999</v>
      </c>
      <c r="G1174" s="1031" t="s">
        <v>1729</v>
      </c>
      <c r="H1174" s="1031" t="s">
        <v>1730</v>
      </c>
      <c r="I1174" s="1031"/>
      <c r="J1174" s="1031" t="s">
        <v>1701</v>
      </c>
      <c r="K1174" s="1042" t="s">
        <v>2454</v>
      </c>
    </row>
    <row r="1175" spans="1:11" s="1028" customFormat="1" ht="30" x14ac:dyDescent="0.25">
      <c r="A1175" s="1031" t="s">
        <v>2308</v>
      </c>
      <c r="B1175" s="1043">
        <f>'[1]PLAN DE DESARROLLO 2024 - 2027'!$M$161</f>
        <v>0.24647581985093744</v>
      </c>
      <c r="C1175" s="1031" t="s">
        <v>2316</v>
      </c>
      <c r="D1175" s="1040">
        <f>'[1]PLAN DE DESARROLLO 2024 - 2027'!$M$184</f>
        <v>0.18265127235728812</v>
      </c>
      <c r="E1175" s="1031" t="s">
        <v>1737</v>
      </c>
      <c r="F1175" s="1041">
        <f>[2]Hoja1!$B$118</f>
        <v>0.20865</v>
      </c>
      <c r="G1175" s="1031" t="s">
        <v>1738</v>
      </c>
      <c r="H1175" s="1031" t="s">
        <v>1739</v>
      </c>
      <c r="I1175" s="1031"/>
      <c r="J1175" s="1031" t="s">
        <v>1701</v>
      </c>
      <c r="K1175" s="1042" t="s">
        <v>2454</v>
      </c>
    </row>
    <row r="1176" spans="1:11" s="1028" customFormat="1" ht="30" x14ac:dyDescent="0.25">
      <c r="A1176" s="1031" t="s">
        <v>2308</v>
      </c>
      <c r="B1176" s="1043">
        <f>'[1]PLAN DE DESARROLLO 2024 - 2027'!$M$161</f>
        <v>0.24647581985093744</v>
      </c>
      <c r="C1176" s="1031" t="s">
        <v>2316</v>
      </c>
      <c r="D1176" s="1040">
        <f>'[1]PLAN DE DESARROLLO 2024 - 2027'!$M$184</f>
        <v>0.18265127235728812</v>
      </c>
      <c r="E1176" s="1031" t="s">
        <v>1737</v>
      </c>
      <c r="F1176" s="1041">
        <f>[2]Hoja1!$B$118</f>
        <v>0.20865</v>
      </c>
      <c r="G1176" s="1031" t="s">
        <v>1740</v>
      </c>
      <c r="H1176" s="1031" t="s">
        <v>1741</v>
      </c>
      <c r="I1176" s="1031"/>
      <c r="J1176" s="1031" t="s">
        <v>1701</v>
      </c>
      <c r="K1176" s="1042" t="s">
        <v>2454</v>
      </c>
    </row>
    <row r="1177" spans="1:11" s="1028" customFormat="1" ht="45" x14ac:dyDescent="0.25">
      <c r="A1177" s="1031" t="s">
        <v>2308</v>
      </c>
      <c r="B1177" s="1043">
        <f>'[1]PLAN DE DESARROLLO 2024 - 2027'!$M$161</f>
        <v>0.24647581985093744</v>
      </c>
      <c r="C1177" s="1031" t="s">
        <v>2316</v>
      </c>
      <c r="D1177" s="1040">
        <f>'[1]PLAN DE DESARROLLO 2024 - 2027'!$M$184</f>
        <v>0.18265127235728812</v>
      </c>
      <c r="E1177" s="1031" t="s">
        <v>1737</v>
      </c>
      <c r="F1177" s="1041">
        <f>[2]Hoja1!$B$118</f>
        <v>0.20865</v>
      </c>
      <c r="G1177" s="1031" t="s">
        <v>1742</v>
      </c>
      <c r="H1177" s="1031" t="s">
        <v>1743</v>
      </c>
      <c r="I1177" s="1031"/>
      <c r="J1177" s="1031" t="s">
        <v>1701</v>
      </c>
      <c r="K1177" s="1042" t="s">
        <v>2454</v>
      </c>
    </row>
    <row r="1178" spans="1:11" s="1028" customFormat="1" ht="45" x14ac:dyDescent="0.25">
      <c r="A1178" s="1031" t="s">
        <v>2308</v>
      </c>
      <c r="B1178" s="1043">
        <f>'[1]PLAN DE DESARROLLO 2024 - 2027'!$M$161</f>
        <v>0.24647581985093744</v>
      </c>
      <c r="C1178" s="1031" t="s">
        <v>2316</v>
      </c>
      <c r="D1178" s="1040">
        <f>'[1]PLAN DE DESARROLLO 2024 - 2027'!$M$184</f>
        <v>0.18265127235728812</v>
      </c>
      <c r="E1178" s="1031" t="s">
        <v>1737</v>
      </c>
      <c r="F1178" s="1041">
        <f>[2]Hoja1!$B$118</f>
        <v>0.20865</v>
      </c>
      <c r="G1178" s="1031" t="s">
        <v>1744</v>
      </c>
      <c r="H1178" s="1031" t="s">
        <v>1745</v>
      </c>
      <c r="I1178" s="1031"/>
      <c r="J1178" s="1031" t="s">
        <v>1701</v>
      </c>
      <c r="K1178" s="1042" t="s">
        <v>2454</v>
      </c>
    </row>
    <row r="1179" spans="1:11" s="1028" customFormat="1" ht="30" x14ac:dyDescent="0.25">
      <c r="A1179" s="1031" t="s">
        <v>2308</v>
      </c>
      <c r="B1179" s="1043">
        <f>'[1]PLAN DE DESARROLLO 2024 - 2027'!$M$161</f>
        <v>0.24647581985093744</v>
      </c>
      <c r="C1179" s="1031" t="s">
        <v>2310</v>
      </c>
      <c r="D1179" s="1040">
        <f>'[1]PLAN DE DESARROLLO 2024 - 2027'!$M$166</f>
        <v>0.23451309458253802</v>
      </c>
      <c r="E1179" s="1031" t="s">
        <v>1600</v>
      </c>
      <c r="F1179" s="1041">
        <f>[2]Hoja1!$B$119</f>
        <v>0.18272496473906913</v>
      </c>
      <c r="G1179" s="1031" t="s">
        <v>1601</v>
      </c>
      <c r="H1179" s="1031" t="s">
        <v>1602</v>
      </c>
      <c r="I1179" s="1031"/>
      <c r="J1179" s="1031" t="s">
        <v>658</v>
      </c>
      <c r="K1179" s="1042" t="s">
        <v>2454</v>
      </c>
    </row>
    <row r="1180" spans="1:11" s="1028" customFormat="1" ht="30" x14ac:dyDescent="0.25">
      <c r="A1180" s="1031" t="s">
        <v>2308</v>
      </c>
      <c r="B1180" s="1043">
        <f>'[1]PLAN DE DESARROLLO 2024 - 2027'!$M$161</f>
        <v>0.24647581985093744</v>
      </c>
      <c r="C1180" s="1031" t="s">
        <v>2310</v>
      </c>
      <c r="D1180" s="1040">
        <f>'[1]PLAN DE DESARROLLO 2024 - 2027'!$M$166</f>
        <v>0.23451309458253802</v>
      </c>
      <c r="E1180" s="1031" t="s">
        <v>1600</v>
      </c>
      <c r="F1180" s="1041">
        <f>[2]Hoja1!$B$119</f>
        <v>0.18272496473906913</v>
      </c>
      <c r="G1180" s="1031" t="s">
        <v>1604</v>
      </c>
      <c r="H1180" s="1031" t="s">
        <v>1605</v>
      </c>
      <c r="I1180" s="1031"/>
      <c r="J1180" s="1031" t="s">
        <v>658</v>
      </c>
      <c r="K1180" s="1042" t="s">
        <v>2454</v>
      </c>
    </row>
    <row r="1181" spans="1:11" s="1028" customFormat="1" ht="30" x14ac:dyDescent="0.25">
      <c r="A1181" s="1031" t="s">
        <v>2308</v>
      </c>
      <c r="B1181" s="1043">
        <f>'[1]PLAN DE DESARROLLO 2024 - 2027'!$M$161</f>
        <v>0.24647581985093744</v>
      </c>
      <c r="C1181" s="1031" t="s">
        <v>2310</v>
      </c>
      <c r="D1181" s="1040">
        <f>'[1]PLAN DE DESARROLLO 2024 - 2027'!$M$166</f>
        <v>0.23451309458253802</v>
      </c>
      <c r="E1181" s="1031" t="s">
        <v>1600</v>
      </c>
      <c r="F1181" s="1041">
        <f>[2]Hoja1!$B$119</f>
        <v>0.18272496473906913</v>
      </c>
      <c r="G1181" s="1031" t="s">
        <v>1606</v>
      </c>
      <c r="H1181" s="1031" t="s">
        <v>1607</v>
      </c>
      <c r="I1181" s="1031"/>
      <c r="J1181" s="1031" t="s">
        <v>658</v>
      </c>
      <c r="K1181" s="1042" t="s">
        <v>2454</v>
      </c>
    </row>
    <row r="1182" spans="1:11" s="1028" customFormat="1" ht="45" x14ac:dyDescent="0.25">
      <c r="A1182" s="1031" t="s">
        <v>2215</v>
      </c>
      <c r="B1182" s="1043">
        <f>'[1]PLAN DE DESARROLLO 2024 - 2027'!$M$123</f>
        <v>0.20174333228533195</v>
      </c>
      <c r="C1182" s="1031" t="s">
        <v>2242</v>
      </c>
      <c r="D1182" s="1040">
        <f>'[1]PLAN DE DESARROLLO 2024 - 2027'!$M$127</f>
        <v>0.32068750000000001</v>
      </c>
      <c r="E1182" s="1031" t="s">
        <v>2243</v>
      </c>
      <c r="F1182" s="1041">
        <f>[2]Hoja1!$B$133</f>
        <v>0.375</v>
      </c>
      <c r="G1182" s="1031" t="s">
        <v>1216</v>
      </c>
      <c r="H1182" s="1031" t="s">
        <v>1217</v>
      </c>
      <c r="I1182" s="1031"/>
      <c r="J1182" s="1031" t="s">
        <v>716</v>
      </c>
      <c r="K1182" s="1042" t="s">
        <v>2454</v>
      </c>
    </row>
    <row r="1183" spans="1:11" s="1028" customFormat="1" ht="30" x14ac:dyDescent="0.25">
      <c r="A1183" s="1031" t="s">
        <v>2215</v>
      </c>
      <c r="B1183" s="1043">
        <f>'[1]PLAN DE DESARROLLO 2024 - 2027'!$M$123</f>
        <v>0.20174333228533195</v>
      </c>
      <c r="C1183" s="1031" t="s">
        <v>2242</v>
      </c>
      <c r="D1183" s="1040">
        <f>'[1]PLAN DE DESARROLLO 2024 - 2027'!$M$127</f>
        <v>0.32068750000000001</v>
      </c>
      <c r="E1183" s="1031" t="s">
        <v>2243</v>
      </c>
      <c r="F1183" s="1041">
        <f>[2]Hoja1!$B$133</f>
        <v>0.375</v>
      </c>
      <c r="G1183" s="1031" t="s">
        <v>1219</v>
      </c>
      <c r="H1183" s="1031" t="s">
        <v>1220</v>
      </c>
      <c r="I1183" s="1031"/>
      <c r="J1183" s="1031" t="s">
        <v>716</v>
      </c>
      <c r="K1183" s="1042" t="s">
        <v>2454</v>
      </c>
    </row>
    <row r="1184" spans="1:11" s="1028" customFormat="1" ht="30" x14ac:dyDescent="0.25">
      <c r="A1184" s="1031" t="s">
        <v>2215</v>
      </c>
      <c r="B1184" s="1043">
        <f>'[1]PLAN DE DESARROLLO 2024 - 2027'!$M$123</f>
        <v>0.20174333228533195</v>
      </c>
      <c r="C1184" s="1031" t="s">
        <v>2242</v>
      </c>
      <c r="D1184" s="1040">
        <f>'[1]PLAN DE DESARROLLO 2024 - 2027'!$M$127</f>
        <v>0.32068750000000001</v>
      </c>
      <c r="E1184" s="1031" t="s">
        <v>2243</v>
      </c>
      <c r="F1184" s="1041">
        <f>[2]Hoja1!$B$133</f>
        <v>0.375</v>
      </c>
      <c r="G1184" s="1031" t="s">
        <v>1222</v>
      </c>
      <c r="H1184" s="1031" t="s">
        <v>1223</v>
      </c>
      <c r="I1184" s="1031"/>
      <c r="J1184" s="1031" t="s">
        <v>1224</v>
      </c>
      <c r="K1184" s="1042" t="s">
        <v>2454</v>
      </c>
    </row>
    <row r="1185" spans="1:16" s="1028" customFormat="1" ht="30" x14ac:dyDescent="0.25">
      <c r="A1185" s="1031" t="s">
        <v>2215</v>
      </c>
      <c r="B1185" s="1043">
        <f>'[1]PLAN DE DESARROLLO 2024 - 2027'!$M$123</f>
        <v>0.20174333228533195</v>
      </c>
      <c r="C1185" s="1031" t="s">
        <v>2242</v>
      </c>
      <c r="D1185" s="1040">
        <f>'[1]PLAN DE DESARROLLO 2024 - 2027'!$M$127</f>
        <v>0.32068750000000001</v>
      </c>
      <c r="E1185" s="1031" t="s">
        <v>2243</v>
      </c>
      <c r="F1185" s="1041">
        <f>[2]Hoja1!$B$133</f>
        <v>0.375</v>
      </c>
      <c r="G1185" s="1031" t="s">
        <v>1225</v>
      </c>
      <c r="H1185" s="1031" t="s">
        <v>1226</v>
      </c>
      <c r="I1185" s="1031"/>
      <c r="J1185" s="1031" t="s">
        <v>716</v>
      </c>
      <c r="K1185" s="1042" t="s">
        <v>2454</v>
      </c>
    </row>
    <row r="1186" spans="1:16" s="1028" customFormat="1" ht="30" x14ac:dyDescent="0.25">
      <c r="A1186" s="1031" t="s">
        <v>2215</v>
      </c>
      <c r="B1186" s="1043">
        <f>'[1]PLAN DE DESARROLLO 2024 - 2027'!$M$123</f>
        <v>0.20174333228533195</v>
      </c>
      <c r="C1186" s="1031" t="s">
        <v>2221</v>
      </c>
      <c r="D1186" s="1045">
        <f>'[1]PLAN DE DESARROLLO 2024 - 2027'!$M$147</f>
        <v>0.1413865782697985</v>
      </c>
      <c r="E1186" s="1031" t="s">
        <v>2222</v>
      </c>
      <c r="F1186" s="1041">
        <f>[2]Hoja1!$B$96</f>
        <v>0</v>
      </c>
      <c r="G1186" s="1031" t="s">
        <v>1373</v>
      </c>
      <c r="H1186" s="1031" t="s">
        <v>1374</v>
      </c>
      <c r="I1186" s="1031"/>
      <c r="J1186" s="1031" t="s">
        <v>1224</v>
      </c>
      <c r="K1186" s="1042" t="s">
        <v>2454</v>
      </c>
    </row>
    <row r="1187" spans="1:16" s="1028" customFormat="1" ht="30" x14ac:dyDescent="0.25">
      <c r="A1187" s="1031" t="s">
        <v>2215</v>
      </c>
      <c r="B1187" s="1043">
        <f>'[1]PLAN DE DESARROLLO 2024 - 2027'!$M$123</f>
        <v>0.20174333228533195</v>
      </c>
      <c r="C1187" s="1031" t="s">
        <v>2221</v>
      </c>
      <c r="D1187" s="1045">
        <f>'[1]PLAN DE DESARROLLO 2024 - 2027'!$M$147</f>
        <v>0.1413865782697985</v>
      </c>
      <c r="E1187" s="1031" t="s">
        <v>2227</v>
      </c>
      <c r="F1187" s="1041">
        <f>[2]Hoja1!$B$111</f>
        <v>0.27791111632027071</v>
      </c>
      <c r="G1187" s="1031" t="s">
        <v>1395</v>
      </c>
      <c r="H1187" s="1031" t="s">
        <v>1396</v>
      </c>
      <c r="I1187" s="1031"/>
      <c r="J1187" s="1031" t="s">
        <v>92</v>
      </c>
      <c r="K1187" s="1042" t="s">
        <v>2454</v>
      </c>
    </row>
    <row r="1188" spans="1:16" s="1028" customFormat="1" ht="30" x14ac:dyDescent="0.25">
      <c r="A1188" s="1031" t="s">
        <v>2215</v>
      </c>
      <c r="B1188" s="1043">
        <f>'[1]PLAN DE DESARROLLO 2024 - 2027'!$M$123</f>
        <v>0.20174333228533195</v>
      </c>
      <c r="C1188" s="1031" t="s">
        <v>2221</v>
      </c>
      <c r="D1188" s="1045">
        <f>'[1]PLAN DE DESARROLLO 2024 - 2027'!$M$147</f>
        <v>0.1413865782697985</v>
      </c>
      <c r="E1188" s="1031" t="s">
        <v>2227</v>
      </c>
      <c r="F1188" s="1041">
        <f>[2]Hoja1!$B$111</f>
        <v>0.27791111632027071</v>
      </c>
      <c r="G1188" s="1031" t="s">
        <v>1397</v>
      </c>
      <c r="H1188" s="1031" t="s">
        <v>1398</v>
      </c>
      <c r="I1188" s="1031"/>
      <c r="J1188" s="1031" t="s">
        <v>92</v>
      </c>
      <c r="K1188" s="1042" t="s">
        <v>2454</v>
      </c>
    </row>
    <row r="1189" spans="1:16" s="1028" customFormat="1" ht="30" x14ac:dyDescent="0.25">
      <c r="A1189" s="1031" t="s">
        <v>2215</v>
      </c>
      <c r="B1189" s="1043">
        <f>'[1]PLAN DE DESARROLLO 2024 - 2027'!$M$123</f>
        <v>0.20174333228533195</v>
      </c>
      <c r="C1189" s="1031" t="s">
        <v>2221</v>
      </c>
      <c r="D1189" s="1045">
        <f>'[1]PLAN DE DESARROLLO 2024 - 2027'!$M$147</f>
        <v>0.1413865782697985</v>
      </c>
      <c r="E1189" s="1031" t="s">
        <v>2227</v>
      </c>
      <c r="F1189" s="1041">
        <f>[2]Hoja1!$B$111</f>
        <v>0.27791111632027071</v>
      </c>
      <c r="G1189" s="1031" t="s">
        <v>1399</v>
      </c>
      <c r="H1189" s="1031" t="s">
        <v>1400</v>
      </c>
      <c r="I1189" s="1031"/>
      <c r="J1189" s="1031" t="s">
        <v>2228</v>
      </c>
      <c r="K1189" s="1042" t="s">
        <v>2454</v>
      </c>
    </row>
    <row r="1190" spans="1:16" s="1028" customFormat="1" ht="45" x14ac:dyDescent="0.25">
      <c r="A1190" s="1031" t="s">
        <v>2341</v>
      </c>
      <c r="B1190" s="1039">
        <f>'[1]PLAN DE DESARROLLO 2024 - 2027'!$M$4</f>
        <v>0.24028917333263158</v>
      </c>
      <c r="C1190" s="1031" t="s">
        <v>2347</v>
      </c>
      <c r="D1190" s="1040">
        <f>'[1]PLAN DE DESARROLLO 2024 - 2027'!$M$20</f>
        <v>0.2170625911038922</v>
      </c>
      <c r="E1190" s="1031" t="s">
        <v>1954</v>
      </c>
      <c r="F1190" s="1041">
        <f>[2]Hoja1!$B$139</f>
        <v>0.25787869115937234</v>
      </c>
      <c r="G1190" s="1031" t="s">
        <v>264</v>
      </c>
      <c r="H1190" s="1031" t="s">
        <v>265</v>
      </c>
      <c r="I1190" s="1031"/>
      <c r="J1190" s="1031" t="s">
        <v>219</v>
      </c>
      <c r="K1190" s="1042" t="s">
        <v>2454</v>
      </c>
    </row>
    <row r="1191" spans="1:16" s="1028" customFormat="1" ht="60" x14ac:dyDescent="0.25">
      <c r="A1191" s="1031" t="s">
        <v>2341</v>
      </c>
      <c r="B1191" s="1039">
        <f>'[1]PLAN DE DESARROLLO 2024 - 2027'!$M$4</f>
        <v>0.24028917333263158</v>
      </c>
      <c r="C1191" s="1031" t="s">
        <v>2347</v>
      </c>
      <c r="D1191" s="1040">
        <f>'[1]PLAN DE DESARROLLO 2024 - 2027'!$M$20</f>
        <v>0.2170625911038922</v>
      </c>
      <c r="E1191" s="1031" t="s">
        <v>1954</v>
      </c>
      <c r="F1191" s="1041">
        <f>[2]Hoja1!$B$139</f>
        <v>0.25787869115937234</v>
      </c>
      <c r="G1191" s="1031" t="s">
        <v>266</v>
      </c>
      <c r="H1191" s="1031" t="s">
        <v>267</v>
      </c>
      <c r="I1191" s="1031"/>
      <c r="J1191" s="1031" t="s">
        <v>219</v>
      </c>
      <c r="K1191" s="1042" t="s">
        <v>2454</v>
      </c>
    </row>
    <row r="1192" spans="1:16" s="1028" customFormat="1" ht="45" x14ac:dyDescent="0.25">
      <c r="A1192" s="1031" t="s">
        <v>2341</v>
      </c>
      <c r="B1192" s="1039">
        <f>'[1]PLAN DE DESARROLLO 2024 - 2027'!$M$4</f>
        <v>0.24028917333263158</v>
      </c>
      <c r="C1192" s="1031" t="s">
        <v>2347</v>
      </c>
      <c r="D1192" s="1040">
        <f>'[1]PLAN DE DESARROLLO 2024 - 2027'!$M$20</f>
        <v>0.2170625911038922</v>
      </c>
      <c r="E1192" s="1031" t="s">
        <v>1954</v>
      </c>
      <c r="F1192" s="1041">
        <f>[2]Hoja1!$B$139</f>
        <v>0.25787869115937234</v>
      </c>
      <c r="G1192" s="1031" t="s">
        <v>268</v>
      </c>
      <c r="H1192" s="1031" t="s">
        <v>269</v>
      </c>
      <c r="I1192" s="1031"/>
      <c r="J1192" s="1031" t="s">
        <v>219</v>
      </c>
      <c r="K1192" s="1042" t="s">
        <v>2454</v>
      </c>
    </row>
    <row r="1193" spans="1:16" s="1028" customFormat="1" ht="45" x14ac:dyDescent="0.25">
      <c r="A1193" s="1031" t="s">
        <v>2341</v>
      </c>
      <c r="B1193" s="1039">
        <f>'[1]PLAN DE DESARROLLO 2024 - 2027'!$M$4</f>
        <v>0.24028917333263158</v>
      </c>
      <c r="C1193" s="1031" t="s">
        <v>2347</v>
      </c>
      <c r="D1193" s="1040">
        <f>'[1]PLAN DE DESARROLLO 2024 - 2027'!$M$20</f>
        <v>0.2170625911038922</v>
      </c>
      <c r="E1193" s="1031" t="s">
        <v>1954</v>
      </c>
      <c r="F1193" s="1041">
        <f>[2]Hoja1!$B$139</f>
        <v>0.25787869115937234</v>
      </c>
      <c r="G1193" s="1031" t="s">
        <v>270</v>
      </c>
      <c r="H1193" s="1031" t="s">
        <v>271</v>
      </c>
      <c r="I1193" s="1031"/>
      <c r="J1193" s="1031" t="s">
        <v>219</v>
      </c>
      <c r="K1193" s="1042" t="s">
        <v>2454</v>
      </c>
    </row>
    <row r="1194" spans="1:16" s="1028" customFormat="1" ht="60" x14ac:dyDescent="0.25">
      <c r="A1194" s="1031" t="s">
        <v>2341</v>
      </c>
      <c r="B1194" s="1039">
        <f>'[1]PLAN DE DESARROLLO 2024 - 2027'!$M$4</f>
        <v>0.24028917333263158</v>
      </c>
      <c r="C1194" s="1031" t="s">
        <v>2347</v>
      </c>
      <c r="D1194" s="1040">
        <f>'[1]PLAN DE DESARROLLO 2024 - 2027'!$M$20</f>
        <v>0.2170625911038922</v>
      </c>
      <c r="E1194" s="1031" t="s">
        <v>1954</v>
      </c>
      <c r="F1194" s="1041">
        <f>[2]Hoja1!$B$139</f>
        <v>0.25787869115937234</v>
      </c>
      <c r="G1194" s="1031" t="s">
        <v>272</v>
      </c>
      <c r="H1194" s="1031" t="s">
        <v>273</v>
      </c>
      <c r="I1194" s="1031"/>
      <c r="J1194" s="1031" t="s">
        <v>219</v>
      </c>
      <c r="K1194" s="1042" t="s">
        <v>2454</v>
      </c>
      <c r="P1194" s="1029"/>
    </row>
    <row r="1195" spans="1:16" s="1028" customFormat="1" ht="75" x14ac:dyDescent="0.25">
      <c r="A1195" s="1031" t="s">
        <v>2341</v>
      </c>
      <c r="B1195" s="1039">
        <f>'[1]PLAN DE DESARROLLO 2024 - 2027'!$M$4</f>
        <v>0.24028917333263158</v>
      </c>
      <c r="C1195" s="1031" t="s">
        <v>2347</v>
      </c>
      <c r="D1195" s="1040">
        <f>'[1]PLAN DE DESARROLLO 2024 - 2027'!$M$20</f>
        <v>0.2170625911038922</v>
      </c>
      <c r="E1195" s="1031" t="s">
        <v>1954</v>
      </c>
      <c r="F1195" s="1041">
        <f>[2]Hoja1!$B$139</f>
        <v>0.25787869115937234</v>
      </c>
      <c r="G1195" s="1031" t="s">
        <v>275</v>
      </c>
      <c r="H1195" s="1031" t="s">
        <v>276</v>
      </c>
      <c r="I1195" s="1031"/>
      <c r="J1195" s="1031" t="s">
        <v>219</v>
      </c>
      <c r="K1195" s="1042" t="s">
        <v>2454</v>
      </c>
      <c r="P1195" s="1029"/>
    </row>
    <row r="1196" spans="1:16" s="1028" customFormat="1" ht="30" x14ac:dyDescent="0.25">
      <c r="A1196" s="1031" t="s">
        <v>2308</v>
      </c>
      <c r="B1196" s="1043">
        <f>'[1]PLAN DE DESARROLLO 2024 - 2027'!$M$161</f>
        <v>0.24647581985093744</v>
      </c>
      <c r="C1196" s="1031" t="s">
        <v>2332</v>
      </c>
      <c r="D1196" s="1040">
        <f>'[1]PLAN DE DESARROLLO 2024 - 2027'!$M$191</f>
        <v>0.22981556695992181</v>
      </c>
      <c r="E1196" s="1031" t="s">
        <v>2337</v>
      </c>
      <c r="F1196" s="1041">
        <f>[2]Hoja1!$B$122</f>
        <v>0.29333333333333333</v>
      </c>
      <c r="G1196" s="1031" t="s">
        <v>1805</v>
      </c>
      <c r="H1196" s="1031" t="s">
        <v>1806</v>
      </c>
      <c r="I1196" s="1031"/>
      <c r="J1196" s="1031" t="s">
        <v>716</v>
      </c>
      <c r="K1196" s="1042" t="s">
        <v>2454</v>
      </c>
      <c r="P1196" s="1029"/>
    </row>
    <row r="1197" spans="1:16" s="1028" customFormat="1" ht="30" x14ac:dyDescent="0.25">
      <c r="A1197" s="1031" t="s">
        <v>2308</v>
      </c>
      <c r="B1197" s="1043">
        <f>'[1]PLAN DE DESARROLLO 2024 - 2027'!$M$161</f>
        <v>0.24647581985093744</v>
      </c>
      <c r="C1197" s="1031" t="s">
        <v>2332</v>
      </c>
      <c r="D1197" s="1040">
        <f>'[1]PLAN DE DESARROLLO 2024 - 2027'!$M$191</f>
        <v>0.22981556695992181</v>
      </c>
      <c r="E1197" s="1031" t="s">
        <v>2337</v>
      </c>
      <c r="F1197" s="1041">
        <f>[2]Hoja1!$B$122</f>
        <v>0.29333333333333333</v>
      </c>
      <c r="G1197" s="1031" t="s">
        <v>1807</v>
      </c>
      <c r="H1197" s="1031" t="s">
        <v>1808</v>
      </c>
      <c r="I1197" s="1031"/>
      <c r="J1197" s="1031" t="s">
        <v>716</v>
      </c>
      <c r="K1197" s="1042" t="s">
        <v>2454</v>
      </c>
      <c r="P1197" s="1029"/>
    </row>
    <row r="1198" spans="1:16" s="1028" customFormat="1" ht="30" x14ac:dyDescent="0.25">
      <c r="A1198" s="1031" t="s">
        <v>2308</v>
      </c>
      <c r="B1198" s="1043">
        <f>'[1]PLAN DE DESARROLLO 2024 - 2027'!$M$161</f>
        <v>0.24647581985093744</v>
      </c>
      <c r="C1198" s="1031" t="s">
        <v>2316</v>
      </c>
      <c r="D1198" s="1040">
        <f>'[1]PLAN DE DESARROLLO 2024 - 2027'!$M$184</f>
        <v>0.18265127235728812</v>
      </c>
      <c r="E1198" s="1031" t="s">
        <v>1731</v>
      </c>
      <c r="F1198" s="1041">
        <f>[2]Hoja1!$B$123</f>
        <v>0</v>
      </c>
      <c r="G1198" s="1031" t="s">
        <v>1732</v>
      </c>
      <c r="H1198" s="1031" t="s">
        <v>1733</v>
      </c>
      <c r="I1198" s="1031"/>
      <c r="J1198" s="1031" t="s">
        <v>2317</v>
      </c>
      <c r="K1198" s="1042" t="s">
        <v>2454</v>
      </c>
      <c r="P1198" s="1029"/>
    </row>
    <row r="1199" spans="1:16" s="1028" customFormat="1" ht="27.75" customHeight="1" x14ac:dyDescent="0.25">
      <c r="A1199" s="1031" t="s">
        <v>2308</v>
      </c>
      <c r="B1199" s="1043">
        <f>'[1]PLAN DE DESARROLLO 2024 - 2027'!$M$161</f>
        <v>0.24647581985093744</v>
      </c>
      <c r="C1199" s="1031" t="s">
        <v>2309</v>
      </c>
      <c r="D1199" s="1040">
        <f>'[1]PLAN DE DESARROLLO 2024 - 2027'!$M$162</f>
        <v>0.208125</v>
      </c>
      <c r="E1199" s="1031" t="s">
        <v>1554</v>
      </c>
      <c r="F1199" s="1041">
        <f>[2]Hoja1!$B$124</f>
        <v>8.7499999999999991E-3</v>
      </c>
      <c r="G1199" s="1031" t="s">
        <v>1555</v>
      </c>
      <c r="H1199" s="1031" t="s">
        <v>1556</v>
      </c>
      <c r="I1199" s="1031"/>
      <c r="J1199" s="1031" t="s">
        <v>658</v>
      </c>
      <c r="K1199" s="1042" t="s">
        <v>2454</v>
      </c>
      <c r="P1199" s="1029"/>
    </row>
    <row r="1200" spans="1:16" s="1028" customFormat="1" ht="30" x14ac:dyDescent="0.25">
      <c r="A1200" s="1031" t="s">
        <v>2308</v>
      </c>
      <c r="B1200" s="1043">
        <f>'[1]PLAN DE DESARROLLO 2024 - 2027'!$M$161</f>
        <v>0.24647581985093744</v>
      </c>
      <c r="C1200" s="1031" t="s">
        <v>2309</v>
      </c>
      <c r="D1200" s="1040">
        <f>'[1]PLAN DE DESARROLLO 2024 - 2027'!$M$162</f>
        <v>0.208125</v>
      </c>
      <c r="E1200" s="1031" t="s">
        <v>1554</v>
      </c>
      <c r="F1200" s="1041">
        <f>[2]Hoja1!$B$124</f>
        <v>8.7499999999999991E-3</v>
      </c>
      <c r="G1200" s="1031" t="s">
        <v>1558</v>
      </c>
      <c r="H1200" s="1031" t="s">
        <v>1559</v>
      </c>
      <c r="I1200" s="1031"/>
      <c r="J1200" s="1031" t="s">
        <v>658</v>
      </c>
      <c r="K1200" s="1042" t="s">
        <v>2454</v>
      </c>
      <c r="P1200" s="1029"/>
    </row>
    <row r="1201" spans="1:16" s="1028" customFormat="1" ht="30" x14ac:dyDescent="0.25">
      <c r="A1201" s="1031" t="s">
        <v>2308</v>
      </c>
      <c r="B1201" s="1043">
        <f>'[1]PLAN DE DESARROLLO 2024 - 2027'!$M$161</f>
        <v>0.24647581985093744</v>
      </c>
      <c r="C1201" s="1031" t="s">
        <v>2309</v>
      </c>
      <c r="D1201" s="1040">
        <f>'[1]PLAN DE DESARROLLO 2024 - 2027'!$M$162</f>
        <v>0.208125</v>
      </c>
      <c r="E1201" s="1031" t="s">
        <v>1554</v>
      </c>
      <c r="F1201" s="1041">
        <f>[2]Hoja1!$B$124</f>
        <v>8.7499999999999991E-3</v>
      </c>
      <c r="G1201" s="1031" t="s">
        <v>1560</v>
      </c>
      <c r="H1201" s="1031" t="s">
        <v>1561</v>
      </c>
      <c r="I1201" s="1031"/>
      <c r="J1201" s="1031" t="s">
        <v>658</v>
      </c>
      <c r="K1201" s="1042" t="s">
        <v>2454</v>
      </c>
      <c r="P1201" s="1029"/>
    </row>
    <row r="1202" spans="1:16" s="1028" customFormat="1" ht="60" x14ac:dyDescent="0.25">
      <c r="A1202" s="1031" t="s">
        <v>2395</v>
      </c>
      <c r="B1202" s="1039">
        <f>'[1]PLAN DE DESARROLLO 2024 - 2027'!$M$46</f>
        <v>0.25251661967012345</v>
      </c>
      <c r="C1202" s="1031" t="s">
        <v>2396</v>
      </c>
      <c r="D1202" s="1040">
        <f>'[1]PLAN DE DESARROLLO 2024 - 2027'!$M$47</f>
        <v>0.26592582694462413</v>
      </c>
      <c r="E1202" s="1031" t="s">
        <v>576</v>
      </c>
      <c r="F1202" s="1041">
        <f>[2]Hoja1!$B$159</f>
        <v>0.15592630718954248</v>
      </c>
      <c r="G1202" s="1031" t="s">
        <v>2419</v>
      </c>
      <c r="H1202" s="1031" t="s">
        <v>2420</v>
      </c>
      <c r="I1202" s="1031"/>
      <c r="J1202" s="1031" t="s">
        <v>2397</v>
      </c>
      <c r="K1202" s="1042" t="s">
        <v>2454</v>
      </c>
      <c r="P1202" s="1029"/>
    </row>
    <row r="1203" spans="1:16" s="1028" customFormat="1" ht="30" x14ac:dyDescent="0.25">
      <c r="A1203" s="1031" t="s">
        <v>2395</v>
      </c>
      <c r="B1203" s="1039">
        <f>'[1]PLAN DE DESARROLLO 2024 - 2027'!$M$46</f>
        <v>0.25251661967012345</v>
      </c>
      <c r="C1203" s="1031" t="s">
        <v>2396</v>
      </c>
      <c r="D1203" s="1040">
        <f>'[1]PLAN DE DESARROLLO 2024 - 2027'!$M$47</f>
        <v>0.26592582694462413</v>
      </c>
      <c r="E1203" s="1031" t="s">
        <v>576</v>
      </c>
      <c r="F1203" s="1041">
        <f>[2]Hoja1!$B$159</f>
        <v>0.15592630718954248</v>
      </c>
      <c r="G1203" s="1031" t="s">
        <v>581</v>
      </c>
      <c r="H1203" s="1031" t="s">
        <v>582</v>
      </c>
      <c r="I1203" s="1031"/>
      <c r="J1203" s="1031" t="s">
        <v>2397</v>
      </c>
      <c r="K1203" s="1042" t="s">
        <v>2454</v>
      </c>
      <c r="P1203" s="1029"/>
    </row>
    <row r="1204" spans="1:16" s="1028" customFormat="1" ht="45" x14ac:dyDescent="0.25">
      <c r="A1204" s="1031" t="s">
        <v>2266</v>
      </c>
      <c r="B1204" s="1043">
        <f>'[1]PLAN DE DESARROLLO 2024 - 2027'!$M$92</f>
        <v>0.25050860314981654</v>
      </c>
      <c r="C1204" s="1031" t="s">
        <v>2284</v>
      </c>
      <c r="D1204" s="1040">
        <f>'[1]PLAN DE DESARROLLO 2024 - 2027'!$M$120</f>
        <v>0.19011249999999999</v>
      </c>
      <c r="E1204" s="1031" t="s">
        <v>2285</v>
      </c>
      <c r="F1204" s="1041">
        <f>[2]Hoja1!$B$58</f>
        <v>9.4384999999999997E-2</v>
      </c>
      <c r="G1204" s="1031" t="s">
        <v>954</v>
      </c>
      <c r="H1204" s="1031" t="s">
        <v>955</v>
      </c>
      <c r="I1204" s="1031"/>
      <c r="J1204" s="1031" t="s">
        <v>103</v>
      </c>
      <c r="K1204" s="1042" t="s">
        <v>2454</v>
      </c>
      <c r="P1204" s="1029"/>
    </row>
    <row r="1205" spans="1:16" s="1028" customFormat="1" ht="45" x14ac:dyDescent="0.25">
      <c r="A1205" s="1031" t="s">
        <v>2266</v>
      </c>
      <c r="B1205" s="1043">
        <f>'[1]PLAN DE DESARROLLO 2024 - 2027'!$M$92</f>
        <v>0.25050860314981654</v>
      </c>
      <c r="C1205" s="1031" t="s">
        <v>2284</v>
      </c>
      <c r="D1205" s="1040">
        <f>'[1]PLAN DE DESARROLLO 2024 - 2027'!$M$120</f>
        <v>0.19011249999999999</v>
      </c>
      <c r="E1205" s="1031" t="s">
        <v>2285</v>
      </c>
      <c r="F1205" s="1041">
        <f>[2]Hoja1!$B$58</f>
        <v>9.4384999999999997E-2</v>
      </c>
      <c r="G1205" s="1031" t="s">
        <v>958</v>
      </c>
      <c r="H1205" s="1031" t="s">
        <v>959</v>
      </c>
      <c r="I1205" s="1031"/>
      <c r="J1205" s="1031" t="s">
        <v>883</v>
      </c>
      <c r="K1205" s="1042" t="s">
        <v>2454</v>
      </c>
      <c r="P1205" s="1029"/>
    </row>
    <row r="1206" spans="1:16" s="1028" customFormat="1" ht="45" x14ac:dyDescent="0.25">
      <c r="A1206" s="1031" t="s">
        <v>2266</v>
      </c>
      <c r="B1206" s="1043">
        <f>'[1]PLAN DE DESARROLLO 2024 - 2027'!$M$92</f>
        <v>0.25050860314981654</v>
      </c>
      <c r="C1206" s="1031" t="s">
        <v>2284</v>
      </c>
      <c r="D1206" s="1040">
        <f>'[1]PLAN DE DESARROLLO 2024 - 2027'!$M$120</f>
        <v>0.19011249999999999</v>
      </c>
      <c r="E1206" s="1031" t="s">
        <v>2285</v>
      </c>
      <c r="F1206" s="1041">
        <f>[2]Hoja1!$B$58</f>
        <v>9.4384999999999997E-2</v>
      </c>
      <c r="G1206" s="1031" t="s">
        <v>961</v>
      </c>
      <c r="H1206" s="1031" t="s">
        <v>962</v>
      </c>
      <c r="I1206" s="1031"/>
      <c r="J1206" s="1031" t="s">
        <v>883</v>
      </c>
      <c r="K1206" s="1042" t="s">
        <v>2454</v>
      </c>
      <c r="P1206" s="1029"/>
    </row>
    <row r="1207" spans="1:16" s="1028" customFormat="1" ht="30" x14ac:dyDescent="0.25">
      <c r="A1207" s="1031" t="s">
        <v>2266</v>
      </c>
      <c r="B1207" s="1043">
        <f>'[1]PLAN DE DESARROLLO 2024 - 2027'!$M$92</f>
        <v>0.25050860314981654</v>
      </c>
      <c r="C1207" s="1031" t="s">
        <v>2284</v>
      </c>
      <c r="D1207" s="1040">
        <f>'[1]PLAN DE DESARROLLO 2024 - 2027'!$M$120</f>
        <v>0.19011249999999999</v>
      </c>
      <c r="E1207" s="1031" t="s">
        <v>2285</v>
      </c>
      <c r="F1207" s="1041">
        <f>[2]Hoja1!$B$58</f>
        <v>9.4384999999999997E-2</v>
      </c>
      <c r="G1207" s="1031" t="s">
        <v>963</v>
      </c>
      <c r="H1207" s="1031" t="s">
        <v>964</v>
      </c>
      <c r="I1207" s="1031"/>
      <c r="J1207" s="1031" t="s">
        <v>883</v>
      </c>
      <c r="K1207" s="1042" t="s">
        <v>2454</v>
      </c>
      <c r="P1207" s="1029"/>
    </row>
    <row r="1208" spans="1:16" s="1028" customFormat="1" ht="30" x14ac:dyDescent="0.25">
      <c r="A1208" s="1031" t="s">
        <v>2308</v>
      </c>
      <c r="B1208" s="1043">
        <f>'[1]PLAN DE DESARROLLO 2024 - 2027'!$M$161</f>
        <v>0.24647581985093744</v>
      </c>
      <c r="C1208" s="1031" t="s">
        <v>2316</v>
      </c>
      <c r="D1208" s="1040">
        <f>'[1]PLAN DE DESARROLLO 2024 - 2027'!$M$184</f>
        <v>0.18265127235728812</v>
      </c>
      <c r="E1208" s="1031" t="s">
        <v>2330</v>
      </c>
      <c r="F1208" s="1041">
        <f>[2]Hoja1!$B$127</f>
        <v>0.23778749999999998</v>
      </c>
      <c r="G1208" s="1031" t="s">
        <v>1747</v>
      </c>
      <c r="H1208" s="1031" t="s">
        <v>1748</v>
      </c>
      <c r="I1208" s="1031"/>
      <c r="J1208" s="1031" t="s">
        <v>103</v>
      </c>
      <c r="K1208" s="1042" t="s">
        <v>2454</v>
      </c>
      <c r="P1208" s="1029"/>
    </row>
    <row r="1209" spans="1:16" s="1028" customFormat="1" ht="30" x14ac:dyDescent="0.25">
      <c r="A1209" s="1031" t="s">
        <v>2308</v>
      </c>
      <c r="B1209" s="1043">
        <f>'[1]PLAN DE DESARROLLO 2024 - 2027'!$M$161</f>
        <v>0.24647581985093744</v>
      </c>
      <c r="C1209" s="1031" t="s">
        <v>2316</v>
      </c>
      <c r="D1209" s="1040">
        <f>'[1]PLAN DE DESARROLLO 2024 - 2027'!$M$184</f>
        <v>0.18265127235728812</v>
      </c>
      <c r="E1209" s="1031" t="s">
        <v>2330</v>
      </c>
      <c r="F1209" s="1041">
        <f>[2]Hoja1!$B$127</f>
        <v>0.23778749999999998</v>
      </c>
      <c r="G1209" s="1031" t="s">
        <v>1749</v>
      </c>
      <c r="H1209" s="1031" t="s">
        <v>1750</v>
      </c>
      <c r="I1209" s="1031"/>
      <c r="J1209" s="1031" t="s">
        <v>103</v>
      </c>
      <c r="K1209" s="1042" t="s">
        <v>2454</v>
      </c>
      <c r="P1209" s="1029"/>
    </row>
    <row r="1210" spans="1:16" s="1028" customFormat="1" ht="30" x14ac:dyDescent="0.25">
      <c r="A1210" s="1031" t="s">
        <v>2308</v>
      </c>
      <c r="B1210" s="1043">
        <f>'[1]PLAN DE DESARROLLO 2024 - 2027'!$M$161</f>
        <v>0.24647581985093744</v>
      </c>
      <c r="C1210" s="1031" t="s">
        <v>2316</v>
      </c>
      <c r="D1210" s="1040">
        <f>'[1]PLAN DE DESARROLLO 2024 - 2027'!$M$184</f>
        <v>0.18265127235728812</v>
      </c>
      <c r="E1210" s="1031" t="s">
        <v>2330</v>
      </c>
      <c r="F1210" s="1041">
        <f>[2]Hoja1!$B$127</f>
        <v>0.23778749999999998</v>
      </c>
      <c r="G1210" s="1031" t="s">
        <v>1751</v>
      </c>
      <c r="H1210" s="1031" t="s">
        <v>1752</v>
      </c>
      <c r="I1210" s="1031"/>
      <c r="J1210" s="1031" t="s">
        <v>103</v>
      </c>
      <c r="K1210" s="1042" t="s">
        <v>2454</v>
      </c>
      <c r="P1210" s="1029"/>
    </row>
    <row r="1211" spans="1:16" s="1028" customFormat="1" ht="30" x14ac:dyDescent="0.25">
      <c r="A1211" s="1031" t="s">
        <v>2308</v>
      </c>
      <c r="B1211" s="1043">
        <f>'[1]PLAN DE DESARROLLO 2024 - 2027'!$M$161</f>
        <v>0.24647581985093744</v>
      </c>
      <c r="C1211" s="1031" t="s">
        <v>2316</v>
      </c>
      <c r="D1211" s="1040">
        <f>'[1]PLAN DE DESARROLLO 2024 - 2027'!$M$184</f>
        <v>0.18265127235728812</v>
      </c>
      <c r="E1211" s="1031" t="s">
        <v>2330</v>
      </c>
      <c r="F1211" s="1041">
        <f>[2]Hoja1!$B$127</f>
        <v>0.23778749999999998</v>
      </c>
      <c r="G1211" s="1031" t="s">
        <v>1753</v>
      </c>
      <c r="H1211" s="1031" t="s">
        <v>1754</v>
      </c>
      <c r="I1211" s="1031"/>
      <c r="J1211" s="1031" t="s">
        <v>103</v>
      </c>
      <c r="K1211" s="1042" t="s">
        <v>2454</v>
      </c>
      <c r="P1211" s="1029"/>
    </row>
    <row r="1212" spans="1:16" s="1028" customFormat="1" ht="30" x14ac:dyDescent="0.25">
      <c r="A1212" s="1031" t="s">
        <v>2308</v>
      </c>
      <c r="B1212" s="1043">
        <f>'[1]PLAN DE DESARROLLO 2024 - 2027'!$M$161</f>
        <v>0.24647581985093744</v>
      </c>
      <c r="C1212" s="1031" t="s">
        <v>2316</v>
      </c>
      <c r="D1212" s="1040">
        <f>'[1]PLAN DE DESARROLLO 2024 - 2027'!$M$184</f>
        <v>0.18265127235728812</v>
      </c>
      <c r="E1212" s="1031" t="s">
        <v>2330</v>
      </c>
      <c r="F1212" s="1041">
        <f>[2]Hoja1!$B$127</f>
        <v>0.23778749999999998</v>
      </c>
      <c r="G1212" s="1031" t="s">
        <v>1755</v>
      </c>
      <c r="H1212" s="1031" t="s">
        <v>1756</v>
      </c>
      <c r="I1212" s="1031"/>
      <c r="J1212" s="1031" t="s">
        <v>103</v>
      </c>
      <c r="K1212" s="1042" t="s">
        <v>2454</v>
      </c>
      <c r="P1212" s="1029"/>
    </row>
    <row r="1213" spans="1:16" s="1028" customFormat="1" ht="30" x14ac:dyDescent="0.25">
      <c r="A1213" s="1031" t="s">
        <v>2215</v>
      </c>
      <c r="B1213" s="1043">
        <f>'[1]PLAN DE DESARROLLO 2024 - 2027'!$M$123</f>
        <v>0.20174333228533195</v>
      </c>
      <c r="C1213" s="1031" t="s">
        <v>2221</v>
      </c>
      <c r="D1213" s="1045">
        <f>'[1]PLAN DE DESARROLLO 2024 - 2027'!$M$147</f>
        <v>0.1413865782697985</v>
      </c>
      <c r="E1213" s="1031" t="s">
        <v>2227</v>
      </c>
      <c r="F1213" s="1041">
        <f>[2]Hoja1!$B$111</f>
        <v>0.27791111632027071</v>
      </c>
      <c r="G1213" s="1031" t="s">
        <v>1406</v>
      </c>
      <c r="H1213" s="1031" t="s">
        <v>1407</v>
      </c>
      <c r="I1213" s="1031"/>
      <c r="J1213" s="1031" t="s">
        <v>92</v>
      </c>
      <c r="K1213" s="1042" t="s">
        <v>2454</v>
      </c>
      <c r="P1213" s="1029"/>
    </row>
    <row r="1214" spans="1:16" s="1028" customFormat="1" ht="30" x14ac:dyDescent="0.25">
      <c r="A1214" s="1031" t="s">
        <v>2215</v>
      </c>
      <c r="B1214" s="1043">
        <f>'[1]PLAN DE DESARROLLO 2024 - 2027'!$M$123</f>
        <v>0.20174333228533195</v>
      </c>
      <c r="C1214" s="1031" t="s">
        <v>2221</v>
      </c>
      <c r="D1214" s="1045">
        <f>'[1]PLAN DE DESARROLLO 2024 - 2027'!$M$147</f>
        <v>0.1413865782697985</v>
      </c>
      <c r="E1214" s="1031" t="s">
        <v>2227</v>
      </c>
      <c r="F1214" s="1041">
        <f>[2]Hoja1!$B$111</f>
        <v>0.27791111632027071</v>
      </c>
      <c r="G1214" s="1031" t="s">
        <v>1408</v>
      </c>
      <c r="H1214" s="1031" t="s">
        <v>1409</v>
      </c>
      <c r="I1214" s="1031"/>
      <c r="J1214" s="1031" t="s">
        <v>92</v>
      </c>
      <c r="K1214" s="1042" t="s">
        <v>2454</v>
      </c>
      <c r="P1214" s="1029"/>
    </row>
    <row r="1215" spans="1:16" s="1028" customFormat="1" ht="30" x14ac:dyDescent="0.25">
      <c r="A1215" s="1031" t="s">
        <v>2215</v>
      </c>
      <c r="B1215" s="1043">
        <f>'[1]PLAN DE DESARROLLO 2024 - 2027'!$M$123</f>
        <v>0.20174333228533195</v>
      </c>
      <c r="C1215" s="1031" t="s">
        <v>2221</v>
      </c>
      <c r="D1215" s="1045">
        <f>'[1]PLAN DE DESARROLLO 2024 - 2027'!$M$147</f>
        <v>0.1413865782697985</v>
      </c>
      <c r="E1215" s="1031" t="s">
        <v>2227</v>
      </c>
      <c r="F1215" s="1041">
        <f>[2]Hoja1!$B$111</f>
        <v>0.27791111632027071</v>
      </c>
      <c r="G1215" s="1031" t="s">
        <v>1411</v>
      </c>
      <c r="H1215" s="1031" t="s">
        <v>1412</v>
      </c>
      <c r="I1215" s="1031"/>
      <c r="J1215" s="1031" t="s">
        <v>92</v>
      </c>
      <c r="K1215" s="1042" t="s">
        <v>2454</v>
      </c>
    </row>
    <row r="1216" spans="1:16" s="1028" customFormat="1" ht="30" x14ac:dyDescent="0.25">
      <c r="A1216" s="1031" t="s">
        <v>2215</v>
      </c>
      <c r="B1216" s="1043">
        <f>'[1]PLAN DE DESARROLLO 2024 - 2027'!$M$123</f>
        <v>0.20174333228533195</v>
      </c>
      <c r="C1216" s="1031" t="s">
        <v>2221</v>
      </c>
      <c r="D1216" s="1045">
        <f>'[1]PLAN DE DESARROLLO 2024 - 2027'!$M$147</f>
        <v>0.1413865782697985</v>
      </c>
      <c r="E1216" s="1031" t="s">
        <v>2227</v>
      </c>
      <c r="F1216" s="1041">
        <f>[2]Hoja1!$B$111</f>
        <v>0.27791111632027071</v>
      </c>
      <c r="G1216" s="1031" t="s">
        <v>1414</v>
      </c>
      <c r="H1216" s="1031" t="s">
        <v>1415</v>
      </c>
      <c r="I1216" s="1031"/>
      <c r="J1216" s="1031" t="s">
        <v>92</v>
      </c>
      <c r="K1216" s="1042" t="s">
        <v>2454</v>
      </c>
    </row>
    <row r="1217" spans="1:11" s="1028" customFormat="1" ht="30" x14ac:dyDescent="0.25">
      <c r="A1217" s="1031" t="s">
        <v>2215</v>
      </c>
      <c r="B1217" s="1043">
        <f>'[1]PLAN DE DESARROLLO 2024 - 2027'!$M$123</f>
        <v>0.20174333228533195</v>
      </c>
      <c r="C1217" s="1031" t="s">
        <v>2221</v>
      </c>
      <c r="D1217" s="1045">
        <f>'[1]PLAN DE DESARROLLO 2024 - 2027'!$M$147</f>
        <v>0.1413865782697985</v>
      </c>
      <c r="E1217" s="1031" t="s">
        <v>2227</v>
      </c>
      <c r="F1217" s="1041">
        <f>[2]Hoja1!$B$111</f>
        <v>0.27791111632027071</v>
      </c>
      <c r="G1217" s="1031" t="s">
        <v>1417</v>
      </c>
      <c r="H1217" s="1031" t="s">
        <v>1418</v>
      </c>
      <c r="I1217" s="1031"/>
      <c r="J1217" s="1031" t="s">
        <v>2228</v>
      </c>
      <c r="K1217" s="1042" t="s">
        <v>2454</v>
      </c>
    </row>
    <row r="1218" spans="1:11" s="1028" customFormat="1" ht="30" x14ac:dyDescent="0.25">
      <c r="A1218" s="1031" t="s">
        <v>2215</v>
      </c>
      <c r="B1218" s="1043">
        <f>'[1]PLAN DE DESARROLLO 2024 - 2027'!$M$123</f>
        <v>0.20174333228533195</v>
      </c>
      <c r="C1218" s="1031" t="s">
        <v>2221</v>
      </c>
      <c r="D1218" s="1045">
        <f>'[1]PLAN DE DESARROLLO 2024 - 2027'!$M$147</f>
        <v>0.1413865782697985</v>
      </c>
      <c r="E1218" s="1031" t="s">
        <v>2227</v>
      </c>
      <c r="F1218" s="1041">
        <f>[2]Hoja1!$B$111</f>
        <v>0.27791111632027071</v>
      </c>
      <c r="G1218" s="1031" t="s">
        <v>1421</v>
      </c>
      <c r="H1218" s="1031" t="s">
        <v>1422</v>
      </c>
      <c r="I1218" s="1031"/>
      <c r="J1218" s="1031" t="s">
        <v>92</v>
      </c>
      <c r="K1218" s="1042" t="s">
        <v>2454</v>
      </c>
    </row>
    <row r="1219" spans="1:11" s="1028" customFormat="1" ht="30" x14ac:dyDescent="0.25">
      <c r="A1219" s="1031" t="s">
        <v>2215</v>
      </c>
      <c r="B1219" s="1043">
        <f>'[1]PLAN DE DESARROLLO 2024 - 2027'!$M$123</f>
        <v>0.20174333228533195</v>
      </c>
      <c r="C1219" s="1031" t="s">
        <v>2221</v>
      </c>
      <c r="D1219" s="1045">
        <f>'[1]PLAN DE DESARROLLO 2024 - 2027'!$M$147</f>
        <v>0.1413865782697985</v>
      </c>
      <c r="E1219" s="1031" t="s">
        <v>2227</v>
      </c>
      <c r="F1219" s="1041">
        <f>[2]Hoja1!$B$111</f>
        <v>0.27791111632027071</v>
      </c>
      <c r="G1219" s="1031" t="s">
        <v>1423</v>
      </c>
      <c r="H1219" s="1031" t="s">
        <v>1424</v>
      </c>
      <c r="I1219" s="1031"/>
      <c r="J1219" s="1031" t="s">
        <v>92</v>
      </c>
      <c r="K1219" s="1042" t="s">
        <v>2454</v>
      </c>
    </row>
    <row r="1220" spans="1:11" s="1028" customFormat="1" ht="30" x14ac:dyDescent="0.25">
      <c r="A1220" s="1031" t="s">
        <v>2215</v>
      </c>
      <c r="B1220" s="1043">
        <f>'[1]PLAN DE DESARROLLO 2024 - 2027'!$M$123</f>
        <v>0.20174333228533195</v>
      </c>
      <c r="C1220" s="1031" t="s">
        <v>2221</v>
      </c>
      <c r="D1220" s="1045">
        <f>'[1]PLAN DE DESARROLLO 2024 - 2027'!$M$147</f>
        <v>0.1413865782697985</v>
      </c>
      <c r="E1220" s="1031" t="s">
        <v>2227</v>
      </c>
      <c r="F1220" s="1041">
        <f>[2]Hoja1!$B$111</f>
        <v>0.27791111632027071</v>
      </c>
      <c r="G1220" s="1031" t="s">
        <v>1426</v>
      </c>
      <c r="H1220" s="1031" t="s">
        <v>1427</v>
      </c>
      <c r="I1220" s="1031"/>
      <c r="J1220" s="1031" t="s">
        <v>92</v>
      </c>
      <c r="K1220" s="1042" t="s">
        <v>2454</v>
      </c>
    </row>
    <row r="1221" spans="1:11" s="1028" customFormat="1" ht="30" x14ac:dyDescent="0.25">
      <c r="A1221" s="1031" t="s">
        <v>2215</v>
      </c>
      <c r="B1221" s="1043">
        <f>'[1]PLAN DE DESARROLLO 2024 - 2027'!$M$123</f>
        <v>0.20174333228533195</v>
      </c>
      <c r="C1221" s="1031" t="s">
        <v>2221</v>
      </c>
      <c r="D1221" s="1045">
        <f>'[1]PLAN DE DESARROLLO 2024 - 2027'!$M$147</f>
        <v>0.1413865782697985</v>
      </c>
      <c r="E1221" s="1031" t="s">
        <v>2226</v>
      </c>
      <c r="F1221" s="1041" t="s">
        <v>2455</v>
      </c>
      <c r="G1221" s="1031" t="s">
        <v>1377</v>
      </c>
      <c r="H1221" s="1031" t="s">
        <v>1378</v>
      </c>
      <c r="I1221" s="1031"/>
      <c r="J1221" s="1031" t="s">
        <v>1224</v>
      </c>
      <c r="K1221" s="1042" t="s">
        <v>2454</v>
      </c>
    </row>
    <row r="1222" spans="1:11" s="1028" customFormat="1" ht="30" x14ac:dyDescent="0.25">
      <c r="A1222" s="1031" t="s">
        <v>2215</v>
      </c>
      <c r="B1222" s="1043">
        <f>'[1]PLAN DE DESARROLLO 2024 - 2027'!$M$123</f>
        <v>0.20174333228533195</v>
      </c>
      <c r="C1222" s="1031" t="s">
        <v>2221</v>
      </c>
      <c r="D1222" s="1045">
        <f>'[1]PLAN DE DESARROLLO 2024 - 2027'!$M$147</f>
        <v>0.1413865782697985</v>
      </c>
      <c r="E1222" s="1031" t="s">
        <v>2226</v>
      </c>
      <c r="F1222" s="1041" t="s">
        <v>2455</v>
      </c>
      <c r="G1222" s="1031" t="s">
        <v>1379</v>
      </c>
      <c r="H1222" s="1031" t="s">
        <v>1380</v>
      </c>
      <c r="I1222" s="1031"/>
      <c r="J1222" s="1031" t="s">
        <v>1224</v>
      </c>
      <c r="K1222" s="1042" t="s">
        <v>2454</v>
      </c>
    </row>
    <row r="1223" spans="1:11" s="1028" customFormat="1" ht="30" x14ac:dyDescent="0.25">
      <c r="A1223" s="1031" t="s">
        <v>2215</v>
      </c>
      <c r="B1223" s="1043">
        <f>'[1]PLAN DE DESARROLLO 2024 - 2027'!$M$123</f>
        <v>0.20174333228533195</v>
      </c>
      <c r="C1223" s="1031" t="s">
        <v>2221</v>
      </c>
      <c r="D1223" s="1045">
        <f>'[1]PLAN DE DESARROLLO 2024 - 2027'!$M$147</f>
        <v>0.1413865782697985</v>
      </c>
      <c r="E1223" s="1031" t="s">
        <v>2226</v>
      </c>
      <c r="F1223" s="1041" t="s">
        <v>2455</v>
      </c>
      <c r="G1223" s="1031" t="s">
        <v>1382</v>
      </c>
      <c r="H1223" s="1031" t="s">
        <v>1383</v>
      </c>
      <c r="I1223" s="1031"/>
      <c r="J1223" s="1031" t="s">
        <v>1224</v>
      </c>
      <c r="K1223" s="1042" t="s">
        <v>2454</v>
      </c>
    </row>
    <row r="1224" spans="1:11" s="1028" customFormat="1" ht="30" x14ac:dyDescent="0.25">
      <c r="A1224" s="1031" t="s">
        <v>2215</v>
      </c>
      <c r="B1224" s="1043">
        <f>'[1]PLAN DE DESARROLLO 2024 - 2027'!$M$123</f>
        <v>0.20174333228533195</v>
      </c>
      <c r="C1224" s="1031" t="s">
        <v>2221</v>
      </c>
      <c r="D1224" s="1045">
        <f>'[1]PLAN DE DESARROLLO 2024 - 2027'!$M$147</f>
        <v>0.1413865782697985</v>
      </c>
      <c r="E1224" s="1031" t="s">
        <v>2226</v>
      </c>
      <c r="F1224" s="1041" t="s">
        <v>2455</v>
      </c>
      <c r="G1224" s="1031" t="s">
        <v>1385</v>
      </c>
      <c r="H1224" s="1031" t="s">
        <v>1386</v>
      </c>
      <c r="I1224" s="1031"/>
      <c r="J1224" s="1031" t="s">
        <v>1224</v>
      </c>
      <c r="K1224" s="1042" t="s">
        <v>2454</v>
      </c>
    </row>
    <row r="1225" spans="1:11" s="1028" customFormat="1" ht="30" x14ac:dyDescent="0.25">
      <c r="A1225" s="1031" t="s">
        <v>2215</v>
      </c>
      <c r="B1225" s="1043">
        <f>'[1]PLAN DE DESARROLLO 2024 - 2027'!$M$123</f>
        <v>0.20174333228533195</v>
      </c>
      <c r="C1225" s="1031" t="s">
        <v>2221</v>
      </c>
      <c r="D1225" s="1045">
        <f>'[1]PLAN DE DESARROLLO 2024 - 2027'!$M$147</f>
        <v>0.1413865782697985</v>
      </c>
      <c r="E1225" s="1031" t="s">
        <v>1387</v>
      </c>
      <c r="F1225" s="1041">
        <f>[2]Hoja1!$B$149</f>
        <v>0</v>
      </c>
      <c r="G1225" s="1031" t="s">
        <v>1388</v>
      </c>
      <c r="H1225" s="1031" t="s">
        <v>1389</v>
      </c>
      <c r="I1225" s="1031"/>
      <c r="J1225" s="1031" t="s">
        <v>1320</v>
      </c>
      <c r="K1225" s="1042" t="s">
        <v>2454</v>
      </c>
    </row>
    <row r="1226" spans="1:11" s="1028" customFormat="1" ht="30" x14ac:dyDescent="0.25">
      <c r="A1226" s="1031" t="s">
        <v>2215</v>
      </c>
      <c r="B1226" s="1043">
        <f>'[1]PLAN DE DESARROLLO 2024 - 2027'!$M$123</f>
        <v>0.20174333228533195</v>
      </c>
      <c r="C1226" s="1031" t="s">
        <v>2221</v>
      </c>
      <c r="D1226" s="1045">
        <f>'[1]PLAN DE DESARROLLO 2024 - 2027'!$M$147</f>
        <v>0.1413865782697985</v>
      </c>
      <c r="E1226" s="1031" t="s">
        <v>1387</v>
      </c>
      <c r="F1226" s="1041">
        <f>[2]Hoja1!$B$149</f>
        <v>0</v>
      </c>
      <c r="G1226" s="1031" t="s">
        <v>1390</v>
      </c>
      <c r="H1226" s="1031" t="s">
        <v>1391</v>
      </c>
      <c r="I1226" s="1031"/>
      <c r="J1226" s="1031" t="s">
        <v>1320</v>
      </c>
      <c r="K1226" s="1042" t="s">
        <v>2454</v>
      </c>
    </row>
    <row r="1227" spans="1:11" s="1028" customFormat="1" ht="30" x14ac:dyDescent="0.25">
      <c r="A1227" s="1031" t="s">
        <v>2215</v>
      </c>
      <c r="B1227" s="1043">
        <f>'[1]PLAN DE DESARROLLO 2024 - 2027'!$M$123</f>
        <v>0.20174333228533195</v>
      </c>
      <c r="C1227" s="1031" t="s">
        <v>2221</v>
      </c>
      <c r="D1227" s="1045">
        <f>'[1]PLAN DE DESARROLLO 2024 - 2027'!$M$147</f>
        <v>0.1413865782697985</v>
      </c>
      <c r="E1227" s="1031" t="s">
        <v>1387</v>
      </c>
      <c r="F1227" s="1041">
        <f>[2]Hoja1!$B$149</f>
        <v>0</v>
      </c>
      <c r="G1227" s="1031" t="s">
        <v>1392</v>
      </c>
      <c r="H1227" s="1031" t="s">
        <v>1393</v>
      </c>
      <c r="I1227" s="1031"/>
      <c r="J1227" s="1031" t="s">
        <v>1320</v>
      </c>
      <c r="K1227" s="1042" t="s">
        <v>2454</v>
      </c>
    </row>
    <row r="1228" spans="1:11" s="1028" customFormat="1" ht="30" x14ac:dyDescent="0.25">
      <c r="A1228" s="1031" t="s">
        <v>2215</v>
      </c>
      <c r="B1228" s="1043">
        <f>'[1]PLAN DE DESARROLLO 2024 - 2027'!$M$123</f>
        <v>0.20174333228533195</v>
      </c>
      <c r="C1228" s="1031" t="s">
        <v>2221</v>
      </c>
      <c r="D1228" s="1045">
        <f>'[1]PLAN DE DESARROLLO 2024 - 2027'!$M$147</f>
        <v>0.1413865782697985</v>
      </c>
      <c r="E1228" s="1031" t="s">
        <v>2229</v>
      </c>
      <c r="F1228" s="1041">
        <f>[2]Hoja1!$B$155</f>
        <v>0.49849955410878943</v>
      </c>
      <c r="G1228" s="1031" t="s">
        <v>1429</v>
      </c>
      <c r="H1228" s="1031" t="s">
        <v>1430</v>
      </c>
      <c r="I1228" s="1031"/>
      <c r="J1228" s="1031" t="s">
        <v>1431</v>
      </c>
      <c r="K1228" s="1042" t="s">
        <v>2454</v>
      </c>
    </row>
    <row r="1229" spans="1:11" s="1028" customFormat="1" ht="30" x14ac:dyDescent="0.25">
      <c r="A1229" s="1031" t="s">
        <v>2215</v>
      </c>
      <c r="B1229" s="1043">
        <f>'[1]PLAN DE DESARROLLO 2024 - 2027'!$M$123</f>
        <v>0.20174333228533195</v>
      </c>
      <c r="C1229" s="1031" t="s">
        <v>2221</v>
      </c>
      <c r="D1229" s="1045">
        <f>'[1]PLAN DE DESARROLLO 2024 - 2027'!$M$147</f>
        <v>0.1413865782697985</v>
      </c>
      <c r="E1229" s="1031" t="s">
        <v>2229</v>
      </c>
      <c r="F1229" s="1041">
        <f>[2]Hoja1!$B$155</f>
        <v>0.49849955410878943</v>
      </c>
      <c r="G1229" s="1031" t="s">
        <v>1433</v>
      </c>
      <c r="H1229" s="1031" t="s">
        <v>1434</v>
      </c>
      <c r="I1229" s="1031"/>
      <c r="J1229" s="1031" t="s">
        <v>1431</v>
      </c>
      <c r="K1229" s="1042" t="s">
        <v>2454</v>
      </c>
    </row>
    <row r="1230" spans="1:11" s="1028" customFormat="1" ht="45" x14ac:dyDescent="0.25">
      <c r="A1230" s="1031" t="s">
        <v>2308</v>
      </c>
      <c r="B1230" s="1043">
        <f>'[1]PLAN DE DESARROLLO 2024 - 2027'!$M$161</f>
        <v>0.24647581985093744</v>
      </c>
      <c r="C1230" s="1031" t="s">
        <v>2310</v>
      </c>
      <c r="D1230" s="1040">
        <f>'[1]PLAN DE DESARROLLO 2024 - 2027'!$M$166</f>
        <v>0.23451309458253802</v>
      </c>
      <c r="E1230" s="1031" t="s">
        <v>2322</v>
      </c>
      <c r="F1230" s="1041">
        <f>[2]Hoja1!$B$134</f>
        <v>0.3</v>
      </c>
      <c r="G1230" s="1031" t="s">
        <v>1609</v>
      </c>
      <c r="H1230" s="1031" t="s">
        <v>1610</v>
      </c>
      <c r="I1230" s="1031"/>
      <c r="J1230" s="1031" t="s">
        <v>658</v>
      </c>
      <c r="K1230" s="1042" t="s">
        <v>2454</v>
      </c>
    </row>
    <row r="1231" spans="1:11" s="1028" customFormat="1" ht="30" x14ac:dyDescent="0.25">
      <c r="A1231" s="1031" t="s">
        <v>2215</v>
      </c>
      <c r="B1231" s="1043">
        <f>'[1]PLAN DE DESARROLLO 2024 - 2027'!$M$123</f>
        <v>0.20174333228533195</v>
      </c>
      <c r="C1231" s="1031" t="s">
        <v>2221</v>
      </c>
      <c r="D1231" s="1045">
        <f>'[1]PLAN DE DESARROLLO 2024 - 2027'!$M$147</f>
        <v>0.1413865782697985</v>
      </c>
      <c r="E1231" s="1031" t="s">
        <v>2229</v>
      </c>
      <c r="F1231" s="1041">
        <f>[2]Hoja1!$B$155</f>
        <v>0.49849955410878943</v>
      </c>
      <c r="G1231" s="1031" t="s">
        <v>1435</v>
      </c>
      <c r="H1231" s="1031" t="s">
        <v>1436</v>
      </c>
      <c r="I1231" s="1031"/>
      <c r="J1231" s="1031" t="s">
        <v>1431</v>
      </c>
      <c r="K1231" s="1042" t="s">
        <v>2454</v>
      </c>
    </row>
    <row r="1232" spans="1:11" s="1028" customFormat="1" ht="30" x14ac:dyDescent="0.25">
      <c r="A1232" s="1031" t="s">
        <v>2215</v>
      </c>
      <c r="B1232" s="1043">
        <f>'[1]PLAN DE DESARROLLO 2024 - 2027'!$M$123</f>
        <v>0.20174333228533195</v>
      </c>
      <c r="C1232" s="1031" t="s">
        <v>2221</v>
      </c>
      <c r="D1232" s="1045">
        <f>'[1]PLAN DE DESARROLLO 2024 - 2027'!$M$147</f>
        <v>0.1413865782697985</v>
      </c>
      <c r="E1232" s="1031" t="s">
        <v>2229</v>
      </c>
      <c r="F1232" s="1041">
        <f>[2]Hoja1!$B$155</f>
        <v>0.49849955410878943</v>
      </c>
      <c r="G1232" s="1031" t="s">
        <v>1437</v>
      </c>
      <c r="H1232" s="1031" t="s">
        <v>1438</v>
      </c>
      <c r="I1232" s="1031"/>
      <c r="J1232" s="1031" t="s">
        <v>1431</v>
      </c>
      <c r="K1232" s="1042" t="s">
        <v>2454</v>
      </c>
    </row>
    <row r="1233" spans="1:11" s="1028" customFormat="1" ht="30" x14ac:dyDescent="0.25">
      <c r="A1233" s="1031" t="s">
        <v>2215</v>
      </c>
      <c r="B1233" s="1043">
        <f>'[1]PLAN DE DESARROLLO 2024 - 2027'!$M$123</f>
        <v>0.20174333228533195</v>
      </c>
      <c r="C1233" s="1031" t="s">
        <v>2221</v>
      </c>
      <c r="D1233" s="1045">
        <f>'[1]PLAN DE DESARROLLO 2024 - 2027'!$M$147</f>
        <v>0.1413865782697985</v>
      </c>
      <c r="E1233" s="1031" t="s">
        <v>2229</v>
      </c>
      <c r="F1233" s="1041">
        <f>[2]Hoja1!$B$155</f>
        <v>0.49849955410878943</v>
      </c>
      <c r="G1233" s="1031" t="s">
        <v>1441</v>
      </c>
      <c r="H1233" s="1031" t="s">
        <v>1442</v>
      </c>
      <c r="I1233" s="1031"/>
      <c r="J1233" s="1031" t="s">
        <v>1431</v>
      </c>
      <c r="K1233" s="1042" t="s">
        <v>2454</v>
      </c>
    </row>
    <row r="1234" spans="1:11" s="1028" customFormat="1" ht="30" x14ac:dyDescent="0.25">
      <c r="A1234" s="1031" t="s">
        <v>2215</v>
      </c>
      <c r="B1234" s="1043">
        <f>'[1]PLAN DE DESARROLLO 2024 - 2027'!$M$123</f>
        <v>0.20174333228533195</v>
      </c>
      <c r="C1234" s="1031" t="s">
        <v>2221</v>
      </c>
      <c r="D1234" s="1045">
        <f>'[1]PLAN DE DESARROLLO 2024 - 2027'!$M$147</f>
        <v>0.1413865782697985</v>
      </c>
      <c r="E1234" s="1031" t="s">
        <v>2229</v>
      </c>
      <c r="F1234" s="1041">
        <f>[2]Hoja1!$B$155</f>
        <v>0.49849955410878943</v>
      </c>
      <c r="G1234" s="1031" t="s">
        <v>1444</v>
      </c>
      <c r="H1234" s="1031" t="s">
        <v>1445</v>
      </c>
      <c r="I1234" s="1031"/>
      <c r="J1234" s="1031" t="s">
        <v>1431</v>
      </c>
      <c r="K1234" s="1042" t="s">
        <v>2454</v>
      </c>
    </row>
    <row r="1235" spans="1:11" s="1028" customFormat="1" ht="30" x14ac:dyDescent="0.25">
      <c r="A1235" s="1031" t="s">
        <v>2215</v>
      </c>
      <c r="B1235" s="1043">
        <f>'[1]PLAN DE DESARROLLO 2024 - 2027'!$M$123</f>
        <v>0.20174333228533195</v>
      </c>
      <c r="C1235" s="1031" t="s">
        <v>2221</v>
      </c>
      <c r="D1235" s="1045">
        <f>'[1]PLAN DE DESARROLLO 2024 - 2027'!$M$147</f>
        <v>0.1413865782697985</v>
      </c>
      <c r="E1235" s="1031" t="s">
        <v>2229</v>
      </c>
      <c r="F1235" s="1041">
        <f>[2]Hoja1!$B$155</f>
        <v>0.49849955410878943</v>
      </c>
      <c r="G1235" s="1031" t="s">
        <v>1446</v>
      </c>
      <c r="H1235" s="1031" t="s">
        <v>1447</v>
      </c>
      <c r="I1235" s="1031"/>
      <c r="J1235" s="1031" t="s">
        <v>1431</v>
      </c>
      <c r="K1235" s="1042" t="s">
        <v>2454</v>
      </c>
    </row>
    <row r="1236" spans="1:11" s="1028" customFormat="1" ht="30" x14ac:dyDescent="0.25">
      <c r="A1236" s="1031" t="s">
        <v>2215</v>
      </c>
      <c r="B1236" s="1043">
        <f>'[1]PLAN DE DESARROLLO 2024 - 2027'!$M$123</f>
        <v>0.20174333228533195</v>
      </c>
      <c r="C1236" s="1031" t="s">
        <v>2221</v>
      </c>
      <c r="D1236" s="1045">
        <f>'[1]PLAN DE DESARROLLO 2024 - 2027'!$M$147</f>
        <v>0.1413865782697985</v>
      </c>
      <c r="E1236" s="1031" t="s">
        <v>2229</v>
      </c>
      <c r="F1236" s="1041">
        <f>[2]Hoja1!$B$155</f>
        <v>0.49849955410878943</v>
      </c>
      <c r="G1236" s="1031" t="s">
        <v>1449</v>
      </c>
      <c r="H1236" s="1031" t="s">
        <v>1450</v>
      </c>
      <c r="I1236" s="1031"/>
      <c r="J1236" s="1031" t="s">
        <v>2230</v>
      </c>
      <c r="K1236" s="1042" t="s">
        <v>2454</v>
      </c>
    </row>
    <row r="1237" spans="1:11" s="1028" customFormat="1" ht="30" x14ac:dyDescent="0.25">
      <c r="A1237" s="1031" t="s">
        <v>2215</v>
      </c>
      <c r="B1237" s="1043">
        <f>'[1]PLAN DE DESARROLLO 2024 - 2027'!$M$123</f>
        <v>0.20174333228533195</v>
      </c>
      <c r="C1237" s="1031" t="s">
        <v>2221</v>
      </c>
      <c r="D1237" s="1045">
        <f>'[1]PLAN DE DESARROLLO 2024 - 2027'!$M$147</f>
        <v>0.1413865782697985</v>
      </c>
      <c r="E1237" s="1031" t="s">
        <v>2229</v>
      </c>
      <c r="F1237" s="1041">
        <f>[2]Hoja1!$B$155</f>
        <v>0.49849955410878943</v>
      </c>
      <c r="G1237" s="1031" t="s">
        <v>1452</v>
      </c>
      <c r="H1237" s="1031" t="s">
        <v>1453</v>
      </c>
      <c r="I1237" s="1031"/>
      <c r="J1237" s="1031" t="s">
        <v>2231</v>
      </c>
      <c r="K1237" s="1042" t="s">
        <v>2454</v>
      </c>
    </row>
    <row r="1238" spans="1:11" s="1028" customFormat="1" ht="60" x14ac:dyDescent="0.25">
      <c r="A1238" s="1031" t="s">
        <v>2341</v>
      </c>
      <c r="B1238" s="1039">
        <f>'[1]PLAN DE DESARROLLO 2024 - 2027'!$M$4</f>
        <v>0.24028917333263158</v>
      </c>
      <c r="C1238" s="1031" t="s">
        <v>2347</v>
      </c>
      <c r="D1238" s="1040">
        <f>'[1]PLAN DE DESARROLLO 2024 - 2027'!$M$20</f>
        <v>0.2170625911038922</v>
      </c>
      <c r="E1238" s="1031" t="s">
        <v>1954</v>
      </c>
      <c r="F1238" s="1041">
        <f>[2]Hoja1!$B$139</f>
        <v>0.25787869115937234</v>
      </c>
      <c r="G1238" s="1031" t="s">
        <v>2355</v>
      </c>
      <c r="H1238" s="1031" t="s">
        <v>2356</v>
      </c>
      <c r="I1238" s="1031"/>
      <c r="J1238" s="1031" t="s">
        <v>219</v>
      </c>
      <c r="K1238" s="1042" t="s">
        <v>2454</v>
      </c>
    </row>
    <row r="1239" spans="1:11" s="1028" customFormat="1" ht="45" x14ac:dyDescent="0.25">
      <c r="A1239" s="1031" t="s">
        <v>2341</v>
      </c>
      <c r="B1239" s="1039">
        <f>'[1]PLAN DE DESARROLLO 2024 - 2027'!$M$4</f>
        <v>0.24028917333263158</v>
      </c>
      <c r="C1239" s="1031" t="s">
        <v>2347</v>
      </c>
      <c r="D1239" s="1040">
        <f>'[1]PLAN DE DESARROLLO 2024 - 2027'!$M$20</f>
        <v>0.2170625911038922</v>
      </c>
      <c r="E1239" s="1031" t="s">
        <v>1954</v>
      </c>
      <c r="F1239" s="1041">
        <f>[2]Hoja1!$B$139</f>
        <v>0.25787869115937234</v>
      </c>
      <c r="G1239" s="1031" t="s">
        <v>279</v>
      </c>
      <c r="H1239" s="1031" t="s">
        <v>280</v>
      </c>
      <c r="I1239" s="1031"/>
      <c r="J1239" s="1031" t="s">
        <v>219</v>
      </c>
      <c r="K1239" s="1042" t="s">
        <v>2454</v>
      </c>
    </row>
    <row r="1240" spans="1:11" s="1028" customFormat="1" ht="45" x14ac:dyDescent="0.25">
      <c r="A1240" s="1031" t="s">
        <v>2341</v>
      </c>
      <c r="B1240" s="1039">
        <f>'[1]PLAN DE DESARROLLO 2024 - 2027'!$M$4</f>
        <v>0.24028917333263158</v>
      </c>
      <c r="C1240" s="1031" t="s">
        <v>2347</v>
      </c>
      <c r="D1240" s="1040">
        <f>'[1]PLAN DE DESARROLLO 2024 - 2027'!$M$20</f>
        <v>0.2170625911038922</v>
      </c>
      <c r="E1240" s="1031" t="s">
        <v>1954</v>
      </c>
      <c r="F1240" s="1041">
        <f>[2]Hoja1!$B$139</f>
        <v>0.25787869115937234</v>
      </c>
      <c r="G1240" s="1031" t="s">
        <v>281</v>
      </c>
      <c r="H1240" s="1031" t="s">
        <v>282</v>
      </c>
      <c r="I1240" s="1031"/>
      <c r="J1240" s="1031" t="s">
        <v>219</v>
      </c>
      <c r="K1240" s="1042" t="s">
        <v>2454</v>
      </c>
    </row>
    <row r="1241" spans="1:11" s="1028" customFormat="1" ht="30" x14ac:dyDescent="0.25">
      <c r="A1241" s="1031" t="s">
        <v>2341</v>
      </c>
      <c r="B1241" s="1039">
        <f>'[1]PLAN DE DESARROLLO 2024 - 2027'!$M$4</f>
        <v>0.24028917333263158</v>
      </c>
      <c r="C1241" s="1031" t="s">
        <v>2374</v>
      </c>
      <c r="D1241" s="1040">
        <f>'[1]PLAN DE DESARROLLO 2024 - 2027'!$M$5</f>
        <v>0.36421067601552731</v>
      </c>
      <c r="E1241" s="1031" t="s">
        <v>2390</v>
      </c>
      <c r="F1241" s="1041">
        <f>[2]Hoja1!$B$56</f>
        <v>0.25921388888888885</v>
      </c>
      <c r="G1241" s="1031" t="s">
        <v>90</v>
      </c>
      <c r="H1241" s="1031" t="s">
        <v>91</v>
      </c>
      <c r="I1241" s="1031"/>
      <c r="J1241" s="1031" t="s">
        <v>92</v>
      </c>
      <c r="K1241" s="1042" t="s">
        <v>2454</v>
      </c>
    </row>
    <row r="1242" spans="1:11" s="1028" customFormat="1" ht="30" x14ac:dyDescent="0.25">
      <c r="A1242" s="1031" t="s">
        <v>2341</v>
      </c>
      <c r="B1242" s="1039">
        <f>'[1]PLAN DE DESARROLLO 2024 - 2027'!$M$4</f>
        <v>0.24028917333263158</v>
      </c>
      <c r="C1242" s="1031" t="s">
        <v>2374</v>
      </c>
      <c r="D1242" s="1040">
        <f>'[1]PLAN DE DESARROLLO 2024 - 2027'!$M$5</f>
        <v>0.36421067601552731</v>
      </c>
      <c r="E1242" s="1031" t="s">
        <v>2390</v>
      </c>
      <c r="F1242" s="1041">
        <f>[2]Hoja1!$B$56</f>
        <v>0.25921388888888885</v>
      </c>
      <c r="G1242" s="1031" t="s">
        <v>93</v>
      </c>
      <c r="H1242" s="1031" t="s">
        <v>94</v>
      </c>
      <c r="I1242" s="1031"/>
      <c r="J1242" s="1031" t="s">
        <v>92</v>
      </c>
      <c r="K1242" s="1042" t="s">
        <v>2454</v>
      </c>
    </row>
    <row r="1243" spans="1:11" s="1028" customFormat="1" x14ac:dyDescent="0.25">
      <c r="A1243" s="1031" t="s">
        <v>2341</v>
      </c>
      <c r="B1243" s="1039">
        <f>'[1]PLAN DE DESARROLLO 2024 - 2027'!$M$4</f>
        <v>0.24028917333263158</v>
      </c>
      <c r="C1243" s="1031" t="s">
        <v>2374</v>
      </c>
      <c r="D1243" s="1040">
        <f>'[1]PLAN DE DESARROLLO 2024 - 2027'!$M$5</f>
        <v>0.36421067601552731</v>
      </c>
      <c r="E1243" s="1031" t="s">
        <v>2390</v>
      </c>
      <c r="F1243" s="1041">
        <f>[2]Hoja1!$B$56</f>
        <v>0.25921388888888885</v>
      </c>
      <c r="G1243" s="1031" t="s">
        <v>95</v>
      </c>
      <c r="H1243" s="1031" t="s">
        <v>96</v>
      </c>
      <c r="I1243" s="1031"/>
      <c r="J1243" s="1031" t="s">
        <v>92</v>
      </c>
      <c r="K1243" s="1042" t="s">
        <v>2454</v>
      </c>
    </row>
    <row r="1244" spans="1:11" s="1028" customFormat="1" ht="30" x14ac:dyDescent="0.25">
      <c r="A1244" s="1031" t="s">
        <v>2341</v>
      </c>
      <c r="B1244" s="1039">
        <f>'[1]PLAN DE DESARROLLO 2024 - 2027'!$M$4</f>
        <v>0.24028917333263158</v>
      </c>
      <c r="C1244" s="1031" t="s">
        <v>2374</v>
      </c>
      <c r="D1244" s="1040">
        <f>'[1]PLAN DE DESARROLLO 2024 - 2027'!$M$5</f>
        <v>0.36421067601552731</v>
      </c>
      <c r="E1244" s="1031" t="s">
        <v>2390</v>
      </c>
      <c r="F1244" s="1041">
        <f>[2]Hoja1!$B$56</f>
        <v>0.25921388888888885</v>
      </c>
      <c r="G1244" s="1031" t="s">
        <v>97</v>
      </c>
      <c r="H1244" s="1031" t="s">
        <v>98</v>
      </c>
      <c r="I1244" s="1031"/>
      <c r="J1244" s="1031" t="s">
        <v>92</v>
      </c>
      <c r="K1244" s="1042" t="s">
        <v>2454</v>
      </c>
    </row>
    <row r="1245" spans="1:11" s="1028" customFormat="1" x14ac:dyDescent="0.25">
      <c r="A1245" s="1031" t="s">
        <v>2341</v>
      </c>
      <c r="B1245" s="1039">
        <f>'[1]PLAN DE DESARROLLO 2024 - 2027'!$M$4</f>
        <v>0.24028917333263158</v>
      </c>
      <c r="C1245" s="1031" t="s">
        <v>2374</v>
      </c>
      <c r="D1245" s="1040">
        <f>'[1]PLAN DE DESARROLLO 2024 - 2027'!$M$5</f>
        <v>0.36421067601552731</v>
      </c>
      <c r="E1245" s="1031" t="s">
        <v>58</v>
      </c>
      <c r="F1245" s="1041">
        <f>[2]Hoja1!$B$57</f>
        <v>0.64999999999999991</v>
      </c>
      <c r="G1245" s="1031" t="s">
        <v>60</v>
      </c>
      <c r="H1245" s="1031" t="s">
        <v>61</v>
      </c>
      <c r="I1245" s="1031"/>
      <c r="J1245" s="1031" t="s">
        <v>47</v>
      </c>
      <c r="K1245" s="1042" t="s">
        <v>2454</v>
      </c>
    </row>
    <row r="1246" spans="1:11" s="1028" customFormat="1" x14ac:dyDescent="0.25">
      <c r="A1246" s="1031" t="s">
        <v>2341</v>
      </c>
      <c r="B1246" s="1039">
        <f>'[1]PLAN DE DESARROLLO 2024 - 2027'!$M$4</f>
        <v>0.24028917333263158</v>
      </c>
      <c r="C1246" s="1031" t="s">
        <v>2374</v>
      </c>
      <c r="D1246" s="1040">
        <f>'[1]PLAN DE DESARROLLO 2024 - 2027'!$M$5</f>
        <v>0.36421067601552731</v>
      </c>
      <c r="E1246" s="1031" t="s">
        <v>58</v>
      </c>
      <c r="F1246" s="1041">
        <f>[2]Hoja1!$B$57</f>
        <v>0.64999999999999991</v>
      </c>
      <c r="G1246" s="1031" t="s">
        <v>62</v>
      </c>
      <c r="H1246" s="1031" t="s">
        <v>63</v>
      </c>
      <c r="I1246" s="1031"/>
      <c r="J1246" s="1031" t="s">
        <v>47</v>
      </c>
      <c r="K1246" s="1042" t="s">
        <v>2454</v>
      </c>
    </row>
    <row r="1247" spans="1:11" s="1028" customFormat="1" ht="30" x14ac:dyDescent="0.25">
      <c r="A1247" s="1031" t="s">
        <v>2341</v>
      </c>
      <c r="B1247" s="1039">
        <f>'[1]PLAN DE DESARROLLO 2024 - 2027'!$M$4</f>
        <v>0.24028917333263158</v>
      </c>
      <c r="C1247" s="1031" t="s">
        <v>2374</v>
      </c>
      <c r="D1247" s="1040">
        <f>'[1]PLAN DE DESARROLLO 2024 - 2027'!$M$5</f>
        <v>0.36421067601552731</v>
      </c>
      <c r="E1247" s="1031" t="s">
        <v>58</v>
      </c>
      <c r="F1247" s="1041">
        <f>[2]Hoja1!$B$57</f>
        <v>0.64999999999999991</v>
      </c>
      <c r="G1247" s="1031" t="s">
        <v>64</v>
      </c>
      <c r="H1247" s="1031" t="s">
        <v>65</v>
      </c>
      <c r="I1247" s="1031"/>
      <c r="J1247" s="1031" t="s">
        <v>47</v>
      </c>
      <c r="K1247" s="1042" t="s">
        <v>2454</v>
      </c>
    </row>
    <row r="1248" spans="1:11" s="1028" customFormat="1" ht="45" x14ac:dyDescent="0.25">
      <c r="A1248" s="1031" t="s">
        <v>2341</v>
      </c>
      <c r="B1248" s="1039">
        <f>'[1]PLAN DE DESARROLLO 2024 - 2027'!$M$4</f>
        <v>0.24028917333263158</v>
      </c>
      <c r="C1248" s="1031" t="s">
        <v>2374</v>
      </c>
      <c r="D1248" s="1040">
        <f>'[1]PLAN DE DESARROLLO 2024 - 2027'!$M$5</f>
        <v>0.36421067601552731</v>
      </c>
      <c r="E1248" s="1031" t="s">
        <v>2375</v>
      </c>
      <c r="F1248" s="1041">
        <f>[2]Hoja1!$B$121</f>
        <v>0.32500000000000001</v>
      </c>
      <c r="G1248" s="1031" t="s">
        <v>33</v>
      </c>
      <c r="H1248" s="1031" t="s">
        <v>34</v>
      </c>
      <c r="I1248" s="1031"/>
      <c r="J1248" s="1031" t="s">
        <v>2376</v>
      </c>
      <c r="K1248" s="1042" t="s">
        <v>2454</v>
      </c>
    </row>
    <row r="1249" spans="1:11" s="1028" customFormat="1" ht="45" x14ac:dyDescent="0.25">
      <c r="A1249" s="1031" t="s">
        <v>2341</v>
      </c>
      <c r="B1249" s="1039">
        <f>'[1]PLAN DE DESARROLLO 2024 - 2027'!$M$4</f>
        <v>0.24028917333263158</v>
      </c>
      <c r="C1249" s="1031" t="s">
        <v>2374</v>
      </c>
      <c r="D1249" s="1040">
        <f>'[1]PLAN DE DESARROLLO 2024 - 2027'!$M$5</f>
        <v>0.36421067601552731</v>
      </c>
      <c r="E1249" s="1031" t="s">
        <v>2375</v>
      </c>
      <c r="F1249" s="1041">
        <f>[2]Hoja1!$B$121</f>
        <v>0.32500000000000001</v>
      </c>
      <c r="G1249" s="1031" t="s">
        <v>2377</v>
      </c>
      <c r="H1249" s="1031" t="s">
        <v>2378</v>
      </c>
      <c r="I1249" s="1031"/>
      <c r="J1249" s="1031" t="s">
        <v>2379</v>
      </c>
      <c r="K1249" s="1042" t="s">
        <v>2454</v>
      </c>
    </row>
    <row r="1250" spans="1:11" s="1028" customFormat="1" ht="30" x14ac:dyDescent="0.25">
      <c r="A1250" s="1031" t="s">
        <v>2341</v>
      </c>
      <c r="B1250" s="1039">
        <f>'[1]PLAN DE DESARROLLO 2024 - 2027'!$M$4</f>
        <v>0.24028917333263158</v>
      </c>
      <c r="C1250" s="1031" t="s">
        <v>2374</v>
      </c>
      <c r="D1250" s="1040">
        <f>'[1]PLAN DE DESARROLLO 2024 - 2027'!$M$5</f>
        <v>0.36421067601552731</v>
      </c>
      <c r="E1250" s="1031" t="s">
        <v>2375</v>
      </c>
      <c r="F1250" s="1041">
        <f>[2]Hoja1!$B$121</f>
        <v>0.32500000000000001</v>
      </c>
      <c r="G1250" s="1031" t="s">
        <v>2380</v>
      </c>
      <c r="H1250" s="1031" t="s">
        <v>46</v>
      </c>
      <c r="I1250" s="1031"/>
      <c r="J1250" s="1031" t="s">
        <v>47</v>
      </c>
      <c r="K1250" s="1042" t="s">
        <v>2454</v>
      </c>
    </row>
    <row r="1251" spans="1:11" s="1028" customFormat="1" ht="45" x14ac:dyDescent="0.25">
      <c r="A1251" s="1031" t="s">
        <v>2341</v>
      </c>
      <c r="B1251" s="1039">
        <f>'[1]PLAN DE DESARROLLO 2024 - 2027'!$M$4</f>
        <v>0.24028917333263158</v>
      </c>
      <c r="C1251" s="1031" t="s">
        <v>2374</v>
      </c>
      <c r="D1251" s="1040">
        <f>'[1]PLAN DE DESARROLLO 2024 - 2027'!$M$5</f>
        <v>0.36421067601552731</v>
      </c>
      <c r="E1251" s="1031" t="s">
        <v>2375</v>
      </c>
      <c r="F1251" s="1041">
        <f>[2]Hoja1!$B$121</f>
        <v>0.32500000000000001</v>
      </c>
      <c r="G1251" s="1031" t="s">
        <v>49</v>
      </c>
      <c r="H1251" s="1031" t="s">
        <v>50</v>
      </c>
      <c r="I1251" s="1031"/>
      <c r="J1251" s="1031" t="s">
        <v>2381</v>
      </c>
      <c r="K1251" s="1042" t="s">
        <v>2454</v>
      </c>
    </row>
    <row r="1252" spans="1:11" s="1028" customFormat="1" ht="30" x14ac:dyDescent="0.25">
      <c r="A1252" s="1031" t="s">
        <v>2341</v>
      </c>
      <c r="B1252" s="1039">
        <f>'[1]PLAN DE DESARROLLO 2024 - 2027'!$M$4</f>
        <v>0.24028917333263158</v>
      </c>
      <c r="C1252" s="1031" t="s">
        <v>2374</v>
      </c>
      <c r="D1252" s="1040">
        <f>'[1]PLAN DE DESARROLLO 2024 - 2027'!$M$5</f>
        <v>0.36421067601552731</v>
      </c>
      <c r="E1252" s="1031" t="s">
        <v>2375</v>
      </c>
      <c r="F1252" s="1041">
        <f>[2]Hoja1!$B$121</f>
        <v>0.32500000000000001</v>
      </c>
      <c r="G1252" s="1031" t="s">
        <v>2382</v>
      </c>
      <c r="H1252" s="1031" t="s">
        <v>2383</v>
      </c>
      <c r="I1252" s="1031"/>
      <c r="J1252" s="1031" t="s">
        <v>47</v>
      </c>
      <c r="K1252" s="1042" t="s">
        <v>2454</v>
      </c>
    </row>
    <row r="1253" spans="1:11" s="1028" customFormat="1" ht="90" x14ac:dyDescent="0.25">
      <c r="A1253" s="1031" t="s">
        <v>2341</v>
      </c>
      <c r="B1253" s="1039">
        <f>'[1]PLAN DE DESARROLLO 2024 - 2027'!$M$4</f>
        <v>0.24028917333263158</v>
      </c>
      <c r="C1253" s="1031" t="s">
        <v>2374</v>
      </c>
      <c r="D1253" s="1040">
        <f>'[1]PLAN DE DESARROLLO 2024 - 2027'!$M$5</f>
        <v>0.36421067601552731</v>
      </c>
      <c r="E1253" s="1031" t="s">
        <v>2375</v>
      </c>
      <c r="F1253" s="1041">
        <f>[2]Hoja1!$B$121</f>
        <v>0.32500000000000001</v>
      </c>
      <c r="G1253" s="1031" t="s">
        <v>54</v>
      </c>
      <c r="H1253" s="1031" t="s">
        <v>55</v>
      </c>
      <c r="I1253" s="1031"/>
      <c r="J1253" s="1031" t="s">
        <v>2384</v>
      </c>
      <c r="K1253" s="1042" t="s">
        <v>2454</v>
      </c>
    </row>
    <row r="1254" spans="1:11" s="1028" customFormat="1" ht="45" x14ac:dyDescent="0.25">
      <c r="A1254" s="1031" t="s">
        <v>2341</v>
      </c>
      <c r="B1254" s="1039">
        <f>'[1]PLAN DE DESARROLLO 2024 - 2027'!$M$4</f>
        <v>0.24028917333263158</v>
      </c>
      <c r="C1254" s="1031" t="s">
        <v>2374</v>
      </c>
      <c r="D1254" s="1040">
        <f>'[1]PLAN DE DESARROLLO 2024 - 2027'!$M$5</f>
        <v>0.36421067601552731</v>
      </c>
      <c r="E1254" s="1031" t="s">
        <v>66</v>
      </c>
      <c r="F1254" s="1041">
        <f>[2]Hoja1!$B$142</f>
        <v>0.16513095708879477</v>
      </c>
      <c r="G1254" s="1031" t="s">
        <v>67</v>
      </c>
      <c r="H1254" s="1031" t="s">
        <v>68</v>
      </c>
      <c r="I1254" s="1031"/>
      <c r="J1254" s="1031" t="s">
        <v>69</v>
      </c>
      <c r="K1254" s="1042" t="s">
        <v>2454</v>
      </c>
    </row>
    <row r="1255" spans="1:11" s="1028" customFormat="1" ht="45" x14ac:dyDescent="0.25">
      <c r="A1255" s="1031" t="s">
        <v>2341</v>
      </c>
      <c r="B1255" s="1039">
        <f>'[1]PLAN DE DESARROLLO 2024 - 2027'!$M$4</f>
        <v>0.24028917333263158</v>
      </c>
      <c r="C1255" s="1031" t="s">
        <v>2374</v>
      </c>
      <c r="D1255" s="1040">
        <f>'[1]PLAN DE DESARROLLO 2024 - 2027'!$M$5</f>
        <v>0.36421067601552731</v>
      </c>
      <c r="E1255" s="1031" t="s">
        <v>66</v>
      </c>
      <c r="F1255" s="1041">
        <f>[2]Hoja1!$B$142</f>
        <v>0.16513095708879477</v>
      </c>
      <c r="G1255" s="1031" t="s">
        <v>72</v>
      </c>
      <c r="H1255" s="1031" t="s">
        <v>73</v>
      </c>
      <c r="I1255" s="1031"/>
      <c r="J1255" s="1031" t="s">
        <v>69</v>
      </c>
      <c r="K1255" s="1042" t="s">
        <v>2454</v>
      </c>
    </row>
    <row r="1256" spans="1:11" s="1028" customFormat="1" ht="45" x14ac:dyDescent="0.25">
      <c r="A1256" s="1031" t="s">
        <v>2341</v>
      </c>
      <c r="B1256" s="1039">
        <f>'[1]PLAN DE DESARROLLO 2024 - 2027'!$M$4</f>
        <v>0.24028917333263158</v>
      </c>
      <c r="C1256" s="1031" t="s">
        <v>2374</v>
      </c>
      <c r="D1256" s="1040">
        <f>'[1]PLAN DE DESARROLLO 2024 - 2027'!$M$5</f>
        <v>0.36421067601552731</v>
      </c>
      <c r="E1256" s="1031" t="s">
        <v>66</v>
      </c>
      <c r="F1256" s="1041">
        <f>[2]Hoja1!$B$142</f>
        <v>0.16513095708879477</v>
      </c>
      <c r="G1256" s="1031" t="s">
        <v>74</v>
      </c>
      <c r="H1256" s="1031" t="s">
        <v>2385</v>
      </c>
      <c r="I1256" s="1031"/>
      <c r="J1256" s="1031" t="s">
        <v>69</v>
      </c>
      <c r="K1256" s="1042" t="s">
        <v>2454</v>
      </c>
    </row>
    <row r="1257" spans="1:11" s="1028" customFormat="1" ht="45" x14ac:dyDescent="0.25">
      <c r="A1257" s="1031" t="s">
        <v>2341</v>
      </c>
      <c r="B1257" s="1039">
        <f>'[1]PLAN DE DESARROLLO 2024 - 2027'!$M$4</f>
        <v>0.24028917333263158</v>
      </c>
      <c r="C1257" s="1031" t="s">
        <v>2374</v>
      </c>
      <c r="D1257" s="1040">
        <f>'[1]PLAN DE DESARROLLO 2024 - 2027'!$M$5</f>
        <v>0.36421067601552731</v>
      </c>
      <c r="E1257" s="1031" t="s">
        <v>66</v>
      </c>
      <c r="F1257" s="1041">
        <f>[2]Hoja1!$B$142</f>
        <v>0.16513095708879477</v>
      </c>
      <c r="G1257" s="1031" t="s">
        <v>76</v>
      </c>
      <c r="H1257" s="1031" t="s">
        <v>2386</v>
      </c>
      <c r="I1257" s="1031"/>
      <c r="J1257" s="1031" t="s">
        <v>69</v>
      </c>
      <c r="K1257" s="1042" t="s">
        <v>2454</v>
      </c>
    </row>
    <row r="1258" spans="1:11" s="1028" customFormat="1" ht="45" x14ac:dyDescent="0.25">
      <c r="A1258" s="1031" t="s">
        <v>2341</v>
      </c>
      <c r="B1258" s="1039">
        <f>'[1]PLAN DE DESARROLLO 2024 - 2027'!$M$4</f>
        <v>0.24028917333263158</v>
      </c>
      <c r="C1258" s="1031" t="s">
        <v>2374</v>
      </c>
      <c r="D1258" s="1040">
        <f>'[1]PLAN DE DESARROLLO 2024 - 2027'!$M$5</f>
        <v>0.36421067601552731</v>
      </c>
      <c r="E1258" s="1031" t="s">
        <v>66</v>
      </c>
      <c r="F1258" s="1041">
        <f>[2]Hoja1!$B$142</f>
        <v>0.16513095708879477</v>
      </c>
      <c r="G1258" s="1031" t="s">
        <v>78</v>
      </c>
      <c r="H1258" s="1031" t="s">
        <v>2387</v>
      </c>
      <c r="I1258" s="1031"/>
      <c r="J1258" s="1031" t="s">
        <v>69</v>
      </c>
      <c r="K1258" s="1042" t="s">
        <v>2454</v>
      </c>
    </row>
    <row r="1259" spans="1:11" s="1028" customFormat="1" ht="45" x14ac:dyDescent="0.25">
      <c r="A1259" s="1031" t="s">
        <v>2341</v>
      </c>
      <c r="B1259" s="1039">
        <f>'[1]PLAN DE DESARROLLO 2024 - 2027'!$M$4</f>
        <v>0.24028917333263158</v>
      </c>
      <c r="C1259" s="1031" t="s">
        <v>2374</v>
      </c>
      <c r="D1259" s="1040">
        <f>'[1]PLAN DE DESARROLLO 2024 - 2027'!$M$5</f>
        <v>0.36421067601552731</v>
      </c>
      <c r="E1259" s="1031" t="s">
        <v>66</v>
      </c>
      <c r="F1259" s="1041">
        <f>[2]Hoja1!$B$142</f>
        <v>0.16513095708879477</v>
      </c>
      <c r="G1259" s="1031" t="s">
        <v>80</v>
      </c>
      <c r="H1259" s="1031" t="s">
        <v>81</v>
      </c>
      <c r="I1259" s="1031"/>
      <c r="J1259" s="1031" t="s">
        <v>69</v>
      </c>
      <c r="K1259" s="1042" t="s">
        <v>2454</v>
      </c>
    </row>
    <row r="1260" spans="1:11" s="1028" customFormat="1" ht="30" x14ac:dyDescent="0.25">
      <c r="A1260" s="1031" t="s">
        <v>2341</v>
      </c>
      <c r="B1260" s="1039">
        <f>'[1]PLAN DE DESARROLLO 2024 - 2027'!$M$4</f>
        <v>0.24028917333263158</v>
      </c>
      <c r="C1260" s="1031" t="s">
        <v>2374</v>
      </c>
      <c r="D1260" s="1040">
        <f>'[1]PLAN DE DESARROLLO 2024 - 2027'!$M$5</f>
        <v>0.36421067601552731</v>
      </c>
      <c r="E1260" s="1031" t="s">
        <v>2388</v>
      </c>
      <c r="F1260" s="1041">
        <f>[2]Hoja1!$B$143</f>
        <v>0.77499999999999991</v>
      </c>
      <c r="G1260" s="1031" t="s">
        <v>83</v>
      </c>
      <c r="H1260" s="1031" t="s">
        <v>84</v>
      </c>
      <c r="I1260" s="1031"/>
      <c r="J1260" s="1031" t="s">
        <v>2389</v>
      </c>
      <c r="K1260" s="1042" t="s">
        <v>2454</v>
      </c>
    </row>
    <row r="1261" spans="1:11" s="1028" customFormat="1" ht="30" x14ac:dyDescent="0.25">
      <c r="A1261" s="1031" t="s">
        <v>2341</v>
      </c>
      <c r="B1261" s="1039">
        <f>'[1]PLAN DE DESARROLLO 2024 - 2027'!$M$4</f>
        <v>0.24028917333263158</v>
      </c>
      <c r="C1261" s="1031" t="s">
        <v>2374</v>
      </c>
      <c r="D1261" s="1040">
        <f>'[1]PLAN DE DESARROLLO 2024 - 2027'!$M$5</f>
        <v>0.36421067601552731</v>
      </c>
      <c r="E1261" s="1031" t="s">
        <v>2388</v>
      </c>
      <c r="F1261" s="1041">
        <f>[2]Hoja1!$B$143</f>
        <v>0.77499999999999991</v>
      </c>
      <c r="G1261" s="1031" t="s">
        <v>86</v>
      </c>
      <c r="H1261" s="1031" t="s">
        <v>87</v>
      </c>
      <c r="I1261" s="1031"/>
      <c r="J1261" s="1031" t="s">
        <v>2389</v>
      </c>
      <c r="K1261" s="1042" t="s">
        <v>2454</v>
      </c>
    </row>
    <row r="1262" spans="1:11" s="1028" customFormat="1" ht="45" x14ac:dyDescent="0.25">
      <c r="A1262" s="1031" t="s">
        <v>2341</v>
      </c>
      <c r="B1262" s="1039">
        <f>'[1]PLAN DE DESARROLLO 2024 - 2027'!$M$4</f>
        <v>0.24028917333263158</v>
      </c>
      <c r="C1262" s="1031" t="s">
        <v>2343</v>
      </c>
      <c r="D1262" s="1040">
        <f>'[1]PLAN DE DESARROLLO 2024 - 2027'!$M$34</f>
        <v>0.12535549571208945</v>
      </c>
      <c r="E1262" s="1031" t="s">
        <v>440</v>
      </c>
      <c r="F1262" s="1041">
        <f>[2]Hoja1!$B$2</f>
        <v>0.35514705882352937</v>
      </c>
      <c r="G1262" s="1031" t="s">
        <v>441</v>
      </c>
      <c r="H1262" s="1031" t="s">
        <v>442</v>
      </c>
      <c r="I1262" s="1031"/>
      <c r="J1262" s="1031" t="s">
        <v>386</v>
      </c>
      <c r="K1262" s="1042" t="s">
        <v>2454</v>
      </c>
    </row>
    <row r="1263" spans="1:11" s="1028" customFormat="1" ht="30" x14ac:dyDescent="0.25">
      <c r="A1263" s="1031" t="s">
        <v>2341</v>
      </c>
      <c r="B1263" s="1039">
        <f>'[1]PLAN DE DESARROLLO 2024 - 2027'!$M$4</f>
        <v>0.24028917333263158</v>
      </c>
      <c r="C1263" s="1031" t="s">
        <v>2343</v>
      </c>
      <c r="D1263" s="1040">
        <f>'[1]PLAN DE DESARROLLO 2024 - 2027'!$M$34</f>
        <v>0.12535549571208945</v>
      </c>
      <c r="E1263" s="1031" t="s">
        <v>440</v>
      </c>
      <c r="F1263" s="1041">
        <f>[2]Hoja1!$B$2</f>
        <v>0.35514705882352937</v>
      </c>
      <c r="G1263" s="1031" t="s">
        <v>443</v>
      </c>
      <c r="H1263" s="1031" t="s">
        <v>444</v>
      </c>
      <c r="I1263" s="1031"/>
      <c r="J1263" s="1031" t="s">
        <v>386</v>
      </c>
      <c r="K1263" s="1042" t="s">
        <v>2454</v>
      </c>
    </row>
    <row r="1264" spans="1:11" s="1028" customFormat="1" ht="30" x14ac:dyDescent="0.25">
      <c r="A1264" s="1031" t="s">
        <v>2341</v>
      </c>
      <c r="B1264" s="1039">
        <f>'[1]PLAN DE DESARROLLO 2024 - 2027'!$M$4</f>
        <v>0.24028917333263158</v>
      </c>
      <c r="C1264" s="1031" t="s">
        <v>2343</v>
      </c>
      <c r="D1264" s="1040">
        <f>'[1]PLAN DE DESARROLLO 2024 - 2027'!$M$34</f>
        <v>0.12535549571208945</v>
      </c>
      <c r="E1264" s="1031" t="s">
        <v>2369</v>
      </c>
      <c r="F1264" s="1041">
        <f>[2]Hoja1!$B$19</f>
        <v>7.0349999999999996E-3</v>
      </c>
      <c r="G1264" s="1031" t="s">
        <v>422</v>
      </c>
      <c r="H1264" s="1031" t="s">
        <v>423</v>
      </c>
      <c r="I1264" s="1031"/>
      <c r="J1264" s="1031" t="s">
        <v>386</v>
      </c>
      <c r="K1264" s="1042" t="s">
        <v>2454</v>
      </c>
    </row>
    <row r="1265" spans="1:11" s="1028" customFormat="1" ht="30" x14ac:dyDescent="0.25">
      <c r="A1265" s="1031" t="s">
        <v>2341</v>
      </c>
      <c r="B1265" s="1039">
        <f>'[1]PLAN DE DESARROLLO 2024 - 2027'!$M$4</f>
        <v>0.24028917333263158</v>
      </c>
      <c r="C1265" s="1031" t="s">
        <v>2343</v>
      </c>
      <c r="D1265" s="1040">
        <f>'[1]PLAN DE DESARROLLO 2024 - 2027'!$M$34</f>
        <v>0.12535549571208945</v>
      </c>
      <c r="E1265" s="1031" t="s">
        <v>2369</v>
      </c>
      <c r="F1265" s="1041">
        <f>[2]Hoja1!$B$19</f>
        <v>7.0349999999999996E-3</v>
      </c>
      <c r="G1265" s="1031" t="s">
        <v>424</v>
      </c>
      <c r="H1265" s="1031" t="s">
        <v>425</v>
      </c>
      <c r="I1265" s="1031"/>
      <c r="J1265" s="1031" t="s">
        <v>386</v>
      </c>
      <c r="K1265" s="1042" t="s">
        <v>2454</v>
      </c>
    </row>
    <row r="1266" spans="1:11" s="1028" customFormat="1" ht="45" x14ac:dyDescent="0.25">
      <c r="A1266" s="1031" t="s">
        <v>2341</v>
      </c>
      <c r="B1266" s="1039">
        <f>'[1]PLAN DE DESARROLLO 2024 - 2027'!$M$4</f>
        <v>0.24028917333263158</v>
      </c>
      <c r="C1266" s="1031" t="s">
        <v>2343</v>
      </c>
      <c r="D1266" s="1040">
        <f>'[1]PLAN DE DESARROLLO 2024 - 2027'!$M$34</f>
        <v>0.12535549571208945</v>
      </c>
      <c r="E1266" s="1031" t="s">
        <v>2370</v>
      </c>
      <c r="F1266" s="1041">
        <f>[2]Hoja1!$B$53</f>
        <v>0.32931501831501825</v>
      </c>
      <c r="G1266" s="1031" t="s">
        <v>427</v>
      </c>
      <c r="H1266" s="1031" t="s">
        <v>428</v>
      </c>
      <c r="I1266" s="1031"/>
      <c r="J1266" s="1031" t="s">
        <v>386</v>
      </c>
      <c r="K1266" s="1042" t="s">
        <v>2454</v>
      </c>
    </row>
    <row r="1267" spans="1:11" s="1028" customFormat="1" ht="30" x14ac:dyDescent="0.25">
      <c r="A1267" s="1031" t="s">
        <v>2341</v>
      </c>
      <c r="B1267" s="1039">
        <f>'[1]PLAN DE DESARROLLO 2024 - 2027'!$M$4</f>
        <v>0.24028917333263158</v>
      </c>
      <c r="C1267" s="1031" t="s">
        <v>2343</v>
      </c>
      <c r="D1267" s="1040">
        <f>'[1]PLAN DE DESARROLLO 2024 - 2027'!$M$34</f>
        <v>0.12535549571208945</v>
      </c>
      <c r="E1267" s="1031" t="s">
        <v>2370</v>
      </c>
      <c r="F1267" s="1041">
        <f>[2]Hoja1!$B$53</f>
        <v>0.32931501831501825</v>
      </c>
      <c r="G1267" s="1031" t="s">
        <v>429</v>
      </c>
      <c r="H1267" s="1031" t="s">
        <v>430</v>
      </c>
      <c r="I1267" s="1031"/>
      <c r="J1267" s="1031" t="s">
        <v>386</v>
      </c>
      <c r="K1267" s="1042" t="s">
        <v>2454</v>
      </c>
    </row>
    <row r="1268" spans="1:11" s="1028" customFormat="1" ht="45" x14ac:dyDescent="0.25">
      <c r="A1268" s="1031" t="s">
        <v>2341</v>
      </c>
      <c r="B1268" s="1039">
        <f>'[1]PLAN DE DESARROLLO 2024 - 2027'!$M$4</f>
        <v>0.24028917333263158</v>
      </c>
      <c r="C1268" s="1031" t="s">
        <v>2343</v>
      </c>
      <c r="D1268" s="1040">
        <f>'[1]PLAN DE DESARROLLO 2024 - 2027'!$M$34</f>
        <v>0.12535549571208945</v>
      </c>
      <c r="E1268" s="1031" t="s">
        <v>2370</v>
      </c>
      <c r="F1268" s="1041">
        <f>[2]Hoja1!$B$53</f>
        <v>0.32931501831501825</v>
      </c>
      <c r="G1268" s="1031" t="s">
        <v>431</v>
      </c>
      <c r="H1268" s="1031" t="s">
        <v>432</v>
      </c>
      <c r="I1268" s="1031"/>
      <c r="J1268" s="1031" t="s">
        <v>386</v>
      </c>
      <c r="K1268" s="1042" t="s">
        <v>2454</v>
      </c>
    </row>
    <row r="1269" spans="1:11" s="1028" customFormat="1" ht="30" x14ac:dyDescent="0.25">
      <c r="A1269" s="1031" t="s">
        <v>2308</v>
      </c>
      <c r="B1269" s="1043">
        <f>'[1]PLAN DE DESARROLLO 2024 - 2027'!$M$161</f>
        <v>0.24647581985093744</v>
      </c>
      <c r="C1269" s="1031" t="s">
        <v>2310</v>
      </c>
      <c r="D1269" s="1040">
        <f>'[1]PLAN DE DESARROLLO 2024 - 2027'!$M$166</f>
        <v>0.23451309458253802</v>
      </c>
      <c r="E1269" s="1031" t="s">
        <v>2311</v>
      </c>
      <c r="F1269" s="1041">
        <f>[2]Hoja1!$B$141</f>
        <v>0.15</v>
      </c>
      <c r="G1269" s="1031" t="s">
        <v>1613</v>
      </c>
      <c r="H1269" s="1031" t="s">
        <v>1614</v>
      </c>
      <c r="I1269" s="1031"/>
      <c r="J1269" s="1031" t="s">
        <v>658</v>
      </c>
      <c r="K1269" s="1042" t="s">
        <v>2454</v>
      </c>
    </row>
    <row r="1270" spans="1:11" s="1028" customFormat="1" ht="30" x14ac:dyDescent="0.25">
      <c r="A1270" s="1031" t="s">
        <v>2308</v>
      </c>
      <c r="B1270" s="1043">
        <f>'[1]PLAN DE DESARROLLO 2024 - 2027'!$M$161</f>
        <v>0.24647581985093744</v>
      </c>
      <c r="C1270" s="1031" t="s">
        <v>2310</v>
      </c>
      <c r="D1270" s="1040">
        <f>'[1]PLAN DE DESARROLLO 2024 - 2027'!$M$166</f>
        <v>0.23451309458253802</v>
      </c>
      <c r="E1270" s="1031" t="s">
        <v>2311</v>
      </c>
      <c r="F1270" s="1041">
        <f>[2]Hoja1!$B$141</f>
        <v>0.15</v>
      </c>
      <c r="G1270" s="1031" t="s">
        <v>1615</v>
      </c>
      <c r="H1270" s="1031" t="s">
        <v>1616</v>
      </c>
      <c r="I1270" s="1031"/>
      <c r="J1270" s="1031" t="s">
        <v>658</v>
      </c>
      <c r="K1270" s="1042" t="s">
        <v>2454</v>
      </c>
    </row>
    <row r="1271" spans="1:11" s="1028" customFormat="1" ht="30" x14ac:dyDescent="0.25">
      <c r="A1271" s="1031" t="s">
        <v>2308</v>
      </c>
      <c r="B1271" s="1043">
        <f>'[1]PLAN DE DESARROLLO 2024 - 2027'!$M$161</f>
        <v>0.24647581985093744</v>
      </c>
      <c r="C1271" s="1031" t="s">
        <v>2310</v>
      </c>
      <c r="D1271" s="1040">
        <f>'[1]PLAN DE DESARROLLO 2024 - 2027'!$M$166</f>
        <v>0.23451309458253802</v>
      </c>
      <c r="E1271" s="1031" t="s">
        <v>2311</v>
      </c>
      <c r="F1271" s="1041">
        <f>[2]Hoja1!$B$141</f>
        <v>0.15</v>
      </c>
      <c r="G1271" s="1031" t="s">
        <v>1617</v>
      </c>
      <c r="H1271" s="1031" t="s">
        <v>1618</v>
      </c>
      <c r="I1271" s="1031"/>
      <c r="J1271" s="1031" t="s">
        <v>658</v>
      </c>
      <c r="K1271" s="1042" t="s">
        <v>2454</v>
      </c>
    </row>
    <row r="1272" spans="1:11" s="1028" customFormat="1" ht="30" x14ac:dyDescent="0.25">
      <c r="A1272" s="1031" t="s">
        <v>2341</v>
      </c>
      <c r="B1272" s="1039">
        <f>'[1]PLAN DE DESARROLLO 2024 - 2027'!$M$4</f>
        <v>0.24028917333263158</v>
      </c>
      <c r="C1272" s="1031" t="s">
        <v>2343</v>
      </c>
      <c r="D1272" s="1040">
        <f>'[1]PLAN DE DESARROLLO 2024 - 2027'!$M$34</f>
        <v>0.12535549571208945</v>
      </c>
      <c r="E1272" s="1031" t="s">
        <v>397</v>
      </c>
      <c r="F1272" s="1041">
        <f>[2]Hoja1!$B$56</f>
        <v>0.25921388888888885</v>
      </c>
      <c r="G1272" s="1031" t="s">
        <v>398</v>
      </c>
      <c r="H1272" s="1031" t="s">
        <v>399</v>
      </c>
      <c r="I1272" s="1031"/>
      <c r="J1272" s="1031" t="s">
        <v>386</v>
      </c>
      <c r="K1272" s="1042" t="s">
        <v>2454</v>
      </c>
    </row>
    <row r="1273" spans="1:11" s="1028" customFormat="1" ht="30" x14ac:dyDescent="0.25">
      <c r="A1273" s="1031" t="s">
        <v>2341</v>
      </c>
      <c r="B1273" s="1039">
        <f>'[1]PLAN DE DESARROLLO 2024 - 2027'!$M$4</f>
        <v>0.24028917333263158</v>
      </c>
      <c r="C1273" s="1031" t="s">
        <v>2343</v>
      </c>
      <c r="D1273" s="1040">
        <f>'[1]PLAN DE DESARROLLO 2024 - 2027'!$M$34</f>
        <v>0.12535549571208945</v>
      </c>
      <c r="E1273" s="1031" t="s">
        <v>397</v>
      </c>
      <c r="F1273" s="1041">
        <f>[2]Hoja1!$B$56</f>
        <v>0.25921388888888885</v>
      </c>
      <c r="G1273" s="1031" t="s">
        <v>400</v>
      </c>
      <c r="H1273" s="1031" t="s">
        <v>401</v>
      </c>
      <c r="I1273" s="1031"/>
      <c r="J1273" s="1031" t="s">
        <v>386</v>
      </c>
      <c r="K1273" s="1042" t="s">
        <v>2454</v>
      </c>
    </row>
    <row r="1274" spans="1:11" s="1028" customFormat="1" ht="30" x14ac:dyDescent="0.25">
      <c r="A1274" s="1031" t="s">
        <v>2341</v>
      </c>
      <c r="B1274" s="1039">
        <f>'[1]PLAN DE DESARROLLO 2024 - 2027'!$M$4</f>
        <v>0.24028917333263158</v>
      </c>
      <c r="C1274" s="1031" t="s">
        <v>2343</v>
      </c>
      <c r="D1274" s="1040">
        <f>'[1]PLAN DE DESARROLLO 2024 - 2027'!$M$34</f>
        <v>0.12535549571208945</v>
      </c>
      <c r="E1274" s="1031" t="s">
        <v>397</v>
      </c>
      <c r="F1274" s="1041">
        <f>[2]Hoja1!$B$56</f>
        <v>0.25921388888888885</v>
      </c>
      <c r="G1274" s="1031" t="s">
        <v>402</v>
      </c>
      <c r="H1274" s="1031" t="s">
        <v>2368</v>
      </c>
      <c r="I1274" s="1031"/>
      <c r="J1274" s="1031" t="s">
        <v>386</v>
      </c>
      <c r="K1274" s="1042" t="s">
        <v>2454</v>
      </c>
    </row>
    <row r="1275" spans="1:11" s="1028" customFormat="1" ht="30" x14ac:dyDescent="0.25">
      <c r="A1275" s="1031" t="s">
        <v>2341</v>
      </c>
      <c r="B1275" s="1039">
        <f>'[1]PLAN DE DESARROLLO 2024 - 2027'!$M$4</f>
        <v>0.24028917333263158</v>
      </c>
      <c r="C1275" s="1031" t="s">
        <v>2343</v>
      </c>
      <c r="D1275" s="1040">
        <f>'[1]PLAN DE DESARROLLO 2024 - 2027'!$M$34</f>
        <v>0.12535549571208945</v>
      </c>
      <c r="E1275" s="1031" t="s">
        <v>397</v>
      </c>
      <c r="F1275" s="1041">
        <f>[2]Hoja1!$B$56</f>
        <v>0.25921388888888885</v>
      </c>
      <c r="G1275" s="1031" t="s">
        <v>404</v>
      </c>
      <c r="H1275" s="1031" t="s">
        <v>405</v>
      </c>
      <c r="I1275" s="1031"/>
      <c r="J1275" s="1031" t="s">
        <v>386</v>
      </c>
      <c r="K1275" s="1042" t="s">
        <v>2454</v>
      </c>
    </row>
    <row r="1276" spans="1:11" s="1028" customFormat="1" ht="45" x14ac:dyDescent="0.25">
      <c r="A1276" s="1031" t="s">
        <v>2341</v>
      </c>
      <c r="B1276" s="1039">
        <f>'[1]PLAN DE DESARROLLO 2024 - 2027'!$M$4</f>
        <v>0.24028917333263158</v>
      </c>
      <c r="C1276" s="1031" t="s">
        <v>2343</v>
      </c>
      <c r="D1276" s="1040">
        <f>'[1]PLAN DE DESARROLLO 2024 - 2027'!$M$34</f>
        <v>0.12535549571208945</v>
      </c>
      <c r="E1276" s="1031" t="s">
        <v>2373</v>
      </c>
      <c r="F1276" s="1041">
        <f>[2]Hoja1!$B$77</f>
        <v>0.24230769230769231</v>
      </c>
      <c r="G1276" s="1031" t="s">
        <v>451</v>
      </c>
      <c r="H1276" s="1031" t="s">
        <v>452</v>
      </c>
      <c r="I1276" s="1031"/>
      <c r="J1276" s="1031" t="s">
        <v>658</v>
      </c>
      <c r="K1276" s="1042" t="s">
        <v>2454</v>
      </c>
    </row>
    <row r="1277" spans="1:11" s="1028" customFormat="1" ht="45" x14ac:dyDescent="0.25">
      <c r="A1277" s="1031" t="s">
        <v>2341</v>
      </c>
      <c r="B1277" s="1039">
        <f>'[1]PLAN DE DESARROLLO 2024 - 2027'!$M$4</f>
        <v>0.24028917333263158</v>
      </c>
      <c r="C1277" s="1031" t="s">
        <v>2343</v>
      </c>
      <c r="D1277" s="1040">
        <f>'[1]PLAN DE DESARROLLO 2024 - 2027'!$M$34</f>
        <v>0.12535549571208945</v>
      </c>
      <c r="E1277" s="1031" t="s">
        <v>2373</v>
      </c>
      <c r="F1277" s="1041">
        <f>[2]Hoja1!$B$77</f>
        <v>0.24230769230769231</v>
      </c>
      <c r="G1277" s="1031" t="s">
        <v>456</v>
      </c>
      <c r="H1277" s="1031" t="s">
        <v>457</v>
      </c>
      <c r="I1277" s="1031"/>
      <c r="J1277" s="1031" t="s">
        <v>658</v>
      </c>
      <c r="K1277" s="1042" t="s">
        <v>2454</v>
      </c>
    </row>
    <row r="1278" spans="1:11" s="1028" customFormat="1" ht="30" x14ac:dyDescent="0.25">
      <c r="A1278" s="1031" t="s">
        <v>2341</v>
      </c>
      <c r="B1278" s="1039">
        <f>'[1]PLAN DE DESARROLLO 2024 - 2027'!$M$4</f>
        <v>0.24028917333263158</v>
      </c>
      <c r="C1278" s="1031" t="s">
        <v>2343</v>
      </c>
      <c r="D1278" s="1040">
        <f>'[1]PLAN DE DESARROLLO 2024 - 2027'!$M$34</f>
        <v>0.12535549571208945</v>
      </c>
      <c r="E1278" s="1031" t="s">
        <v>2372</v>
      </c>
      <c r="F1278" s="1041">
        <f>[2]Hoja1!$B$78</f>
        <v>0.16944444444444445</v>
      </c>
      <c r="G1278" s="1031" t="s">
        <v>446</v>
      </c>
      <c r="H1278" s="1031" t="s">
        <v>447</v>
      </c>
      <c r="I1278" s="1031"/>
      <c r="J1278" s="1031" t="s">
        <v>386</v>
      </c>
      <c r="K1278" s="1042" t="s">
        <v>2454</v>
      </c>
    </row>
    <row r="1279" spans="1:11" s="1028" customFormat="1" ht="30" x14ac:dyDescent="0.25">
      <c r="A1279" s="1031" t="s">
        <v>2341</v>
      </c>
      <c r="B1279" s="1039">
        <f>'[1]PLAN DE DESARROLLO 2024 - 2027'!$M$4</f>
        <v>0.24028917333263158</v>
      </c>
      <c r="C1279" s="1031" t="s">
        <v>2343</v>
      </c>
      <c r="D1279" s="1040">
        <f>'[1]PLAN DE DESARROLLO 2024 - 2027'!$M$34</f>
        <v>0.12535549571208945</v>
      </c>
      <c r="E1279" s="1031" t="s">
        <v>2372</v>
      </c>
      <c r="F1279" s="1041">
        <f>[2]Hoja1!$B$78</f>
        <v>0.16944444444444445</v>
      </c>
      <c r="G1279" s="1031" t="s">
        <v>448</v>
      </c>
      <c r="H1279" s="1031" t="s">
        <v>449</v>
      </c>
      <c r="I1279" s="1031"/>
      <c r="J1279" s="1031" t="s">
        <v>386</v>
      </c>
      <c r="K1279" s="1042" t="s">
        <v>2454</v>
      </c>
    </row>
    <row r="1280" spans="1:11" s="1028" customFormat="1" ht="45" x14ac:dyDescent="0.25">
      <c r="A1280" s="1031" t="s">
        <v>2266</v>
      </c>
      <c r="B1280" s="1043">
        <f>'[1]PLAN DE DESARROLLO 2024 - 2027'!$M$92</f>
        <v>0.25050860314981654</v>
      </c>
      <c r="C1280" s="1031" t="s">
        <v>2284</v>
      </c>
      <c r="D1280" s="1040">
        <f>'[1]PLAN DE DESARROLLO 2024 - 2027'!$M$120</f>
        <v>0.19011249999999999</v>
      </c>
      <c r="E1280" s="1031" t="s">
        <v>2286</v>
      </c>
      <c r="F1280" s="1041">
        <f>[2]Hoja1!$B$107</f>
        <v>0.3775</v>
      </c>
      <c r="G1280" s="1031" t="s">
        <v>966</v>
      </c>
      <c r="H1280" s="1031" t="s">
        <v>967</v>
      </c>
      <c r="I1280" s="1031"/>
      <c r="J1280" s="1031" t="s">
        <v>658</v>
      </c>
      <c r="K1280" s="1042" t="s">
        <v>2454</v>
      </c>
    </row>
    <row r="1281" spans="1:11" s="1028" customFormat="1" ht="30" x14ac:dyDescent="0.25">
      <c r="A1281" s="1031" t="s">
        <v>2266</v>
      </c>
      <c r="B1281" s="1043">
        <f>'[1]PLAN DE DESARROLLO 2024 - 2027'!$M$92</f>
        <v>0.25050860314981654</v>
      </c>
      <c r="C1281" s="1031" t="s">
        <v>2284</v>
      </c>
      <c r="D1281" s="1040">
        <f>'[1]PLAN DE DESARROLLO 2024 - 2027'!$M$120</f>
        <v>0.19011249999999999</v>
      </c>
      <c r="E1281" s="1031" t="s">
        <v>2286</v>
      </c>
      <c r="F1281" s="1041">
        <f>[2]Hoja1!$B$107</f>
        <v>0.3775</v>
      </c>
      <c r="G1281" s="1031" t="s">
        <v>968</v>
      </c>
      <c r="H1281" s="1031" t="s">
        <v>969</v>
      </c>
      <c r="I1281" s="1031"/>
      <c r="J1281" s="1031" t="s">
        <v>658</v>
      </c>
      <c r="K1281" s="1042" t="s">
        <v>2454</v>
      </c>
    </row>
    <row r="1282" spans="1:11" s="1028" customFormat="1" ht="30" x14ac:dyDescent="0.25">
      <c r="A1282" s="1031" t="s">
        <v>2266</v>
      </c>
      <c r="B1282" s="1043">
        <f>'[1]PLAN DE DESARROLLO 2024 - 2027'!$M$92</f>
        <v>0.25050860314981654</v>
      </c>
      <c r="C1282" s="1031" t="s">
        <v>2268</v>
      </c>
      <c r="D1282" s="1040">
        <f>'[1]PLAN DE DESARROLLO 2024 - 2027'!$M$110</f>
        <v>0.16375000000000001</v>
      </c>
      <c r="E1282" s="1031" t="s">
        <v>2294</v>
      </c>
      <c r="F1282" s="1041">
        <f>[2]Hoja1!$B$88</f>
        <v>6.9666666666666668E-2</v>
      </c>
      <c r="G1282" s="1031" t="s">
        <v>1088</v>
      </c>
      <c r="H1282" s="1031" t="s">
        <v>1089</v>
      </c>
      <c r="I1282" s="1031"/>
      <c r="J1282" s="1031" t="s">
        <v>1028</v>
      </c>
      <c r="K1282" s="1042" t="s">
        <v>2454</v>
      </c>
    </row>
    <row r="1283" spans="1:11" s="1028" customFormat="1" ht="30" x14ac:dyDescent="0.25">
      <c r="A1283" s="1031" t="s">
        <v>2266</v>
      </c>
      <c r="B1283" s="1043">
        <f>'[1]PLAN DE DESARROLLO 2024 - 2027'!$M$92</f>
        <v>0.25050860314981654</v>
      </c>
      <c r="C1283" s="1031" t="s">
        <v>2268</v>
      </c>
      <c r="D1283" s="1040">
        <f>'[1]PLAN DE DESARROLLO 2024 - 2027'!$M$110</f>
        <v>0.16375000000000001</v>
      </c>
      <c r="E1283" s="1031" t="s">
        <v>2294</v>
      </c>
      <c r="F1283" s="1041">
        <f>[2]Hoja1!$B$87</f>
        <v>0.8</v>
      </c>
      <c r="G1283" s="1031" t="s">
        <v>1092</v>
      </c>
      <c r="H1283" s="1031" t="s">
        <v>1093</v>
      </c>
      <c r="I1283" s="1031"/>
      <c r="J1283" s="1031" t="s">
        <v>1028</v>
      </c>
      <c r="K1283" s="1042" t="s">
        <v>2454</v>
      </c>
    </row>
    <row r="1284" spans="1:11" s="1028" customFormat="1" ht="30" x14ac:dyDescent="0.25">
      <c r="A1284" s="1031" t="s">
        <v>2308</v>
      </c>
      <c r="B1284" s="1043">
        <f>'[1]PLAN DE DESARROLLO 2024 - 2027'!$M$161</f>
        <v>0.24647581985093744</v>
      </c>
      <c r="C1284" s="1031" t="s">
        <v>2326</v>
      </c>
      <c r="D1284" s="1040">
        <f>'[1]PLAN DE DESARROLLO 2024 - 2027'!$M$178</f>
        <v>0.30658085759781617</v>
      </c>
      <c r="E1284" s="1031" t="s">
        <v>2327</v>
      </c>
      <c r="F1284" s="1041">
        <f>[2]Hoja1!$B$145</f>
        <v>0.46846678798908098</v>
      </c>
      <c r="G1284" s="1031" t="s">
        <v>1664</v>
      </c>
      <c r="H1284" s="1031" t="s">
        <v>1665</v>
      </c>
      <c r="I1284" s="1031"/>
      <c r="J1284" s="1031" t="s">
        <v>1666</v>
      </c>
      <c r="K1284" s="1042" t="s">
        <v>2454</v>
      </c>
    </row>
    <row r="1285" spans="1:11" s="1028" customFormat="1" ht="45" x14ac:dyDescent="0.25">
      <c r="A1285" s="1031" t="s">
        <v>2308</v>
      </c>
      <c r="B1285" s="1043">
        <f>'[1]PLAN DE DESARROLLO 2024 - 2027'!$M$161</f>
        <v>0.24647581985093744</v>
      </c>
      <c r="C1285" s="1031" t="s">
        <v>2326</v>
      </c>
      <c r="D1285" s="1040">
        <f>'[1]PLAN DE DESARROLLO 2024 - 2027'!$M$178</f>
        <v>0.30658085759781617</v>
      </c>
      <c r="E1285" s="1031" t="s">
        <v>2327</v>
      </c>
      <c r="F1285" s="1041">
        <f>[2]Hoja1!$B$145</f>
        <v>0.46846678798908098</v>
      </c>
      <c r="G1285" s="1031" t="s">
        <v>1667</v>
      </c>
      <c r="H1285" s="1031" t="s">
        <v>1668</v>
      </c>
      <c r="I1285" s="1031"/>
      <c r="J1285" s="1031" t="s">
        <v>1666</v>
      </c>
      <c r="K1285" s="1042" t="s">
        <v>2454</v>
      </c>
    </row>
    <row r="1286" spans="1:11" s="1028" customFormat="1" ht="30" x14ac:dyDescent="0.25">
      <c r="A1286" s="1031" t="s">
        <v>2341</v>
      </c>
      <c r="B1286" s="1039">
        <f>'[1]PLAN DE DESARROLLO 2024 - 2027'!$M$4</f>
        <v>0.24028917333263158</v>
      </c>
      <c r="C1286" s="1031" t="s">
        <v>2343</v>
      </c>
      <c r="D1286" s="1040">
        <f>'[1]PLAN DE DESARROLLO 2024 - 2027'!$M$34</f>
        <v>0.12535549571208945</v>
      </c>
      <c r="E1286" s="1031" t="s">
        <v>406</v>
      </c>
      <c r="F1286" s="1041">
        <f>[2]Hoja1!$B$89</f>
        <v>0</v>
      </c>
      <c r="G1286" s="1031" t="s">
        <v>407</v>
      </c>
      <c r="H1286" s="1031" t="s">
        <v>408</v>
      </c>
      <c r="I1286" s="1031"/>
      <c r="J1286" s="1031" t="s">
        <v>386</v>
      </c>
      <c r="K1286" s="1042" t="s">
        <v>2454</v>
      </c>
    </row>
    <row r="1287" spans="1:11" s="1028" customFormat="1" ht="30" x14ac:dyDescent="0.25">
      <c r="A1287" s="1031" t="s">
        <v>2341</v>
      </c>
      <c r="B1287" s="1039">
        <f>'[1]PLAN DE DESARROLLO 2024 - 2027'!$M$4</f>
        <v>0.24028917333263158</v>
      </c>
      <c r="C1287" s="1031" t="s">
        <v>2343</v>
      </c>
      <c r="D1287" s="1040">
        <f>'[1]PLAN DE DESARROLLO 2024 - 2027'!$M$34</f>
        <v>0.12535549571208945</v>
      </c>
      <c r="E1287" s="1031" t="s">
        <v>2366</v>
      </c>
      <c r="F1287" s="1041">
        <f>[2]Hoja1!$B$91</f>
        <v>0.15378125000000001</v>
      </c>
      <c r="G1287" s="1031" t="s">
        <v>384</v>
      </c>
      <c r="H1287" s="1031" t="s">
        <v>385</v>
      </c>
      <c r="I1287" s="1031"/>
      <c r="J1287" s="1031" t="s">
        <v>386</v>
      </c>
      <c r="K1287" s="1042" t="s">
        <v>2454</v>
      </c>
    </row>
    <row r="1288" spans="1:11" s="1028" customFormat="1" ht="30" x14ac:dyDescent="0.25">
      <c r="A1288" s="1031" t="s">
        <v>2341</v>
      </c>
      <c r="B1288" s="1039">
        <f>'[1]PLAN DE DESARROLLO 2024 - 2027'!$M$4</f>
        <v>0.24028917333263158</v>
      </c>
      <c r="C1288" s="1031" t="s">
        <v>2343</v>
      </c>
      <c r="D1288" s="1040">
        <f>'[1]PLAN DE DESARROLLO 2024 - 2027'!$M$34</f>
        <v>0.12535549571208945</v>
      </c>
      <c r="E1288" s="1031" t="s">
        <v>2366</v>
      </c>
      <c r="F1288" s="1041">
        <f>[2]Hoja1!$B$91</f>
        <v>0.15378125000000001</v>
      </c>
      <c r="G1288" s="1031" t="s">
        <v>387</v>
      </c>
      <c r="H1288" s="1031" t="s">
        <v>388</v>
      </c>
      <c r="I1288" s="1031"/>
      <c r="J1288" s="1031" t="s">
        <v>386</v>
      </c>
      <c r="K1288" s="1042" t="s">
        <v>2454</v>
      </c>
    </row>
    <row r="1289" spans="1:11" s="1028" customFormat="1" ht="30" x14ac:dyDescent="0.25">
      <c r="A1289" s="1031" t="s">
        <v>2341</v>
      </c>
      <c r="B1289" s="1039">
        <f>'[1]PLAN DE DESARROLLO 2024 - 2027'!$M$4</f>
        <v>0.24028917333263158</v>
      </c>
      <c r="C1289" s="1031" t="s">
        <v>2343</v>
      </c>
      <c r="D1289" s="1040">
        <f>'[1]PLAN DE DESARROLLO 2024 - 2027'!$M$34</f>
        <v>0.12535549571208945</v>
      </c>
      <c r="E1289" s="1031" t="s">
        <v>409</v>
      </c>
      <c r="F1289" s="1041">
        <f>[2]Hoja1!$B$94</f>
        <v>0.15668414473684211</v>
      </c>
      <c r="G1289" s="1031" t="s">
        <v>410</v>
      </c>
      <c r="H1289" s="1031" t="s">
        <v>411</v>
      </c>
      <c r="I1289" s="1031"/>
      <c r="J1289" s="1031" t="s">
        <v>386</v>
      </c>
      <c r="K1289" s="1042" t="s">
        <v>2454</v>
      </c>
    </row>
    <row r="1290" spans="1:11" s="1028" customFormat="1" ht="30" x14ac:dyDescent="0.25">
      <c r="A1290" s="1031" t="s">
        <v>2341</v>
      </c>
      <c r="B1290" s="1039">
        <f>'[1]PLAN DE DESARROLLO 2024 - 2027'!$M$4</f>
        <v>0.24028917333263158</v>
      </c>
      <c r="C1290" s="1031" t="s">
        <v>2343</v>
      </c>
      <c r="D1290" s="1040">
        <f>'[1]PLAN DE DESARROLLO 2024 - 2027'!$M$34</f>
        <v>0.12535549571208945</v>
      </c>
      <c r="E1290" s="1031" t="s">
        <v>409</v>
      </c>
      <c r="F1290" s="1041">
        <f>[2]Hoja1!$B$94</f>
        <v>0.15668414473684211</v>
      </c>
      <c r="G1290" s="1031" t="s">
        <v>412</v>
      </c>
      <c r="H1290" s="1031" t="s">
        <v>413</v>
      </c>
      <c r="I1290" s="1031"/>
      <c r="J1290" s="1031" t="s">
        <v>386</v>
      </c>
      <c r="K1290" s="1042" t="s">
        <v>2454</v>
      </c>
    </row>
    <row r="1291" spans="1:11" s="1028" customFormat="1" ht="30" x14ac:dyDescent="0.25">
      <c r="A1291" s="1031" t="s">
        <v>2341</v>
      </c>
      <c r="B1291" s="1039">
        <f>'[1]PLAN DE DESARROLLO 2024 - 2027'!$M$4</f>
        <v>0.24028917333263158</v>
      </c>
      <c r="C1291" s="1031" t="s">
        <v>2343</v>
      </c>
      <c r="D1291" s="1040">
        <f>'[1]PLAN DE DESARROLLO 2024 - 2027'!$M$34</f>
        <v>0.12535549571208945</v>
      </c>
      <c r="E1291" s="1031" t="s">
        <v>409</v>
      </c>
      <c r="F1291" s="1041">
        <f>[2]Hoja1!$B$94</f>
        <v>0.15668414473684211</v>
      </c>
      <c r="G1291" s="1031" t="s">
        <v>415</v>
      </c>
      <c r="H1291" s="1031" t="s">
        <v>416</v>
      </c>
      <c r="I1291" s="1031"/>
      <c r="J1291" s="1031" t="s">
        <v>386</v>
      </c>
      <c r="K1291" s="1042" t="s">
        <v>2454</v>
      </c>
    </row>
    <row r="1292" spans="1:11" s="1028" customFormat="1" ht="45" x14ac:dyDescent="0.25">
      <c r="A1292" s="1031" t="s">
        <v>2341</v>
      </c>
      <c r="B1292" s="1039">
        <f>'[1]PLAN DE DESARROLLO 2024 - 2027'!$M$4</f>
        <v>0.24028917333263158</v>
      </c>
      <c r="C1292" s="1031" t="s">
        <v>2343</v>
      </c>
      <c r="D1292" s="1040">
        <f>'[1]PLAN DE DESARROLLO 2024 - 2027'!$M$34</f>
        <v>0.12535549571208945</v>
      </c>
      <c r="E1292" s="1031" t="s">
        <v>409</v>
      </c>
      <c r="F1292" s="1041">
        <f>[2]Hoja1!$B$94</f>
        <v>0.15668414473684211</v>
      </c>
      <c r="G1292" s="1031" t="s">
        <v>417</v>
      </c>
      <c r="H1292" s="1031" t="s">
        <v>418</v>
      </c>
      <c r="I1292" s="1031"/>
      <c r="J1292" s="1031" t="s">
        <v>386</v>
      </c>
      <c r="K1292" s="1042" t="s">
        <v>2454</v>
      </c>
    </row>
    <row r="1293" spans="1:11" s="1028" customFormat="1" ht="30" x14ac:dyDescent="0.25">
      <c r="A1293" s="1031" t="s">
        <v>2308</v>
      </c>
      <c r="B1293" s="1043">
        <f>'[1]PLAN DE DESARROLLO 2024 - 2027'!$M$161</f>
        <v>0.24647581985093744</v>
      </c>
      <c r="C1293" s="1031" t="s">
        <v>2332</v>
      </c>
      <c r="D1293" s="1040">
        <f>'[1]PLAN DE DESARROLLO 2024 - 2027'!$M$191</f>
        <v>0.22981556695992181</v>
      </c>
      <c r="E1293" s="1031" t="s">
        <v>2334</v>
      </c>
      <c r="F1293" s="1041">
        <f>[2]Hoja1!$B$148</f>
        <v>0.23404772727272727</v>
      </c>
      <c r="G1293" s="1031" t="s">
        <v>2335</v>
      </c>
      <c r="H1293" s="1031" t="s">
        <v>1778</v>
      </c>
      <c r="I1293" s="1031"/>
      <c r="J1293" s="1031" t="s">
        <v>716</v>
      </c>
      <c r="K1293" s="1042" t="s">
        <v>2454</v>
      </c>
    </row>
    <row r="1294" spans="1:11" s="1028" customFormat="1" ht="30" x14ac:dyDescent="0.25">
      <c r="A1294" s="1031" t="s">
        <v>2308</v>
      </c>
      <c r="B1294" s="1043">
        <f>'[1]PLAN DE DESARROLLO 2024 - 2027'!$M$161</f>
        <v>0.24647581985093744</v>
      </c>
      <c r="C1294" s="1031" t="s">
        <v>2332</v>
      </c>
      <c r="D1294" s="1040">
        <f>'[1]PLAN DE DESARROLLO 2024 - 2027'!$M$191</f>
        <v>0.22981556695992181</v>
      </c>
      <c r="E1294" s="1031" t="s">
        <v>2334</v>
      </c>
      <c r="F1294" s="1041">
        <f>[2]Hoja1!$B$148</f>
        <v>0.23404772727272727</v>
      </c>
      <c r="G1294" s="1031" t="s">
        <v>1779</v>
      </c>
      <c r="H1294" s="1031" t="s">
        <v>1780</v>
      </c>
      <c r="I1294" s="1031"/>
      <c r="J1294" s="1031" t="s">
        <v>716</v>
      </c>
      <c r="K1294" s="1042" t="s">
        <v>2454</v>
      </c>
    </row>
    <row r="1295" spans="1:11" s="1028" customFormat="1" ht="30" x14ac:dyDescent="0.25">
      <c r="A1295" s="1031" t="s">
        <v>2308</v>
      </c>
      <c r="B1295" s="1043">
        <f>'[1]PLAN DE DESARROLLO 2024 - 2027'!$M$161</f>
        <v>0.24647581985093744</v>
      </c>
      <c r="C1295" s="1031" t="s">
        <v>2332</v>
      </c>
      <c r="D1295" s="1040">
        <f>'[1]PLAN DE DESARROLLO 2024 - 2027'!$M$191</f>
        <v>0.22981556695992181</v>
      </c>
      <c r="E1295" s="1031" t="s">
        <v>2334</v>
      </c>
      <c r="F1295" s="1041">
        <f>[2]Hoja1!$B$148</f>
        <v>0.23404772727272727</v>
      </c>
      <c r="G1295" s="1031" t="s">
        <v>1781</v>
      </c>
      <c r="H1295" s="1031" t="s">
        <v>1782</v>
      </c>
      <c r="I1295" s="1031"/>
      <c r="J1295" s="1031" t="s">
        <v>716</v>
      </c>
      <c r="K1295" s="1042" t="s">
        <v>2454</v>
      </c>
    </row>
    <row r="1296" spans="1:11" s="1028" customFormat="1" ht="30" x14ac:dyDescent="0.25">
      <c r="A1296" s="1031" t="s">
        <v>2308</v>
      </c>
      <c r="B1296" s="1043">
        <f>'[1]PLAN DE DESARROLLO 2024 - 2027'!$M$161</f>
        <v>0.24647581985093744</v>
      </c>
      <c r="C1296" s="1031" t="s">
        <v>2332</v>
      </c>
      <c r="D1296" s="1040">
        <f>'[1]PLAN DE DESARROLLO 2024 - 2027'!$M$191</f>
        <v>0.22981556695992181</v>
      </c>
      <c r="E1296" s="1031" t="s">
        <v>2334</v>
      </c>
      <c r="F1296" s="1041">
        <f>[2]Hoja1!$B$148</f>
        <v>0.23404772727272727</v>
      </c>
      <c r="G1296" s="1031" t="s">
        <v>1783</v>
      </c>
      <c r="H1296" s="1031" t="s">
        <v>1784</v>
      </c>
      <c r="I1296" s="1031"/>
      <c r="J1296" s="1031" t="s">
        <v>716</v>
      </c>
      <c r="K1296" s="1042" t="s">
        <v>2454</v>
      </c>
    </row>
    <row r="1297" spans="1:11" s="1028" customFormat="1" ht="45" x14ac:dyDescent="0.25">
      <c r="A1297" s="1031" t="s">
        <v>2308</v>
      </c>
      <c r="B1297" s="1043">
        <f>'[1]PLAN DE DESARROLLO 2024 - 2027'!$M$161</f>
        <v>0.24647581985093744</v>
      </c>
      <c r="C1297" s="1031" t="s">
        <v>2332</v>
      </c>
      <c r="D1297" s="1040">
        <f>'[1]PLAN DE DESARROLLO 2024 - 2027'!$M$191</f>
        <v>0.22981556695992181</v>
      </c>
      <c r="E1297" s="1031" t="s">
        <v>2334</v>
      </c>
      <c r="F1297" s="1041">
        <f>[2]Hoja1!$B$148</f>
        <v>0.23404772727272727</v>
      </c>
      <c r="G1297" s="1031" t="s">
        <v>1785</v>
      </c>
      <c r="H1297" s="1031" t="s">
        <v>1786</v>
      </c>
      <c r="I1297" s="1031"/>
      <c r="J1297" s="1031" t="s">
        <v>716</v>
      </c>
      <c r="K1297" s="1042" t="s">
        <v>2454</v>
      </c>
    </row>
    <row r="1298" spans="1:11" s="1028" customFormat="1" ht="45" x14ac:dyDescent="0.25">
      <c r="A1298" s="1031" t="s">
        <v>2308</v>
      </c>
      <c r="B1298" s="1043">
        <f>'[1]PLAN DE DESARROLLO 2024 - 2027'!$M$161</f>
        <v>0.24647581985093744</v>
      </c>
      <c r="C1298" s="1031" t="s">
        <v>2332</v>
      </c>
      <c r="D1298" s="1040">
        <f>'[1]PLAN DE DESARROLLO 2024 - 2027'!$M$191</f>
        <v>0.22981556695992181</v>
      </c>
      <c r="E1298" s="1031" t="s">
        <v>2334</v>
      </c>
      <c r="F1298" s="1041">
        <f>[2]Hoja1!$B$148</f>
        <v>0.23404772727272727</v>
      </c>
      <c r="G1298" s="1031" t="s">
        <v>1787</v>
      </c>
      <c r="H1298" s="1031" t="s">
        <v>1788</v>
      </c>
      <c r="I1298" s="1031"/>
      <c r="J1298" s="1031" t="s">
        <v>716</v>
      </c>
      <c r="K1298" s="1042" t="s">
        <v>2454</v>
      </c>
    </row>
    <row r="1299" spans="1:11" s="1028" customFormat="1" ht="30" x14ac:dyDescent="0.25">
      <c r="A1299" s="1031" t="s">
        <v>2215</v>
      </c>
      <c r="B1299" s="1043">
        <f>'[1]PLAN DE DESARROLLO 2024 - 2027'!$M$123</f>
        <v>0.20174333228533195</v>
      </c>
      <c r="C1299" s="1031" t="s">
        <v>2221</v>
      </c>
      <c r="D1299" s="1045">
        <f>'[1]PLAN DE DESARROLLO 2024 - 2027'!$M$147</f>
        <v>0.1413865782697985</v>
      </c>
      <c r="E1299" s="1031" t="s">
        <v>2229</v>
      </c>
      <c r="F1299" s="1041">
        <f>[2]Hoja1!$B$155</f>
        <v>0.49849955410878943</v>
      </c>
      <c r="G1299" s="1031" t="s">
        <v>1456</v>
      </c>
      <c r="H1299" s="1031" t="s">
        <v>1457</v>
      </c>
      <c r="I1299" s="1031"/>
      <c r="J1299" s="1031" t="s">
        <v>2231</v>
      </c>
      <c r="K1299" s="1042" t="s">
        <v>2454</v>
      </c>
    </row>
    <row r="1300" spans="1:11" s="1028" customFormat="1" ht="30" x14ac:dyDescent="0.25">
      <c r="A1300" s="1031" t="s">
        <v>2215</v>
      </c>
      <c r="B1300" s="1043">
        <f>'[1]PLAN DE DESARROLLO 2024 - 2027'!$M$123</f>
        <v>0.20174333228533195</v>
      </c>
      <c r="C1300" s="1031" t="s">
        <v>2221</v>
      </c>
      <c r="D1300" s="1045">
        <f>'[1]PLAN DE DESARROLLO 2024 - 2027'!$M$147</f>
        <v>0.1413865782697985</v>
      </c>
      <c r="E1300" s="1031" t="s">
        <v>2229</v>
      </c>
      <c r="F1300" s="1041">
        <f>[2]Hoja1!$B$155</f>
        <v>0.49849955410878943</v>
      </c>
      <c r="G1300" s="1031" t="s">
        <v>1458</v>
      </c>
      <c r="H1300" s="1031" t="s">
        <v>1459</v>
      </c>
      <c r="I1300" s="1031"/>
      <c r="J1300" s="1031" t="s">
        <v>1431</v>
      </c>
      <c r="K1300" s="1042" t="s">
        <v>2454</v>
      </c>
    </row>
    <row r="1301" spans="1:11" s="1028" customFormat="1" ht="30" x14ac:dyDescent="0.25">
      <c r="A1301" s="1031" t="s">
        <v>2215</v>
      </c>
      <c r="B1301" s="1043">
        <f>'[1]PLAN DE DESARROLLO 2024 - 2027'!$M$123</f>
        <v>0.20174333228533195</v>
      </c>
      <c r="C1301" s="1031" t="s">
        <v>2221</v>
      </c>
      <c r="D1301" s="1045">
        <f>'[1]PLAN DE DESARROLLO 2024 - 2027'!$M$147</f>
        <v>0.1413865782697985</v>
      </c>
      <c r="E1301" s="1031" t="s">
        <v>2229</v>
      </c>
      <c r="F1301" s="1041">
        <f>[2]Hoja1!$B$155</f>
        <v>0.49849955410878943</v>
      </c>
      <c r="G1301" s="1031" t="s">
        <v>1460</v>
      </c>
      <c r="H1301" s="1031" t="s">
        <v>1461</v>
      </c>
      <c r="I1301" s="1031"/>
      <c r="J1301" s="1031" t="s">
        <v>1431</v>
      </c>
      <c r="K1301" s="1042" t="s">
        <v>2454</v>
      </c>
    </row>
    <row r="1302" spans="1:11" s="1028" customFormat="1" ht="30" x14ac:dyDescent="0.25">
      <c r="A1302" s="1031" t="s">
        <v>2215</v>
      </c>
      <c r="B1302" s="1043">
        <f>'[1]PLAN DE DESARROLLO 2024 - 2027'!$M$123</f>
        <v>0.20174333228533195</v>
      </c>
      <c r="C1302" s="1031" t="s">
        <v>2221</v>
      </c>
      <c r="D1302" s="1045">
        <f>'[1]PLAN DE DESARROLLO 2024 - 2027'!$M$147</f>
        <v>0.1413865782697985</v>
      </c>
      <c r="E1302" s="1031" t="s">
        <v>2229</v>
      </c>
      <c r="F1302" s="1041">
        <f>[2]Hoja1!$B$155</f>
        <v>0.49849955410878943</v>
      </c>
      <c r="G1302" s="1031" t="s">
        <v>1462</v>
      </c>
      <c r="H1302" s="1031" t="s">
        <v>1463</v>
      </c>
      <c r="I1302" s="1031"/>
      <c r="J1302" s="1031" t="s">
        <v>1431</v>
      </c>
      <c r="K1302" s="1042" t="s">
        <v>2454</v>
      </c>
    </row>
    <row r="1303" spans="1:11" s="1028" customFormat="1" ht="30" x14ac:dyDescent="0.25">
      <c r="A1303" s="1031" t="s">
        <v>2215</v>
      </c>
      <c r="B1303" s="1043">
        <f>'[1]PLAN DE DESARROLLO 2024 - 2027'!$M$123</f>
        <v>0.20174333228533195</v>
      </c>
      <c r="C1303" s="1031" t="s">
        <v>2239</v>
      </c>
      <c r="D1303" s="1045">
        <f>'[1]PLAN DE DESARROLLO 2024 - 2027'!$M$124</f>
        <v>0.25944237108108109</v>
      </c>
      <c r="E1303" s="1031" t="s">
        <v>1166</v>
      </c>
      <c r="F1303" s="1041">
        <f>[2]Hoja1!$B$95</f>
        <v>0.28400950000000003</v>
      </c>
      <c r="G1303" s="1031" t="s">
        <v>1167</v>
      </c>
      <c r="H1303" s="1031" t="s">
        <v>1168</v>
      </c>
      <c r="I1303" s="1031"/>
      <c r="J1303" s="1031" t="s">
        <v>716</v>
      </c>
      <c r="K1303" s="1042" t="s">
        <v>2454</v>
      </c>
    </row>
    <row r="1304" spans="1:11" s="1028" customFormat="1" ht="45" x14ac:dyDescent="0.25">
      <c r="A1304" s="1031" t="s">
        <v>2215</v>
      </c>
      <c r="B1304" s="1043">
        <f>'[1]PLAN DE DESARROLLO 2024 - 2027'!$M$123</f>
        <v>0.20174333228533195</v>
      </c>
      <c r="C1304" s="1031" t="s">
        <v>2239</v>
      </c>
      <c r="D1304" s="1045">
        <f>'[1]PLAN DE DESARROLLO 2024 - 2027'!$M$124</f>
        <v>0.25944237108108109</v>
      </c>
      <c r="E1304" s="1031" t="s">
        <v>1166</v>
      </c>
      <c r="F1304" s="1041">
        <f>[2]Hoja1!$B$95</f>
        <v>0.28400950000000003</v>
      </c>
      <c r="G1304" s="1031" t="s">
        <v>1170</v>
      </c>
      <c r="H1304" s="1031" t="s">
        <v>1171</v>
      </c>
      <c r="I1304" s="1031"/>
      <c r="J1304" s="1031" t="s">
        <v>716</v>
      </c>
      <c r="K1304" s="1042" t="s">
        <v>2454</v>
      </c>
    </row>
    <row r="1305" spans="1:11" s="1028" customFormat="1" ht="30" x14ac:dyDescent="0.25">
      <c r="A1305" s="1031" t="s">
        <v>2215</v>
      </c>
      <c r="B1305" s="1043">
        <f>'[1]PLAN DE DESARROLLO 2024 - 2027'!$M$123</f>
        <v>0.20174333228533195</v>
      </c>
      <c r="C1305" s="1031" t="s">
        <v>2239</v>
      </c>
      <c r="D1305" s="1045">
        <f>'[1]PLAN DE DESARROLLO 2024 - 2027'!$M$124</f>
        <v>0.25944237108108109</v>
      </c>
      <c r="E1305" s="1031" t="s">
        <v>1166</v>
      </c>
      <c r="F1305" s="1041">
        <f>[2]Hoja1!$B$95</f>
        <v>0.28400950000000003</v>
      </c>
      <c r="G1305" s="1031" t="s">
        <v>1172</v>
      </c>
      <c r="H1305" s="1031" t="s">
        <v>1173</v>
      </c>
      <c r="I1305" s="1031"/>
      <c r="J1305" s="1031" t="s">
        <v>2240</v>
      </c>
      <c r="K1305" s="1042" t="s">
        <v>2454</v>
      </c>
    </row>
    <row r="1306" spans="1:11" s="1028" customFormat="1" ht="30" x14ac:dyDescent="0.25">
      <c r="A1306" s="1031" t="s">
        <v>2215</v>
      </c>
      <c r="B1306" s="1043">
        <f>'[1]PLAN DE DESARROLLO 2024 - 2027'!$M$123</f>
        <v>0.20174333228533195</v>
      </c>
      <c r="C1306" s="1031" t="s">
        <v>2239</v>
      </c>
      <c r="D1306" s="1045">
        <f>'[1]PLAN DE DESARROLLO 2024 - 2027'!$M$124</f>
        <v>0.25944237108108109</v>
      </c>
      <c r="E1306" s="1031" t="s">
        <v>1166</v>
      </c>
      <c r="F1306" s="1041">
        <f>[2]Hoja1!$B$95</f>
        <v>0.28400950000000003</v>
      </c>
      <c r="G1306" s="1031" t="s">
        <v>1175</v>
      </c>
      <c r="H1306" s="1031" t="s">
        <v>1176</v>
      </c>
      <c r="I1306" s="1031"/>
      <c r="J1306" s="1031" t="s">
        <v>716</v>
      </c>
      <c r="K1306" s="1042" t="s">
        <v>2454</v>
      </c>
    </row>
    <row r="1307" spans="1:11" s="1028" customFormat="1" ht="60" x14ac:dyDescent="0.25">
      <c r="A1307" s="1031" t="s">
        <v>2215</v>
      </c>
      <c r="B1307" s="1043">
        <f>'[1]PLAN DE DESARROLLO 2024 - 2027'!$M$123</f>
        <v>0.20174333228533195</v>
      </c>
      <c r="C1307" s="1031" t="s">
        <v>2239</v>
      </c>
      <c r="D1307" s="1045">
        <f>'[1]PLAN DE DESARROLLO 2024 - 2027'!$M$124</f>
        <v>0.25944237108108109</v>
      </c>
      <c r="E1307" s="1031" t="s">
        <v>1166</v>
      </c>
      <c r="F1307" s="1041">
        <f>[2]Hoja1!$B$95</f>
        <v>0.28400950000000003</v>
      </c>
      <c r="G1307" s="1031" t="s">
        <v>1177</v>
      </c>
      <c r="H1307" s="1031" t="s">
        <v>1178</v>
      </c>
      <c r="I1307" s="1031"/>
      <c r="J1307" s="1031" t="s">
        <v>716</v>
      </c>
      <c r="K1307" s="1042" t="s">
        <v>2454</v>
      </c>
    </row>
    <row r="1308" spans="1:11" s="1028" customFormat="1" ht="45" x14ac:dyDescent="0.25">
      <c r="A1308" s="1031" t="s">
        <v>2215</v>
      </c>
      <c r="B1308" s="1043">
        <f>'[1]PLAN DE DESARROLLO 2024 - 2027'!$M$123</f>
        <v>0.20174333228533195</v>
      </c>
      <c r="C1308" s="1031" t="s">
        <v>2239</v>
      </c>
      <c r="D1308" s="1045">
        <f>'[1]PLAN DE DESARROLLO 2024 - 2027'!$M$124</f>
        <v>0.25944237108108109</v>
      </c>
      <c r="E1308" s="1031" t="s">
        <v>1166</v>
      </c>
      <c r="F1308" s="1041">
        <f>[2]Hoja1!$B$95</f>
        <v>0.28400950000000003</v>
      </c>
      <c r="G1308" s="1031" t="s">
        <v>1179</v>
      </c>
      <c r="H1308" s="1031" t="s">
        <v>1180</v>
      </c>
      <c r="I1308" s="1031"/>
      <c r="J1308" s="1031" t="s">
        <v>716</v>
      </c>
      <c r="K1308" s="1042" t="s">
        <v>2454</v>
      </c>
    </row>
    <row r="1309" spans="1:11" s="1028" customFormat="1" ht="60" x14ac:dyDescent="0.25">
      <c r="A1309" s="1031" t="s">
        <v>2192</v>
      </c>
      <c r="B1309" s="1043">
        <f>'[1]PLAN DE DESARROLLO 2024 - 2027'!$M$198</f>
        <v>3.4556250000000004E-2</v>
      </c>
      <c r="C1309" s="1031" t="s">
        <v>2196</v>
      </c>
      <c r="D1309" s="1045">
        <f>'[1]PLAN DE DESARROLLO 2024 - 2027'!$M$203</f>
        <v>3.0624999999999999E-2</v>
      </c>
      <c r="E1309" s="1031" t="s">
        <v>1899</v>
      </c>
      <c r="F1309" s="1041">
        <f>[2]Hoja1!$B$151</f>
        <v>3.2083333333333332E-2</v>
      </c>
      <c r="G1309" s="1031" t="s">
        <v>1900</v>
      </c>
      <c r="H1309" s="1031" t="s">
        <v>1901</v>
      </c>
      <c r="I1309" s="1031"/>
      <c r="J1309" s="1031" t="s">
        <v>47</v>
      </c>
      <c r="K1309" s="1042" t="s">
        <v>2454</v>
      </c>
    </row>
    <row r="1310" spans="1:11" s="1028" customFormat="1" ht="30" x14ac:dyDescent="0.25">
      <c r="A1310" s="1031" t="s">
        <v>2192</v>
      </c>
      <c r="B1310" s="1043">
        <f>'[1]PLAN DE DESARROLLO 2024 - 2027'!$M$198</f>
        <v>3.4556250000000004E-2</v>
      </c>
      <c r="C1310" s="1031" t="s">
        <v>2196</v>
      </c>
      <c r="D1310" s="1045">
        <f>'[1]PLAN DE DESARROLLO 2024 - 2027'!$M$203</f>
        <v>3.0624999999999999E-2</v>
      </c>
      <c r="E1310" s="1031" t="s">
        <v>1899</v>
      </c>
      <c r="F1310" s="1041">
        <f>[2]Hoja1!$B$151</f>
        <v>3.2083333333333332E-2</v>
      </c>
      <c r="G1310" s="1031" t="s">
        <v>1902</v>
      </c>
      <c r="H1310" s="1031" t="s">
        <v>1903</v>
      </c>
      <c r="I1310" s="1031"/>
      <c r="J1310" s="1031" t="s">
        <v>47</v>
      </c>
      <c r="K1310" s="1042" t="s">
        <v>2454</v>
      </c>
    </row>
    <row r="1311" spans="1:11" s="1028" customFormat="1" ht="45" x14ac:dyDescent="0.25">
      <c r="A1311" s="1031" t="s">
        <v>2192</v>
      </c>
      <c r="B1311" s="1043">
        <f>'[1]PLAN DE DESARROLLO 2024 - 2027'!$M$198</f>
        <v>3.4556250000000004E-2</v>
      </c>
      <c r="C1311" s="1031" t="s">
        <v>2196</v>
      </c>
      <c r="D1311" s="1045">
        <f>'[1]PLAN DE DESARROLLO 2024 - 2027'!$M$203</f>
        <v>3.0624999999999999E-2</v>
      </c>
      <c r="E1311" s="1031" t="s">
        <v>1899</v>
      </c>
      <c r="F1311" s="1041">
        <f>[2]Hoja1!$B$151</f>
        <v>3.2083333333333332E-2</v>
      </c>
      <c r="G1311" s="1031" t="s">
        <v>2205</v>
      </c>
      <c r="H1311" s="1031" t="s">
        <v>1905</v>
      </c>
      <c r="I1311" s="1031"/>
      <c r="J1311" s="1031" t="s">
        <v>704</v>
      </c>
      <c r="K1311" s="1042" t="s">
        <v>2454</v>
      </c>
    </row>
    <row r="1312" spans="1:11" s="1028" customFormat="1" ht="30" x14ac:dyDescent="0.25">
      <c r="A1312" s="1031" t="s">
        <v>2192</v>
      </c>
      <c r="B1312" s="1043">
        <f>'[1]PLAN DE DESARROLLO 2024 - 2027'!$M$198</f>
        <v>3.4556250000000004E-2</v>
      </c>
      <c r="C1312" s="1031" t="s">
        <v>2196</v>
      </c>
      <c r="D1312" s="1045">
        <f>'[1]PLAN DE DESARROLLO 2024 - 2027'!$M$203</f>
        <v>3.0624999999999999E-2</v>
      </c>
      <c r="E1312" s="1031" t="s">
        <v>1899</v>
      </c>
      <c r="F1312" s="1041">
        <f>[2]Hoja1!$B$151</f>
        <v>3.2083333333333332E-2</v>
      </c>
      <c r="G1312" s="1031" t="s">
        <v>1907</v>
      </c>
      <c r="H1312" s="1031" t="s">
        <v>1908</v>
      </c>
      <c r="I1312" s="1031"/>
      <c r="J1312" s="1031" t="s">
        <v>47</v>
      </c>
      <c r="K1312" s="1042" t="s">
        <v>2454</v>
      </c>
    </row>
    <row r="1313" spans="1:11" s="1028" customFormat="1" ht="45" x14ac:dyDescent="0.25">
      <c r="A1313" s="1031" t="s">
        <v>2192</v>
      </c>
      <c r="B1313" s="1043">
        <f>'[1]PLAN DE DESARROLLO 2024 - 2027'!$M$198</f>
        <v>3.4556250000000004E-2</v>
      </c>
      <c r="C1313" s="1031" t="s">
        <v>2196</v>
      </c>
      <c r="D1313" s="1045">
        <f>'[1]PLAN DE DESARROLLO 2024 - 2027'!$M$203</f>
        <v>3.0624999999999999E-2</v>
      </c>
      <c r="E1313" s="1031" t="s">
        <v>1899</v>
      </c>
      <c r="F1313" s="1041">
        <f>[2]Hoja1!$B$151</f>
        <v>3.2083333333333332E-2</v>
      </c>
      <c r="G1313" s="1031" t="s">
        <v>1909</v>
      </c>
      <c r="H1313" s="1031" t="s">
        <v>1910</v>
      </c>
      <c r="I1313" s="1031"/>
      <c r="J1313" s="1031" t="s">
        <v>47</v>
      </c>
      <c r="K1313" s="1042" t="s">
        <v>2454</v>
      </c>
    </row>
    <row r="1314" spans="1:11" s="1028" customFormat="1" ht="60" x14ac:dyDescent="0.25">
      <c r="A1314" s="1031" t="s">
        <v>2192</v>
      </c>
      <c r="B1314" s="1043">
        <f>'[1]PLAN DE DESARROLLO 2024 - 2027'!$M$198</f>
        <v>3.4556250000000004E-2</v>
      </c>
      <c r="C1314" s="1031" t="s">
        <v>2196</v>
      </c>
      <c r="D1314" s="1045">
        <f>'[1]PLAN DE DESARROLLO 2024 - 2027'!$M$203</f>
        <v>3.0624999999999999E-2</v>
      </c>
      <c r="E1314" s="1031" t="s">
        <v>1899</v>
      </c>
      <c r="F1314" s="1041">
        <f>[2]Hoja1!$B$151</f>
        <v>3.2083333333333332E-2</v>
      </c>
      <c r="G1314" s="1031" t="s">
        <v>1911</v>
      </c>
      <c r="H1314" s="1031" t="s">
        <v>1912</v>
      </c>
      <c r="I1314" s="1031"/>
      <c r="J1314" s="1031" t="s">
        <v>47</v>
      </c>
      <c r="K1314" s="1042" t="s">
        <v>2454</v>
      </c>
    </row>
    <row r="1315" spans="1:11" s="1028" customFormat="1" ht="45" x14ac:dyDescent="0.25">
      <c r="A1315" s="1031" t="s">
        <v>2192</v>
      </c>
      <c r="B1315" s="1043">
        <f>'[1]PLAN DE DESARROLLO 2024 - 2027'!$M$198</f>
        <v>3.4556250000000004E-2</v>
      </c>
      <c r="C1315" s="1031" t="s">
        <v>2196</v>
      </c>
      <c r="D1315" s="1045">
        <f>'[1]PLAN DE DESARROLLO 2024 - 2027'!$M$203</f>
        <v>3.0624999999999999E-2</v>
      </c>
      <c r="E1315" s="1031" t="s">
        <v>1899</v>
      </c>
      <c r="F1315" s="1041">
        <f>[2]Hoja1!$B$151</f>
        <v>3.2083333333333332E-2</v>
      </c>
      <c r="G1315" s="1031" t="s">
        <v>1913</v>
      </c>
      <c r="H1315" s="1031" t="s">
        <v>1914</v>
      </c>
      <c r="I1315" s="1031"/>
      <c r="J1315" s="1031" t="s">
        <v>47</v>
      </c>
      <c r="K1315" s="1042" t="s">
        <v>2454</v>
      </c>
    </row>
    <row r="1316" spans="1:11" s="1028" customFormat="1" ht="33" customHeight="1" x14ac:dyDescent="0.25">
      <c r="A1316" s="1031" t="s">
        <v>2192</v>
      </c>
      <c r="B1316" s="1043">
        <f>'[1]PLAN DE DESARROLLO 2024 - 2027'!$M$198</f>
        <v>3.4556250000000004E-2</v>
      </c>
      <c r="C1316" s="1031" t="s">
        <v>2196</v>
      </c>
      <c r="D1316" s="1045">
        <f>'[1]PLAN DE DESARROLLO 2024 - 2027'!$M$203</f>
        <v>3.0624999999999999E-2</v>
      </c>
      <c r="E1316" s="1031" t="s">
        <v>1899</v>
      </c>
      <c r="F1316" s="1041">
        <f>[2]Hoja1!$B$151</f>
        <v>3.2083333333333332E-2</v>
      </c>
      <c r="G1316" s="1031" t="s">
        <v>1915</v>
      </c>
      <c r="H1316" s="1031" t="s">
        <v>1916</v>
      </c>
      <c r="I1316" s="1031"/>
      <c r="J1316" s="1031" t="s">
        <v>47</v>
      </c>
      <c r="K1316" s="1042" t="s">
        <v>2454</v>
      </c>
    </row>
    <row r="1317" spans="1:11" s="1028" customFormat="1" ht="30" x14ac:dyDescent="0.25">
      <c r="A1317" s="1031" t="s">
        <v>2308</v>
      </c>
      <c r="B1317" s="1043">
        <f>'[1]PLAN DE DESARROLLO 2024 - 2027'!$M$161</f>
        <v>0.24647581985093744</v>
      </c>
      <c r="C1317" s="1031" t="s">
        <v>2310</v>
      </c>
      <c r="D1317" s="1040">
        <f>'[1]PLAN DE DESARROLLO 2024 - 2027'!$M$166</f>
        <v>0.23451309458253802</v>
      </c>
      <c r="E1317" s="1031" t="s">
        <v>2323</v>
      </c>
      <c r="F1317" s="1041">
        <f>[2]Hoja1!$B$152</f>
        <v>0.13250000000000001</v>
      </c>
      <c r="G1317" s="1031" t="s">
        <v>1621</v>
      </c>
      <c r="H1317" s="1031" t="s">
        <v>1622</v>
      </c>
      <c r="I1317" s="1031"/>
      <c r="J1317" s="1031" t="s">
        <v>658</v>
      </c>
      <c r="K1317" s="1042" t="s">
        <v>2454</v>
      </c>
    </row>
    <row r="1318" spans="1:11" s="1028" customFormat="1" ht="30" x14ac:dyDescent="0.25">
      <c r="A1318" s="1031" t="s">
        <v>2308</v>
      </c>
      <c r="B1318" s="1043">
        <f>'[1]PLAN DE DESARROLLO 2024 - 2027'!$M$161</f>
        <v>0.24647581985093744</v>
      </c>
      <c r="C1318" s="1031" t="s">
        <v>2310</v>
      </c>
      <c r="D1318" s="1040">
        <f>'[1]PLAN DE DESARROLLO 2024 - 2027'!$M$166</f>
        <v>0.23451309458253802</v>
      </c>
      <c r="E1318" s="1031" t="s">
        <v>2323</v>
      </c>
      <c r="F1318" s="1041">
        <f>[2]Hoja1!$B$152</f>
        <v>0.13250000000000001</v>
      </c>
      <c r="G1318" s="1031" t="s">
        <v>1623</v>
      </c>
      <c r="H1318" s="1031" t="s">
        <v>1624</v>
      </c>
      <c r="I1318" s="1031"/>
      <c r="J1318" s="1031" t="s">
        <v>658</v>
      </c>
      <c r="K1318" s="1042" t="s">
        <v>2454</v>
      </c>
    </row>
    <row r="1319" spans="1:11" s="1028" customFormat="1" ht="45" x14ac:dyDescent="0.25">
      <c r="A1319" s="1031" t="s">
        <v>2308</v>
      </c>
      <c r="B1319" s="1043">
        <f>'[1]PLAN DE DESARROLLO 2024 - 2027'!$M$161</f>
        <v>0.24647581985093744</v>
      </c>
      <c r="C1319" s="1031" t="s">
        <v>2310</v>
      </c>
      <c r="D1319" s="1040">
        <f>'[1]PLAN DE DESARROLLO 2024 - 2027'!$M$166</f>
        <v>0.23451309458253802</v>
      </c>
      <c r="E1319" s="1031" t="s">
        <v>2323</v>
      </c>
      <c r="F1319" s="1041">
        <f>[2]Hoja1!$B$152</f>
        <v>0.13250000000000001</v>
      </c>
      <c r="G1319" s="1031" t="s">
        <v>1625</v>
      </c>
      <c r="H1319" s="1031" t="s">
        <v>1626</v>
      </c>
      <c r="I1319" s="1031"/>
      <c r="J1319" s="1031" t="s">
        <v>658</v>
      </c>
      <c r="K1319" s="1042" t="s">
        <v>2454</v>
      </c>
    </row>
    <row r="1320" spans="1:11" s="1028" customFormat="1" ht="30" x14ac:dyDescent="0.25">
      <c r="A1320" s="1031" t="s">
        <v>2266</v>
      </c>
      <c r="B1320" s="1043">
        <f>'[1]PLAN DE DESARROLLO 2024 - 2027'!$M$92</f>
        <v>0.25050860314981654</v>
      </c>
      <c r="C1320" s="1031" t="s">
        <v>2268</v>
      </c>
      <c r="D1320" s="1040">
        <f>'[1]PLAN DE DESARROLLO 2024 - 2027'!$M$110</f>
        <v>0.16375000000000001</v>
      </c>
      <c r="E1320" s="1031" t="s">
        <v>2294</v>
      </c>
      <c r="F1320" s="1041">
        <f>[2]Hoja1!$B$87</f>
        <v>0.8</v>
      </c>
      <c r="G1320" s="1031" t="s">
        <v>1094</v>
      </c>
      <c r="H1320" s="1031" t="s">
        <v>1095</v>
      </c>
      <c r="I1320" s="1031"/>
      <c r="J1320" s="1031" t="s">
        <v>1028</v>
      </c>
      <c r="K1320" s="1042" t="s">
        <v>2454</v>
      </c>
    </row>
    <row r="1321" spans="1:11" s="1028" customFormat="1" ht="45" x14ac:dyDescent="0.25">
      <c r="A1321" s="1031" t="s">
        <v>2266</v>
      </c>
      <c r="B1321" s="1043">
        <f>'[1]PLAN DE DESARROLLO 2024 - 2027'!$M$92</f>
        <v>0.25050860314981654</v>
      </c>
      <c r="C1321" s="1031" t="s">
        <v>2268</v>
      </c>
      <c r="D1321" s="1040">
        <f>'[1]PLAN DE DESARROLLO 2024 - 2027'!$M$110</f>
        <v>0.16375000000000001</v>
      </c>
      <c r="E1321" s="1031" t="s">
        <v>2271</v>
      </c>
      <c r="F1321" s="1041">
        <f>[2]Hoja1!$B$93</f>
        <v>0</v>
      </c>
      <c r="G1321" s="1031" t="s">
        <v>2272</v>
      </c>
      <c r="H1321" s="1031" t="s">
        <v>1078</v>
      </c>
      <c r="I1321" s="1031"/>
      <c r="J1321" s="1031" t="s">
        <v>2273</v>
      </c>
      <c r="K1321" s="1042" t="s">
        <v>2454</v>
      </c>
    </row>
    <row r="1322" spans="1:11" s="1028" customFormat="1" ht="30" x14ac:dyDescent="0.25">
      <c r="A1322" s="1031" t="s">
        <v>2266</v>
      </c>
      <c r="B1322" s="1043">
        <f>'[1]PLAN DE DESARROLLO 2024 - 2027'!$M$92</f>
        <v>0.25050860314981654</v>
      </c>
      <c r="C1322" s="1031" t="s">
        <v>2268</v>
      </c>
      <c r="D1322" s="1040">
        <f>'[1]PLAN DE DESARROLLO 2024 - 2027'!$M$110</f>
        <v>0.16375000000000001</v>
      </c>
      <c r="E1322" s="1031" t="s">
        <v>2271</v>
      </c>
      <c r="F1322" s="1041">
        <f>[2]Hoja1!$B$93</f>
        <v>0</v>
      </c>
      <c r="G1322" s="1031" t="s">
        <v>1081</v>
      </c>
      <c r="H1322" s="1031" t="s">
        <v>1082</v>
      </c>
      <c r="I1322" s="1031"/>
      <c r="J1322" s="1031" t="s">
        <v>1028</v>
      </c>
      <c r="K1322" s="1042" t="s">
        <v>2454</v>
      </c>
    </row>
    <row r="1323" spans="1:11" s="1028" customFormat="1" ht="30" x14ac:dyDescent="0.25">
      <c r="A1323" s="1031" t="s">
        <v>2266</v>
      </c>
      <c r="B1323" s="1043">
        <f>'[1]PLAN DE DESARROLLO 2024 - 2027'!$M$92</f>
        <v>0.25050860314981654</v>
      </c>
      <c r="C1323" s="1031" t="s">
        <v>2268</v>
      </c>
      <c r="D1323" s="1040">
        <f>'[1]PLAN DE DESARROLLO 2024 - 2027'!$M$110</f>
        <v>0.16375000000000001</v>
      </c>
      <c r="E1323" s="1031" t="s">
        <v>2271</v>
      </c>
      <c r="F1323" s="1041">
        <f>[2]Hoja1!$B$93</f>
        <v>0</v>
      </c>
      <c r="G1323" s="1031" t="s">
        <v>1083</v>
      </c>
      <c r="H1323" s="1031" t="s">
        <v>1084</v>
      </c>
      <c r="I1323" s="1031"/>
      <c r="J1323" s="1031" t="s">
        <v>1028</v>
      </c>
      <c r="K1323" s="1042" t="s">
        <v>2454</v>
      </c>
    </row>
    <row r="1324" spans="1:11" s="1028" customFormat="1" ht="45" x14ac:dyDescent="0.25">
      <c r="A1324" s="1031" t="s">
        <v>2308</v>
      </c>
      <c r="B1324" s="1043">
        <f>'[1]PLAN DE DESARROLLO 2024 - 2027'!$M$161</f>
        <v>0.24647581985093744</v>
      </c>
      <c r="C1324" s="1031" t="s">
        <v>2309</v>
      </c>
      <c r="D1324" s="1040">
        <f>'[1]PLAN DE DESARROLLO 2024 - 2027'!$M$162</f>
        <v>0.208125</v>
      </c>
      <c r="E1324" s="1031" t="s">
        <v>1562</v>
      </c>
      <c r="F1324" s="1041">
        <f>[2]Hoja1!$B$154</f>
        <v>0.21249999999999999</v>
      </c>
      <c r="G1324" s="1031" t="s">
        <v>1563</v>
      </c>
      <c r="H1324" s="1031" t="s">
        <v>1564</v>
      </c>
      <c r="I1324" s="1031"/>
      <c r="J1324" s="1031" t="s">
        <v>658</v>
      </c>
      <c r="K1324" s="1042" t="s">
        <v>2454</v>
      </c>
    </row>
    <row r="1325" spans="1:11" s="1028" customFormat="1" ht="30" x14ac:dyDescent="0.25">
      <c r="A1325" s="1031" t="s">
        <v>2308</v>
      </c>
      <c r="B1325" s="1043">
        <f>'[1]PLAN DE DESARROLLO 2024 - 2027'!$M$161</f>
        <v>0.24647581985093744</v>
      </c>
      <c r="C1325" s="1031" t="s">
        <v>2309</v>
      </c>
      <c r="D1325" s="1040">
        <f>'[1]PLAN DE DESARROLLO 2024 - 2027'!$M$162</f>
        <v>0.208125</v>
      </c>
      <c r="E1325" s="1031" t="s">
        <v>1562</v>
      </c>
      <c r="F1325" s="1041">
        <f>[2]Hoja1!$B$154</f>
        <v>0.21249999999999999</v>
      </c>
      <c r="G1325" s="1031" t="s">
        <v>1565</v>
      </c>
      <c r="H1325" s="1031" t="s">
        <v>1566</v>
      </c>
      <c r="I1325" s="1031"/>
      <c r="J1325" s="1031" t="s">
        <v>2318</v>
      </c>
      <c r="K1325" s="1042" t="s">
        <v>2454</v>
      </c>
    </row>
    <row r="1326" spans="1:11" s="1028" customFormat="1" ht="30" x14ac:dyDescent="0.25">
      <c r="A1326" s="1031" t="s">
        <v>2215</v>
      </c>
      <c r="B1326" s="1043">
        <f>'[1]PLAN DE DESARROLLO 2024 - 2027'!$M$123</f>
        <v>0.20174333228533195</v>
      </c>
      <c r="C1326" s="1031" t="s">
        <v>2239</v>
      </c>
      <c r="D1326" s="1045">
        <f>'[1]PLAN DE DESARROLLO 2024 - 2027'!$M$124</f>
        <v>0.25944237108108109</v>
      </c>
      <c r="E1326" s="1031" t="s">
        <v>1166</v>
      </c>
      <c r="F1326" s="1041">
        <f>[2]Hoja1!$B$95</f>
        <v>0.28400950000000003</v>
      </c>
      <c r="G1326" s="1031" t="s">
        <v>1181</v>
      </c>
      <c r="H1326" s="1031" t="s">
        <v>1182</v>
      </c>
      <c r="I1326" s="1031"/>
      <c r="J1326" s="1031" t="s">
        <v>716</v>
      </c>
      <c r="K1326" s="1042" t="s">
        <v>2454</v>
      </c>
    </row>
    <row r="1327" spans="1:11" s="1028" customFormat="1" ht="30" x14ac:dyDescent="0.25">
      <c r="A1327" s="1031" t="s">
        <v>2215</v>
      </c>
      <c r="B1327" s="1043">
        <f>'[1]PLAN DE DESARROLLO 2024 - 2027'!$M$123</f>
        <v>0.20174333228533195</v>
      </c>
      <c r="C1327" s="1031" t="s">
        <v>2239</v>
      </c>
      <c r="D1327" s="1045">
        <f>'[1]PLAN DE DESARROLLO 2024 - 2027'!$M$124</f>
        <v>0.25944237108108109</v>
      </c>
      <c r="E1327" s="1031" t="s">
        <v>1166</v>
      </c>
      <c r="F1327" s="1041">
        <f>[2]Hoja1!$B$95</f>
        <v>0.28400950000000003</v>
      </c>
      <c r="G1327" s="1031" t="s">
        <v>1183</v>
      </c>
      <c r="H1327" s="1031" t="s">
        <v>1184</v>
      </c>
      <c r="I1327" s="1031"/>
      <c r="J1327" s="1031" t="s">
        <v>716</v>
      </c>
      <c r="K1327" s="1042" t="s">
        <v>2454</v>
      </c>
    </row>
    <row r="1328" spans="1:11" s="1028" customFormat="1" ht="30" x14ac:dyDescent="0.25">
      <c r="A1328" s="1031" t="s">
        <v>2215</v>
      </c>
      <c r="B1328" s="1043">
        <f>'[1]PLAN DE DESARROLLO 2024 - 2027'!$M$123</f>
        <v>0.20174333228533195</v>
      </c>
      <c r="C1328" s="1031" t="s">
        <v>2239</v>
      </c>
      <c r="D1328" s="1045">
        <f>'[1]PLAN DE DESARROLLO 2024 - 2027'!$M$124</f>
        <v>0.25944237108108109</v>
      </c>
      <c r="E1328" s="1031" t="s">
        <v>1166</v>
      </c>
      <c r="F1328" s="1041">
        <f>[2]Hoja1!$B$95</f>
        <v>0.28400950000000003</v>
      </c>
      <c r="G1328" s="1031" t="s">
        <v>1185</v>
      </c>
      <c r="H1328" s="1031" t="s">
        <v>1186</v>
      </c>
      <c r="I1328" s="1031"/>
      <c r="J1328" s="1031" t="s">
        <v>716</v>
      </c>
      <c r="K1328" s="1042" t="s">
        <v>2454</v>
      </c>
    </row>
    <row r="1329" spans="1:11" s="1028" customFormat="1" ht="60" x14ac:dyDescent="0.25">
      <c r="A1329" s="1031" t="s">
        <v>2215</v>
      </c>
      <c r="B1329" s="1043">
        <f>'[1]PLAN DE DESARROLLO 2024 - 2027'!$M$123</f>
        <v>0.20174333228533195</v>
      </c>
      <c r="C1329" s="1031" t="s">
        <v>2239</v>
      </c>
      <c r="D1329" s="1045">
        <f>'[1]PLAN DE DESARROLLO 2024 - 2027'!$M$124</f>
        <v>0.25944237108108109</v>
      </c>
      <c r="E1329" s="1031" t="s">
        <v>1166</v>
      </c>
      <c r="F1329" s="1041">
        <f>[2]Hoja1!$B$95</f>
        <v>0.28400950000000003</v>
      </c>
      <c r="G1329" s="1031" t="s">
        <v>1187</v>
      </c>
      <c r="H1329" s="1031" t="s">
        <v>1188</v>
      </c>
      <c r="I1329" s="1031"/>
      <c r="J1329" s="1031" t="s">
        <v>716</v>
      </c>
      <c r="K1329" s="1042" t="s">
        <v>2454</v>
      </c>
    </row>
    <row r="1330" spans="1:11" s="1028" customFormat="1" ht="30" x14ac:dyDescent="0.25">
      <c r="A1330" s="1031" t="s">
        <v>2215</v>
      </c>
      <c r="B1330" s="1043">
        <f>'[1]PLAN DE DESARROLLO 2024 - 2027'!$M$123</f>
        <v>0.20174333228533195</v>
      </c>
      <c r="C1330" s="1031" t="s">
        <v>2239</v>
      </c>
      <c r="D1330" s="1045">
        <f>'[1]PLAN DE DESARROLLO 2024 - 2027'!$M$124</f>
        <v>0.25944237108108109</v>
      </c>
      <c r="E1330" s="1031" t="s">
        <v>1166</v>
      </c>
      <c r="F1330" s="1041">
        <f>[2]Hoja1!$B$95</f>
        <v>0.28400950000000003</v>
      </c>
      <c r="G1330" s="1031" t="s">
        <v>1189</v>
      </c>
      <c r="H1330" s="1031" t="s">
        <v>1190</v>
      </c>
      <c r="I1330" s="1031"/>
      <c r="J1330" s="1031" t="s">
        <v>2225</v>
      </c>
      <c r="K1330" s="1042" t="s">
        <v>2454</v>
      </c>
    </row>
    <row r="1331" spans="1:11" s="1028" customFormat="1" ht="30" x14ac:dyDescent="0.25">
      <c r="A1331" s="1031" t="s">
        <v>2215</v>
      </c>
      <c r="B1331" s="1043">
        <f>'[1]PLAN DE DESARROLLO 2024 - 2027'!$M$123</f>
        <v>0.20174333228533195</v>
      </c>
      <c r="C1331" s="1031" t="s">
        <v>2239</v>
      </c>
      <c r="D1331" s="1045">
        <f>'[1]PLAN DE DESARROLLO 2024 - 2027'!$M$124</f>
        <v>0.25944237108108109</v>
      </c>
      <c r="E1331" s="1031" t="s">
        <v>1166</v>
      </c>
      <c r="F1331" s="1041">
        <f>[2]Hoja1!$B$95</f>
        <v>0.28400950000000003</v>
      </c>
      <c r="G1331" s="1031" t="s">
        <v>1192</v>
      </c>
      <c r="H1331" s="1031" t="s">
        <v>1193</v>
      </c>
      <c r="I1331" s="1031"/>
      <c r="J1331" s="1031" t="s">
        <v>2225</v>
      </c>
      <c r="K1331" s="1042" t="s">
        <v>2454</v>
      </c>
    </row>
    <row r="1332" spans="1:11" s="1028" customFormat="1" ht="30" x14ac:dyDescent="0.25">
      <c r="A1332" s="1031" t="s">
        <v>2215</v>
      </c>
      <c r="B1332" s="1043">
        <f>'[1]PLAN DE DESARROLLO 2024 - 2027'!$M$123</f>
        <v>0.20174333228533195</v>
      </c>
      <c r="C1332" s="1031" t="s">
        <v>2239</v>
      </c>
      <c r="D1332" s="1045">
        <f>'[1]PLAN DE DESARROLLO 2024 - 2027'!$M$124</f>
        <v>0.25944237108108109</v>
      </c>
      <c r="E1332" s="1031" t="s">
        <v>1166</v>
      </c>
      <c r="F1332" s="1041">
        <f>[2]Hoja1!$B$95</f>
        <v>0.28400950000000003</v>
      </c>
      <c r="G1332" s="1031" t="s">
        <v>1194</v>
      </c>
      <c r="H1332" s="1031" t="s">
        <v>1195</v>
      </c>
      <c r="I1332" s="1031"/>
      <c r="J1332" s="1031" t="s">
        <v>2225</v>
      </c>
      <c r="K1332" s="1042" t="s">
        <v>2454</v>
      </c>
    </row>
    <row r="1333" spans="1:11" s="1028" customFormat="1" ht="45" x14ac:dyDescent="0.25">
      <c r="A1333" s="1031" t="s">
        <v>2215</v>
      </c>
      <c r="B1333" s="1043">
        <f>'[1]PLAN DE DESARROLLO 2024 - 2027'!$M$123</f>
        <v>0.20174333228533195</v>
      </c>
      <c r="C1333" s="1031" t="s">
        <v>2239</v>
      </c>
      <c r="D1333" s="1045">
        <f>'[1]PLAN DE DESARROLLO 2024 - 2027'!$M$124</f>
        <v>0.25944237108108109</v>
      </c>
      <c r="E1333" s="1031" t="s">
        <v>1166</v>
      </c>
      <c r="F1333" s="1041">
        <f>[2]Hoja1!$B$95</f>
        <v>0.28400950000000003</v>
      </c>
      <c r="G1333" s="1031" t="s">
        <v>1196</v>
      </c>
      <c r="H1333" s="1031" t="s">
        <v>1197</v>
      </c>
      <c r="I1333" s="1031"/>
      <c r="J1333" s="1031" t="s">
        <v>2225</v>
      </c>
      <c r="K1333" s="1042" t="s">
        <v>2454</v>
      </c>
    </row>
    <row r="1334" spans="1:11" s="1028" customFormat="1" ht="45" x14ac:dyDescent="0.25">
      <c r="A1334" s="1031" t="s">
        <v>2215</v>
      </c>
      <c r="B1334" s="1043">
        <f>'[1]PLAN DE DESARROLLO 2024 - 2027'!$M$123</f>
        <v>0.20174333228533195</v>
      </c>
      <c r="C1334" s="1031" t="s">
        <v>2239</v>
      </c>
      <c r="D1334" s="1045">
        <f>'[1]PLAN DE DESARROLLO 2024 - 2027'!$M$124</f>
        <v>0.25944237108108109</v>
      </c>
      <c r="E1334" s="1031" t="s">
        <v>1166</v>
      </c>
      <c r="F1334" s="1041">
        <f>[2]Hoja1!$B$95</f>
        <v>0.28400950000000003</v>
      </c>
      <c r="G1334" s="1031" t="s">
        <v>1198</v>
      </c>
      <c r="H1334" s="1031" t="s">
        <v>1199</v>
      </c>
      <c r="I1334" s="1031"/>
      <c r="J1334" s="1031" t="s">
        <v>716</v>
      </c>
      <c r="K1334" s="1042" t="s">
        <v>2454</v>
      </c>
    </row>
    <row r="1335" spans="1:11" s="1028" customFormat="1" ht="30" x14ac:dyDescent="0.25">
      <c r="A1335" s="1031" t="s">
        <v>2215</v>
      </c>
      <c r="B1335" s="1043">
        <f>'[1]PLAN DE DESARROLLO 2024 - 2027'!$M$123</f>
        <v>0.20174333228533195</v>
      </c>
      <c r="C1335" s="1031" t="s">
        <v>2239</v>
      </c>
      <c r="D1335" s="1045">
        <f>'[1]PLAN DE DESARROLLO 2024 - 2027'!$M$124</f>
        <v>0.25944237108108109</v>
      </c>
      <c r="E1335" s="1031" t="s">
        <v>1166</v>
      </c>
      <c r="F1335" s="1041">
        <f>[2]Hoja1!$B$95</f>
        <v>0.28400950000000003</v>
      </c>
      <c r="G1335" s="1031" t="s">
        <v>1200</v>
      </c>
      <c r="H1335" s="1031" t="s">
        <v>1201</v>
      </c>
      <c r="I1335" s="1031"/>
      <c r="J1335" s="1031" t="s">
        <v>716</v>
      </c>
      <c r="K1335" s="1042" t="s">
        <v>2454</v>
      </c>
    </row>
    <row r="1336" spans="1:11" s="1028" customFormat="1" ht="30" x14ac:dyDescent="0.25">
      <c r="A1336" s="1031" t="s">
        <v>2215</v>
      </c>
      <c r="B1336" s="1043">
        <f>'[1]PLAN DE DESARROLLO 2024 - 2027'!$M$123</f>
        <v>0.20174333228533195</v>
      </c>
      <c r="C1336" s="1031" t="s">
        <v>2239</v>
      </c>
      <c r="D1336" s="1045">
        <f>'[1]PLAN DE DESARROLLO 2024 - 2027'!$M$124</f>
        <v>0.25944237108108109</v>
      </c>
      <c r="E1336" s="1031" t="s">
        <v>2241</v>
      </c>
      <c r="F1336" s="1041">
        <f>[2]Hoja1!$B$132</f>
        <v>0.20211907027027029</v>
      </c>
      <c r="G1336" s="1031" t="s">
        <v>1204</v>
      </c>
      <c r="H1336" s="1031" t="s">
        <v>1205</v>
      </c>
      <c r="I1336" s="1031"/>
      <c r="J1336" s="1031" t="s">
        <v>1206</v>
      </c>
      <c r="K1336" s="1042" t="s">
        <v>2454</v>
      </c>
    </row>
    <row r="1337" spans="1:11" s="1028" customFormat="1" ht="30" x14ac:dyDescent="0.25">
      <c r="A1337" s="1031" t="s">
        <v>2215</v>
      </c>
      <c r="B1337" s="1043">
        <f>'[1]PLAN DE DESARROLLO 2024 - 2027'!$M$123</f>
        <v>0.20174333228533195</v>
      </c>
      <c r="C1337" s="1031" t="s">
        <v>2239</v>
      </c>
      <c r="D1337" s="1045">
        <f>'[1]PLAN DE DESARROLLO 2024 - 2027'!$M$124</f>
        <v>0.25944237108108109</v>
      </c>
      <c r="E1337" s="1031" t="s">
        <v>2241</v>
      </c>
      <c r="F1337" s="1041">
        <f>[2]Hoja1!$B$132</f>
        <v>0.20211907027027029</v>
      </c>
      <c r="G1337" s="1031" t="s">
        <v>1207</v>
      </c>
      <c r="H1337" s="1031" t="s">
        <v>1208</v>
      </c>
      <c r="I1337" s="1031"/>
      <c r="J1337" s="1031" t="s">
        <v>1206</v>
      </c>
      <c r="K1337" s="1042" t="s">
        <v>2454</v>
      </c>
    </row>
    <row r="1338" spans="1:11" s="1028" customFormat="1" ht="30" x14ac:dyDescent="0.25">
      <c r="A1338" s="1031" t="s">
        <v>2215</v>
      </c>
      <c r="B1338" s="1043">
        <f>'[1]PLAN DE DESARROLLO 2024 - 2027'!$M$123</f>
        <v>0.20174333228533195</v>
      </c>
      <c r="C1338" s="1031" t="s">
        <v>2239</v>
      </c>
      <c r="D1338" s="1045">
        <f>'[1]PLAN DE DESARROLLO 2024 - 2027'!$M$124</f>
        <v>0.25944237108108109</v>
      </c>
      <c r="E1338" s="1031" t="s">
        <v>2241</v>
      </c>
      <c r="F1338" s="1041">
        <f>[2]Hoja1!$B$132</f>
        <v>0.20211907027027029</v>
      </c>
      <c r="G1338" s="1031" t="s">
        <v>1209</v>
      </c>
      <c r="H1338" s="1031" t="s">
        <v>1210</v>
      </c>
      <c r="I1338" s="1031"/>
      <c r="J1338" s="1031" t="s">
        <v>1206</v>
      </c>
      <c r="K1338" s="1042" t="s">
        <v>2454</v>
      </c>
    </row>
    <row r="1339" spans="1:11" s="1028" customFormat="1" ht="45" x14ac:dyDescent="0.25">
      <c r="A1339" s="1031" t="s">
        <v>2266</v>
      </c>
      <c r="B1339" s="1043">
        <f>'[1]PLAN DE DESARROLLO 2024 - 2027'!$M$92</f>
        <v>0.25050860314981654</v>
      </c>
      <c r="C1339" s="1031" t="s">
        <v>2268</v>
      </c>
      <c r="D1339" s="1040">
        <f>'[1]PLAN DE DESARROLLO 2024 - 2027'!$M$110</f>
        <v>0.16375000000000001</v>
      </c>
      <c r="E1339" s="1031" t="s">
        <v>2271</v>
      </c>
      <c r="F1339" s="1041">
        <f>[2]Hoja1!$B$93</f>
        <v>0</v>
      </c>
      <c r="G1339" s="1031" t="s">
        <v>1085</v>
      </c>
      <c r="H1339" s="1031" t="s">
        <v>1086</v>
      </c>
      <c r="I1339" s="1031"/>
      <c r="J1339" s="1031" t="s">
        <v>1028</v>
      </c>
      <c r="K1339" s="1042" t="s">
        <v>2454</v>
      </c>
    </row>
    <row r="1340" spans="1:11" s="1028" customFormat="1" ht="30" x14ac:dyDescent="0.25">
      <c r="A1340" s="1031" t="s">
        <v>2266</v>
      </c>
      <c r="B1340" s="1043">
        <f>'[1]PLAN DE DESARROLLO 2024 - 2027'!$M$92</f>
        <v>0.25050860314981654</v>
      </c>
      <c r="C1340" s="1031" t="s">
        <v>2268</v>
      </c>
      <c r="D1340" s="1040">
        <f>'[1]PLAN DE DESARROLLO 2024 - 2027'!$M$110</f>
        <v>0.16375000000000001</v>
      </c>
      <c r="E1340" s="1031" t="s">
        <v>1062</v>
      </c>
      <c r="F1340" s="1041">
        <f>[2]Hoja1!$B$126</f>
        <v>0.4375</v>
      </c>
      <c r="G1340" s="1031" t="s">
        <v>1063</v>
      </c>
      <c r="H1340" s="1031" t="s">
        <v>1064</v>
      </c>
      <c r="I1340" s="1031"/>
      <c r="J1340" s="1031" t="s">
        <v>2293</v>
      </c>
      <c r="K1340" s="1042" t="s">
        <v>2454</v>
      </c>
    </row>
    <row r="1341" spans="1:11" s="1028" customFormat="1" ht="30" x14ac:dyDescent="0.25">
      <c r="A1341" s="1031" t="s">
        <v>2266</v>
      </c>
      <c r="B1341" s="1043">
        <f>'[1]PLAN DE DESARROLLO 2024 - 2027'!$M$92</f>
        <v>0.25050860314981654</v>
      </c>
      <c r="C1341" s="1031" t="s">
        <v>2268</v>
      </c>
      <c r="D1341" s="1040">
        <f>'[1]PLAN DE DESARROLLO 2024 - 2027'!$M$110</f>
        <v>0.16375000000000001</v>
      </c>
      <c r="E1341" s="1031" t="s">
        <v>1062</v>
      </c>
      <c r="F1341" s="1041">
        <f>[2]Hoja1!$B$126</f>
        <v>0.4375</v>
      </c>
      <c r="G1341" s="1031" t="s">
        <v>1068</v>
      </c>
      <c r="H1341" s="1031" t="s">
        <v>1069</v>
      </c>
      <c r="I1341" s="1031"/>
      <c r="J1341" s="1031" t="s">
        <v>2293</v>
      </c>
      <c r="K1341" s="1042" t="s">
        <v>2454</v>
      </c>
    </row>
    <row r="1342" spans="1:11" s="1028" customFormat="1" ht="30" x14ac:dyDescent="0.25">
      <c r="A1342" s="1031" t="s">
        <v>2266</v>
      </c>
      <c r="B1342" s="1043">
        <f>'[1]PLAN DE DESARROLLO 2024 - 2027'!$M$92</f>
        <v>0.25050860314981654</v>
      </c>
      <c r="C1342" s="1031" t="s">
        <v>2268</v>
      </c>
      <c r="D1342" s="1040">
        <f>'[1]PLAN DE DESARROLLO 2024 - 2027'!$M$110</f>
        <v>0.16375000000000001</v>
      </c>
      <c r="E1342" s="1031" t="s">
        <v>1062</v>
      </c>
      <c r="F1342" s="1041">
        <f>[2]Hoja1!$B$126</f>
        <v>0.4375</v>
      </c>
      <c r="G1342" s="1031" t="s">
        <v>1071</v>
      </c>
      <c r="H1342" s="1031" t="s">
        <v>1072</v>
      </c>
      <c r="I1342" s="1031"/>
      <c r="J1342" s="1031" t="s">
        <v>2293</v>
      </c>
      <c r="K1342" s="1042" t="s">
        <v>2454</v>
      </c>
    </row>
    <row r="1343" spans="1:11" s="1028" customFormat="1" ht="30" x14ac:dyDescent="0.25">
      <c r="A1343" s="1031" t="s">
        <v>2266</v>
      </c>
      <c r="B1343" s="1043">
        <f>'[1]PLAN DE DESARROLLO 2024 - 2027'!$M$92</f>
        <v>0.25050860314981654</v>
      </c>
      <c r="C1343" s="1031" t="s">
        <v>2268</v>
      </c>
      <c r="D1343" s="1040">
        <f>'[1]PLAN DE DESARROLLO 2024 - 2027'!$M$110</f>
        <v>0.16375000000000001</v>
      </c>
      <c r="E1343" s="1031" t="s">
        <v>1062</v>
      </c>
      <c r="F1343" s="1041">
        <f>[2]Hoja1!$B$126</f>
        <v>0.4375</v>
      </c>
      <c r="G1343" s="1031" t="s">
        <v>1074</v>
      </c>
      <c r="H1343" s="1031" t="s">
        <v>1075</v>
      </c>
      <c r="I1343" s="1031"/>
      <c r="J1343" s="1031" t="s">
        <v>2293</v>
      </c>
      <c r="K1343" s="1042" t="s">
        <v>2454</v>
      </c>
    </row>
    <row r="1344" spans="1:11" s="1028" customFormat="1" ht="30" x14ac:dyDescent="0.25">
      <c r="A1344" s="1031" t="s">
        <v>2266</v>
      </c>
      <c r="B1344" s="1043">
        <f>'[1]PLAN DE DESARROLLO 2024 - 2027'!$M$92</f>
        <v>0.25050860314981654</v>
      </c>
      <c r="C1344" s="1031" t="s">
        <v>2268</v>
      </c>
      <c r="D1344" s="1040">
        <f>'[1]PLAN DE DESARROLLO 2024 - 2027'!$M$110</f>
        <v>0.16375000000000001</v>
      </c>
      <c r="E1344" s="1031" t="s">
        <v>1025</v>
      </c>
      <c r="F1344" s="1041">
        <f>[2]Hoja1!$B$144</f>
        <v>0</v>
      </c>
      <c r="G1344" s="1031" t="s">
        <v>1026</v>
      </c>
      <c r="H1344" s="1031" t="s">
        <v>1027</v>
      </c>
      <c r="I1344" s="1031"/>
      <c r="J1344" s="1031" t="s">
        <v>1028</v>
      </c>
      <c r="K1344" s="1042" t="s">
        <v>2454</v>
      </c>
    </row>
    <row r="1345" spans="1:11" s="1028" customFormat="1" ht="30" x14ac:dyDescent="0.25">
      <c r="A1345" s="1031" t="s">
        <v>2266</v>
      </c>
      <c r="B1345" s="1043">
        <f>'[1]PLAN DE DESARROLLO 2024 - 2027'!$M$92</f>
        <v>0.25050860314981654</v>
      </c>
      <c r="C1345" s="1031" t="s">
        <v>2268</v>
      </c>
      <c r="D1345" s="1040">
        <f>'[1]PLAN DE DESARROLLO 2024 - 2027'!$M$110</f>
        <v>0.16375000000000001</v>
      </c>
      <c r="E1345" s="1031" t="s">
        <v>1025</v>
      </c>
      <c r="F1345" s="1041">
        <f>[2]Hoja1!$B$144</f>
        <v>0</v>
      </c>
      <c r="G1345" s="1031" t="s">
        <v>1030</v>
      </c>
      <c r="H1345" s="1031" t="s">
        <v>1031</v>
      </c>
      <c r="I1345" s="1031"/>
      <c r="J1345" s="1031" t="s">
        <v>1028</v>
      </c>
      <c r="K1345" s="1042" t="s">
        <v>2454</v>
      </c>
    </row>
    <row r="1346" spans="1:11" s="1028" customFormat="1" ht="30" x14ac:dyDescent="0.25">
      <c r="A1346" s="1031" t="s">
        <v>2266</v>
      </c>
      <c r="B1346" s="1043">
        <f>'[1]PLAN DE DESARROLLO 2024 - 2027'!$M$92</f>
        <v>0.25050860314981654</v>
      </c>
      <c r="C1346" s="1031" t="s">
        <v>2268</v>
      </c>
      <c r="D1346" s="1040">
        <f>'[1]PLAN DE DESARROLLO 2024 - 2027'!$M$110</f>
        <v>0.16375000000000001</v>
      </c>
      <c r="E1346" s="1031" t="s">
        <v>1025</v>
      </c>
      <c r="F1346" s="1041">
        <f>[2]Hoja1!$B$144</f>
        <v>0</v>
      </c>
      <c r="G1346" s="1031" t="s">
        <v>1032</v>
      </c>
      <c r="H1346" s="1031" t="s">
        <v>1033</v>
      </c>
      <c r="I1346" s="1031"/>
      <c r="J1346" s="1031" t="s">
        <v>1028</v>
      </c>
      <c r="K1346" s="1042" t="s">
        <v>2454</v>
      </c>
    </row>
    <row r="1347" spans="1:11" s="1028" customFormat="1" ht="30" x14ac:dyDescent="0.25">
      <c r="A1347" s="1031" t="s">
        <v>2266</v>
      </c>
      <c r="B1347" s="1043">
        <f>'[1]PLAN DE DESARROLLO 2024 - 2027'!$M$92</f>
        <v>0.25050860314981654</v>
      </c>
      <c r="C1347" s="1031" t="s">
        <v>2268</v>
      </c>
      <c r="D1347" s="1040">
        <f>'[1]PLAN DE DESARROLLO 2024 - 2027'!$M$110</f>
        <v>0.16375000000000001</v>
      </c>
      <c r="E1347" s="1031" t="s">
        <v>1025</v>
      </c>
      <c r="F1347" s="1041">
        <f>[2]Hoja1!$B$144</f>
        <v>0</v>
      </c>
      <c r="G1347" s="1031" t="s">
        <v>1034</v>
      </c>
      <c r="H1347" s="1031" t="s">
        <v>2269</v>
      </c>
      <c r="I1347" s="1031"/>
      <c r="J1347" s="1031" t="s">
        <v>1028</v>
      </c>
      <c r="K1347" s="1042" t="s">
        <v>2454</v>
      </c>
    </row>
    <row r="1348" spans="1:11" s="1028" customFormat="1" ht="30" x14ac:dyDescent="0.25">
      <c r="A1348" s="1031" t="s">
        <v>2266</v>
      </c>
      <c r="B1348" s="1043">
        <f>'[1]PLAN DE DESARROLLO 2024 - 2027'!$M$92</f>
        <v>0.25050860314981654</v>
      </c>
      <c r="C1348" s="1031" t="s">
        <v>2268</v>
      </c>
      <c r="D1348" s="1040">
        <f>'[1]PLAN DE DESARROLLO 2024 - 2027'!$M$110</f>
        <v>0.16375000000000001</v>
      </c>
      <c r="E1348" s="1031" t="s">
        <v>1036</v>
      </c>
      <c r="F1348" s="1041">
        <f>[2]Hoja1!$B$156</f>
        <v>0</v>
      </c>
      <c r="G1348" s="1031" t="s">
        <v>1037</v>
      </c>
      <c r="H1348" s="1031" t="s">
        <v>1038</v>
      </c>
      <c r="I1348" s="1031"/>
      <c r="J1348" s="1031" t="s">
        <v>1028</v>
      </c>
      <c r="K1348" s="1042" t="s">
        <v>2454</v>
      </c>
    </row>
    <row r="1349" spans="1:11" s="1028" customFormat="1" ht="36.75" customHeight="1" x14ac:dyDescent="0.25">
      <c r="A1349" s="1031" t="s">
        <v>2266</v>
      </c>
      <c r="B1349" s="1043">
        <f>'[1]PLAN DE DESARROLLO 2024 - 2027'!$M$92</f>
        <v>0.25050860314981654</v>
      </c>
      <c r="C1349" s="1031" t="s">
        <v>2268</v>
      </c>
      <c r="D1349" s="1040">
        <f>'[1]PLAN DE DESARROLLO 2024 - 2027'!$M$110</f>
        <v>0.16375000000000001</v>
      </c>
      <c r="E1349" s="1031" t="s">
        <v>1036</v>
      </c>
      <c r="F1349" s="1041">
        <f>[2]Hoja1!$B$156</f>
        <v>0</v>
      </c>
      <c r="G1349" s="1031" t="s">
        <v>1039</v>
      </c>
      <c r="H1349" s="1031" t="s">
        <v>1040</v>
      </c>
      <c r="I1349" s="1031"/>
      <c r="J1349" s="1031" t="s">
        <v>1028</v>
      </c>
      <c r="K1349" s="1042" t="s">
        <v>2454</v>
      </c>
    </row>
    <row r="1350" spans="1:11" s="1028" customFormat="1" ht="18.75" customHeight="1" x14ac:dyDescent="0.25">
      <c r="A1350" s="1031" t="s">
        <v>2266</v>
      </c>
      <c r="B1350" s="1043">
        <f>'[1]PLAN DE DESARROLLO 2024 - 2027'!$M$92</f>
        <v>0.25050860314981654</v>
      </c>
      <c r="C1350" s="1031" t="s">
        <v>2268</v>
      </c>
      <c r="D1350" s="1040">
        <f>'[1]PLAN DE DESARROLLO 2024 - 2027'!$M$110</f>
        <v>0.16375000000000001</v>
      </c>
      <c r="E1350" s="1031" t="s">
        <v>1036</v>
      </c>
      <c r="F1350" s="1041">
        <f>[2]Hoja1!$B$156</f>
        <v>0</v>
      </c>
      <c r="G1350" s="1031" t="s">
        <v>1041</v>
      </c>
      <c r="H1350" s="1031" t="s">
        <v>1042</v>
      </c>
      <c r="I1350" s="1031"/>
      <c r="J1350" s="1031" t="s">
        <v>1028</v>
      </c>
      <c r="K1350" s="1042" t="s">
        <v>2454</v>
      </c>
    </row>
    <row r="1351" spans="1:11" s="1028" customFormat="1" ht="30" x14ac:dyDescent="0.25">
      <c r="A1351" s="1031" t="s">
        <v>2341</v>
      </c>
      <c r="B1351" s="1039">
        <f>'[1]PLAN DE DESARROLLO 2024 - 2027'!$M$4</f>
        <v>0.24028917333263158</v>
      </c>
      <c r="C1351" s="1031" t="s">
        <v>2343</v>
      </c>
      <c r="D1351" s="1040">
        <f>'[1]PLAN DE DESARROLLO 2024 - 2027'!$M$34</f>
        <v>0.12535549571208945</v>
      </c>
      <c r="E1351" s="1031" t="s">
        <v>409</v>
      </c>
      <c r="F1351" s="1041">
        <f>[2]Hoja1!$B$94</f>
        <v>0.15668414473684211</v>
      </c>
      <c r="G1351" s="1031" t="s">
        <v>419</v>
      </c>
      <c r="H1351" s="1031" t="s">
        <v>420</v>
      </c>
      <c r="I1351" s="1031"/>
      <c r="J1351" s="1031" t="s">
        <v>386</v>
      </c>
      <c r="K1351" s="1042" t="s">
        <v>2454</v>
      </c>
    </row>
    <row r="1352" spans="1:11" s="1028" customFormat="1" ht="45" x14ac:dyDescent="0.25">
      <c r="A1352" s="1031" t="s">
        <v>2341</v>
      </c>
      <c r="B1352" s="1039">
        <f>'[1]PLAN DE DESARROLLO 2024 - 2027'!$M$4</f>
        <v>0.24028917333263158</v>
      </c>
      <c r="C1352" s="1031" t="s">
        <v>2343</v>
      </c>
      <c r="D1352" s="1040">
        <f>'[1]PLAN DE DESARROLLO 2024 - 2027'!$M$34</f>
        <v>0.12535549571208945</v>
      </c>
      <c r="E1352" s="1031" t="s">
        <v>2367</v>
      </c>
      <c r="F1352" s="1041">
        <f>[2]Hoja1!$B$138</f>
        <v>0.33227499999999999</v>
      </c>
      <c r="G1352" s="1031" t="s">
        <v>391</v>
      </c>
      <c r="H1352" s="1031" t="s">
        <v>392</v>
      </c>
      <c r="I1352" s="1031"/>
      <c r="J1352" s="1031" t="s">
        <v>386</v>
      </c>
      <c r="K1352" s="1042" t="s">
        <v>2454</v>
      </c>
    </row>
    <row r="1353" spans="1:11" s="1028" customFormat="1" ht="30" x14ac:dyDescent="0.25">
      <c r="A1353" s="1031" t="s">
        <v>2341</v>
      </c>
      <c r="B1353" s="1039">
        <f>'[1]PLAN DE DESARROLLO 2024 - 2027'!$M$4</f>
        <v>0.24028917333263158</v>
      </c>
      <c r="C1353" s="1031" t="s">
        <v>2343</v>
      </c>
      <c r="D1353" s="1040">
        <f>'[1]PLAN DE DESARROLLO 2024 - 2027'!$M$34</f>
        <v>0.12535549571208945</v>
      </c>
      <c r="E1353" s="1031" t="s">
        <v>2367</v>
      </c>
      <c r="F1353" s="1041">
        <f>[2]Hoja1!$B$138</f>
        <v>0.33227499999999999</v>
      </c>
      <c r="G1353" s="1031" t="s">
        <v>393</v>
      </c>
      <c r="H1353" s="1031" t="s">
        <v>394</v>
      </c>
      <c r="I1353" s="1031"/>
      <c r="J1353" s="1031" t="s">
        <v>386</v>
      </c>
      <c r="K1353" s="1042" t="s">
        <v>2454</v>
      </c>
    </row>
    <row r="1354" spans="1:11" s="1028" customFormat="1" ht="45" x14ac:dyDescent="0.25">
      <c r="A1354" s="1031" t="s">
        <v>2341</v>
      </c>
      <c r="B1354" s="1039">
        <f>'[1]PLAN DE DESARROLLO 2024 - 2027'!$M$4</f>
        <v>0.24028917333263158</v>
      </c>
      <c r="C1354" s="1031" t="s">
        <v>2343</v>
      </c>
      <c r="D1354" s="1040">
        <f>'[1]PLAN DE DESARROLLO 2024 - 2027'!$M$34</f>
        <v>0.12535549571208945</v>
      </c>
      <c r="E1354" s="1031" t="s">
        <v>2367</v>
      </c>
      <c r="F1354" s="1041">
        <f>[2]Hoja1!$B$138</f>
        <v>0.33227499999999999</v>
      </c>
      <c r="G1354" s="1031" t="s">
        <v>395</v>
      </c>
      <c r="H1354" s="1031" t="s">
        <v>396</v>
      </c>
      <c r="I1354" s="1031"/>
      <c r="J1354" s="1031" t="s">
        <v>386</v>
      </c>
      <c r="K1354" s="1042" t="s">
        <v>2454</v>
      </c>
    </row>
    <row r="1355" spans="1:11" s="1028" customFormat="1" ht="45" x14ac:dyDescent="0.25">
      <c r="A1355" s="1031" t="s">
        <v>2341</v>
      </c>
      <c r="B1355" s="1039">
        <f>'[1]PLAN DE DESARROLLO 2024 - 2027'!$M$4</f>
        <v>0.24028917333263158</v>
      </c>
      <c r="C1355" s="1031" t="s">
        <v>2343</v>
      </c>
      <c r="D1355" s="1040">
        <f>'[1]PLAN DE DESARROLLO 2024 - 2027'!$M$34</f>
        <v>0.12535549571208945</v>
      </c>
      <c r="E1355" s="1031" t="s">
        <v>2371</v>
      </c>
      <c r="F1355" s="1041">
        <f>[2]Hoja1!$B$140</f>
        <v>0.14611666666666664</v>
      </c>
      <c r="G1355" s="1031" t="s">
        <v>434</v>
      </c>
      <c r="H1355" s="1031" t="s">
        <v>435</v>
      </c>
      <c r="I1355" s="1031"/>
      <c r="J1355" s="1031" t="s">
        <v>386</v>
      </c>
      <c r="K1355" s="1042" t="s">
        <v>2454</v>
      </c>
    </row>
    <row r="1356" spans="1:11" s="1028" customFormat="1" ht="30" x14ac:dyDescent="0.25">
      <c r="A1356" s="1031" t="s">
        <v>2341</v>
      </c>
      <c r="B1356" s="1039">
        <f>'[1]PLAN DE DESARROLLO 2024 - 2027'!$M$4</f>
        <v>0.24028917333263158</v>
      </c>
      <c r="C1356" s="1031" t="s">
        <v>2343</v>
      </c>
      <c r="D1356" s="1040">
        <f>'[1]PLAN DE DESARROLLO 2024 - 2027'!$M$34</f>
        <v>0.12535549571208945</v>
      </c>
      <c r="E1356" s="1031" t="s">
        <v>2371</v>
      </c>
      <c r="F1356" s="1041">
        <f>[2]Hoja1!$B$140</f>
        <v>0.14611666666666664</v>
      </c>
      <c r="G1356" s="1031" t="s">
        <v>436</v>
      </c>
      <c r="H1356" s="1031" t="s">
        <v>437</v>
      </c>
      <c r="I1356" s="1031"/>
      <c r="J1356" s="1031" t="s">
        <v>386</v>
      </c>
      <c r="K1356" s="1042" t="s">
        <v>2454</v>
      </c>
    </row>
    <row r="1357" spans="1:11" s="1028" customFormat="1" ht="30" x14ac:dyDescent="0.25">
      <c r="A1357" s="1031" t="s">
        <v>2341</v>
      </c>
      <c r="B1357" s="1039">
        <f>'[1]PLAN DE DESARROLLO 2024 - 2027'!$M$4</f>
        <v>0.24028917333263158</v>
      </c>
      <c r="C1357" s="1031" t="s">
        <v>2343</v>
      </c>
      <c r="D1357" s="1040">
        <f>'[1]PLAN DE DESARROLLO 2024 - 2027'!$M$34</f>
        <v>0.12535549571208945</v>
      </c>
      <c r="E1357" s="1031" t="s">
        <v>2371</v>
      </c>
      <c r="F1357" s="1041">
        <f>[2]Hoja1!$B$140</f>
        <v>0.14611666666666664</v>
      </c>
      <c r="G1357" s="1031" t="s">
        <v>438</v>
      </c>
      <c r="H1357" s="1031" t="s">
        <v>439</v>
      </c>
      <c r="I1357" s="1031"/>
      <c r="J1357" s="1031" t="s">
        <v>386</v>
      </c>
      <c r="K1357" s="1042" t="s">
        <v>2454</v>
      </c>
    </row>
    <row r="1358" spans="1:11" s="1028" customFormat="1" ht="30" x14ac:dyDescent="0.25">
      <c r="A1358" s="1031" t="s">
        <v>2395</v>
      </c>
      <c r="B1358" s="1039">
        <f>'[1]PLAN DE DESARROLLO 2024 - 2027'!$M$46</f>
        <v>0.25251661967012345</v>
      </c>
      <c r="C1358" s="1031" t="s">
        <v>2396</v>
      </c>
      <c r="D1358" s="1040">
        <f>'[1]PLAN DE DESARROLLO 2024 - 2027'!$M$47</f>
        <v>0.26592582694462413</v>
      </c>
      <c r="E1358" s="1031" t="s">
        <v>576</v>
      </c>
      <c r="F1358" s="1041">
        <f>[2]Hoja1!$B$159</f>
        <v>0.15592630718954248</v>
      </c>
      <c r="G1358" s="1031" t="s">
        <v>584</v>
      </c>
      <c r="H1358" s="1031" t="s">
        <v>585</v>
      </c>
      <c r="I1358" s="1031"/>
      <c r="J1358" s="1031" t="s">
        <v>2397</v>
      </c>
      <c r="K1358" s="1042" t="s">
        <v>2454</v>
      </c>
    </row>
    <row r="1359" spans="1:11" s="1028" customFormat="1" ht="45" x14ac:dyDescent="0.25">
      <c r="A1359" s="1031" t="s">
        <v>2395</v>
      </c>
      <c r="B1359" s="1039">
        <f>'[1]PLAN DE DESARROLLO 2024 - 2027'!$M$46</f>
        <v>0.25251661967012345</v>
      </c>
      <c r="C1359" s="1031" t="s">
        <v>2396</v>
      </c>
      <c r="D1359" s="1040">
        <f>'[1]PLAN DE DESARROLLO 2024 - 2027'!$M$47</f>
        <v>0.26592582694462413</v>
      </c>
      <c r="E1359" s="1031" t="s">
        <v>576</v>
      </c>
      <c r="F1359" s="1041">
        <f>[2]Hoja1!$B$159</f>
        <v>0.15592630718954248</v>
      </c>
      <c r="G1359" s="1031" t="s">
        <v>586</v>
      </c>
      <c r="H1359" s="1031" t="s">
        <v>2421</v>
      </c>
      <c r="I1359" s="1031"/>
      <c r="J1359" s="1031" t="s">
        <v>2397</v>
      </c>
      <c r="K1359" s="1042" t="s">
        <v>2454</v>
      </c>
    </row>
    <row r="1360" spans="1:11" s="1028" customFormat="1" ht="30" x14ac:dyDescent="0.25">
      <c r="A1360" s="1031" t="s">
        <v>2395</v>
      </c>
      <c r="B1360" s="1039">
        <f>'[1]PLAN DE DESARROLLO 2024 - 2027'!$M$46</f>
        <v>0.25251661967012345</v>
      </c>
      <c r="C1360" s="1031" t="s">
        <v>2396</v>
      </c>
      <c r="D1360" s="1040">
        <f>'[1]PLAN DE DESARROLLO 2024 - 2027'!$M$47</f>
        <v>0.26592582694462413</v>
      </c>
      <c r="E1360" s="1031" t="s">
        <v>576</v>
      </c>
      <c r="F1360" s="1041">
        <f>[2]Hoja1!$B$159</f>
        <v>0.15592630718954248</v>
      </c>
      <c r="G1360" s="1031" t="s">
        <v>588</v>
      </c>
      <c r="H1360" s="1031" t="s">
        <v>2422</v>
      </c>
      <c r="I1360" s="1031"/>
      <c r="J1360" s="1031" t="s">
        <v>2397</v>
      </c>
      <c r="K1360" s="1042" t="s">
        <v>2454</v>
      </c>
    </row>
    <row r="1361" spans="1:11" s="1028" customFormat="1" ht="45" x14ac:dyDescent="0.25">
      <c r="A1361" s="1031" t="s">
        <v>2395</v>
      </c>
      <c r="B1361" s="1039">
        <f>'[1]PLAN DE DESARROLLO 2024 - 2027'!$M$46</f>
        <v>0.25251661967012345</v>
      </c>
      <c r="C1361" s="1031" t="s">
        <v>2396</v>
      </c>
      <c r="D1361" s="1040">
        <f>'[1]PLAN DE DESARROLLO 2024 - 2027'!$M$47</f>
        <v>0.26592582694462413</v>
      </c>
      <c r="E1361" s="1031" t="s">
        <v>576</v>
      </c>
      <c r="F1361" s="1041">
        <f>[2]Hoja1!$B$159</f>
        <v>0.15592630718954248</v>
      </c>
      <c r="G1361" s="1031" t="s">
        <v>590</v>
      </c>
      <c r="H1361" s="1031" t="s">
        <v>591</v>
      </c>
      <c r="I1361" s="1031"/>
      <c r="J1361" s="1031" t="s">
        <v>2397</v>
      </c>
      <c r="K1361" s="1042" t="s">
        <v>2454</v>
      </c>
    </row>
    <row r="1362" spans="1:11" s="1028" customFormat="1" ht="45" x14ac:dyDescent="0.25">
      <c r="A1362" s="1031" t="s">
        <v>2395</v>
      </c>
      <c r="B1362" s="1039">
        <f>'[1]PLAN DE DESARROLLO 2024 - 2027'!$M$46</f>
        <v>0.25251661967012345</v>
      </c>
      <c r="C1362" s="1031" t="s">
        <v>2396</v>
      </c>
      <c r="D1362" s="1040">
        <f>'[1]PLAN DE DESARROLLO 2024 - 2027'!$M$47</f>
        <v>0.26592582694462413</v>
      </c>
      <c r="E1362" s="1031" t="s">
        <v>2405</v>
      </c>
      <c r="F1362" s="1041">
        <f>[2]Hoja1!$B$164</f>
        <v>0.45714235707833262</v>
      </c>
      <c r="G1362" s="1031" t="s">
        <v>2406</v>
      </c>
      <c r="H1362" s="1031" t="s">
        <v>2407</v>
      </c>
      <c r="I1362" s="1031"/>
      <c r="J1362" s="1031" t="s">
        <v>2397</v>
      </c>
      <c r="K1362" s="1042" t="s">
        <v>2454</v>
      </c>
    </row>
    <row r="1363" spans="1:11" s="1028" customFormat="1" ht="45" x14ac:dyDescent="0.25">
      <c r="A1363" s="1031" t="s">
        <v>2395</v>
      </c>
      <c r="B1363" s="1039">
        <f>'[1]PLAN DE DESARROLLO 2024 - 2027'!$M$46</f>
        <v>0.25251661967012345</v>
      </c>
      <c r="C1363" s="1031" t="s">
        <v>2396</v>
      </c>
      <c r="D1363" s="1040">
        <f>'[1]PLAN DE DESARROLLO 2024 - 2027'!$M$47</f>
        <v>0.26592582694462413</v>
      </c>
      <c r="E1363" s="1031" t="s">
        <v>2405</v>
      </c>
      <c r="F1363" s="1041">
        <f>[2]Hoja1!$B$164</f>
        <v>0.45714235707833262</v>
      </c>
      <c r="G1363" s="1031" t="s">
        <v>503</v>
      </c>
      <c r="H1363" s="1031" t="s">
        <v>504</v>
      </c>
      <c r="I1363" s="1031"/>
      <c r="J1363" s="1031" t="s">
        <v>2397</v>
      </c>
      <c r="K1363" s="1042" t="s">
        <v>2454</v>
      </c>
    </row>
    <row r="1364" spans="1:11" s="1028" customFormat="1" ht="30" x14ac:dyDescent="0.25">
      <c r="A1364" s="1031" t="s">
        <v>2395</v>
      </c>
      <c r="B1364" s="1039">
        <f>'[1]PLAN DE DESARROLLO 2024 - 2027'!$M$46</f>
        <v>0.25251661967012345</v>
      </c>
      <c r="C1364" s="1031" t="s">
        <v>2396</v>
      </c>
      <c r="D1364" s="1040">
        <f>'[1]PLAN DE DESARROLLO 2024 - 2027'!$M$47</f>
        <v>0.26592582694462413</v>
      </c>
      <c r="E1364" s="1031" t="s">
        <v>2405</v>
      </c>
      <c r="F1364" s="1041">
        <f>[2]Hoja1!$B$164</f>
        <v>0.45714235707833262</v>
      </c>
      <c r="G1364" s="1031" t="s">
        <v>506</v>
      </c>
      <c r="H1364" s="1031" t="s">
        <v>507</v>
      </c>
      <c r="I1364" s="1031"/>
      <c r="J1364" s="1031" t="s">
        <v>2397</v>
      </c>
      <c r="K1364" s="1042" t="s">
        <v>2454</v>
      </c>
    </row>
    <row r="1365" spans="1:11" s="1028" customFormat="1" ht="30" x14ac:dyDescent="0.25">
      <c r="A1365" s="1031" t="s">
        <v>2266</v>
      </c>
      <c r="B1365" s="1043">
        <f>'[1]PLAN DE DESARROLLO 2024 - 2027'!$M$92</f>
        <v>0.25050860314981654</v>
      </c>
      <c r="C1365" s="1031" t="s">
        <v>2268</v>
      </c>
      <c r="D1365" s="1040">
        <f>'[1]PLAN DE DESARROLLO 2024 - 2027'!$M$110</f>
        <v>0.16375000000000001</v>
      </c>
      <c r="E1365" s="1031" t="s">
        <v>1036</v>
      </c>
      <c r="F1365" s="1041">
        <f>[2]Hoja1!$B$156</f>
        <v>0</v>
      </c>
      <c r="G1365" s="1031" t="s">
        <v>1043</v>
      </c>
      <c r="H1365" s="1031" t="s">
        <v>1044</v>
      </c>
      <c r="I1365" s="1031"/>
      <c r="J1365" s="1031" t="s">
        <v>1028</v>
      </c>
      <c r="K1365" s="1042" t="s">
        <v>2454</v>
      </c>
    </row>
    <row r="1366" spans="1:11" s="1028" customFormat="1" ht="30" x14ac:dyDescent="0.25">
      <c r="A1366" s="1031" t="s">
        <v>2266</v>
      </c>
      <c r="B1366" s="1043">
        <f>'[1]PLAN DE DESARROLLO 2024 - 2027'!$M$92</f>
        <v>0.25050860314981654</v>
      </c>
      <c r="C1366" s="1031" t="s">
        <v>2268</v>
      </c>
      <c r="D1366" s="1040">
        <f>'[1]PLAN DE DESARROLLO 2024 - 2027'!$M$110</f>
        <v>0.16375000000000001</v>
      </c>
      <c r="E1366" s="1031" t="s">
        <v>1036</v>
      </c>
      <c r="F1366" s="1041">
        <f>[2]Hoja1!$B$156</f>
        <v>0</v>
      </c>
      <c r="G1366" s="1031" t="s">
        <v>1045</v>
      </c>
      <c r="H1366" s="1031" t="s">
        <v>1046</v>
      </c>
      <c r="I1366" s="1031"/>
      <c r="J1366" s="1031" t="s">
        <v>2270</v>
      </c>
      <c r="K1366" s="1042" t="s">
        <v>2454</v>
      </c>
    </row>
    <row r="1367" spans="1:11" s="1028" customFormat="1" ht="30" x14ac:dyDescent="0.25">
      <c r="A1367" s="1031" t="s">
        <v>2266</v>
      </c>
      <c r="B1367" s="1043">
        <f>'[1]PLAN DE DESARROLLO 2024 - 2027'!$M$92</f>
        <v>0.25050860314981654</v>
      </c>
      <c r="C1367" s="1031" t="s">
        <v>2268</v>
      </c>
      <c r="D1367" s="1040">
        <f>'[1]PLAN DE DESARROLLO 2024 - 2027'!$M$110</f>
        <v>0.16375000000000001</v>
      </c>
      <c r="E1367" s="1031" t="s">
        <v>1036</v>
      </c>
      <c r="F1367" s="1041">
        <f>[2]Hoja1!$B$156</f>
        <v>0</v>
      </c>
      <c r="G1367" s="1031" t="s">
        <v>1048</v>
      </c>
      <c r="H1367" s="1031" t="s">
        <v>1049</v>
      </c>
      <c r="I1367" s="1031"/>
      <c r="J1367" s="1031" t="s">
        <v>1028</v>
      </c>
      <c r="K1367" s="1042" t="s">
        <v>2454</v>
      </c>
    </row>
    <row r="1368" spans="1:11" s="1028" customFormat="1" ht="30" x14ac:dyDescent="0.25">
      <c r="A1368" s="1031" t="s">
        <v>2266</v>
      </c>
      <c r="B1368" s="1043">
        <f>'[1]PLAN DE DESARROLLO 2024 - 2027'!$M$92</f>
        <v>0.25050860314981654</v>
      </c>
      <c r="C1368" s="1031" t="s">
        <v>2268</v>
      </c>
      <c r="D1368" s="1040">
        <f>'[1]PLAN DE DESARROLLO 2024 - 2027'!$M$110</f>
        <v>0.16375000000000001</v>
      </c>
      <c r="E1368" s="1031" t="s">
        <v>1036</v>
      </c>
      <c r="F1368" s="1041">
        <f>[2]Hoja1!$B$156</f>
        <v>0</v>
      </c>
      <c r="G1368" s="1031" t="s">
        <v>1050</v>
      </c>
      <c r="H1368" s="1031" t="s">
        <v>1051</v>
      </c>
      <c r="I1368" s="1031"/>
      <c r="J1368" s="1031" t="s">
        <v>1028</v>
      </c>
      <c r="K1368" s="1042" t="s">
        <v>2454</v>
      </c>
    </row>
    <row r="1369" spans="1:11" s="1028" customFormat="1" ht="60" x14ac:dyDescent="0.25">
      <c r="A1369" s="1031" t="s">
        <v>2395</v>
      </c>
      <c r="B1369" s="1039">
        <f>'[1]PLAN DE DESARROLLO 2024 - 2027'!$M$46</f>
        <v>0.25251661967012345</v>
      </c>
      <c r="C1369" s="1031" t="s">
        <v>2396</v>
      </c>
      <c r="D1369" s="1040">
        <f>'[1]PLAN DE DESARROLLO 2024 - 2027'!$M$47</f>
        <v>0.26592582694462413</v>
      </c>
      <c r="E1369" s="1031" t="s">
        <v>2405</v>
      </c>
      <c r="F1369" s="1041">
        <f>[2]Hoja1!$B$164</f>
        <v>0.45714235707833262</v>
      </c>
      <c r="G1369" s="1031" t="s">
        <v>508</v>
      </c>
      <c r="H1369" s="1031" t="s">
        <v>509</v>
      </c>
      <c r="I1369" s="1031"/>
      <c r="J1369" s="1031" t="s">
        <v>2397</v>
      </c>
      <c r="K1369" s="1042" t="s">
        <v>2454</v>
      </c>
    </row>
    <row r="1370" spans="1:11" s="1028" customFormat="1" ht="60" x14ac:dyDescent="0.25">
      <c r="A1370" s="1031" t="s">
        <v>2395</v>
      </c>
      <c r="B1370" s="1039">
        <f>'[1]PLAN DE DESARROLLO 2024 - 2027'!$M$46</f>
        <v>0.25251661967012345</v>
      </c>
      <c r="C1370" s="1031" t="s">
        <v>2396</v>
      </c>
      <c r="D1370" s="1040">
        <f>'[1]PLAN DE DESARROLLO 2024 - 2027'!$M$47</f>
        <v>0.26592582694462413</v>
      </c>
      <c r="E1370" s="1031" t="s">
        <v>2405</v>
      </c>
      <c r="F1370" s="1041">
        <f>[2]Hoja1!$B$164</f>
        <v>0.45714235707833262</v>
      </c>
      <c r="G1370" s="1031" t="s">
        <v>511</v>
      </c>
      <c r="H1370" s="1031" t="s">
        <v>512</v>
      </c>
      <c r="I1370" s="1031"/>
      <c r="J1370" s="1031" t="s">
        <v>2397</v>
      </c>
      <c r="K1370" s="1042" t="s">
        <v>2454</v>
      </c>
    </row>
    <row r="1371" spans="1:11" s="1028" customFormat="1" ht="30" x14ac:dyDescent="0.25">
      <c r="A1371" s="1031" t="s">
        <v>2395</v>
      </c>
      <c r="B1371" s="1039">
        <f>'[1]PLAN DE DESARROLLO 2024 - 2027'!$M$46</f>
        <v>0.25251661967012345</v>
      </c>
      <c r="C1371" s="1031" t="s">
        <v>2396</v>
      </c>
      <c r="D1371" s="1040">
        <f>'[1]PLAN DE DESARROLLO 2024 - 2027'!$M$47</f>
        <v>0.26592582694462413</v>
      </c>
      <c r="E1371" s="1031" t="s">
        <v>2405</v>
      </c>
      <c r="F1371" s="1041">
        <f>[2]Hoja1!$B$164</f>
        <v>0.45714235707833262</v>
      </c>
      <c r="G1371" s="1031" t="s">
        <v>514</v>
      </c>
      <c r="H1371" s="1031" t="s">
        <v>515</v>
      </c>
      <c r="I1371" s="1031"/>
      <c r="J1371" s="1031" t="s">
        <v>2397</v>
      </c>
      <c r="K1371" s="1042" t="s">
        <v>2454</v>
      </c>
    </row>
    <row r="1372" spans="1:11" s="1028" customFormat="1" ht="45" x14ac:dyDescent="0.25">
      <c r="A1372" s="1031" t="s">
        <v>2395</v>
      </c>
      <c r="B1372" s="1039">
        <f>'[1]PLAN DE DESARROLLO 2024 - 2027'!$M$46</f>
        <v>0.25251661967012345</v>
      </c>
      <c r="C1372" s="1031" t="s">
        <v>2396</v>
      </c>
      <c r="D1372" s="1040">
        <f>'[1]PLAN DE DESARROLLO 2024 - 2027'!$M$47</f>
        <v>0.26592582694462413</v>
      </c>
      <c r="E1372" s="1031" t="s">
        <v>2405</v>
      </c>
      <c r="F1372" s="1041">
        <f>[2]Hoja1!$B$164</f>
        <v>0.45714235707833262</v>
      </c>
      <c r="G1372" s="1031" t="s">
        <v>516</v>
      </c>
      <c r="H1372" s="1031" t="s">
        <v>517</v>
      </c>
      <c r="I1372" s="1031"/>
      <c r="J1372" s="1031" t="s">
        <v>2397</v>
      </c>
      <c r="K1372" s="1042" t="s">
        <v>2454</v>
      </c>
    </row>
    <row r="1373" spans="1:11" s="1028" customFormat="1" ht="45" x14ac:dyDescent="0.25">
      <c r="A1373" s="1031" t="s">
        <v>2395</v>
      </c>
      <c r="B1373" s="1039">
        <f>'[1]PLAN DE DESARROLLO 2024 - 2027'!$M$46</f>
        <v>0.25251661967012345</v>
      </c>
      <c r="C1373" s="1031" t="s">
        <v>2451</v>
      </c>
      <c r="D1373" s="1040">
        <f>'[1]PLAN DE DESARROLLO 2024 - 2027'!$M$88</f>
        <v>0.26231152970052202</v>
      </c>
      <c r="E1373" s="1031" t="s">
        <v>860</v>
      </c>
      <c r="F1373" s="1041">
        <f>[2]Hoja1!$B$18</f>
        <v>0.22035277777777779</v>
      </c>
      <c r="G1373" s="1031" t="s">
        <v>861</v>
      </c>
      <c r="H1373" s="1031" t="s">
        <v>862</v>
      </c>
      <c r="I1373" s="1031"/>
      <c r="J1373" s="1031" t="s">
        <v>103</v>
      </c>
      <c r="K1373" s="1042" t="s">
        <v>2454</v>
      </c>
    </row>
    <row r="1374" spans="1:11" s="1028" customFormat="1" ht="45" x14ac:dyDescent="0.25">
      <c r="A1374" s="1031" t="s">
        <v>2395</v>
      </c>
      <c r="B1374" s="1039">
        <f>'[1]PLAN DE DESARROLLO 2024 - 2027'!$M$46</f>
        <v>0.25251661967012345</v>
      </c>
      <c r="C1374" s="1031" t="s">
        <v>2451</v>
      </c>
      <c r="D1374" s="1040">
        <f>'[1]PLAN DE DESARROLLO 2024 - 2027'!$M$88</f>
        <v>0.26231152970052202</v>
      </c>
      <c r="E1374" s="1031" t="s">
        <v>860</v>
      </c>
      <c r="F1374" s="1041">
        <f>[2]Hoja1!$B$18</f>
        <v>0.22035277777777779</v>
      </c>
      <c r="G1374" s="1031" t="s">
        <v>863</v>
      </c>
      <c r="H1374" s="1031" t="s">
        <v>864</v>
      </c>
      <c r="I1374" s="1031"/>
      <c r="J1374" s="1031" t="s">
        <v>103</v>
      </c>
      <c r="K1374" s="1042" t="s">
        <v>2454</v>
      </c>
    </row>
    <row r="1375" spans="1:11" s="1028" customFormat="1" ht="45" x14ac:dyDescent="0.25">
      <c r="A1375" s="1031" t="s">
        <v>2395</v>
      </c>
      <c r="B1375" s="1039">
        <f>'[1]PLAN DE DESARROLLO 2024 - 2027'!$M$46</f>
        <v>0.25251661967012345</v>
      </c>
      <c r="C1375" s="1031" t="s">
        <v>2451</v>
      </c>
      <c r="D1375" s="1040">
        <f>'[1]PLAN DE DESARROLLO 2024 - 2027'!$M$88</f>
        <v>0.26231152970052202</v>
      </c>
      <c r="E1375" s="1031" t="s">
        <v>860</v>
      </c>
      <c r="F1375" s="1041">
        <f>[2]Hoja1!$B$18</f>
        <v>0.22035277777777779</v>
      </c>
      <c r="G1375" s="1031" t="s">
        <v>865</v>
      </c>
      <c r="H1375" s="1031" t="s">
        <v>866</v>
      </c>
      <c r="I1375" s="1031"/>
      <c r="J1375" s="1031" t="s">
        <v>103</v>
      </c>
      <c r="K1375" s="1042" t="s">
        <v>2454</v>
      </c>
    </row>
    <row r="1376" spans="1:11" s="1028" customFormat="1" ht="30" x14ac:dyDescent="0.25">
      <c r="A1376" s="1031" t="s">
        <v>2395</v>
      </c>
      <c r="B1376" s="1039">
        <f>'[1]PLAN DE DESARROLLO 2024 - 2027'!$M$46</f>
        <v>0.25251661967012345</v>
      </c>
      <c r="C1376" s="1031" t="s">
        <v>2451</v>
      </c>
      <c r="D1376" s="1040">
        <f>'[1]PLAN DE DESARROLLO 2024 - 2027'!$M$88</f>
        <v>0.26231152970052202</v>
      </c>
      <c r="E1376" s="1031" t="s">
        <v>860</v>
      </c>
      <c r="F1376" s="1041">
        <f>[2]Hoja1!$B$18</f>
        <v>0.22035277777777779</v>
      </c>
      <c r="G1376" s="1031" t="s">
        <v>867</v>
      </c>
      <c r="H1376" s="1031" t="s">
        <v>868</v>
      </c>
      <c r="I1376" s="1031"/>
      <c r="J1376" s="1031" t="s">
        <v>103</v>
      </c>
      <c r="K1376" s="1042" t="s">
        <v>2454</v>
      </c>
    </row>
    <row r="1377" spans="1:11" s="1028" customFormat="1" ht="30" x14ac:dyDescent="0.25">
      <c r="A1377" s="1031" t="s">
        <v>2395</v>
      </c>
      <c r="B1377" s="1039">
        <f>'[1]PLAN DE DESARROLLO 2024 - 2027'!$M$46</f>
        <v>0.25251661967012345</v>
      </c>
      <c r="C1377" s="1031" t="s">
        <v>2451</v>
      </c>
      <c r="D1377" s="1040">
        <f>'[1]PLAN DE DESARROLLO 2024 - 2027'!$M$88</f>
        <v>0.26231152970052202</v>
      </c>
      <c r="E1377" s="1031" t="s">
        <v>2452</v>
      </c>
      <c r="F1377" s="1041">
        <f>[2]Hoja1!$B$59</f>
        <v>0.17771416533617174</v>
      </c>
      <c r="G1377" s="1031" t="s">
        <v>851</v>
      </c>
      <c r="H1377" s="1031" t="s">
        <v>852</v>
      </c>
      <c r="I1377" s="1031"/>
      <c r="J1377" s="1031" t="s">
        <v>103</v>
      </c>
      <c r="K1377" s="1042" t="s">
        <v>2454</v>
      </c>
    </row>
    <row r="1378" spans="1:11" s="1028" customFormat="1" ht="60" x14ac:dyDescent="0.25">
      <c r="A1378" s="1031" t="s">
        <v>2395</v>
      </c>
      <c r="B1378" s="1039">
        <f>'[1]PLAN DE DESARROLLO 2024 - 2027'!$M$46</f>
        <v>0.25251661967012345</v>
      </c>
      <c r="C1378" s="1031" t="s">
        <v>2451</v>
      </c>
      <c r="D1378" s="1040">
        <f>'[1]PLAN DE DESARROLLO 2024 - 2027'!$M$88</f>
        <v>0.26231152970052202</v>
      </c>
      <c r="E1378" s="1031" t="s">
        <v>2452</v>
      </c>
      <c r="F1378" s="1041">
        <f>[2]Hoja1!$B$59</f>
        <v>0.17771416533617174</v>
      </c>
      <c r="G1378" s="1031" t="s">
        <v>854</v>
      </c>
      <c r="H1378" s="1031" t="s">
        <v>2453</v>
      </c>
      <c r="I1378" s="1031"/>
      <c r="J1378" s="1031" t="s">
        <v>103</v>
      </c>
      <c r="K1378" s="1042" t="s">
        <v>2454</v>
      </c>
    </row>
    <row r="1379" spans="1:11" s="1028" customFormat="1" ht="30" x14ac:dyDescent="0.25">
      <c r="A1379" s="1031" t="s">
        <v>2395</v>
      </c>
      <c r="B1379" s="1039">
        <f>'[1]PLAN DE DESARROLLO 2024 - 2027'!$M$46</f>
        <v>0.25251661967012345</v>
      </c>
      <c r="C1379" s="1031" t="s">
        <v>2451</v>
      </c>
      <c r="D1379" s="1040">
        <f>'[1]PLAN DE DESARROLLO 2024 - 2027'!$M$88</f>
        <v>0.26231152970052202</v>
      </c>
      <c r="E1379" s="1031" t="s">
        <v>2452</v>
      </c>
      <c r="F1379" s="1041">
        <f>[2]Hoja1!$B$59</f>
        <v>0.17771416533617174</v>
      </c>
      <c r="G1379" s="1031" t="s">
        <v>856</v>
      </c>
      <c r="H1379" s="1031" t="s">
        <v>857</v>
      </c>
      <c r="I1379" s="1031"/>
      <c r="J1379" s="1031" t="s">
        <v>103</v>
      </c>
      <c r="K1379" s="1042" t="s">
        <v>2454</v>
      </c>
    </row>
    <row r="1380" spans="1:11" s="1028" customFormat="1" x14ac:dyDescent="0.25">
      <c r="A1380" s="1031" t="s">
        <v>2395</v>
      </c>
      <c r="B1380" s="1039">
        <f>'[1]PLAN DE DESARROLLO 2024 - 2027'!$M$46</f>
        <v>0.25251661967012345</v>
      </c>
      <c r="C1380" s="1031" t="s">
        <v>2451</v>
      </c>
      <c r="D1380" s="1040">
        <f>'[1]PLAN DE DESARROLLO 2024 - 2027'!$M$88</f>
        <v>0.26231152970052202</v>
      </c>
      <c r="E1380" s="1031" t="s">
        <v>2452</v>
      </c>
      <c r="F1380" s="1041">
        <f>[2]Hoja1!$B$59</f>
        <v>0.17771416533617174</v>
      </c>
      <c r="G1380" s="1031" t="s">
        <v>858</v>
      </c>
      <c r="H1380" s="1031" t="s">
        <v>859</v>
      </c>
      <c r="I1380" s="1031"/>
      <c r="J1380" s="1031" t="s">
        <v>103</v>
      </c>
      <c r="K1380" s="1042" t="s">
        <v>2454</v>
      </c>
    </row>
    <row r="1381" spans="1:11" s="1028" customFormat="1" ht="30" x14ac:dyDescent="0.25">
      <c r="A1381" s="1031" t="s">
        <v>2266</v>
      </c>
      <c r="B1381" s="1043">
        <f>'[1]PLAN DE DESARROLLO 2024 - 2027'!$M$92</f>
        <v>0.25050860314981654</v>
      </c>
      <c r="C1381" s="1031" t="s">
        <v>2268</v>
      </c>
      <c r="D1381" s="1040">
        <f>'[1]PLAN DE DESARROLLO 2024 - 2027'!$M$110</f>
        <v>0.16375000000000001</v>
      </c>
      <c r="E1381" s="1031" t="s">
        <v>1036</v>
      </c>
      <c r="F1381" s="1041">
        <f>[2]Hoja1!$B$156</f>
        <v>0</v>
      </c>
      <c r="G1381" s="1031" t="s">
        <v>1052</v>
      </c>
      <c r="H1381" s="1031" t="s">
        <v>1053</v>
      </c>
      <c r="I1381" s="1031"/>
      <c r="J1381" s="1031" t="s">
        <v>1028</v>
      </c>
      <c r="K1381" s="1042" t="s">
        <v>2454</v>
      </c>
    </row>
    <row r="1382" spans="1:11" s="1028" customFormat="1" ht="30" x14ac:dyDescent="0.25">
      <c r="A1382" s="1031" t="s">
        <v>2266</v>
      </c>
      <c r="B1382" s="1043">
        <f>'[1]PLAN DE DESARROLLO 2024 - 2027'!$M$92</f>
        <v>0.25050860314981654</v>
      </c>
      <c r="C1382" s="1031" t="s">
        <v>2268</v>
      </c>
      <c r="D1382" s="1040">
        <f>'[1]PLAN DE DESARROLLO 2024 - 2027'!$M$110</f>
        <v>0.16375000000000001</v>
      </c>
      <c r="E1382" s="1031" t="s">
        <v>1036</v>
      </c>
      <c r="F1382" s="1041">
        <f>[2]Hoja1!$B$156</f>
        <v>0</v>
      </c>
      <c r="G1382" s="1031" t="s">
        <v>1054</v>
      </c>
      <c r="H1382" s="1031" t="s">
        <v>1055</v>
      </c>
      <c r="I1382" s="1031"/>
      <c r="J1382" s="1031" t="s">
        <v>1028</v>
      </c>
      <c r="K1382" s="1042" t="s">
        <v>2454</v>
      </c>
    </row>
    <row r="1383" spans="1:11" s="1028" customFormat="1" ht="30" x14ac:dyDescent="0.25">
      <c r="A1383" s="1031" t="s">
        <v>2266</v>
      </c>
      <c r="B1383" s="1043">
        <f>'[1]PLAN DE DESARROLLO 2024 - 2027'!$M$92</f>
        <v>0.25050860314981654</v>
      </c>
      <c r="C1383" s="1031" t="s">
        <v>2268</v>
      </c>
      <c r="D1383" s="1040">
        <f>'[1]PLAN DE DESARROLLO 2024 - 2027'!$M$110</f>
        <v>0.16375000000000001</v>
      </c>
      <c r="E1383" s="1031" t="s">
        <v>1036</v>
      </c>
      <c r="F1383" s="1041">
        <f>[2]Hoja1!$B$156</f>
        <v>0</v>
      </c>
      <c r="G1383" s="1031" t="s">
        <v>1056</v>
      </c>
      <c r="H1383" s="1031" t="s">
        <v>1057</v>
      </c>
      <c r="I1383" s="1031"/>
      <c r="J1383" s="1031" t="s">
        <v>1028</v>
      </c>
      <c r="K1383" s="1042" t="s">
        <v>2454</v>
      </c>
    </row>
    <row r="1384" spans="1:11" s="1028" customFormat="1" ht="30" x14ac:dyDescent="0.25">
      <c r="A1384" s="1031" t="s">
        <v>2266</v>
      </c>
      <c r="B1384" s="1043">
        <f>'[1]PLAN DE DESARROLLO 2024 - 2027'!$M$92</f>
        <v>0.25050860314981654</v>
      </c>
      <c r="C1384" s="1031" t="s">
        <v>2268</v>
      </c>
      <c r="D1384" s="1040">
        <f>'[1]PLAN DE DESARROLLO 2024 - 2027'!$M$110</f>
        <v>0.16375000000000001</v>
      </c>
      <c r="E1384" s="1031" t="s">
        <v>1036</v>
      </c>
      <c r="F1384" s="1041">
        <f>[2]Hoja1!$B$156</f>
        <v>0</v>
      </c>
      <c r="G1384" s="1031" t="s">
        <v>1058</v>
      </c>
      <c r="H1384" s="1031" t="s">
        <v>1059</v>
      </c>
      <c r="I1384" s="1031"/>
      <c r="J1384" s="1031" t="s">
        <v>1028</v>
      </c>
      <c r="K1384" s="1042" t="s">
        <v>2454</v>
      </c>
    </row>
    <row r="1385" spans="1:11" s="1028" customFormat="1" ht="30" x14ac:dyDescent="0.25">
      <c r="A1385" s="1031" t="s">
        <v>2266</v>
      </c>
      <c r="B1385" s="1043">
        <f>'[1]PLAN DE DESARROLLO 2024 - 2027'!$M$92</f>
        <v>0.25050860314981654</v>
      </c>
      <c r="C1385" s="1031" t="s">
        <v>2268</v>
      </c>
      <c r="D1385" s="1040">
        <f>'[1]PLAN DE DESARROLLO 2024 - 2027'!$M$110</f>
        <v>0.16375000000000001</v>
      </c>
      <c r="E1385" s="1031" t="s">
        <v>1036</v>
      </c>
      <c r="F1385" s="1041">
        <f>[2]Hoja1!$B$156</f>
        <v>0</v>
      </c>
      <c r="G1385" s="1031" t="s">
        <v>1060</v>
      </c>
      <c r="H1385" s="1031" t="s">
        <v>1061</v>
      </c>
      <c r="I1385" s="1031"/>
      <c r="J1385" s="1031" t="s">
        <v>1028</v>
      </c>
      <c r="K1385" s="1042" t="s">
        <v>2454</v>
      </c>
    </row>
    <row r="1386" spans="1:11" s="1028" customFormat="1" ht="45" x14ac:dyDescent="0.25">
      <c r="A1386" s="1031" t="s">
        <v>2395</v>
      </c>
      <c r="B1386" s="1039">
        <f>'[1]PLAN DE DESARROLLO 2024 - 2027'!$M$46</f>
        <v>0.25251661967012345</v>
      </c>
      <c r="C1386" s="1031" t="s">
        <v>2451</v>
      </c>
      <c r="D1386" s="1040">
        <f>'[1]PLAN DE DESARROLLO 2024 - 2027'!$M$88</f>
        <v>0.26231152970052202</v>
      </c>
      <c r="E1386" s="1031" t="s">
        <v>870</v>
      </c>
      <c r="F1386" s="1041">
        <f>[2]Hoja1!$B$99</f>
        <v>0.47346501035196686</v>
      </c>
      <c r="G1386" s="1031" t="s">
        <v>871</v>
      </c>
      <c r="H1386" s="1031" t="s">
        <v>872</v>
      </c>
      <c r="I1386" s="1031"/>
      <c r="J1386" s="1031" t="s">
        <v>103</v>
      </c>
      <c r="K1386" s="1042" t="s">
        <v>2454</v>
      </c>
    </row>
    <row r="1387" spans="1:11" s="1028" customFormat="1" ht="45" x14ac:dyDescent="0.25">
      <c r="A1387" s="1031" t="s">
        <v>2395</v>
      </c>
      <c r="B1387" s="1039">
        <f>'[1]PLAN DE DESARROLLO 2024 - 2027'!$M$46</f>
        <v>0.25251661967012345</v>
      </c>
      <c r="C1387" s="1031" t="s">
        <v>2451</v>
      </c>
      <c r="D1387" s="1040">
        <f>'[1]PLAN DE DESARROLLO 2024 - 2027'!$M$88</f>
        <v>0.26231152970052202</v>
      </c>
      <c r="E1387" s="1031" t="s">
        <v>870</v>
      </c>
      <c r="F1387" s="1041">
        <f>[2]Hoja1!$B$99</f>
        <v>0.47346501035196686</v>
      </c>
      <c r="G1387" s="1031" t="s">
        <v>873</v>
      </c>
      <c r="H1387" s="1031" t="s">
        <v>874</v>
      </c>
      <c r="I1387" s="1031"/>
      <c r="J1387" s="1031" t="s">
        <v>103</v>
      </c>
      <c r="K1387" s="1042" t="s">
        <v>2454</v>
      </c>
    </row>
    <row r="1388" spans="1:11" s="1028" customFormat="1" ht="30" x14ac:dyDescent="0.25">
      <c r="A1388" s="1031" t="s">
        <v>2395</v>
      </c>
      <c r="B1388" s="1039">
        <f>'[1]PLAN DE DESARROLLO 2024 - 2027'!$M$46</f>
        <v>0.25251661967012345</v>
      </c>
      <c r="C1388" s="1031" t="s">
        <v>2430</v>
      </c>
      <c r="D1388" s="1040">
        <f>'[1]PLAN DE DESARROLLO 2024 - 2027'!$M$68</f>
        <v>0.14932529411764706</v>
      </c>
      <c r="E1388" s="1031" t="s">
        <v>705</v>
      </c>
      <c r="F1388" s="1041">
        <f>[2]Hoja1!$B$105</f>
        <v>0.24345098039215687</v>
      </c>
      <c r="G1388" s="1031" t="s">
        <v>706</v>
      </c>
      <c r="H1388" s="1031" t="s">
        <v>707</v>
      </c>
      <c r="I1388" s="1031"/>
      <c r="J1388" s="1031" t="s">
        <v>704</v>
      </c>
      <c r="K1388" s="1042" t="s">
        <v>2454</v>
      </c>
    </row>
    <row r="1389" spans="1:11" s="1028" customFormat="1" x14ac:dyDescent="0.25">
      <c r="A1389" s="1031" t="s">
        <v>2395</v>
      </c>
      <c r="B1389" s="1039">
        <f>'[1]PLAN DE DESARROLLO 2024 - 2027'!$M$46</f>
        <v>0.25251661967012345</v>
      </c>
      <c r="C1389" s="1031" t="s">
        <v>2430</v>
      </c>
      <c r="D1389" s="1040">
        <f>'[1]PLAN DE DESARROLLO 2024 - 2027'!$M$68</f>
        <v>0.14932529411764706</v>
      </c>
      <c r="E1389" s="1031" t="s">
        <v>708</v>
      </c>
      <c r="F1389" s="1041">
        <f>[2]Hoja1!$B$106</f>
        <v>0.24099999999999999</v>
      </c>
      <c r="G1389" s="1031" t="s">
        <v>709</v>
      </c>
      <c r="H1389" s="1031" t="s">
        <v>710</v>
      </c>
      <c r="I1389" s="1031"/>
      <c r="J1389" s="1031" t="s">
        <v>704</v>
      </c>
      <c r="K1389" s="1042" t="s">
        <v>2454</v>
      </c>
    </row>
    <row r="1390" spans="1:11" s="1028" customFormat="1" ht="45" x14ac:dyDescent="0.25">
      <c r="A1390" s="1031" t="s">
        <v>2395</v>
      </c>
      <c r="B1390" s="1039">
        <f>'[1]PLAN DE DESARROLLO 2024 - 2027'!$M$46</f>
        <v>0.25251661967012345</v>
      </c>
      <c r="C1390" s="1031" t="s">
        <v>2430</v>
      </c>
      <c r="D1390" s="1040">
        <f>'[1]PLAN DE DESARROLLO 2024 - 2027'!$M$68</f>
        <v>0.14932529411764706</v>
      </c>
      <c r="E1390" s="1031" t="s">
        <v>2432</v>
      </c>
      <c r="F1390" s="1041">
        <f>[2]Hoja1!$B$108</f>
        <v>7.8800000000000009E-2</v>
      </c>
      <c r="G1390" s="1031" t="s">
        <v>712</v>
      </c>
      <c r="H1390" s="1031" t="s">
        <v>713</v>
      </c>
      <c r="I1390" s="1031"/>
      <c r="J1390" s="1031" t="s">
        <v>704</v>
      </c>
      <c r="K1390" s="1042" t="s">
        <v>2454</v>
      </c>
    </row>
    <row r="1391" spans="1:11" s="1028" customFormat="1" ht="30" x14ac:dyDescent="0.25">
      <c r="A1391" s="1031" t="s">
        <v>2395</v>
      </c>
      <c r="B1391" s="1039">
        <f>'[1]PLAN DE DESARROLLO 2024 - 2027'!$M$46</f>
        <v>0.25251661967012345</v>
      </c>
      <c r="C1391" s="1031" t="s">
        <v>2430</v>
      </c>
      <c r="D1391" s="1040">
        <f>'[1]PLAN DE DESARROLLO 2024 - 2027'!$M$68</f>
        <v>0.14932529411764706</v>
      </c>
      <c r="E1391" s="1031" t="s">
        <v>2432</v>
      </c>
      <c r="F1391" s="1041">
        <f>[2]Hoja1!$B$108</f>
        <v>7.8800000000000009E-2</v>
      </c>
      <c r="G1391" s="1031" t="s">
        <v>714</v>
      </c>
      <c r="H1391" s="1031" t="s">
        <v>715</v>
      </c>
      <c r="I1391" s="1031"/>
      <c r="J1391" s="1031" t="s">
        <v>716</v>
      </c>
      <c r="K1391" s="1042" t="s">
        <v>2454</v>
      </c>
    </row>
    <row r="1392" spans="1:11" s="1028" customFormat="1" ht="30" x14ac:dyDescent="0.25">
      <c r="A1392" s="1031" t="s">
        <v>2395</v>
      </c>
      <c r="B1392" s="1039">
        <f>'[1]PLAN DE DESARROLLO 2024 - 2027'!$M$46</f>
        <v>0.25251661967012345</v>
      </c>
      <c r="C1392" s="1031" t="s">
        <v>2430</v>
      </c>
      <c r="D1392" s="1040">
        <f>'[1]PLAN DE DESARROLLO 2024 - 2027'!$M$68</f>
        <v>0.14932529411764706</v>
      </c>
      <c r="E1392" s="1031" t="s">
        <v>2432</v>
      </c>
      <c r="F1392" s="1041">
        <f>[2]Hoja1!$B$108</f>
        <v>7.8800000000000009E-2</v>
      </c>
      <c r="G1392" s="1031" t="s">
        <v>717</v>
      </c>
      <c r="H1392" s="1031" t="s">
        <v>718</v>
      </c>
      <c r="I1392" s="1031"/>
      <c r="J1392" s="1031" t="s">
        <v>704</v>
      </c>
      <c r="K1392" s="1042" t="s">
        <v>2454</v>
      </c>
    </row>
    <row r="1393" spans="1:11" s="1028" customFormat="1" ht="30" x14ac:dyDescent="0.25">
      <c r="A1393" s="1031" t="s">
        <v>2395</v>
      </c>
      <c r="B1393" s="1039">
        <f>'[1]PLAN DE DESARROLLO 2024 - 2027'!$M$46</f>
        <v>0.25251661967012345</v>
      </c>
      <c r="C1393" s="1031" t="s">
        <v>2430</v>
      </c>
      <c r="D1393" s="1040">
        <f>'[1]PLAN DE DESARROLLO 2024 - 2027'!$M$68</f>
        <v>0.14932529411764706</v>
      </c>
      <c r="E1393" s="1031" t="s">
        <v>2431</v>
      </c>
      <c r="F1393" s="1041">
        <f>[2]Hoja1!$B$163</f>
        <v>4.1099999999999998E-2</v>
      </c>
      <c r="G1393" s="1031" t="s">
        <v>702</v>
      </c>
      <c r="H1393" s="1031" t="s">
        <v>703</v>
      </c>
      <c r="I1393" s="1031"/>
      <c r="J1393" s="1031" t="s">
        <v>704</v>
      </c>
      <c r="K1393" s="1042" t="s">
        <v>2454</v>
      </c>
    </row>
    <row r="1394" spans="1:11" ht="30" x14ac:dyDescent="0.25">
      <c r="A1394" s="1031" t="s">
        <v>2215</v>
      </c>
      <c r="B1394" s="1047">
        <v>0</v>
      </c>
      <c r="C1394" s="1031" t="s">
        <v>2232</v>
      </c>
      <c r="D1394" s="1040">
        <v>0</v>
      </c>
      <c r="E1394" s="1031" t="s">
        <v>1540</v>
      </c>
      <c r="F1394" s="1041">
        <v>0</v>
      </c>
      <c r="G1394" s="1031" t="s">
        <v>1541</v>
      </c>
      <c r="H1394" s="1031" t="s">
        <v>1542</v>
      </c>
      <c r="J1394" s="1031" t="s">
        <v>716</v>
      </c>
      <c r="K1394" s="1048" t="s">
        <v>2195</v>
      </c>
    </row>
    <row r="1395" spans="1:11" ht="30" x14ac:dyDescent="0.25">
      <c r="A1395" s="1031" t="s">
        <v>2215</v>
      </c>
      <c r="B1395" s="1047">
        <v>0</v>
      </c>
      <c r="C1395" s="1031" t="s">
        <v>2232</v>
      </c>
      <c r="D1395" s="1040">
        <v>0</v>
      </c>
      <c r="E1395" s="1031" t="s">
        <v>1540</v>
      </c>
      <c r="F1395" s="1041">
        <v>0</v>
      </c>
      <c r="G1395" s="1031" t="s">
        <v>1543</v>
      </c>
      <c r="H1395" s="1031" t="s">
        <v>1544</v>
      </c>
      <c r="J1395" s="1031" t="s">
        <v>1545</v>
      </c>
      <c r="K1395" s="1048" t="s">
        <v>2195</v>
      </c>
    </row>
    <row r="1396" spans="1:11" ht="30" x14ac:dyDescent="0.25">
      <c r="A1396" s="1031" t="s">
        <v>2215</v>
      </c>
      <c r="B1396" s="1047">
        <v>0</v>
      </c>
      <c r="C1396" s="1031" t="s">
        <v>2232</v>
      </c>
      <c r="D1396" s="1040">
        <v>0</v>
      </c>
      <c r="E1396" s="1031" t="s">
        <v>1540</v>
      </c>
      <c r="F1396" s="1041">
        <v>0</v>
      </c>
      <c r="G1396" s="1031" t="s">
        <v>1546</v>
      </c>
      <c r="H1396" s="1031" t="s">
        <v>1547</v>
      </c>
      <c r="J1396" s="1031" t="s">
        <v>1548</v>
      </c>
      <c r="K1396" s="1048" t="s">
        <v>2195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H405"/>
  <sheetViews>
    <sheetView zoomScale="28" zoomScaleNormal="28" workbookViewId="0">
      <pane xSplit="3" ySplit="2" topLeftCell="D3" activePane="bottomRight" state="frozen"/>
      <selection pane="topRight" activeCell="D1" sqref="D1"/>
      <selection pane="bottomLeft" activeCell="A3" sqref="A3"/>
      <selection pane="bottomRight" activeCell="C84" sqref="C84"/>
    </sheetView>
  </sheetViews>
  <sheetFormatPr baseColWidth="10" defaultColWidth="14.42578125" defaultRowHeight="122.45" customHeight="1" x14ac:dyDescent="0.3"/>
  <cols>
    <col min="1" max="1" width="0.28515625" style="366" customWidth="1"/>
    <col min="2" max="2" width="59.5703125" style="366" customWidth="1"/>
    <col min="3" max="3" width="59.28515625" style="366" customWidth="1"/>
    <col min="4" max="4" width="38" style="824" customWidth="1"/>
    <col min="5" max="5" width="31.7109375" style="366" customWidth="1"/>
    <col min="6" max="6" width="36.5703125" style="487" customWidth="1"/>
    <col min="7" max="7" width="28.5703125" style="366" customWidth="1"/>
    <col min="8" max="8" width="33" style="366" customWidth="1"/>
    <col min="9" max="9" width="33.28515625" style="366" customWidth="1"/>
    <col min="10" max="10" width="40.7109375" style="366" customWidth="1"/>
    <col min="11" max="11" width="34.7109375" style="366" hidden="1" customWidth="1"/>
    <col min="12" max="12" width="40.85546875" style="366" hidden="1" customWidth="1"/>
    <col min="13" max="13" width="31.7109375" style="627" customWidth="1"/>
    <col min="14" max="14" width="31.28515625" style="366" customWidth="1"/>
    <col min="15" max="15" width="29.7109375" style="366" customWidth="1"/>
    <col min="16" max="16" width="28.7109375" style="366" hidden="1" customWidth="1"/>
    <col min="17" max="17" width="0.28515625" style="366" customWidth="1"/>
    <col min="18" max="18" width="29.7109375" style="366" customWidth="1"/>
    <col min="19" max="19" width="31.7109375" style="366" customWidth="1"/>
    <col min="20" max="20" width="39.42578125" style="366" customWidth="1"/>
    <col min="21" max="21" width="41" style="366" customWidth="1"/>
    <col min="22" max="22" width="38.28515625" style="366" hidden="1" customWidth="1"/>
    <col min="23" max="23" width="38.7109375" style="366" hidden="1" customWidth="1"/>
    <col min="24" max="24" width="39.7109375" style="366" customWidth="1"/>
    <col min="25" max="25" width="38.28515625" style="366" customWidth="1"/>
    <col min="26" max="26" width="42.42578125" style="366" customWidth="1"/>
    <col min="27" max="27" width="43.85546875" style="366" customWidth="1"/>
    <col min="28" max="28" width="61.7109375" style="366" hidden="1" customWidth="1"/>
    <col min="29" max="29" width="66.5703125" style="366" customWidth="1"/>
    <col min="30" max="30" width="48.5703125" style="366" customWidth="1"/>
    <col min="31" max="31" width="51.5703125" style="366" customWidth="1"/>
    <col min="32" max="32" width="54.85546875" style="366" customWidth="1"/>
    <col min="33" max="33" width="50.28515625" style="366" customWidth="1"/>
    <col min="34" max="34" width="76.7109375" style="366" customWidth="1"/>
    <col min="35" max="40" width="10.7109375" style="366" customWidth="1"/>
    <col min="41" max="16384" width="14.42578125" style="366"/>
  </cols>
  <sheetData>
    <row r="1" spans="1:112" ht="12.6" customHeight="1" thickBot="1" x14ac:dyDescent="0.35">
      <c r="A1" s="364"/>
      <c r="B1" s="364"/>
      <c r="C1" s="364"/>
      <c r="D1" s="795"/>
      <c r="E1" s="364"/>
      <c r="F1" s="365"/>
      <c r="G1" s="364"/>
      <c r="H1" s="364"/>
      <c r="I1" s="364"/>
      <c r="J1" s="364"/>
      <c r="K1" s="364"/>
      <c r="L1" s="364"/>
      <c r="M1" s="621"/>
      <c r="N1" s="364"/>
      <c r="O1" s="364"/>
      <c r="P1" s="364"/>
      <c r="Q1" s="364"/>
      <c r="R1" s="364"/>
      <c r="S1" s="364"/>
      <c r="T1" s="364"/>
      <c r="U1" s="364"/>
      <c r="V1" s="364"/>
      <c r="W1" s="364"/>
      <c r="X1" s="364"/>
      <c r="Y1" s="364"/>
      <c r="Z1" s="364"/>
      <c r="AA1" s="364"/>
      <c r="AB1" s="364"/>
      <c r="AC1" s="364"/>
      <c r="AD1" s="364"/>
      <c r="AE1" s="364"/>
      <c r="AF1" s="364"/>
    </row>
    <row r="2" spans="1:112" s="382" customFormat="1" ht="222.6" customHeight="1" thickBot="1" x14ac:dyDescent="0.35">
      <c r="A2" s="367"/>
      <c r="B2" s="1287" t="s">
        <v>0</v>
      </c>
      <c r="C2" s="1304"/>
      <c r="D2" s="368" t="s">
        <v>1</v>
      </c>
      <c r="E2" s="369" t="s">
        <v>2</v>
      </c>
      <c r="F2" s="370" t="s">
        <v>3</v>
      </c>
      <c r="G2" s="370" t="s">
        <v>4</v>
      </c>
      <c r="H2" s="371" t="s">
        <v>5</v>
      </c>
      <c r="I2" s="370" t="s">
        <v>6</v>
      </c>
      <c r="J2" s="371" t="s">
        <v>7</v>
      </c>
      <c r="K2" s="372" t="s">
        <v>8</v>
      </c>
      <c r="L2" s="373" t="s">
        <v>9</v>
      </c>
      <c r="M2" s="374" t="s">
        <v>10</v>
      </c>
      <c r="N2" s="375" t="s">
        <v>11</v>
      </c>
      <c r="O2" s="375" t="s">
        <v>12</v>
      </c>
      <c r="P2" s="375" t="s">
        <v>13</v>
      </c>
      <c r="Q2" s="375" t="s">
        <v>14</v>
      </c>
      <c r="R2" s="375" t="s">
        <v>15</v>
      </c>
      <c r="S2" s="375" t="s">
        <v>16</v>
      </c>
      <c r="T2" s="370" t="s">
        <v>17</v>
      </c>
      <c r="U2" s="371" t="s">
        <v>18</v>
      </c>
      <c r="V2" s="372" t="s">
        <v>19</v>
      </c>
      <c r="W2" s="373" t="s">
        <v>20</v>
      </c>
      <c r="X2" s="370" t="s">
        <v>458</v>
      </c>
      <c r="Y2" s="371" t="s">
        <v>459</v>
      </c>
      <c r="Z2" s="651" t="s">
        <v>23</v>
      </c>
      <c r="AA2" s="780" t="s">
        <v>24</v>
      </c>
      <c r="AB2" s="376" t="s">
        <v>25</v>
      </c>
      <c r="AC2" s="377" t="s">
        <v>26</v>
      </c>
      <c r="AD2" s="378" t="s">
        <v>460</v>
      </c>
      <c r="AE2" s="379" t="s">
        <v>461</v>
      </c>
      <c r="AF2" s="376" t="s">
        <v>25</v>
      </c>
      <c r="AG2" s="380"/>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381"/>
      <c r="BX2" s="381"/>
      <c r="BY2" s="381"/>
      <c r="BZ2" s="381"/>
      <c r="CA2" s="381"/>
      <c r="CB2" s="381"/>
      <c r="CC2" s="381"/>
      <c r="CD2" s="381"/>
      <c r="CE2" s="381"/>
      <c r="CF2" s="381"/>
      <c r="CG2" s="381"/>
      <c r="CH2" s="381"/>
      <c r="CI2" s="381"/>
      <c r="CJ2" s="381"/>
      <c r="CK2" s="381"/>
      <c r="CL2" s="381"/>
      <c r="CM2" s="381"/>
      <c r="CN2" s="381"/>
      <c r="CO2" s="381"/>
      <c r="CP2" s="381"/>
      <c r="CQ2" s="381"/>
      <c r="CR2" s="381"/>
      <c r="CS2" s="381"/>
      <c r="CT2" s="381"/>
      <c r="CU2" s="381"/>
      <c r="CV2" s="381"/>
      <c r="CW2" s="381"/>
      <c r="CX2" s="381"/>
      <c r="CY2" s="381"/>
      <c r="CZ2" s="381"/>
      <c r="DA2" s="381"/>
      <c r="DB2" s="381"/>
      <c r="DC2" s="381"/>
      <c r="DD2" s="381"/>
      <c r="DE2" s="381"/>
      <c r="DF2" s="381"/>
      <c r="DG2" s="381"/>
      <c r="DH2" s="381"/>
    </row>
    <row r="3" spans="1:112" s="1026" customFormat="1" ht="122.45" customHeight="1" thickBot="1" x14ac:dyDescent="0.5">
      <c r="A3" s="1011"/>
      <c r="B3" s="1305" t="s">
        <v>462</v>
      </c>
      <c r="C3" s="1306"/>
      <c r="D3" s="1012"/>
      <c r="E3" s="1013">
        <v>0.2</v>
      </c>
      <c r="F3" s="1014"/>
      <c r="G3" s="1015"/>
      <c r="H3" s="1016"/>
      <c r="I3" s="1017">
        <f>+(I4+I91+I119+I130+I164+I192)/6</f>
        <v>0.25323854832043019</v>
      </c>
      <c r="J3" s="1017">
        <f>+(J4+J91+J119+J130+J164+J192)/6</f>
        <v>0.32294627239423607</v>
      </c>
      <c r="K3" s="1018">
        <f>+(K4+K91+K119+K130+K164+K192)/6</f>
        <v>0.20215522261646302</v>
      </c>
      <c r="L3" s="1019">
        <f>+(L4+L91+L119+L130+L164+L192)/6</f>
        <v>0.28159073109422145</v>
      </c>
      <c r="M3" s="1020"/>
      <c r="N3" s="1021"/>
      <c r="O3" s="1022"/>
      <c r="P3" s="1021"/>
      <c r="Q3" s="1021"/>
      <c r="R3" s="1021"/>
      <c r="S3" s="1022"/>
      <c r="T3" s="1238">
        <f>+(T4+T91+T119+T130+T164+T192)/6</f>
        <v>0.84448226383644498</v>
      </c>
      <c r="U3" s="1238">
        <f>+(U4+U1+U119+U130+U164+U192)/6</f>
        <v>0.37010960104289231</v>
      </c>
      <c r="V3" s="1239">
        <f>F4+F91+F119+F130+F164+F192</f>
        <v>0.65816842348257643</v>
      </c>
      <c r="W3" s="1239">
        <f>H4+H91+H119+H130+H164+H192</f>
        <v>0.41398761951185004</v>
      </c>
      <c r="X3" s="1240">
        <f>+(X4+X91+X119+X130+X164+X192)/6</f>
        <v>0.21601693102515732</v>
      </c>
      <c r="Y3" s="1240">
        <f>+(Y4+Y91+Y119+Y130+Y164+Y192)/6</f>
        <v>0.3533651236549824</v>
      </c>
      <c r="Z3" s="1239">
        <f>+(Z4+Z91+Z119+Z130+Z164+Z192)/6</f>
        <v>0.17720527157842844</v>
      </c>
      <c r="AA3" s="1239">
        <f>+(AA4*E4)+(AA91*E91)+(AA119*E119)+(AA130*E130)+(AA164*E164)+(AA192*E192)</f>
        <v>0.34160632674734986</v>
      </c>
      <c r="AB3" s="1023"/>
      <c r="AC3" s="1024"/>
      <c r="AD3" s="1025"/>
      <c r="AE3" s="1025"/>
      <c r="AF3" s="1025"/>
    </row>
    <row r="4" spans="1:112" s="857" customFormat="1" ht="122.45" customHeight="1" thickBot="1" x14ac:dyDescent="0.45">
      <c r="A4" s="858"/>
      <c r="B4" s="1307" t="s">
        <v>463</v>
      </c>
      <c r="C4" s="1308"/>
      <c r="D4" s="859"/>
      <c r="E4" s="860">
        <v>0.3</v>
      </c>
      <c r="F4" s="861">
        <f>+E4*V4</f>
        <v>0.19400364635079345</v>
      </c>
      <c r="G4" s="862"/>
      <c r="H4" s="1010">
        <f>E4*W4</f>
        <v>0.13255329047596001</v>
      </c>
      <c r="I4" s="863">
        <f>+(I5+I12+I15+I21+I29+I34+I39+I43+I49+I52+I56+I60+I68+I73+I77+I85)/15</f>
        <v>0.26981900399515463</v>
      </c>
      <c r="J4" s="863">
        <f>+(J5+J12+J15+J21+J29+J34+J39+J43+J49+J52+J56+J60+J68+J73+J77+J85)/16</f>
        <v>0.26016382169667063</v>
      </c>
      <c r="K4" s="864">
        <f>+(K5+K12+K15+K21+K29+K34+K39+K43+K49+K52+K56+K60+K68+K73+K77+K85)/15</f>
        <v>0.25378937395993473</v>
      </c>
      <c r="L4" s="865">
        <f>+(L5+L12+L15+L21+L29+L34+L39+L43+L49+L52+L56+L60+L68+L73+L77+L85)/16</f>
        <v>0.25173882005686626</v>
      </c>
      <c r="M4" s="866"/>
      <c r="N4" s="867"/>
      <c r="O4" s="867"/>
      <c r="P4" s="867"/>
      <c r="Q4" s="867"/>
      <c r="R4" s="867"/>
      <c r="S4" s="867"/>
      <c r="T4" s="868">
        <f>+(T5+T12+T15+T21+T29+T34+T39+T43+T49+T52+T56+T60+T68+T73+T77+T85)/15</f>
        <v>0.67517996637046018</v>
      </c>
      <c r="U4" s="868">
        <f>+(U5+U12+U15+U21+U29+U34+U39+U43+U49+U52+U56+U60+U68+U73+U77+U85)/16</f>
        <v>0.48666945748964718</v>
      </c>
      <c r="V4" s="869">
        <f>+V5+V12+V15+V21+V29+V34+V39+V43+V49+V52+V56+V60+V68+V73+V77+V85</f>
        <v>0.64667882116931152</v>
      </c>
      <c r="W4" s="869">
        <f>+W5+W12+W15+W21+W29+W34+W39+W43+W49+W52+W56+W60+W68+W73+W77+W85</f>
        <v>0.44184430158653343</v>
      </c>
      <c r="X4" s="870">
        <f>(X5+X12+X15+X21+X29+X34+X39+X43+X49+X52+X56+X60+X68+X73+X77+X85)/15</f>
        <v>0.21288627727196741</v>
      </c>
      <c r="Y4" s="870">
        <f>(Y5+Y12+Y15+Y21+Y29+Y34+Y39+Y43+Y49+Y52+Y56+Y60+Y68+Y73+Y77+Y85)/16</f>
        <v>0.36740543241296775</v>
      </c>
      <c r="Z4" s="869">
        <f>+Z5+Z12+Z15+Z21+Z29+Z34+Z39+Z43+Z49+Z52+Z56+Z60+Z68+Z73+Z77+Z85</f>
        <v>0.19455564139729131</v>
      </c>
      <c r="AA4" s="869">
        <f>+(AA5*E5)+(AA12*E12)+(AA15*E15)+(AA21*E21)+(AA29*E29)+(AA34*E34)+(AA39*E39)+(AA43*E43)+(AA49*E49)+(AA52*E52)+(AA56*E56)+(AA60*E60)+(AA68*E68)+(AA73*E73)+(AA77*E77)+(AA85*E85)</f>
        <v>0.33047590926273196</v>
      </c>
      <c r="AB4" s="871"/>
      <c r="AC4" s="885"/>
      <c r="AD4" s="872"/>
      <c r="AE4" s="872"/>
      <c r="AF4" s="872"/>
    </row>
    <row r="5" spans="1:112" s="857" customFormat="1" ht="122.45" customHeight="1" thickBot="1" x14ac:dyDescent="0.4">
      <c r="A5" s="858"/>
      <c r="B5" s="1302" t="s">
        <v>464</v>
      </c>
      <c r="C5" s="1303"/>
      <c r="D5" s="859"/>
      <c r="E5" s="873">
        <v>0.25</v>
      </c>
      <c r="F5" s="874"/>
      <c r="G5" s="875"/>
      <c r="H5" s="876"/>
      <c r="I5" s="877">
        <f>+AVERAGE(I6:I11)</f>
        <v>0.13533333333333333</v>
      </c>
      <c r="J5" s="877">
        <f>+AVERAGE(J6:J11)</f>
        <v>0.26333333333333325</v>
      </c>
      <c r="K5" s="878">
        <f>+K6+K7+K8+K9+K10+K11</f>
        <v>0.12433333333333335</v>
      </c>
      <c r="L5" s="878">
        <f>+L6+L7+L8+L9+L10+L11</f>
        <v>0.25883333333333336</v>
      </c>
      <c r="M5" s="879"/>
      <c r="N5" s="880"/>
      <c r="O5" s="880"/>
      <c r="P5" s="880"/>
      <c r="Q5" s="880"/>
      <c r="R5" s="880"/>
      <c r="S5" s="880"/>
      <c r="T5" s="881">
        <f>+AVERAGE(T6:T11)</f>
        <v>0.65125</v>
      </c>
      <c r="U5" s="881">
        <f>+AVERAGE(U6:U11)</f>
        <v>0.40288175876411175</v>
      </c>
      <c r="V5" s="882">
        <f>+(V6+V7+V8+V9+V10+V11)*E5</f>
        <v>0.15640625000000002</v>
      </c>
      <c r="W5" s="882">
        <f>+(W6+W7+W8+W9+W10+W11)*E5</f>
        <v>0.10679590017825312</v>
      </c>
      <c r="X5" s="883">
        <f>+AVERAGE(X6:X11)</f>
        <v>9.9466666666666662E-2</v>
      </c>
      <c r="Y5" s="1180">
        <f>+AVERAGE(Y6:Y11)</f>
        <v>0.18694444444444444</v>
      </c>
      <c r="Z5" s="883">
        <f>+(Z6+Z7+Z8+Z9+Z10+Z11)*E5</f>
        <v>2.3891666666666669E-2</v>
      </c>
      <c r="AA5" s="883">
        <f>+(AA6+AA7+AA8+AA9+AA10+AA11)</f>
        <v>0.20516666666666664</v>
      </c>
      <c r="AB5" s="884"/>
      <c r="AC5" s="885"/>
      <c r="AD5" s="872"/>
      <c r="AE5" s="872"/>
      <c r="AF5" s="872"/>
    </row>
    <row r="6" spans="1:112" ht="122.45" customHeight="1" thickBot="1" x14ac:dyDescent="0.35">
      <c r="A6" s="385"/>
      <c r="B6" s="1072" t="s">
        <v>465</v>
      </c>
      <c r="C6" s="1070" t="s">
        <v>466</v>
      </c>
      <c r="D6" s="438" t="s">
        <v>467</v>
      </c>
      <c r="E6" s="1259">
        <v>0.1</v>
      </c>
      <c r="F6" s="395">
        <v>1</v>
      </c>
      <c r="G6" s="396"/>
      <c r="H6" s="397">
        <v>0.3</v>
      </c>
      <c r="I6" s="398"/>
      <c r="J6" s="398">
        <f>+H6/F6</f>
        <v>0.3</v>
      </c>
      <c r="K6" s="399"/>
      <c r="L6" s="406">
        <f>+(H6/F6)*E6</f>
        <v>0.03</v>
      </c>
      <c r="M6" s="400"/>
      <c r="N6" s="401">
        <v>0.1</v>
      </c>
      <c r="O6" s="401">
        <v>0</v>
      </c>
      <c r="P6" s="400"/>
      <c r="Q6" s="400"/>
      <c r="R6" s="400">
        <f>+N6+O6+P6+Q6</f>
        <v>0.1</v>
      </c>
      <c r="S6" s="400">
        <f>+R6+M6</f>
        <v>0.1</v>
      </c>
      <c r="T6" s="402"/>
      <c r="U6" s="403">
        <f>+R6/H6</f>
        <v>0.33333333333333337</v>
      </c>
      <c r="V6" s="403"/>
      <c r="W6" s="403">
        <f>+U6*E6</f>
        <v>3.333333333333334E-2</v>
      </c>
      <c r="X6" s="403"/>
      <c r="Y6" s="403">
        <f>+S6/F6</f>
        <v>0.1</v>
      </c>
      <c r="Z6" s="403"/>
      <c r="AA6" s="403">
        <f t="shared" ref="AA6:AA11" si="0">+Y6*E6</f>
        <v>1.0000000000000002E-2</v>
      </c>
      <c r="AB6" s="732" t="s">
        <v>44</v>
      </c>
      <c r="AC6" s="829" t="s">
        <v>468</v>
      </c>
      <c r="AD6" s="829" t="s">
        <v>38</v>
      </c>
      <c r="AE6" s="765" t="s">
        <v>469</v>
      </c>
      <c r="AF6" s="381"/>
    </row>
    <row r="7" spans="1:112" ht="122.45" customHeight="1" thickBot="1" x14ac:dyDescent="0.35">
      <c r="A7" s="385"/>
      <c r="B7" s="1072" t="s">
        <v>470</v>
      </c>
      <c r="C7" s="1070" t="s">
        <v>471</v>
      </c>
      <c r="D7" s="438" t="s">
        <v>467</v>
      </c>
      <c r="E7" s="1259">
        <v>0.1</v>
      </c>
      <c r="F7" s="395">
        <v>60</v>
      </c>
      <c r="G7" s="396">
        <v>5</v>
      </c>
      <c r="H7" s="397">
        <v>17</v>
      </c>
      <c r="I7" s="405">
        <f>+G7/F7</f>
        <v>8.3333333333333329E-2</v>
      </c>
      <c r="J7" s="398">
        <f>+H7/F7</f>
        <v>0.28333333333333333</v>
      </c>
      <c r="K7" s="406">
        <f>+(G7/F7)*E7</f>
        <v>8.3333333333333332E-3</v>
      </c>
      <c r="L7" s="406">
        <f>+(H7/F7)*E7</f>
        <v>2.8333333333333335E-2</v>
      </c>
      <c r="M7" s="846">
        <v>1</v>
      </c>
      <c r="N7" s="735">
        <v>0</v>
      </c>
      <c r="O7" s="408">
        <v>0</v>
      </c>
      <c r="P7" s="407"/>
      <c r="Q7" s="407"/>
      <c r="R7" s="400">
        <f t="shared" ref="R7:R11" si="1">+N7+O7+P7+Q7</f>
        <v>0</v>
      </c>
      <c r="S7" s="400">
        <f t="shared" ref="S7:S11" si="2">+R7+M7</f>
        <v>1</v>
      </c>
      <c r="T7" s="402">
        <f>+(M7/G7)</f>
        <v>0.2</v>
      </c>
      <c r="U7" s="403">
        <f t="shared" ref="U7:U48" si="3">+R7/H7</f>
        <v>0</v>
      </c>
      <c r="V7" s="403">
        <f>+T7*E7</f>
        <v>2.0000000000000004E-2</v>
      </c>
      <c r="W7" s="403">
        <f>+U7*E7</f>
        <v>0</v>
      </c>
      <c r="X7" s="403">
        <f>+M7/F7</f>
        <v>1.6666666666666666E-2</v>
      </c>
      <c r="Y7" s="409">
        <f t="shared" ref="Y7:Y48" si="4">+S7/F7</f>
        <v>1.6666666666666666E-2</v>
      </c>
      <c r="Z7" s="409">
        <f>+X7*E7</f>
        <v>1.6666666666666668E-3</v>
      </c>
      <c r="AA7" s="409">
        <f t="shared" si="0"/>
        <v>1.6666666666666668E-3</v>
      </c>
      <c r="AB7" s="732" t="s">
        <v>43</v>
      </c>
      <c r="AC7" s="828" t="s">
        <v>468</v>
      </c>
      <c r="AD7" s="829" t="s">
        <v>38</v>
      </c>
      <c r="AE7" s="765" t="s">
        <v>469</v>
      </c>
      <c r="AF7" s="381"/>
    </row>
    <row r="8" spans="1:112" ht="122.45" customHeight="1" thickBot="1" x14ac:dyDescent="0.35">
      <c r="A8" s="385"/>
      <c r="B8" s="1146" t="s">
        <v>472</v>
      </c>
      <c r="C8" s="1071" t="s">
        <v>473</v>
      </c>
      <c r="D8" s="438" t="s">
        <v>467</v>
      </c>
      <c r="E8" s="1259">
        <v>0.2</v>
      </c>
      <c r="F8" s="395">
        <v>5</v>
      </c>
      <c r="G8" s="396">
        <v>1</v>
      </c>
      <c r="H8" s="397">
        <v>1</v>
      </c>
      <c r="I8" s="405">
        <f>+G8/F8</f>
        <v>0.2</v>
      </c>
      <c r="J8" s="398">
        <f t="shared" ref="J8:J48" si="5">+H8/F8</f>
        <v>0.2</v>
      </c>
      <c r="K8" s="406">
        <f>+(G8/F8)*E8</f>
        <v>4.0000000000000008E-2</v>
      </c>
      <c r="L8" s="406">
        <f>+(H8/F8)*E8</f>
        <v>4.0000000000000008E-2</v>
      </c>
      <c r="M8" s="846">
        <v>1</v>
      </c>
      <c r="N8" s="735">
        <v>0</v>
      </c>
      <c r="O8" s="408">
        <v>0.4</v>
      </c>
      <c r="P8" s="407"/>
      <c r="Q8" s="407"/>
      <c r="R8" s="400">
        <f t="shared" si="1"/>
        <v>0.4</v>
      </c>
      <c r="S8" s="400">
        <f t="shared" si="2"/>
        <v>1.4</v>
      </c>
      <c r="T8" s="402">
        <f>+(M8/G8)</f>
        <v>1</v>
      </c>
      <c r="U8" s="403">
        <f t="shared" si="3"/>
        <v>0.4</v>
      </c>
      <c r="V8" s="403">
        <f>+T8*E8</f>
        <v>0.2</v>
      </c>
      <c r="W8" s="403">
        <f t="shared" ref="W8:W48" si="6">+U8*E8</f>
        <v>8.0000000000000016E-2</v>
      </c>
      <c r="X8" s="403">
        <f>+M8/F8</f>
        <v>0.2</v>
      </c>
      <c r="Y8" s="403">
        <f t="shared" si="4"/>
        <v>0.27999999999999997</v>
      </c>
      <c r="Z8" s="403">
        <f>+X8*E8</f>
        <v>4.0000000000000008E-2</v>
      </c>
      <c r="AA8" s="403">
        <f t="shared" si="0"/>
        <v>5.5999999999999994E-2</v>
      </c>
      <c r="AB8" s="732" t="s">
        <v>43</v>
      </c>
      <c r="AC8" s="828" t="s">
        <v>468</v>
      </c>
      <c r="AD8" s="829" t="s">
        <v>38</v>
      </c>
      <c r="AE8" s="765" t="s">
        <v>469</v>
      </c>
      <c r="AF8" s="381"/>
    </row>
    <row r="9" spans="1:112" ht="122.45" customHeight="1" thickBot="1" x14ac:dyDescent="0.35">
      <c r="A9" s="385"/>
      <c r="B9" s="1072" t="s">
        <v>474</v>
      </c>
      <c r="C9" s="1070" t="s">
        <v>475</v>
      </c>
      <c r="D9" s="438" t="s">
        <v>467</v>
      </c>
      <c r="E9" s="1259">
        <v>0.3</v>
      </c>
      <c r="F9" s="395">
        <v>15</v>
      </c>
      <c r="G9" s="396">
        <v>2</v>
      </c>
      <c r="H9" s="397">
        <v>4</v>
      </c>
      <c r="I9" s="405">
        <f>+G9/F9</f>
        <v>0.13333333333333333</v>
      </c>
      <c r="J9" s="398">
        <f t="shared" si="5"/>
        <v>0.26666666666666666</v>
      </c>
      <c r="K9" s="406">
        <f>+(G9/F9)*E9</f>
        <v>0.04</v>
      </c>
      <c r="L9" s="406">
        <f t="shared" ref="L9:L11" si="7">+(H9/F9)*E9</f>
        <v>0.08</v>
      </c>
      <c r="M9" s="846">
        <v>1</v>
      </c>
      <c r="N9" s="735">
        <v>1</v>
      </c>
      <c r="O9" s="408">
        <v>1</v>
      </c>
      <c r="P9" s="407"/>
      <c r="Q9" s="407"/>
      <c r="R9" s="400">
        <f t="shared" si="1"/>
        <v>2</v>
      </c>
      <c r="S9" s="400">
        <f t="shared" si="2"/>
        <v>3</v>
      </c>
      <c r="T9" s="402">
        <f>+(M9/G9)</f>
        <v>0.5</v>
      </c>
      <c r="U9" s="403">
        <f t="shared" si="3"/>
        <v>0.5</v>
      </c>
      <c r="V9" s="403">
        <f>+T9*E9</f>
        <v>0.15</v>
      </c>
      <c r="W9" s="403">
        <f t="shared" si="6"/>
        <v>0.15</v>
      </c>
      <c r="X9" s="403">
        <f>+M9/F9</f>
        <v>6.6666666666666666E-2</v>
      </c>
      <c r="Y9" s="403">
        <f t="shared" si="4"/>
        <v>0.2</v>
      </c>
      <c r="Z9" s="403">
        <f>+X9*E9</f>
        <v>0.02</v>
      </c>
      <c r="AA9" s="403">
        <f t="shared" si="0"/>
        <v>0.06</v>
      </c>
      <c r="AB9" s="732" t="s">
        <v>43</v>
      </c>
      <c r="AC9" s="828" t="s">
        <v>468</v>
      </c>
      <c r="AD9" s="829" t="s">
        <v>38</v>
      </c>
      <c r="AE9" s="765" t="s">
        <v>469</v>
      </c>
      <c r="AF9" s="381"/>
    </row>
    <row r="10" spans="1:112" ht="122.45" customHeight="1" thickBot="1" x14ac:dyDescent="0.35">
      <c r="A10" s="385"/>
      <c r="B10" s="1072" t="s">
        <v>476</v>
      </c>
      <c r="C10" s="1070" t="s">
        <v>477</v>
      </c>
      <c r="D10" s="438" t="s">
        <v>467</v>
      </c>
      <c r="E10" s="1259">
        <v>0.2</v>
      </c>
      <c r="F10" s="395">
        <v>80</v>
      </c>
      <c r="G10" s="396">
        <v>8</v>
      </c>
      <c r="H10" s="397">
        <v>22</v>
      </c>
      <c r="I10" s="405">
        <f>+G10/F10</f>
        <v>0.1</v>
      </c>
      <c r="J10" s="398">
        <f>+H10/F10</f>
        <v>0.27500000000000002</v>
      </c>
      <c r="K10" s="406">
        <f>+(G10/F10)*E10</f>
        <v>2.0000000000000004E-2</v>
      </c>
      <c r="L10" s="406">
        <f t="shared" si="7"/>
        <v>5.5000000000000007E-2</v>
      </c>
      <c r="M10" s="846">
        <v>10</v>
      </c>
      <c r="N10" s="735">
        <v>10</v>
      </c>
      <c r="O10" s="408">
        <v>0</v>
      </c>
      <c r="P10" s="407"/>
      <c r="Q10" s="407"/>
      <c r="R10" s="400">
        <f t="shared" si="1"/>
        <v>10</v>
      </c>
      <c r="S10" s="400">
        <f t="shared" si="2"/>
        <v>20</v>
      </c>
      <c r="T10" s="402">
        <v>1</v>
      </c>
      <c r="U10" s="403">
        <f t="shared" si="3"/>
        <v>0.45454545454545453</v>
      </c>
      <c r="V10" s="403">
        <f>+T10*E10</f>
        <v>0.2</v>
      </c>
      <c r="W10" s="403">
        <f t="shared" si="6"/>
        <v>9.0909090909090912E-2</v>
      </c>
      <c r="X10" s="403">
        <f>+M10/F10</f>
        <v>0.125</v>
      </c>
      <c r="Y10" s="403">
        <f t="shared" si="4"/>
        <v>0.25</v>
      </c>
      <c r="Z10" s="403">
        <f>+X10*E10</f>
        <v>2.5000000000000001E-2</v>
      </c>
      <c r="AA10" s="403">
        <f t="shared" si="0"/>
        <v>0.05</v>
      </c>
      <c r="AB10" s="732" t="s">
        <v>43</v>
      </c>
      <c r="AC10" s="828" t="s">
        <v>468</v>
      </c>
      <c r="AD10" s="829" t="s">
        <v>38</v>
      </c>
      <c r="AE10" s="765" t="s">
        <v>469</v>
      </c>
      <c r="AF10" s="381"/>
    </row>
    <row r="11" spans="1:112" ht="122.45" customHeight="1" thickBot="1" x14ac:dyDescent="0.35">
      <c r="A11" s="385"/>
      <c r="B11" s="1072" t="s">
        <v>478</v>
      </c>
      <c r="C11" s="1070" t="s">
        <v>479</v>
      </c>
      <c r="D11" s="438" t="s">
        <v>467</v>
      </c>
      <c r="E11" s="1259">
        <v>0.1</v>
      </c>
      <c r="F11" s="395">
        <v>1000</v>
      </c>
      <c r="G11" s="396">
        <v>160</v>
      </c>
      <c r="H11" s="397">
        <v>255</v>
      </c>
      <c r="I11" s="405">
        <f>+G11/F11</f>
        <v>0.16</v>
      </c>
      <c r="J11" s="398">
        <f t="shared" si="5"/>
        <v>0.255</v>
      </c>
      <c r="K11" s="406">
        <f>+(G11/F11)*E11</f>
        <v>1.6E-2</v>
      </c>
      <c r="L11" s="406">
        <f t="shared" si="7"/>
        <v>2.5500000000000002E-2</v>
      </c>
      <c r="M11" s="846">
        <v>89</v>
      </c>
      <c r="N11" s="735">
        <v>111</v>
      </c>
      <c r="O11" s="408">
        <v>75</v>
      </c>
      <c r="P11" s="407"/>
      <c r="Q11" s="407"/>
      <c r="R11" s="400">
        <f t="shared" si="1"/>
        <v>186</v>
      </c>
      <c r="S11" s="400">
        <f t="shared" si="2"/>
        <v>275</v>
      </c>
      <c r="T11" s="402">
        <f>+(M11/G11)</f>
        <v>0.55625000000000002</v>
      </c>
      <c r="U11" s="403">
        <f t="shared" si="3"/>
        <v>0.72941176470588232</v>
      </c>
      <c r="V11" s="403">
        <f>+T11*E11</f>
        <v>5.5625000000000008E-2</v>
      </c>
      <c r="W11" s="403">
        <f t="shared" si="6"/>
        <v>7.2941176470588232E-2</v>
      </c>
      <c r="X11" s="403">
        <f>+M11/F11</f>
        <v>8.8999999999999996E-2</v>
      </c>
      <c r="Y11" s="403">
        <f t="shared" si="4"/>
        <v>0.27500000000000002</v>
      </c>
      <c r="Z11" s="403">
        <f>+X11*E11</f>
        <v>8.8999999999999999E-3</v>
      </c>
      <c r="AA11" s="403">
        <f t="shared" si="0"/>
        <v>2.7500000000000004E-2</v>
      </c>
      <c r="AB11" s="732" t="s">
        <v>43</v>
      </c>
      <c r="AC11" s="828" t="s">
        <v>468</v>
      </c>
      <c r="AD11" s="829" t="s">
        <v>38</v>
      </c>
      <c r="AE11" s="765" t="s">
        <v>469</v>
      </c>
      <c r="AF11" s="381"/>
    </row>
    <row r="12" spans="1:112" ht="122.45" customHeight="1" thickBot="1" x14ac:dyDescent="0.4">
      <c r="A12" s="385"/>
      <c r="B12" s="1302" t="s">
        <v>480</v>
      </c>
      <c r="C12" s="1303"/>
      <c r="D12" s="386"/>
      <c r="E12" s="391">
        <v>0.02</v>
      </c>
      <c r="F12" s="410"/>
      <c r="G12" s="411"/>
      <c r="H12" s="392"/>
      <c r="I12" s="412">
        <f>+AVERAGE(I13:I14)</f>
        <v>0.33035714285714285</v>
      </c>
      <c r="J12" s="412">
        <f>+AVERAGE(J13:J14)</f>
        <v>0.43154761904761907</v>
      </c>
      <c r="K12" s="413">
        <f>+K13+K14</f>
        <v>0.33928571428571425</v>
      </c>
      <c r="L12" s="413">
        <f>+L13+L14</f>
        <v>0.47023809523809523</v>
      </c>
      <c r="M12" s="400"/>
      <c r="N12" s="414"/>
      <c r="O12" s="414"/>
      <c r="P12" s="414"/>
      <c r="Q12" s="414"/>
      <c r="R12" s="414"/>
      <c r="S12" s="414"/>
      <c r="T12" s="628">
        <f>+AVERAGE(T13:T15)</f>
        <v>0.76545415896074187</v>
      </c>
      <c r="U12" s="628">
        <f>+AVERAGE(U13:U14)</f>
        <v>0.7</v>
      </c>
      <c r="V12" s="436">
        <f>+(V13+V14)*E12</f>
        <v>1.4666666666666666E-2</v>
      </c>
      <c r="W12" s="436">
        <f>+(W13+W14)*E12</f>
        <v>1.2800000000000001E-2</v>
      </c>
      <c r="X12" s="393">
        <f>+AVERAGE(X13:X14)</f>
        <v>0.23511904761904762</v>
      </c>
      <c r="Y12" s="393">
        <f>+AVERAGE(Y13:Y14)</f>
        <v>0.48392857142857143</v>
      </c>
      <c r="Z12" s="393">
        <f>+(Z13+Z14)*E12</f>
        <v>5.261904761904761E-3</v>
      </c>
      <c r="AA12" s="393">
        <f>+(AA13+AA14)</f>
        <v>0.51214285714285712</v>
      </c>
      <c r="AB12" s="394"/>
      <c r="AC12" s="830"/>
      <c r="AD12" s="381"/>
      <c r="AE12" s="381"/>
      <c r="AF12" s="381"/>
    </row>
    <row r="13" spans="1:112" ht="122.45" customHeight="1" thickBot="1" x14ac:dyDescent="0.35">
      <c r="A13" s="385"/>
      <c r="B13" s="1072" t="s">
        <v>481</v>
      </c>
      <c r="C13" s="1070" t="s">
        <v>482</v>
      </c>
      <c r="D13" s="438" t="s">
        <v>467</v>
      </c>
      <c r="E13" s="1259">
        <v>0.6</v>
      </c>
      <c r="F13" s="395">
        <v>40</v>
      </c>
      <c r="G13" s="415">
        <v>15</v>
      </c>
      <c r="H13" s="416">
        <v>25</v>
      </c>
      <c r="I13" s="405">
        <f>+G13/F13</f>
        <v>0.375</v>
      </c>
      <c r="J13" s="405">
        <f t="shared" si="5"/>
        <v>0.625</v>
      </c>
      <c r="K13" s="406">
        <f>+(G13/F13)*E13</f>
        <v>0.22499999999999998</v>
      </c>
      <c r="L13" s="406">
        <f>+(H13/F13)*E13</f>
        <v>0.375</v>
      </c>
      <c r="M13" s="400">
        <v>15</v>
      </c>
      <c r="N13" s="735">
        <v>10</v>
      </c>
      <c r="O13" s="401">
        <v>0</v>
      </c>
      <c r="P13" s="400"/>
      <c r="Q13" s="400"/>
      <c r="R13" s="400">
        <f t="shared" ref="R13" si="8">+N13+O13+P13+Q13</f>
        <v>10</v>
      </c>
      <c r="S13" s="400">
        <f t="shared" ref="S13" si="9">+R13+M13</f>
        <v>25</v>
      </c>
      <c r="T13" s="402">
        <f>+(M13/G13)</f>
        <v>1</v>
      </c>
      <c r="U13" s="403">
        <f t="shared" si="3"/>
        <v>0.4</v>
      </c>
      <c r="V13" s="403">
        <f>+T13*E13</f>
        <v>0.6</v>
      </c>
      <c r="W13" s="403">
        <f t="shared" si="6"/>
        <v>0.24</v>
      </c>
      <c r="X13" s="403">
        <f>+M13/F13</f>
        <v>0.375</v>
      </c>
      <c r="Y13" s="403">
        <f t="shared" si="4"/>
        <v>0.625</v>
      </c>
      <c r="Z13" s="403">
        <f>+X13*E13</f>
        <v>0.22499999999999998</v>
      </c>
      <c r="AA13" s="403">
        <f>+Y13*E13</f>
        <v>0.375</v>
      </c>
      <c r="AB13" s="732" t="s">
        <v>43</v>
      </c>
      <c r="AC13" s="828" t="s">
        <v>483</v>
      </c>
      <c r="AD13" s="734" t="s">
        <v>38</v>
      </c>
      <c r="AE13" s="765" t="s">
        <v>469</v>
      </c>
      <c r="AF13" s="381"/>
    </row>
    <row r="14" spans="1:112" ht="172.15" customHeight="1" thickBot="1" x14ac:dyDescent="0.35">
      <c r="A14" s="385"/>
      <c r="B14" s="1072" t="s">
        <v>484</v>
      </c>
      <c r="C14" s="1070" t="s">
        <v>485</v>
      </c>
      <c r="D14" s="438" t="s">
        <v>467</v>
      </c>
      <c r="E14" s="1259">
        <v>0.4</v>
      </c>
      <c r="F14" s="395">
        <v>105</v>
      </c>
      <c r="G14" s="415">
        <v>30</v>
      </c>
      <c r="H14" s="416">
        <v>25</v>
      </c>
      <c r="I14" s="405">
        <f>+G14/F14</f>
        <v>0.2857142857142857</v>
      </c>
      <c r="J14" s="405">
        <f t="shared" si="5"/>
        <v>0.23809523809523808</v>
      </c>
      <c r="K14" s="406">
        <f>+(G14/F14)*E14</f>
        <v>0.11428571428571428</v>
      </c>
      <c r="L14" s="406">
        <f>+(H14/F14)*E14</f>
        <v>9.5238095238095233E-2</v>
      </c>
      <c r="M14" s="400">
        <v>10</v>
      </c>
      <c r="N14" s="735">
        <v>20</v>
      </c>
      <c r="O14" s="401">
        <v>6</v>
      </c>
      <c r="P14" s="400"/>
      <c r="Q14" s="400"/>
      <c r="R14" s="407">
        <f>+N14+O14+P14+Q14</f>
        <v>26</v>
      </c>
      <c r="S14" s="407">
        <f>+R14+M14</f>
        <v>36</v>
      </c>
      <c r="T14" s="402">
        <f>+(M14/G14)</f>
        <v>0.33333333333333331</v>
      </c>
      <c r="U14" s="403">
        <v>1</v>
      </c>
      <c r="V14" s="403">
        <f>+T14*E14</f>
        <v>0.13333333333333333</v>
      </c>
      <c r="W14" s="403">
        <f t="shared" si="6"/>
        <v>0.4</v>
      </c>
      <c r="X14" s="403">
        <f>+M14/F14</f>
        <v>9.5238095238095233E-2</v>
      </c>
      <c r="Y14" s="403">
        <f t="shared" si="4"/>
        <v>0.34285714285714286</v>
      </c>
      <c r="Z14" s="403">
        <f>+X14*E14</f>
        <v>3.8095238095238099E-2</v>
      </c>
      <c r="AA14" s="403">
        <f>+Y14*E14</f>
        <v>0.13714285714285715</v>
      </c>
      <c r="AB14" s="732" t="s">
        <v>43</v>
      </c>
      <c r="AC14" s="828" t="s">
        <v>486</v>
      </c>
      <c r="AD14" s="734" t="s">
        <v>38</v>
      </c>
      <c r="AE14" s="765" t="s">
        <v>469</v>
      </c>
      <c r="AF14" s="381"/>
    </row>
    <row r="15" spans="1:112" ht="122.45" customHeight="1" thickBot="1" x14ac:dyDescent="0.4">
      <c r="A15" s="385"/>
      <c r="B15" s="1302" t="s">
        <v>487</v>
      </c>
      <c r="C15" s="1303"/>
      <c r="D15" s="386"/>
      <c r="E15" s="391">
        <v>0.1</v>
      </c>
      <c r="F15" s="395"/>
      <c r="G15" s="411"/>
      <c r="H15" s="392"/>
      <c r="I15" s="412">
        <f>+AVERAGE(I16:I20)</f>
        <v>0.24305555555555555</v>
      </c>
      <c r="J15" s="412">
        <f>+AVERAGE(J16:J20)</f>
        <v>0.26562064156206416</v>
      </c>
      <c r="K15" s="413">
        <f>+K16+K17+K18+K19+K20</f>
        <v>0.22361111111111112</v>
      </c>
      <c r="L15" s="413">
        <f>+L16+L17+L18+L19+L20</f>
        <v>0.2536436541143654</v>
      </c>
      <c r="M15" s="400"/>
      <c r="N15" s="414"/>
      <c r="O15" s="414"/>
      <c r="P15" s="414"/>
      <c r="Q15" s="414"/>
      <c r="R15" s="414"/>
      <c r="S15" s="414"/>
      <c r="T15" s="628">
        <f>+AVERAGE(T16:T20)</f>
        <v>0.96302914354889246</v>
      </c>
      <c r="U15" s="628">
        <f>+AVERAGE(U16:U20)</f>
        <v>0.31291326521291118</v>
      </c>
      <c r="V15" s="436">
        <f>+(V16+V17+V18+V19+V20)*E15</f>
        <v>8.5862844786004616E-2</v>
      </c>
      <c r="W15" s="436">
        <f>+(W16+W17+W18+W19+W20)*E15</f>
        <v>4.498447122440042E-2</v>
      </c>
      <c r="X15" s="393">
        <f>+AVERAGE(X16:X20)</f>
        <v>0.24497534144277869</v>
      </c>
      <c r="Y15" s="393">
        <f>+AVERAGE(Y16:Y20)</f>
        <v>0.27357506142116461</v>
      </c>
      <c r="Z15" s="393">
        <f>+(Z16+Z17+Z18+Z19+Z20)*E15</f>
        <v>2.2443072307612263E-2</v>
      </c>
      <c r="AA15" s="393">
        <f>+(AA16+AA17+AA18+AA19+AA20)</f>
        <v>0.33562484506455142</v>
      </c>
      <c r="AB15" s="394"/>
      <c r="AC15" s="830"/>
      <c r="AD15" s="381"/>
      <c r="AE15" s="381"/>
      <c r="AF15" s="381"/>
    </row>
    <row r="16" spans="1:112" ht="122.45" customHeight="1" thickBot="1" x14ac:dyDescent="0.35">
      <c r="A16" s="385"/>
      <c r="B16" s="1146" t="s">
        <v>488</v>
      </c>
      <c r="C16" s="1071" t="s">
        <v>489</v>
      </c>
      <c r="D16" s="438" t="s">
        <v>467</v>
      </c>
      <c r="E16" s="1259">
        <v>0.1</v>
      </c>
      <c r="F16" s="395">
        <v>2390</v>
      </c>
      <c r="G16" s="415">
        <v>0</v>
      </c>
      <c r="H16" s="416">
        <v>585</v>
      </c>
      <c r="I16" s="405"/>
      <c r="J16" s="405">
        <f t="shared" si="5"/>
        <v>0.24476987447698745</v>
      </c>
      <c r="K16" s="406"/>
      <c r="L16" s="406">
        <f>+(H16/F16)*E16</f>
        <v>2.4476987447698745E-2</v>
      </c>
      <c r="M16" s="400"/>
      <c r="N16" s="735"/>
      <c r="O16" s="401"/>
      <c r="P16" s="400"/>
      <c r="Q16" s="400"/>
      <c r="R16" s="736">
        <f>+N16+O16+P16+Q16</f>
        <v>0</v>
      </c>
      <c r="S16" s="736">
        <f>+R16+M16</f>
        <v>0</v>
      </c>
      <c r="T16" s="417"/>
      <c r="U16" s="403">
        <v>0</v>
      </c>
      <c r="V16" s="403"/>
      <c r="W16" s="403">
        <f t="shared" si="6"/>
        <v>0</v>
      </c>
      <c r="X16" s="403"/>
      <c r="Y16" s="403">
        <v>0</v>
      </c>
      <c r="Z16" s="403"/>
      <c r="AA16" s="403">
        <f>+Y16*E16</f>
        <v>0</v>
      </c>
      <c r="AB16" s="732" t="s">
        <v>43</v>
      </c>
      <c r="AC16" s="827" t="s">
        <v>490</v>
      </c>
      <c r="AD16" s="827" t="s">
        <v>490</v>
      </c>
      <c r="AE16" s="765" t="s">
        <v>469</v>
      </c>
      <c r="AF16" s="381"/>
    </row>
    <row r="17" spans="1:32" ht="122.45" customHeight="1" thickBot="1" x14ac:dyDescent="0.35">
      <c r="A17" s="385"/>
      <c r="B17" s="1146" t="s">
        <v>491</v>
      </c>
      <c r="C17" s="1071" t="s">
        <v>492</v>
      </c>
      <c r="D17" s="797" t="s">
        <v>467</v>
      </c>
      <c r="E17" s="1259">
        <v>0.4</v>
      </c>
      <c r="F17" s="395">
        <f>106487*4</f>
        <v>425948</v>
      </c>
      <c r="G17" s="418">
        <v>106487</v>
      </c>
      <c r="H17" s="419">
        <v>106487</v>
      </c>
      <c r="I17" s="405">
        <f>+G17/F17</f>
        <v>0.25</v>
      </c>
      <c r="J17" s="405">
        <f t="shared" si="5"/>
        <v>0.25</v>
      </c>
      <c r="K17" s="406">
        <f>+(G17/F17)*E17</f>
        <v>0.1</v>
      </c>
      <c r="L17" s="406">
        <f t="shared" ref="L17:L48" si="10">+(H17/F17)*E17</f>
        <v>0.1</v>
      </c>
      <c r="M17" s="420">
        <v>100207</v>
      </c>
      <c r="N17" s="735">
        <v>101017</v>
      </c>
      <c r="O17" s="735">
        <v>106414</v>
      </c>
      <c r="P17" s="420"/>
      <c r="Q17" s="420"/>
      <c r="R17" s="421">
        <f t="shared" ref="R17:R20" si="11">+N17+O17+P17+Q17</f>
        <v>207431</v>
      </c>
      <c r="S17" s="421">
        <f t="shared" ref="S17:S20" si="12">+R17+M17</f>
        <v>307638</v>
      </c>
      <c r="T17" s="402">
        <f>+(M17/G17)</f>
        <v>0.94102566510466068</v>
      </c>
      <c r="U17" s="409">
        <f>+(O17/H17)*0.5</f>
        <v>0.49965723515546501</v>
      </c>
      <c r="V17" s="403">
        <f>+T17*E17</f>
        <v>0.37641026604186428</v>
      </c>
      <c r="W17" s="403">
        <f>+U17*E17</f>
        <v>0.19986289406218602</v>
      </c>
      <c r="X17" s="403">
        <f>+M17/F17</f>
        <v>0.23525641627616517</v>
      </c>
      <c r="Y17" s="1181">
        <f>+X17+((N17*0.0625)/G17) +((O17*0.0625)/G17)</f>
        <v>0.35700308488360083</v>
      </c>
      <c r="Z17" s="403">
        <f>+X17*E17</f>
        <v>9.4102566510466071E-2</v>
      </c>
      <c r="AA17" s="403">
        <f>+Y17*E17</f>
        <v>0.14280123395344033</v>
      </c>
      <c r="AB17" s="732" t="s">
        <v>43</v>
      </c>
      <c r="AC17" s="827" t="s">
        <v>493</v>
      </c>
      <c r="AD17" s="827" t="s">
        <v>490</v>
      </c>
      <c r="AE17" s="765" t="s">
        <v>469</v>
      </c>
      <c r="AF17" s="381"/>
    </row>
    <row r="18" spans="1:32" ht="122.45" customHeight="1" thickBot="1" x14ac:dyDescent="0.35">
      <c r="A18" s="385"/>
      <c r="B18" s="1146" t="s">
        <v>494</v>
      </c>
      <c r="C18" s="1147" t="s">
        <v>495</v>
      </c>
      <c r="D18" s="798" t="s">
        <v>467</v>
      </c>
      <c r="E18" s="1259">
        <v>0.2</v>
      </c>
      <c r="F18" s="395">
        <v>22000</v>
      </c>
      <c r="G18" s="418">
        <v>5500</v>
      </c>
      <c r="H18" s="419">
        <v>5500</v>
      </c>
      <c r="I18" s="405">
        <f>+G18/F18</f>
        <v>0.25</v>
      </c>
      <c r="J18" s="405">
        <f t="shared" si="5"/>
        <v>0.25</v>
      </c>
      <c r="K18" s="406">
        <f>+(G18/F18)*E18</f>
        <v>0.05</v>
      </c>
      <c r="L18" s="406">
        <f t="shared" si="10"/>
        <v>0.05</v>
      </c>
      <c r="M18" s="420">
        <v>5011</v>
      </c>
      <c r="N18" s="735">
        <v>1787</v>
      </c>
      <c r="O18" s="1182">
        <v>1100</v>
      </c>
      <c r="P18" s="421"/>
      <c r="Q18" s="421"/>
      <c r="R18" s="421">
        <f>+N18</f>
        <v>1787</v>
      </c>
      <c r="S18" s="421">
        <f t="shared" si="12"/>
        <v>6798</v>
      </c>
      <c r="T18" s="402">
        <f>+(M18/G18)</f>
        <v>0.91109090909090906</v>
      </c>
      <c r="U18" s="403">
        <f>+R18/H18</f>
        <v>0.32490909090909093</v>
      </c>
      <c r="V18" s="403">
        <f>+T18*E18</f>
        <v>0.18221818181818183</v>
      </c>
      <c r="W18" s="403">
        <f t="shared" si="6"/>
        <v>6.4981818181818182E-2</v>
      </c>
      <c r="X18" s="403">
        <f>+M18/F18</f>
        <v>0.22777272727272727</v>
      </c>
      <c r="Y18" s="403">
        <f t="shared" si="4"/>
        <v>0.309</v>
      </c>
      <c r="Z18" s="403">
        <f>+X18*E18</f>
        <v>4.5554545454545459E-2</v>
      </c>
      <c r="AA18" s="403">
        <f>+Y18*E18</f>
        <v>6.1800000000000001E-2</v>
      </c>
      <c r="AB18" s="732" t="s">
        <v>43</v>
      </c>
      <c r="AC18" s="828" t="s">
        <v>486</v>
      </c>
      <c r="AD18" s="380"/>
      <c r="AE18" s="765" t="s">
        <v>469</v>
      </c>
      <c r="AF18" s="381"/>
    </row>
    <row r="19" spans="1:32" ht="162.6" customHeight="1" thickBot="1" x14ac:dyDescent="0.35">
      <c r="A19" s="385"/>
      <c r="B19" s="1146" t="s">
        <v>496</v>
      </c>
      <c r="C19" s="1147" t="s">
        <v>497</v>
      </c>
      <c r="D19" s="799" t="s">
        <v>467</v>
      </c>
      <c r="E19" s="1259">
        <v>0.25</v>
      </c>
      <c r="F19" s="395">
        <v>40000</v>
      </c>
      <c r="G19" s="418">
        <v>10000</v>
      </c>
      <c r="H19" s="419">
        <v>10000</v>
      </c>
      <c r="I19" s="405">
        <f>+G19/F19</f>
        <v>0.25</v>
      </c>
      <c r="J19" s="405">
        <f t="shared" si="5"/>
        <v>0.25</v>
      </c>
      <c r="K19" s="406">
        <f>+(G19/F19)*E19</f>
        <v>6.25E-2</v>
      </c>
      <c r="L19" s="406">
        <f t="shared" si="10"/>
        <v>6.25E-2</v>
      </c>
      <c r="M19" s="420">
        <v>11786</v>
      </c>
      <c r="N19" s="735">
        <v>6000</v>
      </c>
      <c r="O19" s="1182">
        <v>1400</v>
      </c>
      <c r="P19" s="421"/>
      <c r="Q19" s="421"/>
      <c r="R19" s="420">
        <f t="shared" si="11"/>
        <v>7400</v>
      </c>
      <c r="S19" s="420">
        <f t="shared" si="12"/>
        <v>19186</v>
      </c>
      <c r="T19" s="402">
        <v>1</v>
      </c>
      <c r="U19" s="403">
        <f t="shared" si="3"/>
        <v>0.74</v>
      </c>
      <c r="V19" s="403">
        <f>+T19*E19</f>
        <v>0.25</v>
      </c>
      <c r="W19" s="403">
        <f t="shared" si="6"/>
        <v>0.185</v>
      </c>
      <c r="X19" s="403">
        <f>+M19/F19</f>
        <v>0.29465000000000002</v>
      </c>
      <c r="Y19" s="403">
        <f t="shared" si="4"/>
        <v>0.47965000000000002</v>
      </c>
      <c r="Z19" s="403">
        <f>+X19*E19</f>
        <v>7.3662500000000006E-2</v>
      </c>
      <c r="AA19" s="403">
        <f>+Y19*E19</f>
        <v>0.11991250000000001</v>
      </c>
      <c r="AB19" s="732" t="s">
        <v>43</v>
      </c>
      <c r="AC19" s="828" t="s">
        <v>486</v>
      </c>
      <c r="AD19" s="380"/>
      <c r="AE19" s="765" t="s">
        <v>469</v>
      </c>
      <c r="AF19" s="381"/>
    </row>
    <row r="20" spans="1:32" ht="122.45" customHeight="1" thickBot="1" x14ac:dyDescent="0.35">
      <c r="A20" s="385"/>
      <c r="B20" s="1146" t="s">
        <v>498</v>
      </c>
      <c r="C20" s="1147" t="s">
        <v>499</v>
      </c>
      <c r="D20" s="799" t="s">
        <v>467</v>
      </c>
      <c r="E20" s="1259">
        <v>0.05</v>
      </c>
      <c r="F20" s="395">
        <v>45</v>
      </c>
      <c r="G20" s="415">
        <v>10</v>
      </c>
      <c r="H20" s="416">
        <v>15</v>
      </c>
      <c r="I20" s="405">
        <f>+G20/F20</f>
        <v>0.22222222222222221</v>
      </c>
      <c r="J20" s="405">
        <f t="shared" si="5"/>
        <v>0.33333333333333331</v>
      </c>
      <c r="K20" s="406">
        <f>+(G20/F20)*E20</f>
        <v>1.1111111111111112E-2</v>
      </c>
      <c r="L20" s="406">
        <f t="shared" si="10"/>
        <v>1.6666666666666666E-2</v>
      </c>
      <c r="M20" s="422">
        <v>10</v>
      </c>
      <c r="N20" s="735">
        <v>0</v>
      </c>
      <c r="O20" s="401">
        <v>0</v>
      </c>
      <c r="P20" s="422"/>
      <c r="Q20" s="422"/>
      <c r="R20" s="422">
        <f t="shared" si="11"/>
        <v>0</v>
      </c>
      <c r="S20" s="422">
        <f t="shared" si="12"/>
        <v>10</v>
      </c>
      <c r="T20" s="402">
        <v>1</v>
      </c>
      <c r="U20" s="403">
        <f t="shared" si="3"/>
        <v>0</v>
      </c>
      <c r="V20" s="403">
        <f>+T20*E20</f>
        <v>0.05</v>
      </c>
      <c r="W20" s="403">
        <f t="shared" si="6"/>
        <v>0</v>
      </c>
      <c r="X20" s="403">
        <f>+M20/F20</f>
        <v>0.22222222222222221</v>
      </c>
      <c r="Y20" s="403">
        <f t="shared" si="4"/>
        <v>0.22222222222222221</v>
      </c>
      <c r="Z20" s="403">
        <f>+X20*E20</f>
        <v>1.1111111111111112E-2</v>
      </c>
      <c r="AA20" s="403">
        <f>+Y20*E20</f>
        <v>1.1111111111111112E-2</v>
      </c>
      <c r="AB20" s="732" t="s">
        <v>43</v>
      </c>
      <c r="AC20" s="828" t="s">
        <v>486</v>
      </c>
      <c r="AD20" s="380"/>
      <c r="AE20" s="765" t="s">
        <v>469</v>
      </c>
      <c r="AF20" s="381"/>
    </row>
    <row r="21" spans="1:32" ht="122.45" customHeight="1" thickBot="1" x14ac:dyDescent="0.4">
      <c r="A21" s="385"/>
      <c r="B21" s="1302" t="s">
        <v>500</v>
      </c>
      <c r="C21" s="1303"/>
      <c r="D21" s="800"/>
      <c r="E21" s="391">
        <v>0.1</v>
      </c>
      <c r="F21" s="395"/>
      <c r="G21" s="411"/>
      <c r="H21" s="392"/>
      <c r="I21" s="412">
        <f>+AVERAGE(I22:I28)</f>
        <v>0.28974632671496775</v>
      </c>
      <c r="J21" s="412">
        <f>+AVERAGE(J22:J28)</f>
        <v>0.22570672713529855</v>
      </c>
      <c r="K21" s="413">
        <f>+K22+K23+K24+K25+K26+K27+K28</f>
        <v>0.28333533359143115</v>
      </c>
      <c r="L21" s="413">
        <f>+L22+L23+L24+L25+L26+L27+L28</f>
        <v>0.22066402116402117</v>
      </c>
      <c r="M21" s="400"/>
      <c r="N21" s="414"/>
      <c r="O21" s="414"/>
      <c r="P21" s="414"/>
      <c r="Q21" s="414"/>
      <c r="R21" s="414"/>
      <c r="S21" s="414"/>
      <c r="T21" s="628">
        <f>+AVERAGE(T22:T28)</f>
        <v>0.8571428571428571</v>
      </c>
      <c r="U21" s="628">
        <f>+AVERAGE(U22:U28)</f>
        <v>0.64108323654665134</v>
      </c>
      <c r="V21" s="436">
        <f>+(V22+V23+V24+V25+V26+V27+V28)*E21</f>
        <v>7.5000000000000011E-2</v>
      </c>
      <c r="W21" s="436">
        <f>+(W22+W23+W24+W25+W26+W27+W28)*E21</f>
        <v>6.5694986449864504E-2</v>
      </c>
      <c r="X21" s="393">
        <f>+AVERAGE(X22:X28)</f>
        <v>0.38444241653300881</v>
      </c>
      <c r="Y21" s="393">
        <f>+AVERAGE(Y22:Y28)</f>
        <v>0.52611377504931511</v>
      </c>
      <c r="Z21" s="393">
        <f>+(Z22+Z23+Z24+Z25+Z26+Z27+Z28)*E21</f>
        <v>3.9090985933668859E-2</v>
      </c>
      <c r="AA21" s="393">
        <f>+(AA22+AA23+AA24+AA25+AA26+AA27+AA28)</f>
        <v>0.54348507871983487</v>
      </c>
      <c r="AB21" s="394"/>
      <c r="AC21" s="383"/>
      <c r="AD21" s="381"/>
      <c r="AE21" s="381"/>
      <c r="AF21" s="381"/>
    </row>
    <row r="22" spans="1:32" ht="122.45" customHeight="1" thickBot="1" x14ac:dyDescent="0.35">
      <c r="A22" s="385"/>
      <c r="B22" s="1146" t="s">
        <v>501</v>
      </c>
      <c r="C22" s="1147" t="s">
        <v>502</v>
      </c>
      <c r="D22" s="584" t="s">
        <v>467</v>
      </c>
      <c r="E22" s="1259">
        <v>0.1</v>
      </c>
      <c r="F22" s="395">
        <v>72</v>
      </c>
      <c r="G22" s="415">
        <v>48</v>
      </c>
      <c r="H22" s="416">
        <v>8</v>
      </c>
      <c r="I22" s="405">
        <f t="shared" ref="I22:I28" si="13">+G22/F22</f>
        <v>0.66666666666666663</v>
      </c>
      <c r="J22" s="405">
        <f t="shared" si="5"/>
        <v>0.1111111111111111</v>
      </c>
      <c r="K22" s="406">
        <f t="shared" ref="K22:K28" si="14">+(G22/F22)*E22</f>
        <v>6.6666666666666666E-2</v>
      </c>
      <c r="L22" s="406">
        <f t="shared" si="10"/>
        <v>1.1111111111111112E-2</v>
      </c>
      <c r="M22" s="400">
        <v>48</v>
      </c>
      <c r="N22" s="735">
        <v>0</v>
      </c>
      <c r="O22" s="401">
        <v>8</v>
      </c>
      <c r="P22" s="400"/>
      <c r="Q22" s="400"/>
      <c r="R22" s="400">
        <f t="shared" ref="R22:R28" si="15">+N22+O22+P22+Q22</f>
        <v>8</v>
      </c>
      <c r="S22" s="400">
        <f t="shared" ref="S22:S28" si="16">+R22+M22</f>
        <v>56</v>
      </c>
      <c r="T22" s="402">
        <v>1</v>
      </c>
      <c r="U22" s="403">
        <f t="shared" si="3"/>
        <v>1</v>
      </c>
      <c r="V22" s="403">
        <f t="shared" ref="V22:V28" si="17">+T22*E22</f>
        <v>0.1</v>
      </c>
      <c r="W22" s="403">
        <f t="shared" si="6"/>
        <v>0.1</v>
      </c>
      <c r="X22" s="403">
        <f t="shared" ref="X22:X28" si="18">+M22/F22</f>
        <v>0.66666666666666663</v>
      </c>
      <c r="Y22" s="403">
        <f t="shared" si="4"/>
        <v>0.77777777777777779</v>
      </c>
      <c r="Z22" s="403">
        <f t="shared" ref="Z22:Z28" si="19">+X22*E22</f>
        <v>6.6666666666666666E-2</v>
      </c>
      <c r="AA22" s="403">
        <f t="shared" ref="AA22:AA28" si="20">+Y22*E22</f>
        <v>7.7777777777777779E-2</v>
      </c>
      <c r="AB22" s="404" t="s">
        <v>43</v>
      </c>
      <c r="AC22" s="781" t="s">
        <v>486</v>
      </c>
      <c r="AD22" s="381"/>
      <c r="AE22" s="765" t="s">
        <v>469</v>
      </c>
      <c r="AF22" s="381"/>
    </row>
    <row r="23" spans="1:32" ht="122.45" customHeight="1" thickBot="1" x14ac:dyDescent="0.35">
      <c r="A23" s="385"/>
      <c r="B23" s="1146" t="s">
        <v>503</v>
      </c>
      <c r="C23" s="1147" t="s">
        <v>504</v>
      </c>
      <c r="D23" s="584" t="s">
        <v>467</v>
      </c>
      <c r="E23" s="1259">
        <v>0.15</v>
      </c>
      <c r="F23" s="395">
        <v>4</v>
      </c>
      <c r="G23" s="415">
        <v>2</v>
      </c>
      <c r="H23" s="416">
        <v>1</v>
      </c>
      <c r="I23" s="405">
        <f t="shared" si="13"/>
        <v>0.5</v>
      </c>
      <c r="J23" s="405">
        <f t="shared" si="5"/>
        <v>0.25</v>
      </c>
      <c r="K23" s="406">
        <f t="shared" si="14"/>
        <v>7.4999999999999997E-2</v>
      </c>
      <c r="L23" s="406">
        <f t="shared" si="10"/>
        <v>3.7499999999999999E-2</v>
      </c>
      <c r="M23" s="400">
        <v>3</v>
      </c>
      <c r="N23" s="735">
        <v>0</v>
      </c>
      <c r="O23" s="401">
        <v>0</v>
      </c>
      <c r="P23" s="400"/>
      <c r="Q23" s="400"/>
      <c r="R23" s="400">
        <f t="shared" si="15"/>
        <v>0</v>
      </c>
      <c r="S23" s="400">
        <f t="shared" si="16"/>
        <v>3</v>
      </c>
      <c r="T23" s="402">
        <v>1</v>
      </c>
      <c r="U23" s="403">
        <f t="shared" si="3"/>
        <v>0</v>
      </c>
      <c r="V23" s="403">
        <f t="shared" si="17"/>
        <v>0.15</v>
      </c>
      <c r="W23" s="403">
        <f t="shared" si="6"/>
        <v>0</v>
      </c>
      <c r="X23" s="403">
        <f t="shared" si="18"/>
        <v>0.75</v>
      </c>
      <c r="Y23" s="403">
        <f t="shared" si="4"/>
        <v>0.75</v>
      </c>
      <c r="Z23" s="403">
        <f t="shared" si="19"/>
        <v>0.11249999999999999</v>
      </c>
      <c r="AA23" s="403">
        <f t="shared" si="20"/>
        <v>0.11249999999999999</v>
      </c>
      <c r="AB23" s="404" t="s">
        <v>43</v>
      </c>
      <c r="AC23" s="733" t="s">
        <v>505</v>
      </c>
      <c r="AD23" s="381"/>
      <c r="AE23" s="765" t="s">
        <v>469</v>
      </c>
      <c r="AF23" s="381"/>
    </row>
    <row r="24" spans="1:32" ht="122.45" customHeight="1" thickBot="1" x14ac:dyDescent="0.35">
      <c r="A24" s="385"/>
      <c r="B24" s="1186" t="s">
        <v>506</v>
      </c>
      <c r="C24" s="1187" t="s">
        <v>507</v>
      </c>
      <c r="D24" s="801" t="s">
        <v>467</v>
      </c>
      <c r="E24" s="1259">
        <v>0.2</v>
      </c>
      <c r="F24" s="395">
        <v>27</v>
      </c>
      <c r="G24" s="415">
        <v>2</v>
      </c>
      <c r="H24" s="416">
        <v>2</v>
      </c>
      <c r="I24" s="405">
        <f t="shared" si="13"/>
        <v>7.407407407407407E-2</v>
      </c>
      <c r="J24" s="405">
        <f t="shared" si="5"/>
        <v>7.407407407407407E-2</v>
      </c>
      <c r="K24" s="406">
        <f t="shared" si="14"/>
        <v>1.4814814814814815E-2</v>
      </c>
      <c r="L24" s="406">
        <f t="shared" si="10"/>
        <v>1.4814814814814815E-2</v>
      </c>
      <c r="M24" s="400">
        <v>20</v>
      </c>
      <c r="N24" s="735">
        <v>5</v>
      </c>
      <c r="O24" s="401">
        <v>0</v>
      </c>
      <c r="P24" s="400"/>
      <c r="Q24" s="400"/>
      <c r="R24" s="400">
        <f t="shared" si="15"/>
        <v>5</v>
      </c>
      <c r="S24" s="400">
        <f t="shared" si="16"/>
        <v>25</v>
      </c>
      <c r="T24" s="402">
        <v>1</v>
      </c>
      <c r="U24" s="403">
        <v>1</v>
      </c>
      <c r="V24" s="403">
        <f t="shared" si="17"/>
        <v>0.2</v>
      </c>
      <c r="W24" s="403">
        <f t="shared" si="6"/>
        <v>0.2</v>
      </c>
      <c r="X24" s="403">
        <f t="shared" si="18"/>
        <v>0.7407407407407407</v>
      </c>
      <c r="Y24" s="403">
        <f t="shared" si="4"/>
        <v>0.92592592592592593</v>
      </c>
      <c r="Z24" s="403">
        <f t="shared" si="19"/>
        <v>0.14814814814814814</v>
      </c>
      <c r="AA24" s="403">
        <f t="shared" si="20"/>
        <v>0.1851851851851852</v>
      </c>
      <c r="AB24" s="404" t="s">
        <v>43</v>
      </c>
      <c r="AC24" s="734" t="s">
        <v>486</v>
      </c>
      <c r="AD24" s="381"/>
      <c r="AE24" s="765" t="s">
        <v>469</v>
      </c>
      <c r="AF24" s="381"/>
    </row>
    <row r="25" spans="1:32" ht="145.15" customHeight="1" thickBot="1" x14ac:dyDescent="0.35">
      <c r="A25" s="385"/>
      <c r="B25" s="1183" t="s">
        <v>508</v>
      </c>
      <c r="C25" s="1184" t="s">
        <v>509</v>
      </c>
      <c r="D25" s="584" t="s">
        <v>467</v>
      </c>
      <c r="E25" s="1259">
        <v>0.25</v>
      </c>
      <c r="F25" s="395">
        <v>4000</v>
      </c>
      <c r="G25" s="415">
        <v>1000</v>
      </c>
      <c r="H25" s="416">
        <v>1000</v>
      </c>
      <c r="I25" s="405">
        <f t="shared" si="13"/>
        <v>0.25</v>
      </c>
      <c r="J25" s="405">
        <f t="shared" si="5"/>
        <v>0.25</v>
      </c>
      <c r="K25" s="406">
        <f t="shared" si="14"/>
        <v>6.25E-2</v>
      </c>
      <c r="L25" s="406">
        <f t="shared" si="10"/>
        <v>6.25E-2</v>
      </c>
      <c r="M25" s="400">
        <v>0</v>
      </c>
      <c r="N25" s="735">
        <v>50</v>
      </c>
      <c r="O25" s="400">
        <v>422</v>
      </c>
      <c r="P25" s="400"/>
      <c r="Q25" s="400"/>
      <c r="R25" s="400">
        <f t="shared" si="15"/>
        <v>472</v>
      </c>
      <c r="S25" s="400">
        <f t="shared" si="16"/>
        <v>472</v>
      </c>
      <c r="T25" s="402">
        <f>+(M25/G25)</f>
        <v>0</v>
      </c>
      <c r="U25" s="403">
        <f t="shared" si="3"/>
        <v>0.47199999999999998</v>
      </c>
      <c r="V25" s="403">
        <f t="shared" si="17"/>
        <v>0</v>
      </c>
      <c r="W25" s="403">
        <f t="shared" si="6"/>
        <v>0.11799999999999999</v>
      </c>
      <c r="X25" s="403">
        <f t="shared" si="18"/>
        <v>0</v>
      </c>
      <c r="Y25" s="403">
        <f t="shared" si="4"/>
        <v>0.11799999999999999</v>
      </c>
      <c r="Z25" s="403">
        <f t="shared" si="19"/>
        <v>0</v>
      </c>
      <c r="AA25" s="403">
        <f t="shared" si="20"/>
        <v>2.9499999999999998E-2</v>
      </c>
      <c r="AB25" s="404" t="s">
        <v>43</v>
      </c>
      <c r="AC25" s="734" t="s">
        <v>486</v>
      </c>
      <c r="AD25" s="1185" t="s">
        <v>38</v>
      </c>
      <c r="AE25" s="827" t="s">
        <v>510</v>
      </c>
      <c r="AF25" s="380"/>
    </row>
    <row r="26" spans="1:32" ht="160.15" customHeight="1" thickBot="1" x14ac:dyDescent="0.35">
      <c r="A26" s="385"/>
      <c r="B26" s="1109" t="s">
        <v>511</v>
      </c>
      <c r="C26" s="1110" t="s">
        <v>512</v>
      </c>
      <c r="D26" s="584" t="s">
        <v>467</v>
      </c>
      <c r="E26" s="1259">
        <v>0.2</v>
      </c>
      <c r="F26" s="395">
        <v>3690</v>
      </c>
      <c r="G26" s="415">
        <v>922</v>
      </c>
      <c r="H26" s="416">
        <v>1230</v>
      </c>
      <c r="I26" s="405">
        <f t="shared" si="13"/>
        <v>0.24986449864498644</v>
      </c>
      <c r="J26" s="405">
        <f t="shared" si="5"/>
        <v>0.33333333333333331</v>
      </c>
      <c r="K26" s="406">
        <f t="shared" si="14"/>
        <v>4.9972899728997294E-2</v>
      </c>
      <c r="L26" s="406">
        <f t="shared" si="10"/>
        <v>6.6666666666666666E-2</v>
      </c>
      <c r="M26" s="400">
        <v>908</v>
      </c>
      <c r="N26" s="735">
        <v>481</v>
      </c>
      <c r="O26" s="400">
        <v>652</v>
      </c>
      <c r="P26" s="400"/>
      <c r="Q26" s="400"/>
      <c r="R26" s="400">
        <f t="shared" si="15"/>
        <v>1133</v>
      </c>
      <c r="S26" s="400">
        <f t="shared" si="16"/>
        <v>2041</v>
      </c>
      <c r="T26" s="402">
        <v>1</v>
      </c>
      <c r="U26" s="403">
        <f t="shared" si="3"/>
        <v>0.92113821138211383</v>
      </c>
      <c r="V26" s="403">
        <f t="shared" si="17"/>
        <v>0.2</v>
      </c>
      <c r="W26" s="403">
        <f t="shared" si="6"/>
        <v>0.18422764227642277</v>
      </c>
      <c r="X26" s="403">
        <f t="shared" si="18"/>
        <v>0.24607046070460706</v>
      </c>
      <c r="Y26" s="403">
        <f t="shared" si="4"/>
        <v>0.55311653116531168</v>
      </c>
      <c r="Z26" s="403">
        <f t="shared" si="19"/>
        <v>4.9214092140921414E-2</v>
      </c>
      <c r="AA26" s="403">
        <f t="shared" si="20"/>
        <v>0.11062330623306234</v>
      </c>
      <c r="AB26" s="404" t="s">
        <v>43</v>
      </c>
      <c r="AC26" s="734" t="s">
        <v>486</v>
      </c>
      <c r="AD26" s="734" t="s">
        <v>38</v>
      </c>
      <c r="AE26" s="827" t="s">
        <v>513</v>
      </c>
      <c r="AF26" s="381"/>
    </row>
    <row r="27" spans="1:32" ht="122.45" customHeight="1" thickBot="1" x14ac:dyDescent="0.35">
      <c r="A27" s="385"/>
      <c r="B27" s="1139" t="s">
        <v>514</v>
      </c>
      <c r="C27" s="1140" t="s">
        <v>515</v>
      </c>
      <c r="D27" s="801" t="s">
        <v>467</v>
      </c>
      <c r="E27" s="1259">
        <v>0.05</v>
      </c>
      <c r="F27" s="395">
        <v>8400</v>
      </c>
      <c r="G27" s="415">
        <v>400</v>
      </c>
      <c r="H27" s="416">
        <v>2700</v>
      </c>
      <c r="I27" s="405">
        <f t="shared" si="13"/>
        <v>4.7619047619047616E-2</v>
      </c>
      <c r="J27" s="405">
        <f t="shared" si="5"/>
        <v>0.32142857142857145</v>
      </c>
      <c r="K27" s="406">
        <f t="shared" si="14"/>
        <v>2.3809523809523812E-3</v>
      </c>
      <c r="L27" s="406">
        <f t="shared" si="10"/>
        <v>1.6071428571428573E-2</v>
      </c>
      <c r="M27" s="400">
        <v>400</v>
      </c>
      <c r="N27" s="735">
        <v>0</v>
      </c>
      <c r="O27" s="401">
        <v>255</v>
      </c>
      <c r="P27" s="400"/>
      <c r="Q27" s="400"/>
      <c r="R27" s="400">
        <f t="shared" si="15"/>
        <v>255</v>
      </c>
      <c r="S27" s="400">
        <f t="shared" si="16"/>
        <v>655</v>
      </c>
      <c r="T27" s="402">
        <v>1</v>
      </c>
      <c r="U27" s="403">
        <f t="shared" si="3"/>
        <v>9.4444444444444442E-2</v>
      </c>
      <c r="V27" s="403">
        <f t="shared" si="17"/>
        <v>0.05</v>
      </c>
      <c r="W27" s="403">
        <f t="shared" si="6"/>
        <v>4.7222222222222223E-3</v>
      </c>
      <c r="X27" s="403">
        <f t="shared" si="18"/>
        <v>4.7619047619047616E-2</v>
      </c>
      <c r="Y27" s="403">
        <f t="shared" si="4"/>
        <v>7.7976190476190477E-2</v>
      </c>
      <c r="Z27" s="403">
        <f t="shared" si="19"/>
        <v>2.3809523809523812E-3</v>
      </c>
      <c r="AA27" s="403">
        <f t="shared" si="20"/>
        <v>3.898809523809524E-3</v>
      </c>
      <c r="AB27" s="404" t="s">
        <v>43</v>
      </c>
      <c r="AC27" s="734" t="s">
        <v>486</v>
      </c>
      <c r="AD27" s="734" t="s">
        <v>38</v>
      </c>
      <c r="AE27" s="765" t="s">
        <v>469</v>
      </c>
      <c r="AF27" s="381"/>
    </row>
    <row r="28" spans="1:32" ht="122.45" customHeight="1" thickBot="1" x14ac:dyDescent="0.35">
      <c r="A28" s="385"/>
      <c r="B28" s="1168" t="s">
        <v>516</v>
      </c>
      <c r="C28" s="1169" t="s">
        <v>517</v>
      </c>
      <c r="D28" s="584" t="s">
        <v>467</v>
      </c>
      <c r="E28" s="1259">
        <v>0.05</v>
      </c>
      <c r="F28" s="395">
        <v>50</v>
      </c>
      <c r="G28" s="415">
        <v>12</v>
      </c>
      <c r="H28" s="416">
        <v>12</v>
      </c>
      <c r="I28" s="405">
        <f t="shared" si="13"/>
        <v>0.24</v>
      </c>
      <c r="J28" s="405">
        <f t="shared" si="5"/>
        <v>0.24</v>
      </c>
      <c r="K28" s="406">
        <f t="shared" si="14"/>
        <v>1.2E-2</v>
      </c>
      <c r="L28" s="406">
        <f t="shared" si="10"/>
        <v>1.2E-2</v>
      </c>
      <c r="M28" s="400">
        <v>12</v>
      </c>
      <c r="N28" s="735">
        <v>0</v>
      </c>
      <c r="O28" s="401">
        <v>12</v>
      </c>
      <c r="P28" s="400"/>
      <c r="Q28" s="400"/>
      <c r="R28" s="400">
        <f t="shared" si="15"/>
        <v>12</v>
      </c>
      <c r="S28" s="400">
        <f t="shared" si="16"/>
        <v>24</v>
      </c>
      <c r="T28" s="402">
        <v>1</v>
      </c>
      <c r="U28" s="403">
        <f t="shared" si="3"/>
        <v>1</v>
      </c>
      <c r="V28" s="403">
        <f t="shared" si="17"/>
        <v>0.05</v>
      </c>
      <c r="W28" s="403">
        <f t="shared" si="6"/>
        <v>0.05</v>
      </c>
      <c r="X28" s="403">
        <f t="shared" si="18"/>
        <v>0.24</v>
      </c>
      <c r="Y28" s="403">
        <f t="shared" si="4"/>
        <v>0.48</v>
      </c>
      <c r="Z28" s="403">
        <f t="shared" si="19"/>
        <v>1.2E-2</v>
      </c>
      <c r="AA28" s="403">
        <f t="shared" si="20"/>
        <v>2.4E-2</v>
      </c>
      <c r="AB28" s="404" t="s">
        <v>43</v>
      </c>
      <c r="AC28" s="734" t="s">
        <v>486</v>
      </c>
      <c r="AD28" s="381"/>
      <c r="AE28" s="765" t="s">
        <v>469</v>
      </c>
      <c r="AF28" s="381"/>
    </row>
    <row r="29" spans="1:32" ht="122.45" customHeight="1" thickBot="1" x14ac:dyDescent="0.4">
      <c r="A29" s="385"/>
      <c r="B29" s="1302" t="s">
        <v>518</v>
      </c>
      <c r="C29" s="1303"/>
      <c r="D29" s="796"/>
      <c r="E29" s="391">
        <v>0.05</v>
      </c>
      <c r="F29" s="410"/>
      <c r="G29" s="411"/>
      <c r="H29" s="392"/>
      <c r="I29" s="412">
        <f>+AVERAGE(I30:I33)</f>
        <v>0.15707666719467767</v>
      </c>
      <c r="J29" s="412">
        <f>+AVERAGE(J30:J33)</f>
        <v>0.26624623792174879</v>
      </c>
      <c r="K29" s="413">
        <f>+K30+K31+K32+K33</f>
        <v>0.14557658799303025</v>
      </c>
      <c r="L29" s="413">
        <f>+L30+L31+L32+L33</f>
        <v>0.263632583557738</v>
      </c>
      <c r="M29" s="400"/>
      <c r="N29" s="414"/>
      <c r="O29" s="414"/>
      <c r="P29" s="414"/>
      <c r="Q29" s="414"/>
      <c r="R29" s="414"/>
      <c r="S29" s="414"/>
      <c r="T29" s="628">
        <f>+AVERAGE(T30:T33)</f>
        <v>0.98</v>
      </c>
      <c r="U29" s="628">
        <f>+AVERAGE(U30:U33)</f>
        <v>1</v>
      </c>
      <c r="V29" s="436">
        <f>+(V30+V31+V32+V33)*E29</f>
        <v>4.9200000000000008E-2</v>
      </c>
      <c r="W29" s="436">
        <f>+(W30+W31+W32+W33)*E29</f>
        <v>0.05</v>
      </c>
      <c r="X29" s="393">
        <f>+AVERAGE(X30:X33)</f>
        <v>0.28525463329637252</v>
      </c>
      <c r="Y29" s="393">
        <f>+AVERAGE(Y30:Y33)</f>
        <v>0.600566291778869</v>
      </c>
      <c r="Z29" s="393">
        <f>+(Z30+Z31+Z32+Z33)*E29</f>
        <v>1.4958914145414224E-2</v>
      </c>
      <c r="AA29" s="393">
        <f>+(AA30+AA31+AA32+AA33)</f>
        <v>0.60206320291462057</v>
      </c>
      <c r="AB29" s="394"/>
      <c r="AC29" s="380"/>
      <c r="AD29" s="381"/>
      <c r="AE29" s="381"/>
      <c r="AF29" s="381"/>
    </row>
    <row r="30" spans="1:32" ht="160.15" customHeight="1" thickBot="1" x14ac:dyDescent="0.35">
      <c r="A30" s="385"/>
      <c r="B30" s="1146" t="s">
        <v>519</v>
      </c>
      <c r="C30" s="1147" t="s">
        <v>520</v>
      </c>
      <c r="D30" s="802" t="s">
        <v>467</v>
      </c>
      <c r="E30" s="1267">
        <v>0.25</v>
      </c>
      <c r="F30" s="395">
        <v>236</v>
      </c>
      <c r="G30" s="415">
        <v>10</v>
      </c>
      <c r="H30" s="416">
        <v>59</v>
      </c>
      <c r="I30" s="405">
        <f>+G30/F30</f>
        <v>4.2372881355932202E-2</v>
      </c>
      <c r="J30" s="405">
        <f t="shared" si="5"/>
        <v>0.25</v>
      </c>
      <c r="K30" s="406">
        <f>+(G30/F30)*E30</f>
        <v>1.059322033898305E-2</v>
      </c>
      <c r="L30" s="406">
        <f t="shared" si="10"/>
        <v>6.25E-2</v>
      </c>
      <c r="M30" s="400">
        <v>71</v>
      </c>
      <c r="N30" s="735">
        <v>59</v>
      </c>
      <c r="O30" s="401">
        <v>0</v>
      </c>
      <c r="P30" s="400"/>
      <c r="Q30" s="400"/>
      <c r="R30" s="400">
        <f t="shared" ref="R30:R33" si="21">+N30+O30+P30+Q30</f>
        <v>59</v>
      </c>
      <c r="S30" s="400">
        <f t="shared" ref="S30:S33" si="22">+R30+M30</f>
        <v>130</v>
      </c>
      <c r="T30" s="402">
        <v>1</v>
      </c>
      <c r="U30" s="403">
        <f t="shared" si="3"/>
        <v>1</v>
      </c>
      <c r="V30" s="403">
        <f>+T30*E30</f>
        <v>0.25</v>
      </c>
      <c r="W30" s="403">
        <f t="shared" si="6"/>
        <v>0.25</v>
      </c>
      <c r="X30" s="403">
        <f>+M30/F30</f>
        <v>0.30084745762711862</v>
      </c>
      <c r="Y30" s="403">
        <f t="shared" si="4"/>
        <v>0.55084745762711862</v>
      </c>
      <c r="Z30" s="403">
        <f>+X30*E30</f>
        <v>7.5211864406779655E-2</v>
      </c>
      <c r="AA30" s="403">
        <f>+Y30*E30</f>
        <v>0.13771186440677965</v>
      </c>
      <c r="AB30" s="404" t="s">
        <v>43</v>
      </c>
      <c r="AC30" s="734" t="s">
        <v>486</v>
      </c>
      <c r="AD30" s="734" t="s">
        <v>38</v>
      </c>
      <c r="AE30" s="765" t="s">
        <v>469</v>
      </c>
      <c r="AF30" s="381"/>
    </row>
    <row r="31" spans="1:32" ht="142.15" customHeight="1" thickBot="1" x14ac:dyDescent="0.35">
      <c r="A31" s="385"/>
      <c r="B31" s="1146" t="s">
        <v>521</v>
      </c>
      <c r="C31" s="1147" t="s">
        <v>522</v>
      </c>
      <c r="D31" s="802" t="s">
        <v>467</v>
      </c>
      <c r="E31" s="1267">
        <v>0.35</v>
      </c>
      <c r="F31" s="395">
        <v>59</v>
      </c>
      <c r="G31" s="415">
        <v>7</v>
      </c>
      <c r="H31" s="416">
        <v>15</v>
      </c>
      <c r="I31" s="405">
        <f>+G31/F31</f>
        <v>0.11864406779661017</v>
      </c>
      <c r="J31" s="405">
        <f t="shared" si="5"/>
        <v>0.25423728813559321</v>
      </c>
      <c r="K31" s="406">
        <f>+(G31/F31)*E31</f>
        <v>4.1525423728813557E-2</v>
      </c>
      <c r="L31" s="406">
        <f t="shared" si="10"/>
        <v>8.8983050847457612E-2</v>
      </c>
      <c r="M31" s="400">
        <v>22</v>
      </c>
      <c r="N31" s="735">
        <v>0</v>
      </c>
      <c r="O31" s="401">
        <v>15</v>
      </c>
      <c r="P31" s="400"/>
      <c r="Q31" s="400"/>
      <c r="R31" s="400">
        <f t="shared" si="21"/>
        <v>15</v>
      </c>
      <c r="S31" s="400">
        <f t="shared" si="22"/>
        <v>37</v>
      </c>
      <c r="T31" s="402">
        <v>1</v>
      </c>
      <c r="U31" s="403">
        <f t="shared" si="3"/>
        <v>1</v>
      </c>
      <c r="V31" s="403">
        <f>+T31*E31</f>
        <v>0.35</v>
      </c>
      <c r="W31" s="403">
        <f t="shared" si="6"/>
        <v>0.35</v>
      </c>
      <c r="X31" s="403">
        <f>+M31/F31</f>
        <v>0.3728813559322034</v>
      </c>
      <c r="Y31" s="403">
        <f t="shared" si="4"/>
        <v>0.6271186440677966</v>
      </c>
      <c r="Z31" s="403">
        <f>+X31*E31</f>
        <v>0.13050847457627118</v>
      </c>
      <c r="AA31" s="403">
        <f>+Y31*E31</f>
        <v>0.21949152542372879</v>
      </c>
      <c r="AB31" s="404" t="s">
        <v>43</v>
      </c>
      <c r="AC31" s="734" t="s">
        <v>486</v>
      </c>
      <c r="AD31" s="381"/>
      <c r="AE31" s="765" t="s">
        <v>469</v>
      </c>
      <c r="AF31" s="381"/>
    </row>
    <row r="32" spans="1:32" ht="122.45" customHeight="1" thickBot="1" x14ac:dyDescent="0.35">
      <c r="A32" s="385"/>
      <c r="B32" s="1146" t="s">
        <v>523</v>
      </c>
      <c r="C32" s="1147" t="s">
        <v>524</v>
      </c>
      <c r="D32" s="802" t="s">
        <v>467</v>
      </c>
      <c r="E32" s="1267">
        <v>0.2</v>
      </c>
      <c r="F32" s="395">
        <v>107</v>
      </c>
      <c r="G32" s="415">
        <v>25</v>
      </c>
      <c r="H32" s="416">
        <v>30</v>
      </c>
      <c r="I32" s="405">
        <f>+G32/F32</f>
        <v>0.23364485981308411</v>
      </c>
      <c r="J32" s="405">
        <f t="shared" si="5"/>
        <v>0.28037383177570091</v>
      </c>
      <c r="K32" s="406">
        <f>+(G32/F32)*E32</f>
        <v>4.6728971962616828E-2</v>
      </c>
      <c r="L32" s="406">
        <f t="shared" si="10"/>
        <v>5.6074766355140186E-2</v>
      </c>
      <c r="M32" s="422">
        <v>27</v>
      </c>
      <c r="N32" s="735">
        <v>21</v>
      </c>
      <c r="O32" s="401">
        <v>30</v>
      </c>
      <c r="P32" s="422"/>
      <c r="Q32" s="422"/>
      <c r="R32" s="422">
        <f t="shared" si="21"/>
        <v>51</v>
      </c>
      <c r="S32" s="422">
        <f t="shared" si="22"/>
        <v>78</v>
      </c>
      <c r="T32" s="402">
        <v>1</v>
      </c>
      <c r="U32" s="403">
        <v>1</v>
      </c>
      <c r="V32" s="403">
        <f>+T32*E32</f>
        <v>0.2</v>
      </c>
      <c r="W32" s="403">
        <f t="shared" si="6"/>
        <v>0.2</v>
      </c>
      <c r="X32" s="403">
        <f>+M32/F32</f>
        <v>0.25233644859813081</v>
      </c>
      <c r="Y32" s="403">
        <f t="shared" si="4"/>
        <v>0.7289719626168224</v>
      </c>
      <c r="Z32" s="403">
        <f>+X32*E32</f>
        <v>5.0467289719626163E-2</v>
      </c>
      <c r="AA32" s="403">
        <f>+Y32*E32</f>
        <v>0.14579439252336449</v>
      </c>
      <c r="AB32" s="404" t="s">
        <v>43</v>
      </c>
      <c r="AC32" s="734" t="s">
        <v>486</v>
      </c>
      <c r="AD32" s="381"/>
      <c r="AE32" s="765" t="s">
        <v>469</v>
      </c>
      <c r="AF32" s="381"/>
    </row>
    <row r="33" spans="1:32" ht="164.45" customHeight="1" thickBot="1" x14ac:dyDescent="0.35">
      <c r="A33" s="385"/>
      <c r="B33" s="1146" t="s">
        <v>525</v>
      </c>
      <c r="C33" s="1147" t="s">
        <v>526</v>
      </c>
      <c r="D33" s="802" t="s">
        <v>467</v>
      </c>
      <c r="E33" s="1267">
        <v>0.2</v>
      </c>
      <c r="F33" s="395">
        <v>107</v>
      </c>
      <c r="G33" s="415">
        <v>25</v>
      </c>
      <c r="H33" s="416">
        <v>30</v>
      </c>
      <c r="I33" s="405">
        <f>+G33/F33</f>
        <v>0.23364485981308411</v>
      </c>
      <c r="J33" s="405">
        <f t="shared" si="5"/>
        <v>0.28037383177570091</v>
      </c>
      <c r="K33" s="406">
        <f>+(G33/F33)*E33</f>
        <v>4.6728971962616828E-2</v>
      </c>
      <c r="L33" s="406">
        <f t="shared" si="10"/>
        <v>5.6074766355140186E-2</v>
      </c>
      <c r="M33" s="422">
        <v>23</v>
      </c>
      <c r="N33" s="735">
        <v>0</v>
      </c>
      <c r="O33" s="401">
        <v>30</v>
      </c>
      <c r="P33" s="422"/>
      <c r="Q33" s="422"/>
      <c r="R33" s="422">
        <f t="shared" si="21"/>
        <v>30</v>
      </c>
      <c r="S33" s="422">
        <f t="shared" si="22"/>
        <v>53</v>
      </c>
      <c r="T33" s="402">
        <f>+M33/G33</f>
        <v>0.92</v>
      </c>
      <c r="U33" s="403">
        <v>1</v>
      </c>
      <c r="V33" s="403">
        <f>+T33*E33</f>
        <v>0.18400000000000002</v>
      </c>
      <c r="W33" s="403">
        <f t="shared" si="6"/>
        <v>0.2</v>
      </c>
      <c r="X33" s="403">
        <f>+M33/F33</f>
        <v>0.21495327102803738</v>
      </c>
      <c r="Y33" s="403">
        <f t="shared" si="4"/>
        <v>0.49532710280373832</v>
      </c>
      <c r="Z33" s="403">
        <f>+X33*E33</f>
        <v>4.2990654205607479E-2</v>
      </c>
      <c r="AA33" s="403">
        <f>+Y33*E33</f>
        <v>9.9065420560747672E-2</v>
      </c>
      <c r="AB33" s="404" t="s">
        <v>43</v>
      </c>
      <c r="AC33" s="734" t="s">
        <v>486</v>
      </c>
      <c r="AD33" s="734" t="s">
        <v>38</v>
      </c>
      <c r="AE33" s="765" t="s">
        <v>469</v>
      </c>
      <c r="AF33" s="381"/>
    </row>
    <row r="34" spans="1:32" ht="122.45" customHeight="1" thickBot="1" x14ac:dyDescent="0.35">
      <c r="A34" s="385"/>
      <c r="B34" s="1292" t="s">
        <v>527</v>
      </c>
      <c r="C34" s="1293"/>
      <c r="D34" s="584"/>
      <c r="E34" s="391">
        <v>0.02</v>
      </c>
      <c r="F34" s="410"/>
      <c r="G34" s="411"/>
      <c r="H34" s="392"/>
      <c r="I34" s="412">
        <f>+AVERAGE(I35:I38)</f>
        <v>0.44396853146853149</v>
      </c>
      <c r="J34" s="412">
        <f>+AVERAGE(J35:J38)</f>
        <v>0.2717074592074592</v>
      </c>
      <c r="K34" s="413">
        <f>+K35+K36+K37+K38</f>
        <v>0.55517482517482519</v>
      </c>
      <c r="L34" s="413">
        <f>+L35+L36+L37+L38</f>
        <v>0.28403263403263401</v>
      </c>
      <c r="M34" s="400"/>
      <c r="N34" s="414"/>
      <c r="O34" s="414"/>
      <c r="P34" s="414"/>
      <c r="Q34" s="414"/>
      <c r="R34" s="414"/>
      <c r="S34" s="414"/>
      <c r="T34" s="628">
        <f>+AVERAGE(T35:T38)</f>
        <v>0.28083333333333332</v>
      </c>
      <c r="U34" s="628">
        <f>+AVERAGE(U35:U38)</f>
        <v>0.375</v>
      </c>
      <c r="V34" s="436">
        <f>+(V35+V36+V37+V38)*E34</f>
        <v>5.8266666666666666E-3</v>
      </c>
      <c r="W34" s="436">
        <f>+(W35+W36+W37+W38)*E34</f>
        <v>8.0000000000000002E-3</v>
      </c>
      <c r="X34" s="393">
        <f>+AVERAGE(X35:X38)</f>
        <v>0.14352564102564103</v>
      </c>
      <c r="Y34" s="393">
        <f>+AVERAGE(Y35:Y38)</f>
        <v>0.24288461538461539</v>
      </c>
      <c r="Z34" s="393">
        <f>+(Z35+Z36+Z37+Z38)*E34</f>
        <v>3.6297435897435898E-3</v>
      </c>
      <c r="AA34" s="393">
        <f>+(AA35+AA36+AA37+AA38)</f>
        <v>0.29430769230769233</v>
      </c>
      <c r="AB34" s="394"/>
      <c r="AC34" s="380"/>
      <c r="AD34" s="381"/>
      <c r="AE34" s="381"/>
      <c r="AF34" s="381"/>
    </row>
    <row r="35" spans="1:32" ht="248.45" customHeight="1" thickBot="1" x14ac:dyDescent="0.35">
      <c r="A35" s="385"/>
      <c r="B35" s="1146" t="s">
        <v>528</v>
      </c>
      <c r="C35" s="1147" t="s">
        <v>529</v>
      </c>
      <c r="D35" s="584" t="s">
        <v>467</v>
      </c>
      <c r="E35" s="1259">
        <v>0.2</v>
      </c>
      <c r="F35" s="395">
        <v>13</v>
      </c>
      <c r="G35" s="415">
        <v>4</v>
      </c>
      <c r="H35" s="416">
        <v>3</v>
      </c>
      <c r="I35" s="405">
        <f>+G35/F35</f>
        <v>0.30769230769230771</v>
      </c>
      <c r="J35" s="405">
        <f t="shared" si="5"/>
        <v>0.23076923076923078</v>
      </c>
      <c r="K35" s="406">
        <f>+(G35/F35)*E35</f>
        <v>6.1538461538461542E-2</v>
      </c>
      <c r="L35" s="406">
        <f t="shared" si="10"/>
        <v>4.6153846153846156E-2</v>
      </c>
      <c r="M35" s="400">
        <v>3</v>
      </c>
      <c r="N35" s="735">
        <v>0</v>
      </c>
      <c r="O35" s="401">
        <v>3</v>
      </c>
      <c r="P35" s="400"/>
      <c r="Q35" s="400"/>
      <c r="R35" s="400">
        <f t="shared" ref="R35:R38" si="23">+N35+O35+P35+Q35</f>
        <v>3</v>
      </c>
      <c r="S35" s="400">
        <f t="shared" ref="S35:S38" si="24">+R35+M35</f>
        <v>6</v>
      </c>
      <c r="T35" s="402">
        <f>+M35/G35</f>
        <v>0.75</v>
      </c>
      <c r="U35" s="403">
        <f t="shared" si="3"/>
        <v>1</v>
      </c>
      <c r="V35" s="403">
        <f>+T35*E35</f>
        <v>0.15000000000000002</v>
      </c>
      <c r="W35" s="403">
        <f t="shared" si="6"/>
        <v>0.2</v>
      </c>
      <c r="X35" s="403">
        <f>+M35/F35</f>
        <v>0.23076923076923078</v>
      </c>
      <c r="Y35" s="403">
        <f t="shared" si="4"/>
        <v>0.46153846153846156</v>
      </c>
      <c r="Z35" s="403">
        <f>+X35*E35</f>
        <v>4.6153846153846156E-2</v>
      </c>
      <c r="AA35" s="403">
        <f>+Y35*E35</f>
        <v>9.2307692307692313E-2</v>
      </c>
      <c r="AB35" s="404" t="s">
        <v>43</v>
      </c>
      <c r="AC35" s="734" t="s">
        <v>486</v>
      </c>
      <c r="AD35" s="734" t="s">
        <v>38</v>
      </c>
      <c r="AE35" s="765" t="s">
        <v>469</v>
      </c>
      <c r="AF35" s="381"/>
    </row>
    <row r="36" spans="1:32" ht="122.45" customHeight="1" thickBot="1" x14ac:dyDescent="0.35">
      <c r="A36" s="385"/>
      <c r="B36" s="1146" t="s">
        <v>530</v>
      </c>
      <c r="C36" s="1147" t="s">
        <v>531</v>
      </c>
      <c r="D36" s="584" t="s">
        <v>467</v>
      </c>
      <c r="E36" s="1259">
        <v>0.4</v>
      </c>
      <c r="F36" s="395">
        <v>6</v>
      </c>
      <c r="G36" s="415">
        <v>6</v>
      </c>
      <c r="H36" s="416">
        <v>2</v>
      </c>
      <c r="I36" s="405">
        <f>+G36/F36</f>
        <v>1</v>
      </c>
      <c r="J36" s="405">
        <f t="shared" si="5"/>
        <v>0.33333333333333331</v>
      </c>
      <c r="K36" s="406">
        <f>+(G36/F36)*E36</f>
        <v>0.4</v>
      </c>
      <c r="L36" s="406">
        <f t="shared" si="10"/>
        <v>0.13333333333333333</v>
      </c>
      <c r="M36" s="400">
        <v>2</v>
      </c>
      <c r="N36" s="735">
        <v>0</v>
      </c>
      <c r="O36" s="401">
        <v>1</v>
      </c>
      <c r="P36" s="400"/>
      <c r="Q36" s="400"/>
      <c r="R36" s="400">
        <f t="shared" si="23"/>
        <v>1</v>
      </c>
      <c r="S36" s="400">
        <f t="shared" si="24"/>
        <v>3</v>
      </c>
      <c r="T36" s="402">
        <f>+(M36/G36)</f>
        <v>0.33333333333333331</v>
      </c>
      <c r="U36" s="403">
        <f t="shared" si="3"/>
        <v>0.5</v>
      </c>
      <c r="V36" s="403">
        <f>+T36*E36</f>
        <v>0.13333333333333333</v>
      </c>
      <c r="W36" s="403">
        <f t="shared" si="6"/>
        <v>0.2</v>
      </c>
      <c r="X36" s="403">
        <f>+M36/F36</f>
        <v>0.33333333333333331</v>
      </c>
      <c r="Y36" s="403">
        <f t="shared" si="4"/>
        <v>0.5</v>
      </c>
      <c r="Z36" s="403">
        <f>+X36*E36</f>
        <v>0.13333333333333333</v>
      </c>
      <c r="AA36" s="403">
        <f>+Y36*E36</f>
        <v>0.2</v>
      </c>
      <c r="AB36" s="404" t="s">
        <v>43</v>
      </c>
      <c r="AC36" s="734" t="s">
        <v>486</v>
      </c>
      <c r="AD36" s="734" t="s">
        <v>38</v>
      </c>
      <c r="AE36" s="765" t="s">
        <v>469</v>
      </c>
      <c r="AF36" s="381"/>
    </row>
    <row r="37" spans="1:32" ht="166.15" customHeight="1" thickBot="1" x14ac:dyDescent="0.35">
      <c r="A37" s="385"/>
      <c r="B37" s="1146" t="s">
        <v>532</v>
      </c>
      <c r="C37" s="1147" t="s">
        <v>533</v>
      </c>
      <c r="D37" s="584" t="s">
        <v>467</v>
      </c>
      <c r="E37" s="1259">
        <v>0.2</v>
      </c>
      <c r="F37" s="395">
        <v>55</v>
      </c>
      <c r="G37" s="415">
        <v>12</v>
      </c>
      <c r="H37" s="416">
        <v>15</v>
      </c>
      <c r="I37" s="405">
        <f>+G37/F37</f>
        <v>0.21818181818181817</v>
      </c>
      <c r="J37" s="405">
        <f t="shared" si="5"/>
        <v>0.27272727272727271</v>
      </c>
      <c r="K37" s="406">
        <f>+(G37/F37)*E37</f>
        <v>4.363636363636364E-2</v>
      </c>
      <c r="L37" s="406">
        <f t="shared" si="10"/>
        <v>5.4545454545454543E-2</v>
      </c>
      <c r="M37" s="400">
        <v>0</v>
      </c>
      <c r="N37" s="735">
        <v>0</v>
      </c>
      <c r="O37" s="401">
        <v>0</v>
      </c>
      <c r="P37" s="400"/>
      <c r="Q37" s="400"/>
      <c r="R37" s="400">
        <f t="shared" si="23"/>
        <v>0</v>
      </c>
      <c r="S37" s="400">
        <f t="shared" si="24"/>
        <v>0</v>
      </c>
      <c r="T37" s="402">
        <f>+(M37/G37)</f>
        <v>0</v>
      </c>
      <c r="U37" s="403">
        <f t="shared" si="3"/>
        <v>0</v>
      </c>
      <c r="V37" s="403">
        <f>+T37*E37</f>
        <v>0</v>
      </c>
      <c r="W37" s="403">
        <f t="shared" si="6"/>
        <v>0</v>
      </c>
      <c r="X37" s="403">
        <f>+M37/F37</f>
        <v>0</v>
      </c>
      <c r="Y37" s="403">
        <f t="shared" si="4"/>
        <v>0</v>
      </c>
      <c r="Z37" s="403">
        <f>+X37*E37</f>
        <v>0</v>
      </c>
      <c r="AA37" s="403">
        <f>+Y37*E37</f>
        <v>0</v>
      </c>
      <c r="AB37" s="404" t="s">
        <v>43</v>
      </c>
      <c r="AC37" s="734" t="s">
        <v>486</v>
      </c>
      <c r="AD37" s="734" t="s">
        <v>38</v>
      </c>
      <c r="AE37" s="765" t="s">
        <v>469</v>
      </c>
      <c r="AF37" s="381"/>
    </row>
    <row r="38" spans="1:32" ht="122.45" customHeight="1" thickBot="1" x14ac:dyDescent="0.35">
      <c r="A38" s="385"/>
      <c r="B38" s="1146" t="s">
        <v>534</v>
      </c>
      <c r="C38" s="1147" t="s">
        <v>535</v>
      </c>
      <c r="D38" s="584" t="s">
        <v>467</v>
      </c>
      <c r="E38" s="1259">
        <v>0.2</v>
      </c>
      <c r="F38" s="395">
        <v>600</v>
      </c>
      <c r="G38" s="415">
        <v>150</v>
      </c>
      <c r="H38" s="416">
        <v>150</v>
      </c>
      <c r="I38" s="405">
        <f>+G38/F38</f>
        <v>0.25</v>
      </c>
      <c r="J38" s="405">
        <f t="shared" si="5"/>
        <v>0.25</v>
      </c>
      <c r="K38" s="406">
        <f>+(G38/F38)*E38</f>
        <v>0.05</v>
      </c>
      <c r="L38" s="406">
        <f t="shared" si="10"/>
        <v>0.05</v>
      </c>
      <c r="M38" s="400">
        <v>6</v>
      </c>
      <c r="N38" s="735">
        <v>0</v>
      </c>
      <c r="O38" s="401">
        <v>0</v>
      </c>
      <c r="P38" s="400"/>
      <c r="Q38" s="400"/>
      <c r="R38" s="400">
        <f t="shared" si="23"/>
        <v>0</v>
      </c>
      <c r="S38" s="400">
        <f t="shared" si="24"/>
        <v>6</v>
      </c>
      <c r="T38" s="402">
        <f>+(M38/G38)</f>
        <v>0.04</v>
      </c>
      <c r="U38" s="403">
        <f t="shared" si="3"/>
        <v>0</v>
      </c>
      <c r="V38" s="403">
        <f>+T38*E38</f>
        <v>8.0000000000000002E-3</v>
      </c>
      <c r="W38" s="403">
        <f t="shared" si="6"/>
        <v>0</v>
      </c>
      <c r="X38" s="423">
        <f>+M38/F38</f>
        <v>0.01</v>
      </c>
      <c r="Y38" s="403">
        <f t="shared" si="4"/>
        <v>0.01</v>
      </c>
      <c r="Z38" s="403">
        <f>+X38*E38</f>
        <v>2E-3</v>
      </c>
      <c r="AA38" s="403">
        <f>+Y38*E38</f>
        <v>2E-3</v>
      </c>
      <c r="AB38" s="404" t="s">
        <v>43</v>
      </c>
      <c r="AC38" s="734" t="s">
        <v>486</v>
      </c>
      <c r="AD38" s="734" t="s">
        <v>38</v>
      </c>
      <c r="AE38" s="765" t="s">
        <v>469</v>
      </c>
      <c r="AF38" s="381"/>
    </row>
    <row r="39" spans="1:32" ht="122.45" customHeight="1" thickBot="1" x14ac:dyDescent="0.4">
      <c r="A39" s="385"/>
      <c r="B39" s="1302" t="s">
        <v>536</v>
      </c>
      <c r="C39" s="1303"/>
      <c r="D39" s="803"/>
      <c r="E39" s="391">
        <v>0.05</v>
      </c>
      <c r="F39" s="410"/>
      <c r="G39" s="411"/>
      <c r="H39" s="392"/>
      <c r="I39" s="412">
        <f>+AVERAGE(I40:I42)</f>
        <v>0.40860215053763443</v>
      </c>
      <c r="J39" s="412">
        <f>+AVERAGE(J40:J42)</f>
        <v>0.19892473118279572</v>
      </c>
      <c r="K39" s="413">
        <f>+K40+K41+K42</f>
        <v>0.34516129032258069</v>
      </c>
      <c r="L39" s="413">
        <f>+L40+L41+L42</f>
        <v>0.21935483870967742</v>
      </c>
      <c r="M39" s="400"/>
      <c r="N39" s="414"/>
      <c r="O39" s="414"/>
      <c r="P39" s="414"/>
      <c r="Q39" s="414"/>
      <c r="R39" s="414"/>
      <c r="S39" s="414"/>
      <c r="T39" s="628">
        <f>+AVERAGE(T40:T42)</f>
        <v>0.53833285971393385</v>
      </c>
      <c r="U39" s="628">
        <f>+AVERAGE(U40:U42)</f>
        <v>0.80189258312020462</v>
      </c>
      <c r="V39" s="436">
        <f>+(V40+V41+V42)*E39</f>
        <v>2.2708297811878372E-2</v>
      </c>
      <c r="W39" s="436">
        <f>+(W40+W41+W42)*E39</f>
        <v>3.514194373401535E-2</v>
      </c>
      <c r="X39" s="393">
        <f>+AVERAGE(X40:X42)</f>
        <v>0.24342431409216325</v>
      </c>
      <c r="Y39" s="393">
        <f>+AVERAGE(Y40:Y42)</f>
        <v>0.70913043478260873</v>
      </c>
      <c r="Z39" s="393">
        <f>+(Z40+Z41+Z42)*E39</f>
        <v>9.3589740945466543E-3</v>
      </c>
      <c r="AA39" s="393">
        <f>+(AA40+AA41+AA42)</f>
        <v>0.56369565217391304</v>
      </c>
      <c r="AB39" s="394"/>
      <c r="AC39" s="380"/>
      <c r="AD39" s="381"/>
      <c r="AE39" s="381"/>
      <c r="AF39" s="381"/>
    </row>
    <row r="40" spans="1:32" ht="122.45" customHeight="1" thickBot="1" x14ac:dyDescent="0.35">
      <c r="A40" s="385"/>
      <c r="B40" s="1072" t="s">
        <v>537</v>
      </c>
      <c r="C40" s="1070" t="s">
        <v>538</v>
      </c>
      <c r="D40" s="438" t="s">
        <v>467</v>
      </c>
      <c r="E40" s="1259">
        <v>0.3</v>
      </c>
      <c r="F40" s="395">
        <v>600</v>
      </c>
      <c r="G40" s="415">
        <v>150</v>
      </c>
      <c r="H40" s="416">
        <v>150</v>
      </c>
      <c r="I40" s="405">
        <f>+G40/F40</f>
        <v>0.25</v>
      </c>
      <c r="J40" s="405">
        <f t="shared" si="5"/>
        <v>0.25</v>
      </c>
      <c r="K40" s="406">
        <f>+(G40/F40)*E40</f>
        <v>7.4999999999999997E-2</v>
      </c>
      <c r="L40" s="406">
        <f t="shared" si="10"/>
        <v>7.4999999999999997E-2</v>
      </c>
      <c r="M40" s="400">
        <v>200</v>
      </c>
      <c r="N40" s="735">
        <v>0</v>
      </c>
      <c r="O40" s="401">
        <v>509</v>
      </c>
      <c r="P40" s="400"/>
      <c r="Q40" s="400"/>
      <c r="R40" s="400">
        <f t="shared" ref="R40:R42" si="25">+N40+O40+P40+Q40</f>
        <v>509</v>
      </c>
      <c r="S40" s="400">
        <f t="shared" ref="S40:S42" si="26">+R40+M40</f>
        <v>709</v>
      </c>
      <c r="T40" s="402">
        <v>1</v>
      </c>
      <c r="U40" s="403">
        <v>1</v>
      </c>
      <c r="V40" s="403">
        <f>+T40*E40</f>
        <v>0.3</v>
      </c>
      <c r="W40" s="403">
        <f t="shared" si="6"/>
        <v>0.3</v>
      </c>
      <c r="X40" s="403">
        <f>+M40/F40</f>
        <v>0.33333333333333331</v>
      </c>
      <c r="Y40" s="403">
        <v>1</v>
      </c>
      <c r="Z40" s="403">
        <f>+X40*E40</f>
        <v>9.9999999999999992E-2</v>
      </c>
      <c r="AA40" s="403">
        <f>+Y40*E40</f>
        <v>0.3</v>
      </c>
      <c r="AB40" s="404" t="s">
        <v>43</v>
      </c>
      <c r="AC40" s="734" t="s">
        <v>486</v>
      </c>
      <c r="AD40" s="381"/>
      <c r="AE40" s="734" t="s">
        <v>539</v>
      </c>
      <c r="AF40" s="381"/>
    </row>
    <row r="41" spans="1:32" ht="122.45" customHeight="1" thickBot="1" x14ac:dyDescent="0.35">
      <c r="A41" s="385"/>
      <c r="B41" s="1072" t="s">
        <v>540</v>
      </c>
      <c r="C41" s="1070" t="s">
        <v>541</v>
      </c>
      <c r="D41" s="438" t="s">
        <v>467</v>
      </c>
      <c r="E41" s="1259">
        <v>0.5</v>
      </c>
      <c r="F41" s="395">
        <v>78200</v>
      </c>
      <c r="G41" s="415">
        <v>19550</v>
      </c>
      <c r="H41" s="416">
        <v>19550</v>
      </c>
      <c r="I41" s="405">
        <f>+G41/F41</f>
        <v>0.25</v>
      </c>
      <c r="J41" s="405">
        <f t="shared" si="5"/>
        <v>0.25</v>
      </c>
      <c r="K41" s="406">
        <f>+(G41/F41)*E41</f>
        <v>0.125</v>
      </c>
      <c r="L41" s="406">
        <f t="shared" si="10"/>
        <v>0.125</v>
      </c>
      <c r="M41" s="400">
        <v>2031</v>
      </c>
      <c r="N41" s="735">
        <v>0</v>
      </c>
      <c r="O41" s="401">
        <v>7931</v>
      </c>
      <c r="P41" s="400"/>
      <c r="Q41" s="400"/>
      <c r="R41" s="400">
        <f t="shared" si="25"/>
        <v>7931</v>
      </c>
      <c r="S41" s="400">
        <f t="shared" si="26"/>
        <v>9962</v>
      </c>
      <c r="T41" s="402">
        <f>+(M41/G41)</f>
        <v>0.10388746803069053</v>
      </c>
      <c r="U41" s="403">
        <f t="shared" si="3"/>
        <v>0.40567774936061379</v>
      </c>
      <c r="V41" s="403">
        <f>+T41*E41</f>
        <v>5.1943734015345265E-2</v>
      </c>
      <c r="W41" s="403">
        <f t="shared" si="6"/>
        <v>0.2028388746803069</v>
      </c>
      <c r="X41" s="403">
        <f>+M41/F41</f>
        <v>2.5971867007672633E-2</v>
      </c>
      <c r="Y41" s="403">
        <f t="shared" si="4"/>
        <v>0.12739130434782608</v>
      </c>
      <c r="Z41" s="403">
        <f>+X41*E41</f>
        <v>1.2985933503836316E-2</v>
      </c>
      <c r="AA41" s="403">
        <f>+Y41*E41</f>
        <v>6.3695652173913042E-2</v>
      </c>
      <c r="AB41" s="404" t="s">
        <v>43</v>
      </c>
      <c r="AC41" s="734" t="s">
        <v>486</v>
      </c>
      <c r="AD41" s="381"/>
      <c r="AE41" s="765" t="s">
        <v>469</v>
      </c>
      <c r="AF41" s="381"/>
    </row>
    <row r="42" spans="1:32" ht="122.45" customHeight="1" thickBot="1" x14ac:dyDescent="0.35">
      <c r="A42" s="385"/>
      <c r="B42" s="1072" t="s">
        <v>542</v>
      </c>
      <c r="C42" s="1070" t="s">
        <v>543</v>
      </c>
      <c r="D42" s="438" t="s">
        <v>467</v>
      </c>
      <c r="E42" s="1259">
        <v>0.2</v>
      </c>
      <c r="F42" s="395">
        <v>62</v>
      </c>
      <c r="G42" s="415">
        <v>45</v>
      </c>
      <c r="H42" s="416">
        <v>6</v>
      </c>
      <c r="I42" s="405">
        <f>+G42/F42</f>
        <v>0.72580645161290325</v>
      </c>
      <c r="J42" s="405">
        <f t="shared" si="5"/>
        <v>9.6774193548387094E-2</v>
      </c>
      <c r="K42" s="406">
        <f>+(G42/F42)*E42</f>
        <v>0.14516129032258066</v>
      </c>
      <c r="L42" s="406">
        <f t="shared" si="10"/>
        <v>1.935483870967742E-2</v>
      </c>
      <c r="M42" s="400">
        <v>23</v>
      </c>
      <c r="N42" s="735">
        <v>59</v>
      </c>
      <c r="O42" s="401">
        <v>5</v>
      </c>
      <c r="P42" s="400"/>
      <c r="Q42" s="400"/>
      <c r="R42" s="400">
        <f t="shared" si="25"/>
        <v>64</v>
      </c>
      <c r="S42" s="400">
        <f t="shared" si="26"/>
        <v>87</v>
      </c>
      <c r="T42" s="402">
        <f>+(M42/G42)</f>
        <v>0.51111111111111107</v>
      </c>
      <c r="U42" s="403">
        <v>1</v>
      </c>
      <c r="V42" s="403">
        <f>+T42*E42</f>
        <v>0.10222222222222221</v>
      </c>
      <c r="W42" s="403">
        <f t="shared" si="6"/>
        <v>0.2</v>
      </c>
      <c r="X42" s="403">
        <f>+M42/F42</f>
        <v>0.37096774193548387</v>
      </c>
      <c r="Y42" s="403">
        <v>1</v>
      </c>
      <c r="Z42" s="403">
        <f>+X42*E42</f>
        <v>7.4193548387096783E-2</v>
      </c>
      <c r="AA42" s="403">
        <f>+Y42*E42</f>
        <v>0.2</v>
      </c>
      <c r="AB42" s="404" t="s">
        <v>43</v>
      </c>
      <c r="AC42" s="734" t="s">
        <v>483</v>
      </c>
      <c r="AD42" s="734" t="s">
        <v>36</v>
      </c>
      <c r="AE42" s="734" t="s">
        <v>539</v>
      </c>
      <c r="AF42" s="381"/>
    </row>
    <row r="43" spans="1:32" ht="122.45" customHeight="1" thickBot="1" x14ac:dyDescent="0.35">
      <c r="A43" s="385"/>
      <c r="B43" s="1292" t="s">
        <v>544</v>
      </c>
      <c r="C43" s="1285"/>
      <c r="D43" s="438"/>
      <c r="E43" s="424">
        <v>0.02</v>
      </c>
      <c r="F43" s="395"/>
      <c r="G43" s="411"/>
      <c r="H43" s="392"/>
      <c r="I43" s="412">
        <f>+AVERAGE(I44:I48)</f>
        <v>0.40173750334135255</v>
      </c>
      <c r="J43" s="412">
        <f>+AVERAGE(J44:J48)</f>
        <v>0.22403635391606525</v>
      </c>
      <c r="K43" s="413">
        <f>+K44+K45+K46+K47+K48</f>
        <v>0.32804397219994652</v>
      </c>
      <c r="L43" s="413">
        <f>+L44+L45+L46+L47+L48</f>
        <v>0.24091753541833738</v>
      </c>
      <c r="M43" s="400"/>
      <c r="N43" s="414"/>
      <c r="O43" s="414"/>
      <c r="P43" s="414"/>
      <c r="Q43" s="414"/>
      <c r="R43" s="414"/>
      <c r="S43" s="414"/>
      <c r="T43" s="628">
        <f>+AVERAGE(T44:T48)</f>
        <v>0.45333333333333331</v>
      </c>
      <c r="U43" s="628">
        <f>+AVERAGE(U44:U48)</f>
        <v>0.4</v>
      </c>
      <c r="V43" s="436">
        <f>+(V44+V45+V46+V47+V48)*E43</f>
        <v>7.5333333333333329E-3</v>
      </c>
      <c r="W43" s="436">
        <f>+(W44+W45+W46+W47+W48)*E43</f>
        <v>8.0000000000000002E-3</v>
      </c>
      <c r="X43" s="393">
        <f>+AVERAGE(X44:X48)</f>
        <v>0.17229885057471264</v>
      </c>
      <c r="Y43" s="393">
        <f>+AVERAGE(Y44:Y48)</f>
        <v>0.43666666666666665</v>
      </c>
      <c r="Z43" s="393">
        <f>+(Z44+Z45+Z46+Z47+Z48)*E43</f>
        <v>2.7574712643678163E-3</v>
      </c>
      <c r="AA43" s="393">
        <f>+(AA44+AA45+AA46+AA47+AA48)</f>
        <v>0.36833333333333335</v>
      </c>
      <c r="AB43" s="394"/>
      <c r="AC43" s="380"/>
      <c r="AD43" s="381"/>
      <c r="AE43" s="381"/>
      <c r="AF43" s="381"/>
    </row>
    <row r="44" spans="1:32" ht="122.45" customHeight="1" thickBot="1" x14ac:dyDescent="0.35">
      <c r="A44" s="385"/>
      <c r="B44" s="1072" t="s">
        <v>545</v>
      </c>
      <c r="C44" s="1070" t="s">
        <v>546</v>
      </c>
      <c r="D44" s="438" t="s">
        <v>467</v>
      </c>
      <c r="E44" s="1259">
        <v>0.25</v>
      </c>
      <c r="F44" s="395">
        <v>87</v>
      </c>
      <c r="G44" s="415">
        <v>22</v>
      </c>
      <c r="H44" s="416">
        <v>23</v>
      </c>
      <c r="I44" s="405">
        <f>+G44/F44</f>
        <v>0.25287356321839083</v>
      </c>
      <c r="J44" s="405">
        <f t="shared" si="5"/>
        <v>0.26436781609195403</v>
      </c>
      <c r="K44" s="406">
        <f>+(G44/F44)*E44</f>
        <v>6.3218390804597707E-2</v>
      </c>
      <c r="L44" s="406">
        <f t="shared" si="10"/>
        <v>6.6091954022988508E-2</v>
      </c>
      <c r="M44" s="400">
        <v>30</v>
      </c>
      <c r="N44" s="731">
        <v>16</v>
      </c>
      <c r="O44" s="735">
        <v>12</v>
      </c>
      <c r="P44" s="400"/>
      <c r="Q44" s="400"/>
      <c r="R44" s="400">
        <f t="shared" ref="R44:R48" si="27">+N44+O44+P44+Q44</f>
        <v>28</v>
      </c>
      <c r="S44" s="400">
        <f t="shared" ref="S44:S48" si="28">+R44+M44</f>
        <v>58</v>
      </c>
      <c r="T44" s="402">
        <v>1</v>
      </c>
      <c r="U44" s="403">
        <v>1</v>
      </c>
      <c r="V44" s="403">
        <f>+T44*E44</f>
        <v>0.25</v>
      </c>
      <c r="W44" s="403">
        <f t="shared" si="6"/>
        <v>0.25</v>
      </c>
      <c r="X44" s="403">
        <f>+M44/F44</f>
        <v>0.34482758620689657</v>
      </c>
      <c r="Y44" s="403">
        <f t="shared" si="4"/>
        <v>0.66666666666666663</v>
      </c>
      <c r="Z44" s="403">
        <f>+X44*E44</f>
        <v>8.6206896551724144E-2</v>
      </c>
      <c r="AA44" s="403">
        <f>+Y44*E44</f>
        <v>0.16666666666666666</v>
      </c>
      <c r="AB44" s="404" t="s">
        <v>43</v>
      </c>
      <c r="AC44" s="734" t="s">
        <v>486</v>
      </c>
      <c r="AD44" s="734" t="s">
        <v>38</v>
      </c>
      <c r="AE44" s="734" t="s">
        <v>539</v>
      </c>
      <c r="AF44" s="381"/>
    </row>
    <row r="45" spans="1:32" ht="122.45" customHeight="1" thickBot="1" x14ac:dyDescent="0.35">
      <c r="A45" s="385"/>
      <c r="B45" s="1072" t="s">
        <v>547</v>
      </c>
      <c r="C45" s="1070" t="s">
        <v>548</v>
      </c>
      <c r="D45" s="438" t="s">
        <v>467</v>
      </c>
      <c r="E45" s="1259">
        <v>0.4</v>
      </c>
      <c r="F45" s="395">
        <v>86</v>
      </c>
      <c r="G45" s="415">
        <v>22</v>
      </c>
      <c r="H45" s="416">
        <v>22</v>
      </c>
      <c r="I45" s="405">
        <f>+G45/F45</f>
        <v>0.2558139534883721</v>
      </c>
      <c r="J45" s="405">
        <f t="shared" si="5"/>
        <v>0.2558139534883721</v>
      </c>
      <c r="K45" s="406">
        <f>+(G45/F45)*E45</f>
        <v>0.10232558139534885</v>
      </c>
      <c r="L45" s="406">
        <f t="shared" si="10"/>
        <v>0.10232558139534885</v>
      </c>
      <c r="M45" s="400">
        <v>0</v>
      </c>
      <c r="N45" s="735">
        <v>0</v>
      </c>
      <c r="O45" s="735">
        <v>0</v>
      </c>
      <c r="P45" s="400"/>
      <c r="Q45" s="400"/>
      <c r="R45" s="400">
        <f t="shared" si="27"/>
        <v>0</v>
      </c>
      <c r="S45" s="400">
        <f t="shared" si="28"/>
        <v>0</v>
      </c>
      <c r="T45" s="402">
        <f>+(M45/G45)</f>
        <v>0</v>
      </c>
      <c r="U45" s="403">
        <f t="shared" si="3"/>
        <v>0</v>
      </c>
      <c r="V45" s="403">
        <f>+T45*E45</f>
        <v>0</v>
      </c>
      <c r="W45" s="403">
        <f t="shared" si="6"/>
        <v>0</v>
      </c>
      <c r="X45" s="403">
        <f>+M45/F45</f>
        <v>0</v>
      </c>
      <c r="Y45" s="403">
        <f t="shared" si="4"/>
        <v>0</v>
      </c>
      <c r="Z45" s="403">
        <f>+X45*E45</f>
        <v>0</v>
      </c>
      <c r="AA45" s="403">
        <f>+Y45*E45</f>
        <v>0</v>
      </c>
      <c r="AB45" s="404" t="s">
        <v>43</v>
      </c>
      <c r="AC45" s="734" t="s">
        <v>486</v>
      </c>
      <c r="AD45" s="734" t="s">
        <v>38</v>
      </c>
      <c r="AE45" s="765" t="s">
        <v>469</v>
      </c>
      <c r="AF45" s="381"/>
    </row>
    <row r="46" spans="1:32" ht="122.45" customHeight="1" thickBot="1" x14ac:dyDescent="0.35">
      <c r="A46" s="385"/>
      <c r="B46" s="1146" t="s">
        <v>549</v>
      </c>
      <c r="C46" s="1071" t="s">
        <v>550</v>
      </c>
      <c r="D46" s="438" t="s">
        <v>467</v>
      </c>
      <c r="E46" s="1259">
        <v>0.15</v>
      </c>
      <c r="F46" s="395">
        <v>1</v>
      </c>
      <c r="G46" s="415">
        <v>0.25</v>
      </c>
      <c r="H46" s="416">
        <v>0.25</v>
      </c>
      <c r="I46" s="405">
        <f>+G46/F46</f>
        <v>0.25</v>
      </c>
      <c r="J46" s="405">
        <f t="shared" si="5"/>
        <v>0.25</v>
      </c>
      <c r="K46" s="406">
        <f>+(G46/F46)*E46</f>
        <v>3.7499999999999999E-2</v>
      </c>
      <c r="L46" s="406">
        <f t="shared" si="10"/>
        <v>3.7499999999999999E-2</v>
      </c>
      <c r="M46" s="400">
        <v>0</v>
      </c>
      <c r="N46" s="408">
        <v>0.25</v>
      </c>
      <c r="O46" s="401">
        <v>0.75</v>
      </c>
      <c r="P46" s="400"/>
      <c r="Q46" s="400"/>
      <c r="R46" s="400">
        <f t="shared" si="27"/>
        <v>1</v>
      </c>
      <c r="S46" s="400">
        <f t="shared" si="28"/>
        <v>1</v>
      </c>
      <c r="T46" s="402">
        <f>+(M46/G46)</f>
        <v>0</v>
      </c>
      <c r="U46" s="403">
        <v>1</v>
      </c>
      <c r="V46" s="403">
        <f>+T46*E46</f>
        <v>0</v>
      </c>
      <c r="W46" s="403">
        <f t="shared" si="6"/>
        <v>0.15</v>
      </c>
      <c r="X46" s="403">
        <f>+M46/F46</f>
        <v>0</v>
      </c>
      <c r="Y46" s="403">
        <f t="shared" si="4"/>
        <v>1</v>
      </c>
      <c r="Z46" s="403">
        <f>+X46*E46</f>
        <v>0</v>
      </c>
      <c r="AA46" s="403">
        <f>+Y46*E46</f>
        <v>0.15</v>
      </c>
      <c r="AB46" s="404" t="s">
        <v>43</v>
      </c>
      <c r="AC46" s="734" t="s">
        <v>486</v>
      </c>
      <c r="AD46" s="734" t="s">
        <v>38</v>
      </c>
      <c r="AE46" s="734" t="s">
        <v>539</v>
      </c>
      <c r="AF46" s="381"/>
    </row>
    <row r="47" spans="1:32" ht="122.45" customHeight="1" thickBot="1" x14ac:dyDescent="0.35">
      <c r="A47" s="385"/>
      <c r="B47" s="1146" t="s">
        <v>551</v>
      </c>
      <c r="C47" s="1071" t="s">
        <v>552</v>
      </c>
      <c r="D47" s="438" t="s">
        <v>467</v>
      </c>
      <c r="E47" s="1259">
        <v>0.1</v>
      </c>
      <c r="F47" s="395">
        <v>4</v>
      </c>
      <c r="G47" s="415">
        <v>1</v>
      </c>
      <c r="H47" s="416">
        <v>1</v>
      </c>
      <c r="I47" s="405">
        <f>+G47/F47</f>
        <v>0.25</v>
      </c>
      <c r="J47" s="405">
        <f t="shared" si="5"/>
        <v>0.25</v>
      </c>
      <c r="K47" s="406">
        <f>+(G47/F47)*E47</f>
        <v>2.5000000000000001E-2</v>
      </c>
      <c r="L47" s="406">
        <f t="shared" si="10"/>
        <v>2.5000000000000001E-2</v>
      </c>
      <c r="M47" s="400">
        <v>1</v>
      </c>
      <c r="N47" s="735">
        <v>0</v>
      </c>
      <c r="O47" s="735">
        <v>0</v>
      </c>
      <c r="P47" s="400"/>
      <c r="Q47" s="400"/>
      <c r="R47" s="400">
        <f t="shared" si="27"/>
        <v>0</v>
      </c>
      <c r="S47" s="400">
        <f t="shared" si="28"/>
        <v>1</v>
      </c>
      <c r="T47" s="402">
        <f>+(M47/G47)</f>
        <v>1</v>
      </c>
      <c r="U47" s="403">
        <f t="shared" si="3"/>
        <v>0</v>
      </c>
      <c r="V47" s="403">
        <f>+T47*E47</f>
        <v>0.1</v>
      </c>
      <c r="W47" s="403">
        <f t="shared" si="6"/>
        <v>0</v>
      </c>
      <c r="X47" s="403">
        <f>+M47/F47</f>
        <v>0.25</v>
      </c>
      <c r="Y47" s="403">
        <f t="shared" si="4"/>
        <v>0.25</v>
      </c>
      <c r="Z47" s="403">
        <f>+X47*E47</f>
        <v>2.5000000000000001E-2</v>
      </c>
      <c r="AA47" s="403">
        <f>+Y47*E47</f>
        <v>2.5000000000000001E-2</v>
      </c>
      <c r="AB47" s="404" t="s">
        <v>43</v>
      </c>
      <c r="AC47" s="734" t="s">
        <v>486</v>
      </c>
      <c r="AD47" s="734" t="s">
        <v>38</v>
      </c>
      <c r="AE47" s="765" t="s">
        <v>469</v>
      </c>
      <c r="AF47" s="381"/>
    </row>
    <row r="48" spans="1:32" ht="122.45" customHeight="1" thickBot="1" x14ac:dyDescent="0.35">
      <c r="A48" s="385"/>
      <c r="B48" s="1146" t="s">
        <v>553</v>
      </c>
      <c r="C48" s="1071" t="s">
        <v>554</v>
      </c>
      <c r="D48" s="438" t="s">
        <v>467</v>
      </c>
      <c r="E48" s="1259">
        <v>0.1</v>
      </c>
      <c r="F48" s="395">
        <v>30</v>
      </c>
      <c r="G48" s="415">
        <v>30</v>
      </c>
      <c r="H48" s="416">
        <v>3</v>
      </c>
      <c r="I48" s="405">
        <f>+G48/F48</f>
        <v>1</v>
      </c>
      <c r="J48" s="405">
        <f t="shared" si="5"/>
        <v>0.1</v>
      </c>
      <c r="K48" s="406">
        <f>+(G48/F48)*E48</f>
        <v>0.1</v>
      </c>
      <c r="L48" s="406">
        <f t="shared" si="10"/>
        <v>1.0000000000000002E-2</v>
      </c>
      <c r="M48" s="400">
        <v>8</v>
      </c>
      <c r="N48" s="735">
        <v>0</v>
      </c>
      <c r="O48" s="735">
        <v>0</v>
      </c>
      <c r="P48" s="400"/>
      <c r="Q48" s="400"/>
      <c r="R48" s="400">
        <f t="shared" si="27"/>
        <v>0</v>
      </c>
      <c r="S48" s="400">
        <f t="shared" si="28"/>
        <v>8</v>
      </c>
      <c r="T48" s="402">
        <f>+(M48/G48)</f>
        <v>0.26666666666666666</v>
      </c>
      <c r="U48" s="403">
        <f t="shared" si="3"/>
        <v>0</v>
      </c>
      <c r="V48" s="403">
        <f>+T48*E48</f>
        <v>2.6666666666666668E-2</v>
      </c>
      <c r="W48" s="403">
        <f t="shared" si="6"/>
        <v>0</v>
      </c>
      <c r="X48" s="403">
        <f>+M48/F48</f>
        <v>0.26666666666666666</v>
      </c>
      <c r="Y48" s="403">
        <f t="shared" si="4"/>
        <v>0.26666666666666666</v>
      </c>
      <c r="Z48" s="403">
        <f>+X48*E48</f>
        <v>2.6666666666666668E-2</v>
      </c>
      <c r="AA48" s="403">
        <f>+Y48*E48</f>
        <v>2.6666666666666668E-2</v>
      </c>
      <c r="AB48" s="404" t="s">
        <v>43</v>
      </c>
      <c r="AC48" s="733" t="s">
        <v>555</v>
      </c>
      <c r="AD48" s="734" t="s">
        <v>38</v>
      </c>
      <c r="AE48" s="765" t="s">
        <v>469</v>
      </c>
      <c r="AF48" s="381"/>
    </row>
    <row r="49" spans="1:32" ht="122.45" customHeight="1" thickBot="1" x14ac:dyDescent="0.35">
      <c r="A49" s="385"/>
      <c r="B49" s="1292" t="s">
        <v>556</v>
      </c>
      <c r="C49" s="1285"/>
      <c r="D49" s="438"/>
      <c r="E49" s="391">
        <v>0.02</v>
      </c>
      <c r="F49" s="410"/>
      <c r="G49" s="411"/>
      <c r="H49" s="392"/>
      <c r="I49" s="412"/>
      <c r="J49" s="412">
        <f>+AVERAGE(J50:J51)</f>
        <v>6.6666666666666666E-2</v>
      </c>
      <c r="K49" s="413"/>
      <c r="L49" s="413">
        <f>+L50+L51</f>
        <v>6.6666666666666666E-2</v>
      </c>
      <c r="M49" s="400"/>
      <c r="N49" s="737"/>
      <c r="O49" s="414"/>
      <c r="P49" s="414"/>
      <c r="Q49" s="414"/>
      <c r="R49" s="414"/>
      <c r="S49" s="414"/>
      <c r="T49" s="628"/>
      <c r="U49" s="436">
        <f>+AVERAGE(U50:U51)</f>
        <v>0</v>
      </c>
      <c r="V49" s="436"/>
      <c r="W49" s="436">
        <f>+(W50+W51)*E49</f>
        <v>0</v>
      </c>
      <c r="X49" s="393"/>
      <c r="Y49" s="393">
        <f>+AVERAGE(Y50:Y51)</f>
        <v>0</v>
      </c>
      <c r="Z49" s="393">
        <f>+(Z50+Z51)*E49</f>
        <v>0</v>
      </c>
      <c r="AA49" s="393">
        <f>+(AA50+AA51)</f>
        <v>0</v>
      </c>
      <c r="AB49" s="394"/>
      <c r="AC49" s="380"/>
      <c r="AD49" s="381"/>
      <c r="AE49" s="381"/>
      <c r="AF49" s="381"/>
    </row>
    <row r="50" spans="1:32" ht="122.45" customHeight="1" thickBot="1" x14ac:dyDescent="0.35">
      <c r="A50" s="385"/>
      <c r="B50" s="1072" t="s">
        <v>557</v>
      </c>
      <c r="C50" s="1070" t="s">
        <v>558</v>
      </c>
      <c r="D50" s="438" t="s">
        <v>467</v>
      </c>
      <c r="E50" s="1259">
        <v>0.5</v>
      </c>
      <c r="F50" s="395">
        <v>15</v>
      </c>
      <c r="G50" s="415"/>
      <c r="H50" s="416">
        <v>1</v>
      </c>
      <c r="I50" s="405"/>
      <c r="J50" s="405">
        <f>+H50/F50</f>
        <v>6.6666666666666666E-2</v>
      </c>
      <c r="K50" s="406"/>
      <c r="L50" s="406">
        <f>+(H50/F50)*E50</f>
        <v>3.3333333333333333E-2</v>
      </c>
      <c r="M50" s="400"/>
      <c r="N50" s="735">
        <v>0</v>
      </c>
      <c r="O50" s="401">
        <v>0</v>
      </c>
      <c r="P50" s="400"/>
      <c r="Q50" s="400"/>
      <c r="R50" s="400"/>
      <c r="S50" s="400">
        <f>+R50+M50</f>
        <v>0</v>
      </c>
      <c r="T50" s="402"/>
      <c r="U50" s="403">
        <f>+R50/H50</f>
        <v>0</v>
      </c>
      <c r="V50" s="403"/>
      <c r="W50" s="403">
        <f>+U50*E50</f>
        <v>0</v>
      </c>
      <c r="X50" s="403"/>
      <c r="Y50" s="403">
        <f>+S50/F50</f>
        <v>0</v>
      </c>
      <c r="Z50" s="403">
        <f>+X50*E50</f>
        <v>0</v>
      </c>
      <c r="AA50" s="403">
        <f>+Y50*E50</f>
        <v>0</v>
      </c>
      <c r="AB50" s="404" t="s">
        <v>43</v>
      </c>
      <c r="AC50" s="734" t="s">
        <v>486</v>
      </c>
      <c r="AD50" s="734" t="s">
        <v>38</v>
      </c>
      <c r="AE50" s="765" t="s">
        <v>469</v>
      </c>
      <c r="AF50" s="381"/>
    </row>
    <row r="51" spans="1:32" ht="122.45" customHeight="1" thickBot="1" x14ac:dyDescent="0.35">
      <c r="A51" s="385"/>
      <c r="B51" s="1072" t="s">
        <v>559</v>
      </c>
      <c r="C51" s="1070" t="s">
        <v>560</v>
      </c>
      <c r="D51" s="438" t="s">
        <v>467</v>
      </c>
      <c r="E51" s="1259">
        <v>0.5</v>
      </c>
      <c r="F51" s="395">
        <v>15</v>
      </c>
      <c r="G51" s="415"/>
      <c r="H51" s="416">
        <v>1</v>
      </c>
      <c r="I51" s="405"/>
      <c r="J51" s="405">
        <f t="shared" ref="J51:J90" si="29">+H51/F51</f>
        <v>6.6666666666666666E-2</v>
      </c>
      <c r="K51" s="406"/>
      <c r="L51" s="406">
        <f t="shared" ref="L51:L90" si="30">+(H51/F51)*E51</f>
        <v>3.3333333333333333E-2</v>
      </c>
      <c r="M51" s="400"/>
      <c r="N51" s="735">
        <v>0</v>
      </c>
      <c r="O51" s="401">
        <v>0</v>
      </c>
      <c r="P51" s="400"/>
      <c r="Q51" s="400"/>
      <c r="R51" s="400"/>
      <c r="S51" s="400">
        <f>+R51+M51</f>
        <v>0</v>
      </c>
      <c r="T51" s="402"/>
      <c r="U51" s="403">
        <f t="shared" ref="U51:U90" si="31">+R51/H51</f>
        <v>0</v>
      </c>
      <c r="V51" s="403"/>
      <c r="W51" s="403">
        <f t="shared" ref="W51:W90" si="32">+U51*E51</f>
        <v>0</v>
      </c>
      <c r="X51" s="403"/>
      <c r="Y51" s="403">
        <f t="shared" ref="Y51:Y90" si="33">+S51/F51</f>
        <v>0</v>
      </c>
      <c r="Z51" s="403">
        <f t="shared" ref="Z51" si="34">+X51*E51</f>
        <v>0</v>
      </c>
      <c r="AA51" s="403">
        <f>+Y51*E51</f>
        <v>0</v>
      </c>
      <c r="AB51" s="404" t="s">
        <v>43</v>
      </c>
      <c r="AC51" s="734" t="s">
        <v>486</v>
      </c>
      <c r="AD51" s="734" t="s">
        <v>38</v>
      </c>
      <c r="AE51" s="765" t="s">
        <v>469</v>
      </c>
      <c r="AF51" s="381"/>
    </row>
    <row r="52" spans="1:32" ht="122.45" customHeight="1" thickBot="1" x14ac:dyDescent="0.35">
      <c r="A52" s="385"/>
      <c r="B52" s="1292" t="s">
        <v>561</v>
      </c>
      <c r="C52" s="1285"/>
      <c r="D52" s="438"/>
      <c r="E52" s="391">
        <v>0.02</v>
      </c>
      <c r="F52" s="410"/>
      <c r="G52" s="411"/>
      <c r="H52" s="392"/>
      <c r="I52" s="412">
        <f>+AVERAGE(I53:I55)</f>
        <v>0.20288161993769471</v>
      </c>
      <c r="J52" s="412">
        <f>+AVERAGE(J53:J55)</f>
        <v>0.21845794392523366</v>
      </c>
      <c r="K52" s="413">
        <f>+K53+K54+K55</f>
        <v>0.18177570093457943</v>
      </c>
      <c r="L52" s="413">
        <f>+L53+L54+L55</f>
        <v>0.19813084112149532</v>
      </c>
      <c r="M52" s="400"/>
      <c r="N52" s="737"/>
      <c r="O52" s="414"/>
      <c r="P52" s="414"/>
      <c r="Q52" s="414"/>
      <c r="R52" s="414"/>
      <c r="S52" s="414"/>
      <c r="T52" s="628">
        <f>+AVERAGE(T53:T55)</f>
        <v>1</v>
      </c>
      <c r="U52" s="628">
        <f>+AVERAGE(U53:U55)</f>
        <v>0.5</v>
      </c>
      <c r="V52" s="436">
        <f>+(V53+V54+V55)*E52</f>
        <v>0.02</v>
      </c>
      <c r="W52" s="436">
        <f>+(W53+W54+W55)*E52</f>
        <v>1.3500000000000002E-2</v>
      </c>
      <c r="X52" s="393">
        <f>+AVERAGE(X53:X55)</f>
        <v>0.38465732087227411</v>
      </c>
      <c r="Y52" s="393">
        <f>+AVERAGE(Y53:Y55)</f>
        <v>0.55188629283489099</v>
      </c>
      <c r="Z52" s="393">
        <f>+(Z53+Z54+Z55)*E52</f>
        <v>7.6028037383177559E-3</v>
      </c>
      <c r="AA52" s="393">
        <f>+(AA53+AA54+AA55)</f>
        <v>0.60995560747663546</v>
      </c>
      <c r="AB52" s="394"/>
      <c r="AC52" s="380"/>
      <c r="AD52" s="381"/>
      <c r="AE52" s="381"/>
      <c r="AF52" s="381"/>
    </row>
    <row r="53" spans="1:32" ht="122.45" customHeight="1" thickBot="1" x14ac:dyDescent="0.35">
      <c r="A53" s="385"/>
      <c r="B53" s="1072" t="s">
        <v>562</v>
      </c>
      <c r="C53" s="1072" t="s">
        <v>563</v>
      </c>
      <c r="D53" s="438" t="s">
        <v>467</v>
      </c>
      <c r="E53" s="1259">
        <v>0.5</v>
      </c>
      <c r="F53" s="395">
        <v>2000</v>
      </c>
      <c r="G53" s="415">
        <v>250</v>
      </c>
      <c r="H53" s="416">
        <v>250</v>
      </c>
      <c r="I53" s="405">
        <f>+G53/F53</f>
        <v>0.125</v>
      </c>
      <c r="J53" s="405">
        <f t="shared" si="29"/>
        <v>0.125</v>
      </c>
      <c r="K53" s="406">
        <f>+(G53/F53)*E53</f>
        <v>6.25E-2</v>
      </c>
      <c r="L53" s="406">
        <f t="shared" si="30"/>
        <v>6.25E-2</v>
      </c>
      <c r="M53" s="400">
        <v>350</v>
      </c>
      <c r="N53" s="735">
        <v>0</v>
      </c>
      <c r="O53" s="401">
        <v>723</v>
      </c>
      <c r="P53" s="400"/>
      <c r="Q53" s="400"/>
      <c r="R53" s="400">
        <f t="shared" ref="R53:R55" si="35">+N53+O53+P53+Q53</f>
        <v>723</v>
      </c>
      <c r="S53" s="400">
        <f t="shared" ref="S53:S55" si="36">+R53+M53</f>
        <v>1073</v>
      </c>
      <c r="T53" s="402">
        <v>1</v>
      </c>
      <c r="U53" s="403">
        <v>1</v>
      </c>
      <c r="V53" s="403">
        <f>+T53*E53</f>
        <v>0.5</v>
      </c>
      <c r="W53" s="403">
        <f t="shared" si="32"/>
        <v>0.5</v>
      </c>
      <c r="X53" s="403">
        <f>+M53/F53</f>
        <v>0.17499999999999999</v>
      </c>
      <c r="Y53" s="403">
        <f t="shared" si="33"/>
        <v>0.53649999999999998</v>
      </c>
      <c r="Z53" s="403">
        <f>+X53*E53</f>
        <v>8.7499999999999994E-2</v>
      </c>
      <c r="AA53" s="403">
        <f>+Y53*E53</f>
        <v>0.26824999999999999</v>
      </c>
      <c r="AB53" s="404" t="s">
        <v>43</v>
      </c>
      <c r="AC53" s="734" t="s">
        <v>486</v>
      </c>
      <c r="AD53" s="734" t="s">
        <v>38</v>
      </c>
      <c r="AE53" s="765" t="s">
        <v>469</v>
      </c>
      <c r="AF53" s="381"/>
    </row>
    <row r="54" spans="1:32" ht="122.45" customHeight="1" thickBot="1" x14ac:dyDescent="0.35">
      <c r="A54" s="385"/>
      <c r="B54" s="1072" t="s">
        <v>564</v>
      </c>
      <c r="C54" s="1070" t="s">
        <v>565</v>
      </c>
      <c r="D54" s="438" t="s">
        <v>467</v>
      </c>
      <c r="E54" s="1259">
        <v>0.35</v>
      </c>
      <c r="F54" s="395">
        <v>107</v>
      </c>
      <c r="G54" s="415">
        <v>25</v>
      </c>
      <c r="H54" s="416">
        <v>30</v>
      </c>
      <c r="I54" s="405">
        <f>+G54/F54</f>
        <v>0.23364485981308411</v>
      </c>
      <c r="J54" s="405">
        <f t="shared" si="29"/>
        <v>0.28037383177570091</v>
      </c>
      <c r="K54" s="406">
        <f>+(G54/F54)*E54</f>
        <v>8.1775700934579434E-2</v>
      </c>
      <c r="L54" s="406">
        <f t="shared" si="30"/>
        <v>9.813084112149531E-2</v>
      </c>
      <c r="M54" s="400">
        <v>78</v>
      </c>
      <c r="N54" s="735">
        <v>0</v>
      </c>
      <c r="O54" s="401">
        <v>15</v>
      </c>
      <c r="P54" s="400"/>
      <c r="Q54" s="400"/>
      <c r="R54" s="400">
        <f t="shared" si="35"/>
        <v>15</v>
      </c>
      <c r="S54" s="400">
        <f t="shared" si="36"/>
        <v>93</v>
      </c>
      <c r="T54" s="402">
        <v>1</v>
      </c>
      <c r="U54" s="403">
        <f t="shared" si="31"/>
        <v>0.5</v>
      </c>
      <c r="V54" s="403">
        <f>+T54*E54</f>
        <v>0.35</v>
      </c>
      <c r="W54" s="403">
        <f t="shared" si="32"/>
        <v>0.17499999999999999</v>
      </c>
      <c r="X54" s="403">
        <f>+M54/F54</f>
        <v>0.7289719626168224</v>
      </c>
      <c r="Y54" s="403">
        <f t="shared" si="33"/>
        <v>0.86915887850467288</v>
      </c>
      <c r="Z54" s="403">
        <f>+X54*E54</f>
        <v>0.2551401869158878</v>
      </c>
      <c r="AA54" s="403">
        <f>+Y54*E54</f>
        <v>0.3042056074766355</v>
      </c>
      <c r="AB54" s="404" t="s">
        <v>43</v>
      </c>
      <c r="AC54" s="734" t="s">
        <v>486</v>
      </c>
      <c r="AD54" s="734" t="s">
        <v>38</v>
      </c>
      <c r="AE54" s="765" t="s">
        <v>469</v>
      </c>
      <c r="AF54" s="381"/>
    </row>
    <row r="55" spans="1:32" ht="122.45" customHeight="1" thickBot="1" x14ac:dyDescent="0.35">
      <c r="A55" s="385"/>
      <c r="B55" s="1072" t="s">
        <v>566</v>
      </c>
      <c r="C55" s="1070" t="s">
        <v>567</v>
      </c>
      <c r="D55" s="438" t="s">
        <v>467</v>
      </c>
      <c r="E55" s="1259">
        <v>0.15</v>
      </c>
      <c r="F55" s="395">
        <v>4</v>
      </c>
      <c r="G55" s="415">
        <v>1</v>
      </c>
      <c r="H55" s="416">
        <v>1</v>
      </c>
      <c r="I55" s="405">
        <f>+G55/F55</f>
        <v>0.25</v>
      </c>
      <c r="J55" s="405">
        <f t="shared" si="29"/>
        <v>0.25</v>
      </c>
      <c r="K55" s="406">
        <f>+(G55/F55)*E55</f>
        <v>3.7499999999999999E-2</v>
      </c>
      <c r="L55" s="406">
        <f t="shared" si="30"/>
        <v>3.7499999999999999E-2</v>
      </c>
      <c r="M55" s="400">
        <v>1</v>
      </c>
      <c r="N55" s="735">
        <v>0</v>
      </c>
      <c r="O55" s="401">
        <v>0</v>
      </c>
      <c r="P55" s="400"/>
      <c r="Q55" s="400"/>
      <c r="R55" s="400">
        <f t="shared" si="35"/>
        <v>0</v>
      </c>
      <c r="S55" s="400">
        <f t="shared" si="36"/>
        <v>1</v>
      </c>
      <c r="T55" s="402">
        <f>+(M55/G55)</f>
        <v>1</v>
      </c>
      <c r="U55" s="403">
        <f t="shared" si="31"/>
        <v>0</v>
      </c>
      <c r="V55" s="403">
        <f>+T55*E55</f>
        <v>0.15</v>
      </c>
      <c r="W55" s="403">
        <f t="shared" si="32"/>
        <v>0</v>
      </c>
      <c r="X55" s="403">
        <f>+M55/F55</f>
        <v>0.25</v>
      </c>
      <c r="Y55" s="403">
        <f t="shared" si="33"/>
        <v>0.25</v>
      </c>
      <c r="Z55" s="403">
        <f>+X55*E55</f>
        <v>3.7499999999999999E-2</v>
      </c>
      <c r="AA55" s="403">
        <f>+Y55*E55</f>
        <v>3.7499999999999999E-2</v>
      </c>
      <c r="AB55" s="404" t="s">
        <v>43</v>
      </c>
      <c r="AC55" s="734" t="s">
        <v>486</v>
      </c>
      <c r="AD55" s="734" t="s">
        <v>38</v>
      </c>
      <c r="AE55" s="765" t="s">
        <v>469</v>
      </c>
      <c r="AF55" s="381"/>
    </row>
    <row r="56" spans="1:32" ht="122.45" customHeight="1" thickBot="1" x14ac:dyDescent="0.35">
      <c r="A56" s="385"/>
      <c r="B56" s="1292" t="s">
        <v>568</v>
      </c>
      <c r="C56" s="1285"/>
      <c r="D56" s="438"/>
      <c r="E56" s="391">
        <v>0.02</v>
      </c>
      <c r="F56" s="410"/>
      <c r="G56" s="411"/>
      <c r="H56" s="392"/>
      <c r="I56" s="412">
        <f>+AVERAGE(I57:I59)</f>
        <v>0.19781931464174454</v>
      </c>
      <c r="J56" s="412">
        <f>+AVERAGE(J57:J59)</f>
        <v>0.12694704049844238</v>
      </c>
      <c r="K56" s="413">
        <f>+K57+K58+K59</f>
        <v>0.17172897196261683</v>
      </c>
      <c r="L56" s="413">
        <f>+L57+L58+L59</f>
        <v>0.16542056074766354</v>
      </c>
      <c r="M56" s="400"/>
      <c r="N56" s="414"/>
      <c r="O56" s="414"/>
      <c r="P56" s="414"/>
      <c r="Q56" s="414"/>
      <c r="R56" s="414"/>
      <c r="S56" s="414"/>
      <c r="T56" s="628">
        <f>+AVERAGE(T57:T59)</f>
        <v>0.66666666666666663</v>
      </c>
      <c r="U56" s="628">
        <f>+AVERAGE(U57:U59)</f>
        <v>1</v>
      </c>
      <c r="V56" s="436">
        <f>+(V57+V58+V59)*E56</f>
        <v>1.8000000000000002E-2</v>
      </c>
      <c r="W56" s="436">
        <f>+(W57+W58+W59)*E56</f>
        <v>1.8000000000000002E-2</v>
      </c>
      <c r="X56" s="393">
        <f>+AVERAGE(X57:X59)</f>
        <v>0.11448598130841121</v>
      </c>
      <c r="Y56" s="393">
        <f>+AVERAGE(Y57:Y59)</f>
        <v>0.25809968847352027</v>
      </c>
      <c r="Z56" s="393">
        <f>+(Z57+Z58+Z59)*E56</f>
        <v>2.9345794392523369E-3</v>
      </c>
      <c r="AA56" s="393">
        <f>+(AA57+AA58+AA59)</f>
        <v>0.33214953271028042</v>
      </c>
      <c r="AB56" s="394"/>
      <c r="AC56" s="380"/>
      <c r="AD56" s="381"/>
      <c r="AE56" s="381"/>
      <c r="AF56" s="381"/>
    </row>
    <row r="57" spans="1:32" ht="122.45" customHeight="1" thickBot="1" x14ac:dyDescent="0.35">
      <c r="A57" s="385"/>
      <c r="B57" s="1072" t="s">
        <v>569</v>
      </c>
      <c r="C57" s="1070" t="s">
        <v>570</v>
      </c>
      <c r="D57" s="438" t="s">
        <v>467</v>
      </c>
      <c r="E57" s="1259">
        <v>0.5</v>
      </c>
      <c r="F57" s="395">
        <v>107</v>
      </c>
      <c r="G57" s="415">
        <v>10</v>
      </c>
      <c r="H57" s="416">
        <v>14</v>
      </c>
      <c r="I57" s="405">
        <f>+G57/F57</f>
        <v>9.3457943925233641E-2</v>
      </c>
      <c r="J57" s="405">
        <f t="shared" si="29"/>
        <v>0.13084112149532709</v>
      </c>
      <c r="K57" s="406">
        <f>+(G57/F57)*E57</f>
        <v>4.6728971962616821E-2</v>
      </c>
      <c r="L57" s="406">
        <f t="shared" si="30"/>
        <v>6.5420560747663545E-2</v>
      </c>
      <c r="M57" s="400">
        <v>10</v>
      </c>
      <c r="N57" s="408">
        <v>4</v>
      </c>
      <c r="O57" s="401">
        <v>10</v>
      </c>
      <c r="P57" s="400"/>
      <c r="Q57" s="400"/>
      <c r="R57" s="400">
        <f t="shared" ref="R57:R59" si="37">+N57+O57+P57+Q57</f>
        <v>14</v>
      </c>
      <c r="S57" s="400">
        <f t="shared" ref="S57:S59" si="38">+R57+M57</f>
        <v>24</v>
      </c>
      <c r="T57" s="402">
        <f>+(M57/G57)</f>
        <v>1</v>
      </c>
      <c r="U57" s="403">
        <f t="shared" si="31"/>
        <v>1</v>
      </c>
      <c r="V57" s="403">
        <f>+T57*E57</f>
        <v>0.5</v>
      </c>
      <c r="W57" s="403">
        <f t="shared" si="32"/>
        <v>0.5</v>
      </c>
      <c r="X57" s="403">
        <f>+M57/F57</f>
        <v>9.3457943925233641E-2</v>
      </c>
      <c r="Y57" s="403">
        <f t="shared" si="33"/>
        <v>0.22429906542056074</v>
      </c>
      <c r="Z57" s="403">
        <f>+X57*E57</f>
        <v>4.6728971962616821E-2</v>
      </c>
      <c r="AA57" s="403">
        <f>+Y57*E57</f>
        <v>0.11214953271028037</v>
      </c>
      <c r="AB57" s="404" t="s">
        <v>43</v>
      </c>
      <c r="AC57" s="734" t="s">
        <v>486</v>
      </c>
      <c r="AD57" s="734" t="s">
        <v>38</v>
      </c>
      <c r="AE57" s="765" t="s">
        <v>469</v>
      </c>
      <c r="AF57" s="381"/>
    </row>
    <row r="58" spans="1:32" ht="122.45" customHeight="1" thickBot="1" x14ac:dyDescent="0.35">
      <c r="A58" s="385"/>
      <c r="B58" s="1072" t="s">
        <v>571</v>
      </c>
      <c r="C58" s="1070" t="s">
        <v>572</v>
      </c>
      <c r="D58" s="438" t="s">
        <v>467</v>
      </c>
      <c r="E58" s="1259">
        <v>0.1</v>
      </c>
      <c r="F58" s="395">
        <v>1</v>
      </c>
      <c r="G58" s="415">
        <v>0.25</v>
      </c>
      <c r="H58" s="416">
        <v>0</v>
      </c>
      <c r="I58" s="405">
        <f>+G58/F58</f>
        <v>0.25</v>
      </c>
      <c r="J58" s="405">
        <f t="shared" si="29"/>
        <v>0</v>
      </c>
      <c r="K58" s="406">
        <f>+(G58/F58)*E58</f>
        <v>2.5000000000000001E-2</v>
      </c>
      <c r="L58" s="406">
        <f t="shared" si="30"/>
        <v>0</v>
      </c>
      <c r="M58" s="400">
        <v>0</v>
      </c>
      <c r="N58" s="408"/>
      <c r="O58" s="401"/>
      <c r="P58" s="400"/>
      <c r="Q58" s="400"/>
      <c r="R58" s="400">
        <f t="shared" si="37"/>
        <v>0</v>
      </c>
      <c r="S58" s="400">
        <f t="shared" si="38"/>
        <v>0</v>
      </c>
      <c r="T58" s="402">
        <f>+(M58/G58)</f>
        <v>0</v>
      </c>
      <c r="U58" s="403"/>
      <c r="V58" s="403">
        <f>+T58*E58</f>
        <v>0</v>
      </c>
      <c r="W58" s="403">
        <f t="shared" si="32"/>
        <v>0</v>
      </c>
      <c r="X58" s="403">
        <f>+M58/F58</f>
        <v>0</v>
      </c>
      <c r="Y58" s="403">
        <f t="shared" si="33"/>
        <v>0</v>
      </c>
      <c r="Z58" s="403">
        <f>+X58*E58</f>
        <v>0</v>
      </c>
      <c r="AA58" s="403">
        <f>+Y58*E58</f>
        <v>0</v>
      </c>
      <c r="AB58" s="404" t="s">
        <v>43</v>
      </c>
      <c r="AC58" s="733" t="s">
        <v>573</v>
      </c>
      <c r="AD58" s="734" t="s">
        <v>38</v>
      </c>
      <c r="AE58" s="765" t="s">
        <v>469</v>
      </c>
      <c r="AF58" s="381"/>
    </row>
    <row r="59" spans="1:32" ht="122.45" customHeight="1" thickBot="1" x14ac:dyDescent="0.35">
      <c r="A59" s="385"/>
      <c r="B59" s="1072" t="s">
        <v>574</v>
      </c>
      <c r="C59" s="1070" t="s">
        <v>575</v>
      </c>
      <c r="D59" s="438" t="s">
        <v>467</v>
      </c>
      <c r="E59" s="1259">
        <v>0.4</v>
      </c>
      <c r="F59" s="395">
        <v>40</v>
      </c>
      <c r="G59" s="415">
        <v>10</v>
      </c>
      <c r="H59" s="416">
        <v>10</v>
      </c>
      <c r="I59" s="405">
        <f>+G59/F59</f>
        <v>0.25</v>
      </c>
      <c r="J59" s="405">
        <f t="shared" si="29"/>
        <v>0.25</v>
      </c>
      <c r="K59" s="406">
        <f>+(G59/F59)*E59</f>
        <v>0.1</v>
      </c>
      <c r="L59" s="406">
        <f t="shared" si="30"/>
        <v>0.1</v>
      </c>
      <c r="M59" s="400">
        <v>10</v>
      </c>
      <c r="N59" s="408">
        <v>3</v>
      </c>
      <c r="O59" s="401">
        <v>9</v>
      </c>
      <c r="P59" s="400"/>
      <c r="Q59" s="400"/>
      <c r="R59" s="400">
        <f t="shared" si="37"/>
        <v>12</v>
      </c>
      <c r="S59" s="400">
        <f t="shared" si="38"/>
        <v>22</v>
      </c>
      <c r="T59" s="402">
        <f>+(M59/G59)</f>
        <v>1</v>
      </c>
      <c r="U59" s="403">
        <v>1</v>
      </c>
      <c r="V59" s="403">
        <f>+T59*E59</f>
        <v>0.4</v>
      </c>
      <c r="W59" s="403">
        <f t="shared" si="32"/>
        <v>0.4</v>
      </c>
      <c r="X59" s="403">
        <f>+M59/F59</f>
        <v>0.25</v>
      </c>
      <c r="Y59" s="403">
        <f t="shared" si="33"/>
        <v>0.55000000000000004</v>
      </c>
      <c r="Z59" s="403">
        <f>+X59*E59</f>
        <v>0.1</v>
      </c>
      <c r="AA59" s="403">
        <f>+Y59*E59</f>
        <v>0.22000000000000003</v>
      </c>
      <c r="AB59" s="404" t="s">
        <v>43</v>
      </c>
      <c r="AC59" s="734" t="s">
        <v>486</v>
      </c>
      <c r="AD59" s="734" t="s">
        <v>38</v>
      </c>
      <c r="AE59" s="765" t="s">
        <v>469</v>
      </c>
      <c r="AF59" s="381"/>
    </row>
    <row r="60" spans="1:32" ht="122.45" customHeight="1" thickBot="1" x14ac:dyDescent="0.35">
      <c r="A60" s="385"/>
      <c r="B60" s="1292" t="s">
        <v>576</v>
      </c>
      <c r="C60" s="1285"/>
      <c r="D60" s="438"/>
      <c r="E60" s="391">
        <v>0.1</v>
      </c>
      <c r="F60" s="395"/>
      <c r="G60" s="411"/>
      <c r="H60" s="392"/>
      <c r="I60" s="412">
        <f>+AVERAGE(I61:I67)</f>
        <v>0.21443137254901962</v>
      </c>
      <c r="J60" s="412">
        <f>+AVERAGE(J61:J67)</f>
        <v>0.2941830065359477</v>
      </c>
      <c r="K60" s="413">
        <f>+K61+K62+K63+K64+K65+K66+K67</f>
        <v>0.15490686274509805</v>
      </c>
      <c r="L60" s="413">
        <f>+L61+L62+L63+L64+L65+L66+L67</f>
        <v>0.28919771241830067</v>
      </c>
      <c r="M60" s="400"/>
      <c r="N60" s="414"/>
      <c r="O60" s="414"/>
      <c r="P60" s="414"/>
      <c r="Q60" s="414"/>
      <c r="R60" s="414"/>
      <c r="S60" s="414"/>
      <c r="T60" s="628">
        <f>+AVERAGE(T61:T67)</f>
        <v>0.91082380952380948</v>
      </c>
      <c r="U60" s="628">
        <f>+AVERAGE(U61:U67)</f>
        <v>0.21885714285714286</v>
      </c>
      <c r="V60" s="436">
        <f>+(V61+V62+V63+V64+V65+V66+V67)*E60</f>
        <v>7.9564761904761902E-2</v>
      </c>
      <c r="W60" s="436">
        <f>+(W61+W62+W63+W64+W65+W66+W67)*E60</f>
        <v>1.7479999999999999E-2</v>
      </c>
      <c r="X60" s="393">
        <f>+AVERAGE(X61:X67)</f>
        <v>0.19200359477124182</v>
      </c>
      <c r="Y60" s="393">
        <f>+X60+((Y61-X61)/7)+((Y62-X62)/7)+((Y63-X63)/7)+((Y63-X63)/7)+((Y64-X64)/7)+((Y66-X66)/7)</f>
        <v>0.24628930905695609</v>
      </c>
      <c r="Z60" s="393">
        <f>+(Z61+Z62+Z63+Z64+Z65+Z66+Z67)*E60</f>
        <v>1.4392630718954247E-2</v>
      </c>
      <c r="AA60" s="393">
        <f>+(AA61+AA62+AA63+AA64+AA65+AA66+AA67)</f>
        <v>0.18992630718954248</v>
      </c>
      <c r="AB60" s="394"/>
      <c r="AC60" s="380"/>
      <c r="AD60" s="381"/>
      <c r="AE60" s="381"/>
      <c r="AF60" s="381"/>
    </row>
    <row r="61" spans="1:32" ht="122.45" customHeight="1" thickBot="1" x14ac:dyDescent="0.35">
      <c r="A61" s="385"/>
      <c r="B61" s="1072" t="s">
        <v>577</v>
      </c>
      <c r="C61" s="1070" t="s">
        <v>578</v>
      </c>
      <c r="D61" s="438" t="s">
        <v>467</v>
      </c>
      <c r="E61" s="1259">
        <v>0.4</v>
      </c>
      <c r="F61" s="395">
        <v>9000</v>
      </c>
      <c r="G61" s="415">
        <v>1200</v>
      </c>
      <c r="H61" s="416">
        <v>2600</v>
      </c>
      <c r="I61" s="405">
        <f>+G61/F61</f>
        <v>0.13333333333333333</v>
      </c>
      <c r="J61" s="405">
        <f t="shared" si="29"/>
        <v>0.28888888888888886</v>
      </c>
      <c r="K61" s="406">
        <f>+(G61/F61)*E61</f>
        <v>5.3333333333333337E-2</v>
      </c>
      <c r="L61" s="406">
        <f t="shared" si="30"/>
        <v>0.11555555555555555</v>
      </c>
      <c r="M61" s="400">
        <v>1123</v>
      </c>
      <c r="N61" s="735">
        <v>0</v>
      </c>
      <c r="O61" s="735">
        <v>468</v>
      </c>
      <c r="P61" s="400"/>
      <c r="Q61" s="400"/>
      <c r="R61" s="400">
        <f t="shared" ref="R61:R67" si="39">+N61+O61+P61+Q61</f>
        <v>468</v>
      </c>
      <c r="S61" s="400">
        <f t="shared" ref="S61:S67" si="40">+R61+M61</f>
        <v>1591</v>
      </c>
      <c r="T61" s="402">
        <f>+(M61/G61)</f>
        <v>0.93583333333333329</v>
      </c>
      <c r="U61" s="403">
        <f t="shared" si="31"/>
        <v>0.18</v>
      </c>
      <c r="V61" s="403">
        <f>+T61*E61</f>
        <v>0.37433333333333335</v>
      </c>
      <c r="W61" s="403">
        <f t="shared" si="32"/>
        <v>7.1999999999999995E-2</v>
      </c>
      <c r="X61" s="403">
        <f>+M61/F61</f>
        <v>0.12477777777777778</v>
      </c>
      <c r="Y61" s="403">
        <f t="shared" si="33"/>
        <v>0.17677777777777778</v>
      </c>
      <c r="Z61" s="403">
        <f>+X61*E61</f>
        <v>4.9911111111111114E-2</v>
      </c>
      <c r="AA61" s="403">
        <f>+Y61*E61</f>
        <v>7.0711111111111113E-2</v>
      </c>
      <c r="AB61" s="404" t="s">
        <v>43</v>
      </c>
      <c r="AC61" s="734" t="s">
        <v>486</v>
      </c>
      <c r="AD61" s="734" t="s">
        <v>38</v>
      </c>
      <c r="AE61" s="765" t="s">
        <v>469</v>
      </c>
      <c r="AF61" s="381"/>
    </row>
    <row r="62" spans="1:32" ht="172.15" customHeight="1" thickBot="1" x14ac:dyDescent="0.35">
      <c r="A62" s="385"/>
      <c r="B62" s="1072" t="s">
        <v>579</v>
      </c>
      <c r="C62" s="1070" t="s">
        <v>580</v>
      </c>
      <c r="D62" s="438" t="s">
        <v>467</v>
      </c>
      <c r="E62" s="1259">
        <v>0.15</v>
      </c>
      <c r="F62" s="395">
        <v>544</v>
      </c>
      <c r="G62" s="415">
        <v>100</v>
      </c>
      <c r="H62" s="416">
        <v>148</v>
      </c>
      <c r="I62" s="405">
        <f>+G62/F62</f>
        <v>0.18382352941176472</v>
      </c>
      <c r="J62" s="405">
        <f t="shared" si="29"/>
        <v>0.27205882352941174</v>
      </c>
      <c r="K62" s="406">
        <f>+(G62/F62)*E62</f>
        <v>2.7573529411764709E-2</v>
      </c>
      <c r="L62" s="406">
        <f t="shared" si="30"/>
        <v>4.0808823529411759E-2</v>
      </c>
      <c r="M62" s="400">
        <v>100</v>
      </c>
      <c r="N62" s="735">
        <v>0</v>
      </c>
      <c r="O62" s="735">
        <v>0</v>
      </c>
      <c r="P62" s="400"/>
      <c r="Q62" s="400"/>
      <c r="R62" s="400">
        <f t="shared" si="39"/>
        <v>0</v>
      </c>
      <c r="S62" s="400">
        <f t="shared" si="40"/>
        <v>100</v>
      </c>
      <c r="T62" s="402">
        <f>+(M62/G62)</f>
        <v>1</v>
      </c>
      <c r="U62" s="403">
        <f t="shared" si="31"/>
        <v>0</v>
      </c>
      <c r="V62" s="403">
        <f>+T62*E62</f>
        <v>0.15</v>
      </c>
      <c r="W62" s="403">
        <f t="shared" si="32"/>
        <v>0</v>
      </c>
      <c r="X62" s="403">
        <f>+M62/F62</f>
        <v>0.18382352941176472</v>
      </c>
      <c r="Y62" s="403">
        <f t="shared" si="33"/>
        <v>0.18382352941176472</v>
      </c>
      <c r="Z62" s="403">
        <f>+X62*E62</f>
        <v>2.7573529411764709E-2</v>
      </c>
      <c r="AA62" s="403">
        <f t="shared" ref="AA62:AA67" si="41">+Y62*E62</f>
        <v>2.7573529411764709E-2</v>
      </c>
      <c r="AB62" s="404" t="s">
        <v>43</v>
      </c>
      <c r="AC62" s="734" t="s">
        <v>486</v>
      </c>
      <c r="AD62" s="734" t="s">
        <v>38</v>
      </c>
      <c r="AE62" s="765" t="s">
        <v>469</v>
      </c>
      <c r="AF62" s="381"/>
    </row>
    <row r="63" spans="1:32" ht="122.45" customHeight="1" thickBot="1" x14ac:dyDescent="0.35">
      <c r="A63" s="385"/>
      <c r="B63" s="1072" t="s">
        <v>581</v>
      </c>
      <c r="C63" s="1070" t="s">
        <v>582</v>
      </c>
      <c r="D63" s="438" t="s">
        <v>467</v>
      </c>
      <c r="E63" s="1259">
        <v>0.1</v>
      </c>
      <c r="F63" s="395">
        <v>12000</v>
      </c>
      <c r="G63" s="415">
        <v>2700</v>
      </c>
      <c r="H63" s="416">
        <v>3100</v>
      </c>
      <c r="I63" s="405">
        <f>+G63/F63</f>
        <v>0.22500000000000001</v>
      </c>
      <c r="J63" s="405">
        <f t="shared" si="29"/>
        <v>0.25833333333333336</v>
      </c>
      <c r="K63" s="406">
        <f>+(G63/F63)*E63</f>
        <v>2.2500000000000003E-2</v>
      </c>
      <c r="L63" s="406">
        <f t="shared" si="30"/>
        <v>2.5833333333333337E-2</v>
      </c>
      <c r="M63" s="400">
        <v>2705</v>
      </c>
      <c r="N63" s="735">
        <v>0</v>
      </c>
      <c r="O63" s="735">
        <v>0</v>
      </c>
      <c r="P63" s="400"/>
      <c r="Q63" s="400"/>
      <c r="R63" s="400">
        <f t="shared" si="39"/>
        <v>0</v>
      </c>
      <c r="S63" s="400">
        <f t="shared" si="40"/>
        <v>2705</v>
      </c>
      <c r="T63" s="402">
        <v>1</v>
      </c>
      <c r="U63" s="403">
        <f t="shared" si="31"/>
        <v>0</v>
      </c>
      <c r="V63" s="403">
        <f>+T63*E63</f>
        <v>0.1</v>
      </c>
      <c r="W63" s="403">
        <f t="shared" si="32"/>
        <v>0</v>
      </c>
      <c r="X63" s="403">
        <f>+M63/F63</f>
        <v>0.22541666666666665</v>
      </c>
      <c r="Y63" s="403">
        <f t="shared" si="33"/>
        <v>0.22541666666666665</v>
      </c>
      <c r="Z63" s="403">
        <f>+X63*E63</f>
        <v>2.2541666666666668E-2</v>
      </c>
      <c r="AA63" s="403">
        <f t="shared" si="41"/>
        <v>2.2541666666666668E-2</v>
      </c>
      <c r="AB63" s="404" t="s">
        <v>43</v>
      </c>
      <c r="AC63" s="733" t="s">
        <v>583</v>
      </c>
      <c r="AD63" s="734" t="s">
        <v>38</v>
      </c>
      <c r="AE63" s="765" t="s">
        <v>469</v>
      </c>
      <c r="AF63" s="381"/>
    </row>
    <row r="64" spans="1:32" ht="122.45" customHeight="1" thickBot="1" x14ac:dyDescent="0.35">
      <c r="A64" s="385"/>
      <c r="B64" s="1072" t="s">
        <v>584</v>
      </c>
      <c r="C64" s="1070" t="s">
        <v>585</v>
      </c>
      <c r="D64" s="438" t="s">
        <v>467</v>
      </c>
      <c r="E64" s="1259">
        <v>0.05</v>
      </c>
      <c r="F64" s="395">
        <v>25</v>
      </c>
      <c r="G64" s="415">
        <v>7</v>
      </c>
      <c r="H64" s="416">
        <v>6</v>
      </c>
      <c r="I64" s="405">
        <f>+G64/F64</f>
        <v>0.28000000000000003</v>
      </c>
      <c r="J64" s="405">
        <f t="shared" si="29"/>
        <v>0.24</v>
      </c>
      <c r="K64" s="406">
        <f>+(G64/F64)*E64</f>
        <v>1.4000000000000002E-2</v>
      </c>
      <c r="L64" s="406">
        <f t="shared" si="30"/>
        <v>1.2E-2</v>
      </c>
      <c r="M64" s="400">
        <v>5</v>
      </c>
      <c r="N64" s="735">
        <v>6</v>
      </c>
      <c r="O64" s="735">
        <v>0</v>
      </c>
      <c r="P64" s="400"/>
      <c r="Q64" s="400"/>
      <c r="R64" s="400">
        <f t="shared" si="39"/>
        <v>6</v>
      </c>
      <c r="S64" s="400">
        <f t="shared" si="40"/>
        <v>11</v>
      </c>
      <c r="T64" s="402">
        <f>+(M64/G64)</f>
        <v>0.7142857142857143</v>
      </c>
      <c r="U64" s="403">
        <f t="shared" si="31"/>
        <v>1</v>
      </c>
      <c r="V64" s="403">
        <f>+T64*E64</f>
        <v>3.5714285714285719E-2</v>
      </c>
      <c r="W64" s="403">
        <f t="shared" si="32"/>
        <v>0.05</v>
      </c>
      <c r="X64" s="403">
        <f>+M64/F64</f>
        <v>0.2</v>
      </c>
      <c r="Y64" s="403">
        <f t="shared" si="33"/>
        <v>0.44</v>
      </c>
      <c r="Z64" s="403">
        <f>+X64*E64</f>
        <v>1.0000000000000002E-2</v>
      </c>
      <c r="AA64" s="403">
        <f t="shared" si="41"/>
        <v>2.2000000000000002E-2</v>
      </c>
      <c r="AB64" s="404" t="s">
        <v>43</v>
      </c>
      <c r="AC64" s="734" t="s">
        <v>486</v>
      </c>
      <c r="AD64" s="734" t="s">
        <v>38</v>
      </c>
      <c r="AE64" s="765" t="s">
        <v>469</v>
      </c>
      <c r="AF64" s="381"/>
    </row>
    <row r="65" spans="1:32" ht="122.45" customHeight="1" thickBot="1" x14ac:dyDescent="0.35">
      <c r="A65" s="385"/>
      <c r="B65" s="1072" t="s">
        <v>586</v>
      </c>
      <c r="C65" s="1070" t="s">
        <v>587</v>
      </c>
      <c r="D65" s="438" t="s">
        <v>467</v>
      </c>
      <c r="E65" s="1259">
        <v>0.1</v>
      </c>
      <c r="F65" s="395">
        <v>5</v>
      </c>
      <c r="G65" s="415">
        <v>0</v>
      </c>
      <c r="H65" s="416">
        <v>2</v>
      </c>
      <c r="I65" s="405"/>
      <c r="J65" s="405">
        <f t="shared" si="29"/>
        <v>0.4</v>
      </c>
      <c r="K65" s="406"/>
      <c r="L65" s="406">
        <f t="shared" si="30"/>
        <v>4.0000000000000008E-2</v>
      </c>
      <c r="M65" s="400"/>
      <c r="N65" s="735">
        <v>0</v>
      </c>
      <c r="O65" s="735">
        <v>0</v>
      </c>
      <c r="P65" s="400"/>
      <c r="Q65" s="400"/>
      <c r="R65" s="400">
        <f t="shared" si="39"/>
        <v>0</v>
      </c>
      <c r="S65" s="400">
        <f t="shared" si="40"/>
        <v>0</v>
      </c>
      <c r="T65" s="402"/>
      <c r="U65" s="403">
        <f t="shared" si="31"/>
        <v>0</v>
      </c>
      <c r="V65" s="403"/>
      <c r="W65" s="403">
        <f t="shared" si="32"/>
        <v>0</v>
      </c>
      <c r="X65" s="403"/>
      <c r="Y65" s="403">
        <v>0</v>
      </c>
      <c r="Z65" s="403"/>
      <c r="AA65" s="403">
        <f t="shared" si="41"/>
        <v>0</v>
      </c>
      <c r="AB65" s="404" t="s">
        <v>43</v>
      </c>
      <c r="AC65" s="752" t="s">
        <v>127</v>
      </c>
      <c r="AD65" s="734" t="s">
        <v>38</v>
      </c>
      <c r="AE65" s="765" t="s">
        <v>469</v>
      </c>
      <c r="AF65" s="381"/>
    </row>
    <row r="66" spans="1:32" ht="122.45" customHeight="1" thickBot="1" x14ac:dyDescent="0.35">
      <c r="A66" s="385"/>
      <c r="B66" s="1072" t="s">
        <v>588</v>
      </c>
      <c r="C66" s="1070" t="s">
        <v>589</v>
      </c>
      <c r="D66" s="438" t="s">
        <v>467</v>
      </c>
      <c r="E66" s="1259">
        <v>0.15</v>
      </c>
      <c r="F66" s="395">
        <v>500</v>
      </c>
      <c r="G66" s="415">
        <v>125</v>
      </c>
      <c r="H66" s="416">
        <v>125</v>
      </c>
      <c r="I66" s="405">
        <f>+G66/F66</f>
        <v>0.25</v>
      </c>
      <c r="J66" s="405">
        <f t="shared" si="29"/>
        <v>0.25</v>
      </c>
      <c r="K66" s="406">
        <f>+(G66/F66)*E66</f>
        <v>3.7499999999999999E-2</v>
      </c>
      <c r="L66" s="406">
        <f t="shared" si="30"/>
        <v>3.7499999999999999E-2</v>
      </c>
      <c r="M66" s="400">
        <v>113</v>
      </c>
      <c r="N66" s="735">
        <v>0</v>
      </c>
      <c r="O66" s="735">
        <v>44</v>
      </c>
      <c r="P66" s="400"/>
      <c r="Q66" s="400"/>
      <c r="R66" s="400">
        <f t="shared" si="39"/>
        <v>44</v>
      </c>
      <c r="S66" s="400">
        <f t="shared" si="40"/>
        <v>157</v>
      </c>
      <c r="T66" s="402">
        <f>+(M66/G66)</f>
        <v>0.90400000000000003</v>
      </c>
      <c r="U66" s="403">
        <f t="shared" si="31"/>
        <v>0.35199999999999998</v>
      </c>
      <c r="V66" s="403">
        <f>+T66*E66</f>
        <v>0.1356</v>
      </c>
      <c r="W66" s="403">
        <f t="shared" si="32"/>
        <v>5.2799999999999993E-2</v>
      </c>
      <c r="X66" s="403">
        <f>+M66/F66</f>
        <v>0.22600000000000001</v>
      </c>
      <c r="Y66" s="403">
        <f t="shared" si="33"/>
        <v>0.314</v>
      </c>
      <c r="Z66" s="403">
        <f>+X66*E66</f>
        <v>3.39E-2</v>
      </c>
      <c r="AA66" s="403">
        <f t="shared" si="41"/>
        <v>4.7099999999999996E-2</v>
      </c>
      <c r="AB66" s="404" t="s">
        <v>43</v>
      </c>
      <c r="AC66" s="734" t="s">
        <v>486</v>
      </c>
      <c r="AD66" s="734" t="s">
        <v>38</v>
      </c>
      <c r="AE66" s="765" t="s">
        <v>469</v>
      </c>
      <c r="AF66" s="381"/>
    </row>
    <row r="67" spans="1:32" ht="122.45" customHeight="1" thickBot="1" x14ac:dyDescent="0.35">
      <c r="A67" s="385"/>
      <c r="B67" s="1072" t="s">
        <v>590</v>
      </c>
      <c r="C67" s="1070" t="s">
        <v>591</v>
      </c>
      <c r="D67" s="797" t="s">
        <v>467</v>
      </c>
      <c r="E67" s="1259">
        <v>0.05</v>
      </c>
      <c r="F67" s="395">
        <v>200</v>
      </c>
      <c r="G67" s="415"/>
      <c r="H67" s="416">
        <v>70</v>
      </c>
      <c r="I67" s="405"/>
      <c r="J67" s="405">
        <f t="shared" si="29"/>
        <v>0.35</v>
      </c>
      <c r="K67" s="406"/>
      <c r="L67" s="406">
        <f t="shared" si="30"/>
        <v>1.7499999999999998E-2</v>
      </c>
      <c r="M67" s="400"/>
      <c r="N67" s="735">
        <v>0</v>
      </c>
      <c r="O67" s="735">
        <v>0</v>
      </c>
      <c r="P67" s="400"/>
      <c r="Q67" s="400"/>
      <c r="R67" s="400">
        <f t="shared" si="39"/>
        <v>0</v>
      </c>
      <c r="S67" s="400">
        <f t="shared" si="40"/>
        <v>0</v>
      </c>
      <c r="T67" s="402"/>
      <c r="U67" s="403">
        <f t="shared" si="31"/>
        <v>0</v>
      </c>
      <c r="V67" s="403"/>
      <c r="W67" s="403">
        <f t="shared" si="32"/>
        <v>0</v>
      </c>
      <c r="X67" s="403"/>
      <c r="Y67" s="403">
        <v>0</v>
      </c>
      <c r="Z67" s="403"/>
      <c r="AA67" s="403">
        <f t="shared" si="41"/>
        <v>0</v>
      </c>
      <c r="AB67" s="404" t="s">
        <v>43</v>
      </c>
      <c r="AC67" s="752" t="s">
        <v>127</v>
      </c>
      <c r="AD67" s="734" t="s">
        <v>38</v>
      </c>
      <c r="AE67" s="765" t="s">
        <v>469</v>
      </c>
      <c r="AF67" s="381"/>
    </row>
    <row r="68" spans="1:32" ht="122.45" customHeight="1" thickBot="1" x14ac:dyDescent="0.35">
      <c r="A68" s="385"/>
      <c r="B68" s="1292" t="s">
        <v>592</v>
      </c>
      <c r="C68" s="1285"/>
      <c r="D68" s="804"/>
      <c r="E68" s="391">
        <v>0.02</v>
      </c>
      <c r="F68" s="410"/>
      <c r="G68" s="411"/>
      <c r="H68" s="392"/>
      <c r="I68" s="412">
        <f>+AVERAGE(I69:I72)</f>
        <v>0.20065789473684209</v>
      </c>
      <c r="J68" s="412">
        <f>+AVERAGE(J69:J72)</f>
        <v>0.29276315789473684</v>
      </c>
      <c r="K68" s="413">
        <f>+K69+K70+K71+K72</f>
        <v>0.24013157894736842</v>
      </c>
      <c r="L68" s="413">
        <f>+L69+L70+L71+L72</f>
        <v>0.25855263157894737</v>
      </c>
      <c r="M68" s="400"/>
      <c r="N68" s="414"/>
      <c r="O68" s="414"/>
      <c r="P68" s="414"/>
      <c r="Q68" s="414"/>
      <c r="R68" s="414"/>
      <c r="S68" s="414"/>
      <c r="T68" s="628">
        <f>+AVERAGE(T69:T72)</f>
        <v>0.72750000000000004</v>
      </c>
      <c r="U68" s="628">
        <f>+AVERAGE(U69:U72)</f>
        <v>0.34525</v>
      </c>
      <c r="V68" s="436">
        <f>+(V69+V70+V71+V72)*E68</f>
        <v>1.5910000000000001E-2</v>
      </c>
      <c r="W68" s="436">
        <f>+(W69+W70+W71+W72)*E68</f>
        <v>6.7120000000000001E-3</v>
      </c>
      <c r="X68" s="393">
        <f>+AVERAGE(X69:X72)</f>
        <v>0.1369736842105263</v>
      </c>
      <c r="Y68" s="738">
        <f>+AVERAGE(Y69:Y72)</f>
        <v>0.30759539473684211</v>
      </c>
      <c r="Z68" s="393">
        <f>+(Z69+Z70+Z71+Z72)*E68</f>
        <v>3.7978947368421051E-3</v>
      </c>
      <c r="AA68" s="393">
        <f>+(AA69+AA70+AA71+AA72)</f>
        <v>0.32815657894736844</v>
      </c>
      <c r="AB68" s="394"/>
      <c r="AC68" s="380"/>
      <c r="AD68" s="381"/>
      <c r="AE68" s="381"/>
      <c r="AF68" s="381"/>
    </row>
    <row r="69" spans="1:32" ht="122.45" customHeight="1" thickBot="1" x14ac:dyDescent="0.35">
      <c r="A69" s="385"/>
      <c r="B69" s="1072" t="s">
        <v>593</v>
      </c>
      <c r="C69" s="1070" t="s">
        <v>594</v>
      </c>
      <c r="D69" s="798" t="s">
        <v>467</v>
      </c>
      <c r="E69" s="1259">
        <v>0.05</v>
      </c>
      <c r="F69" s="395">
        <v>19</v>
      </c>
      <c r="G69" s="415">
        <v>1</v>
      </c>
      <c r="H69" s="416">
        <v>8</v>
      </c>
      <c r="I69" s="405">
        <f>+G69/F69</f>
        <v>5.2631578947368418E-2</v>
      </c>
      <c r="J69" s="405">
        <f t="shared" si="29"/>
        <v>0.42105263157894735</v>
      </c>
      <c r="K69" s="406">
        <f>+(G69/F69)*E69</f>
        <v>2.631578947368421E-3</v>
      </c>
      <c r="L69" s="406">
        <f t="shared" si="30"/>
        <v>2.1052631578947368E-2</v>
      </c>
      <c r="M69" s="400">
        <v>0.91</v>
      </c>
      <c r="N69" s="408">
        <v>1.6</v>
      </c>
      <c r="O69" s="401">
        <v>2.48</v>
      </c>
      <c r="P69" s="400"/>
      <c r="Q69" s="400"/>
      <c r="R69" s="400">
        <f t="shared" ref="R69:R72" si="42">+N69+O69+P69+Q69</f>
        <v>4.08</v>
      </c>
      <c r="S69" s="400">
        <f t="shared" ref="S69:S72" si="43">+R69+M69</f>
        <v>4.99</v>
      </c>
      <c r="T69" s="402">
        <f>+(M69/G69)</f>
        <v>0.91</v>
      </c>
      <c r="U69" s="403">
        <f t="shared" si="31"/>
        <v>0.51</v>
      </c>
      <c r="V69" s="403">
        <f>+T69*E69</f>
        <v>4.5500000000000006E-2</v>
      </c>
      <c r="W69" s="403">
        <f t="shared" si="32"/>
        <v>2.5500000000000002E-2</v>
      </c>
      <c r="X69" s="403">
        <f>+M69/F69</f>
        <v>4.7894736842105268E-2</v>
      </c>
      <c r="Y69" s="403">
        <f t="shared" si="33"/>
        <v>0.26263157894736844</v>
      </c>
      <c r="Z69" s="403">
        <f>+X69*E69</f>
        <v>2.3947368421052637E-3</v>
      </c>
      <c r="AA69" s="403">
        <f>+Y69*E69</f>
        <v>1.3131578947368423E-2</v>
      </c>
      <c r="AB69" s="404" t="s">
        <v>43</v>
      </c>
      <c r="AC69" s="734" t="s">
        <v>486</v>
      </c>
      <c r="AD69" s="734" t="s">
        <v>38</v>
      </c>
      <c r="AE69" s="765" t="s">
        <v>469</v>
      </c>
      <c r="AF69" s="381"/>
    </row>
    <row r="70" spans="1:32" ht="122.45" customHeight="1" thickBot="1" x14ac:dyDescent="0.35">
      <c r="A70" s="385"/>
      <c r="B70" s="1072" t="s">
        <v>595</v>
      </c>
      <c r="C70" s="1070" t="s">
        <v>596</v>
      </c>
      <c r="D70" s="584" t="s">
        <v>467</v>
      </c>
      <c r="E70" s="1259">
        <v>0.2</v>
      </c>
      <c r="F70" s="395">
        <v>1</v>
      </c>
      <c r="G70" s="415">
        <v>0.25</v>
      </c>
      <c r="H70" s="416">
        <v>0.25</v>
      </c>
      <c r="I70" s="405">
        <f>+G70/F70</f>
        <v>0.25</v>
      </c>
      <c r="J70" s="405">
        <f t="shared" si="29"/>
        <v>0.25</v>
      </c>
      <c r="K70" s="406">
        <f>+(G70/F70)*E70</f>
        <v>0.05</v>
      </c>
      <c r="L70" s="406">
        <f t="shared" si="30"/>
        <v>0.05</v>
      </c>
      <c r="M70" s="400">
        <v>0</v>
      </c>
      <c r="N70" s="1111">
        <v>2.5000000000000001E-2</v>
      </c>
      <c r="O70" s="1111">
        <v>3.7499999999999999E-2</v>
      </c>
      <c r="P70" s="400"/>
      <c r="Q70" s="400"/>
      <c r="R70" s="400">
        <f t="shared" si="42"/>
        <v>6.25E-2</v>
      </c>
      <c r="S70" s="400">
        <f>+R70+M70+0.25</f>
        <v>0.3125</v>
      </c>
      <c r="T70" s="402">
        <f>+(M70/G70)</f>
        <v>0</v>
      </c>
      <c r="U70" s="403">
        <f t="shared" si="31"/>
        <v>0.25</v>
      </c>
      <c r="V70" s="403">
        <f>+T70*E70</f>
        <v>0</v>
      </c>
      <c r="W70" s="403">
        <f t="shared" si="32"/>
        <v>0.05</v>
      </c>
      <c r="X70" s="403">
        <f>+M70/F70</f>
        <v>0</v>
      </c>
      <c r="Y70" s="403">
        <f t="shared" si="33"/>
        <v>0.3125</v>
      </c>
      <c r="Z70" s="403">
        <f>+X70*E70</f>
        <v>0</v>
      </c>
      <c r="AA70" s="403">
        <f>+Y70*E70</f>
        <v>6.25E-2</v>
      </c>
      <c r="AB70" s="404" t="s">
        <v>43</v>
      </c>
      <c r="AC70" s="734" t="s">
        <v>486</v>
      </c>
      <c r="AD70" s="734" t="s">
        <v>38</v>
      </c>
      <c r="AE70" s="765" t="s">
        <v>469</v>
      </c>
      <c r="AF70" s="381"/>
    </row>
    <row r="71" spans="1:32" ht="122.45" customHeight="1" thickBot="1" x14ac:dyDescent="0.35">
      <c r="A71" s="385"/>
      <c r="B71" s="1072" t="s">
        <v>597</v>
      </c>
      <c r="C71" s="1070" t="s">
        <v>598</v>
      </c>
      <c r="D71" s="801" t="s">
        <v>467</v>
      </c>
      <c r="E71" s="1259">
        <v>0.6</v>
      </c>
      <c r="F71" s="395">
        <v>1</v>
      </c>
      <c r="G71" s="415">
        <v>0.25</v>
      </c>
      <c r="H71" s="416">
        <v>0.25</v>
      </c>
      <c r="I71" s="405">
        <f>+G71/F71</f>
        <v>0.25</v>
      </c>
      <c r="J71" s="405">
        <f t="shared" si="29"/>
        <v>0.25</v>
      </c>
      <c r="K71" s="406">
        <f>+(G71/F71)*E71</f>
        <v>0.15</v>
      </c>
      <c r="L71" s="406">
        <f t="shared" si="30"/>
        <v>0.15</v>
      </c>
      <c r="M71" s="407">
        <v>0.25</v>
      </c>
      <c r="N71" s="408">
        <v>1.2749999999999999E-2</v>
      </c>
      <c r="O71" s="1111">
        <v>0.08</v>
      </c>
      <c r="P71" s="407"/>
      <c r="Q71" s="407"/>
      <c r="R71" s="407">
        <f t="shared" si="42"/>
        <v>9.2749999999999999E-2</v>
      </c>
      <c r="S71" s="407">
        <f t="shared" si="43"/>
        <v>0.34275</v>
      </c>
      <c r="T71" s="402">
        <v>1</v>
      </c>
      <c r="U71" s="403">
        <f t="shared" si="31"/>
        <v>0.371</v>
      </c>
      <c r="V71" s="403">
        <f>+T71*E71</f>
        <v>0.6</v>
      </c>
      <c r="W71" s="403">
        <f t="shared" si="32"/>
        <v>0.22259999999999999</v>
      </c>
      <c r="X71" s="403">
        <f>+M71/F71</f>
        <v>0.25</v>
      </c>
      <c r="Y71" s="403">
        <f t="shared" si="33"/>
        <v>0.34275</v>
      </c>
      <c r="Z71" s="403">
        <f>+X71*E71</f>
        <v>0.15</v>
      </c>
      <c r="AA71" s="403">
        <f>+Y71*E71</f>
        <v>0.20565</v>
      </c>
      <c r="AB71" s="404" t="s">
        <v>43</v>
      </c>
      <c r="AC71" s="734" t="s">
        <v>486</v>
      </c>
      <c r="AD71" s="734" t="s">
        <v>38</v>
      </c>
      <c r="AE71" s="765" t="s">
        <v>469</v>
      </c>
      <c r="AF71" s="381"/>
    </row>
    <row r="72" spans="1:32" ht="122.45" customHeight="1" thickBot="1" x14ac:dyDescent="0.35">
      <c r="A72" s="385"/>
      <c r="B72" s="1072" t="s">
        <v>599</v>
      </c>
      <c r="C72" s="1070" t="s">
        <v>600</v>
      </c>
      <c r="D72" s="584" t="s">
        <v>467</v>
      </c>
      <c r="E72" s="1259">
        <v>0.15</v>
      </c>
      <c r="F72" s="395">
        <v>1</v>
      </c>
      <c r="G72" s="415">
        <v>0.25</v>
      </c>
      <c r="H72" s="416">
        <v>0.25</v>
      </c>
      <c r="I72" s="405">
        <f>+G72/F72</f>
        <v>0.25</v>
      </c>
      <c r="J72" s="405">
        <f t="shared" si="29"/>
        <v>0.25</v>
      </c>
      <c r="K72" s="406">
        <f>+(G72/F72)*E72</f>
        <v>3.7499999999999999E-2</v>
      </c>
      <c r="L72" s="406">
        <f t="shared" si="30"/>
        <v>3.7499999999999999E-2</v>
      </c>
      <c r="M72" s="400">
        <v>0.25</v>
      </c>
      <c r="N72" s="1111">
        <v>2.5000000000000001E-2</v>
      </c>
      <c r="O72" s="1111">
        <v>3.7499999999999999E-2</v>
      </c>
      <c r="P72" s="400"/>
      <c r="Q72" s="400"/>
      <c r="R72" s="400">
        <f t="shared" si="42"/>
        <v>6.25E-2</v>
      </c>
      <c r="S72" s="400">
        <f t="shared" si="43"/>
        <v>0.3125</v>
      </c>
      <c r="T72" s="402">
        <f>+(M72/G72)</f>
        <v>1</v>
      </c>
      <c r="U72" s="403">
        <f t="shared" si="31"/>
        <v>0.25</v>
      </c>
      <c r="V72" s="403">
        <f>+T72*E72</f>
        <v>0.15</v>
      </c>
      <c r="W72" s="403">
        <f t="shared" si="32"/>
        <v>3.7499999999999999E-2</v>
      </c>
      <c r="X72" s="403">
        <f>+M72/F72</f>
        <v>0.25</v>
      </c>
      <c r="Y72" s="403">
        <f t="shared" si="33"/>
        <v>0.3125</v>
      </c>
      <c r="Z72" s="403">
        <f>+X72*E72</f>
        <v>3.7499999999999999E-2</v>
      </c>
      <c r="AA72" s="403">
        <f>+Y72*E72</f>
        <v>4.6875E-2</v>
      </c>
      <c r="AB72" s="404" t="s">
        <v>43</v>
      </c>
      <c r="AC72" s="734" t="s">
        <v>486</v>
      </c>
      <c r="AD72" s="734" t="s">
        <v>38</v>
      </c>
      <c r="AE72" s="765" t="s">
        <v>469</v>
      </c>
      <c r="AF72" s="381"/>
    </row>
    <row r="73" spans="1:32" ht="122.45" customHeight="1" thickBot="1" x14ac:dyDescent="0.35">
      <c r="A73" s="385"/>
      <c r="B73" s="1292" t="s">
        <v>601</v>
      </c>
      <c r="C73" s="1293"/>
      <c r="D73" s="805"/>
      <c r="E73" s="391">
        <v>0.02</v>
      </c>
      <c r="F73" s="395"/>
      <c r="G73" s="411"/>
      <c r="H73" s="392"/>
      <c r="I73" s="412">
        <f>+AVERAGE(I74:I76)</f>
        <v>0.26633986928104575</v>
      </c>
      <c r="J73" s="412">
        <f>+AVERAGE(J74:J76)</f>
        <v>0.51470588235294124</v>
      </c>
      <c r="K73" s="413">
        <f>+K74+K75+K76</f>
        <v>0.26470588235294118</v>
      </c>
      <c r="L73" s="413">
        <f>+L74+L75+L76</f>
        <v>0.4882352941176471</v>
      </c>
      <c r="M73" s="400"/>
      <c r="N73" s="414"/>
      <c r="O73" s="414"/>
      <c r="P73" s="414"/>
      <c r="Q73" s="414"/>
      <c r="R73" s="414"/>
      <c r="S73" s="414"/>
      <c r="T73" s="628">
        <f>+AVERAGE(T74:T76)</f>
        <v>0.33333333333333331</v>
      </c>
      <c r="U73" s="628">
        <f>+AVERAGE(U74:U76)</f>
        <v>0.41333333333333333</v>
      </c>
      <c r="V73" s="436">
        <f>+(V74+V75+V76)*E73</f>
        <v>6.0000000000000001E-3</v>
      </c>
      <c r="W73" s="436">
        <f>+(W74+W75+W76)*E73</f>
        <v>7.4400000000000004E-3</v>
      </c>
      <c r="X73" s="393">
        <f>+AVERAGE(X74:X76)</f>
        <v>0.10888888888888888</v>
      </c>
      <c r="Y73" s="393">
        <f>+AVERAGE(Y74:Y76)</f>
        <v>0.33398692810457514</v>
      </c>
      <c r="Z73" s="393">
        <f>+(Z74+Z75+Z76)*E73</f>
        <v>1.9599999999999999E-3</v>
      </c>
      <c r="AA73" s="393">
        <f>+(AA74+AA75+AA76)</f>
        <v>0.30058823529411766</v>
      </c>
      <c r="AB73" s="394"/>
      <c r="AC73" s="380"/>
      <c r="AD73" s="381"/>
      <c r="AE73" s="381"/>
      <c r="AF73" s="381"/>
    </row>
    <row r="74" spans="1:32" ht="122.45" customHeight="1" thickBot="1" x14ac:dyDescent="0.35">
      <c r="A74" s="385"/>
      <c r="B74" s="1072" t="s">
        <v>602</v>
      </c>
      <c r="C74" s="1145" t="s">
        <v>603</v>
      </c>
      <c r="D74" s="806" t="s">
        <v>467</v>
      </c>
      <c r="E74" s="1259">
        <v>0.3</v>
      </c>
      <c r="F74" s="395">
        <v>150</v>
      </c>
      <c r="G74" s="415">
        <v>40</v>
      </c>
      <c r="H74" s="416">
        <v>150</v>
      </c>
      <c r="I74" s="405">
        <f>+G74/F74</f>
        <v>0.26666666666666666</v>
      </c>
      <c r="J74" s="405">
        <f t="shared" si="29"/>
        <v>1</v>
      </c>
      <c r="K74" s="406">
        <f>+(G74/F74)*E74</f>
        <v>0.08</v>
      </c>
      <c r="L74" s="406">
        <f t="shared" si="30"/>
        <v>0.3</v>
      </c>
      <c r="M74" s="422">
        <v>49</v>
      </c>
      <c r="N74" s="408">
        <v>50</v>
      </c>
      <c r="O74" s="401">
        <v>16</v>
      </c>
      <c r="P74" s="422"/>
      <c r="Q74" s="422"/>
      <c r="R74" s="422">
        <f t="shared" ref="R74:R76" si="44">+N74+O74+P74+Q74</f>
        <v>66</v>
      </c>
      <c r="S74" s="422">
        <f t="shared" ref="S74:S76" si="45">+R74+M74</f>
        <v>115</v>
      </c>
      <c r="T74" s="402">
        <v>1</v>
      </c>
      <c r="U74" s="403">
        <f t="shared" si="31"/>
        <v>0.44</v>
      </c>
      <c r="V74" s="403">
        <f>+T74*E74</f>
        <v>0.3</v>
      </c>
      <c r="W74" s="403">
        <f t="shared" si="32"/>
        <v>0.13200000000000001</v>
      </c>
      <c r="X74" s="403">
        <f>+M74/F74</f>
        <v>0.32666666666666666</v>
      </c>
      <c r="Y74" s="403">
        <f t="shared" si="33"/>
        <v>0.76666666666666672</v>
      </c>
      <c r="Z74" s="403">
        <f>+X74*E74</f>
        <v>9.799999999999999E-2</v>
      </c>
      <c r="AA74" s="403">
        <f>+Y74*E74</f>
        <v>0.23</v>
      </c>
      <c r="AB74" s="404" t="s">
        <v>43</v>
      </c>
      <c r="AC74" s="734" t="s">
        <v>486</v>
      </c>
      <c r="AD74" s="734" t="s">
        <v>38</v>
      </c>
      <c r="AE74" s="765" t="s">
        <v>469</v>
      </c>
      <c r="AF74" s="381"/>
    </row>
    <row r="75" spans="1:32" ht="122.45" customHeight="1" thickBot="1" x14ac:dyDescent="0.35">
      <c r="A75" s="385"/>
      <c r="B75" s="1072" t="s">
        <v>604</v>
      </c>
      <c r="C75" s="1145" t="s">
        <v>605</v>
      </c>
      <c r="D75" s="806" t="s">
        <v>467</v>
      </c>
      <c r="E75" s="1259">
        <v>0.4</v>
      </c>
      <c r="F75" s="395">
        <v>8</v>
      </c>
      <c r="G75" s="415">
        <v>2</v>
      </c>
      <c r="H75" s="416">
        <v>2</v>
      </c>
      <c r="I75" s="405">
        <f>+G75/F75</f>
        <v>0.25</v>
      </c>
      <c r="J75" s="405">
        <f t="shared" si="29"/>
        <v>0.25</v>
      </c>
      <c r="K75" s="406">
        <f>+(G75/F75)*E75</f>
        <v>0.1</v>
      </c>
      <c r="L75" s="406">
        <f t="shared" si="30"/>
        <v>0.1</v>
      </c>
      <c r="M75" s="400">
        <v>0</v>
      </c>
      <c r="N75" s="408">
        <v>0</v>
      </c>
      <c r="O75" s="401">
        <v>0</v>
      </c>
      <c r="P75" s="400"/>
      <c r="Q75" s="400"/>
      <c r="R75" s="400">
        <f t="shared" si="44"/>
        <v>0</v>
      </c>
      <c r="S75" s="400">
        <f t="shared" si="45"/>
        <v>0</v>
      </c>
      <c r="T75" s="402">
        <f>+(M75/G75)</f>
        <v>0</v>
      </c>
      <c r="U75" s="403">
        <f t="shared" si="31"/>
        <v>0</v>
      </c>
      <c r="V75" s="403">
        <f>+T75*E75</f>
        <v>0</v>
      </c>
      <c r="W75" s="403">
        <f t="shared" si="32"/>
        <v>0</v>
      </c>
      <c r="X75" s="403">
        <f>+M75/F75</f>
        <v>0</v>
      </c>
      <c r="Y75" s="403">
        <f t="shared" si="33"/>
        <v>0</v>
      </c>
      <c r="Z75" s="403">
        <f>+X75*E75</f>
        <v>0</v>
      </c>
      <c r="AA75" s="403">
        <f>+Y75*E75</f>
        <v>0</v>
      </c>
      <c r="AB75" s="404" t="s">
        <v>43</v>
      </c>
      <c r="AC75" s="734" t="s">
        <v>486</v>
      </c>
      <c r="AD75" s="734" t="s">
        <v>38</v>
      </c>
      <c r="AE75" s="765" t="s">
        <v>469</v>
      </c>
      <c r="AF75" s="381"/>
    </row>
    <row r="76" spans="1:32" ht="122.45" customHeight="1" thickBot="1" x14ac:dyDescent="0.35">
      <c r="A76" s="385"/>
      <c r="B76" s="1072" t="s">
        <v>606</v>
      </c>
      <c r="C76" s="1145" t="s">
        <v>607</v>
      </c>
      <c r="D76" s="806" t="s">
        <v>467</v>
      </c>
      <c r="E76" s="1259">
        <v>0.3</v>
      </c>
      <c r="F76" s="395">
        <v>85</v>
      </c>
      <c r="G76" s="415">
        <v>24</v>
      </c>
      <c r="H76" s="416">
        <v>25</v>
      </c>
      <c r="I76" s="405">
        <f>+G76/F76</f>
        <v>0.28235294117647058</v>
      </c>
      <c r="J76" s="405">
        <f t="shared" si="29"/>
        <v>0.29411764705882354</v>
      </c>
      <c r="K76" s="406">
        <f>+(G76/F76)*E76</f>
        <v>8.4705882352941173E-2</v>
      </c>
      <c r="L76" s="406">
        <f t="shared" si="30"/>
        <v>8.8235294117647065E-2</v>
      </c>
      <c r="M76" s="400">
        <v>0</v>
      </c>
      <c r="N76" s="408">
        <v>15</v>
      </c>
      <c r="O76" s="401">
        <v>5</v>
      </c>
      <c r="P76" s="400"/>
      <c r="Q76" s="400"/>
      <c r="R76" s="400">
        <f t="shared" si="44"/>
        <v>20</v>
      </c>
      <c r="S76" s="400">
        <f t="shared" si="45"/>
        <v>20</v>
      </c>
      <c r="T76" s="402">
        <f>+(M76/G76)</f>
        <v>0</v>
      </c>
      <c r="U76" s="403">
        <f t="shared" si="31"/>
        <v>0.8</v>
      </c>
      <c r="V76" s="403">
        <f>+T76*E76</f>
        <v>0</v>
      </c>
      <c r="W76" s="403">
        <f t="shared" si="32"/>
        <v>0.24</v>
      </c>
      <c r="X76" s="403">
        <f>+M76/F76</f>
        <v>0</v>
      </c>
      <c r="Y76" s="403">
        <f t="shared" si="33"/>
        <v>0.23529411764705882</v>
      </c>
      <c r="Z76" s="403">
        <f>+X76*E76</f>
        <v>0</v>
      </c>
      <c r="AA76" s="403">
        <f>+Y76*E76</f>
        <v>7.0588235294117646E-2</v>
      </c>
      <c r="AB76" s="404" t="s">
        <v>43</v>
      </c>
      <c r="AC76" s="734" t="s">
        <v>486</v>
      </c>
      <c r="AD76" s="734" t="s">
        <v>38</v>
      </c>
      <c r="AE76" s="765" t="s">
        <v>469</v>
      </c>
      <c r="AF76" s="381"/>
    </row>
    <row r="77" spans="1:32" ht="122.45" customHeight="1" thickBot="1" x14ac:dyDescent="0.35">
      <c r="A77" s="385"/>
      <c r="B77" s="1292" t="s">
        <v>608</v>
      </c>
      <c r="C77" s="1293"/>
      <c r="D77" s="806"/>
      <c r="E77" s="391">
        <v>0.1</v>
      </c>
      <c r="F77" s="410"/>
      <c r="G77" s="411"/>
      <c r="H77" s="392"/>
      <c r="I77" s="412">
        <f>+AVERAGE(I78:I84)</f>
        <v>0.19</v>
      </c>
      <c r="J77" s="412">
        <f>+AVERAGE(J78:J84)</f>
        <v>0.25316323485526709</v>
      </c>
      <c r="K77" s="413">
        <f>+K78+K79+K80+K81+K82+K83+K84</f>
        <v>3.9E-2</v>
      </c>
      <c r="L77" s="413">
        <f>+L78+L79+L80+L81+L82+L83+L84</f>
        <v>0.10689794091316027</v>
      </c>
      <c r="M77" s="400"/>
      <c r="N77" s="414"/>
      <c r="O77" s="414"/>
      <c r="P77" s="414"/>
      <c r="Q77" s="414"/>
      <c r="R77" s="414"/>
      <c r="S77" s="414"/>
      <c r="T77" s="628">
        <f>+AVERAGE(T78:T84)</f>
        <v>0</v>
      </c>
      <c r="U77" s="628">
        <f>+AVERAGE(U78:U84)</f>
        <v>0</v>
      </c>
      <c r="V77" s="436">
        <f>+(V78+V79+V80+V81+V82+V83+V84)*E77</f>
        <v>0</v>
      </c>
      <c r="W77" s="436">
        <f>+(W78+W79+W80+W81+W82+W83+W84)*E77</f>
        <v>0</v>
      </c>
      <c r="X77" s="393">
        <f>+AVERAGE(X78:X84)</f>
        <v>0</v>
      </c>
      <c r="Y77" s="899">
        <f>+AVERAGE(Y78:Y84)</f>
        <v>0</v>
      </c>
      <c r="Z77" s="393">
        <f>+(Z78+Z79+Z80+Z81+Z82+Z83+Z84)*E77</f>
        <v>0</v>
      </c>
      <c r="AA77" s="393">
        <f>+(AA78+AA79+AA80+AA81+AA82+AA83+AA84)</f>
        <v>0</v>
      </c>
      <c r="AB77" s="394"/>
      <c r="AC77" s="380"/>
      <c r="AD77" s="381"/>
      <c r="AE77" s="381"/>
      <c r="AF77" s="381"/>
    </row>
    <row r="78" spans="1:32" ht="122.45" customHeight="1" thickBot="1" x14ac:dyDescent="0.35">
      <c r="A78" s="385"/>
      <c r="B78" s="1072" t="s">
        <v>609</v>
      </c>
      <c r="C78" s="1145" t="s">
        <v>610</v>
      </c>
      <c r="D78" s="806" t="s">
        <v>611</v>
      </c>
      <c r="E78" s="1259">
        <v>0.1</v>
      </c>
      <c r="F78" s="395">
        <v>20</v>
      </c>
      <c r="G78" s="415"/>
      <c r="H78" s="416">
        <v>7</v>
      </c>
      <c r="I78" s="405"/>
      <c r="J78" s="405">
        <f t="shared" si="29"/>
        <v>0.35</v>
      </c>
      <c r="K78" s="406"/>
      <c r="L78" s="406">
        <f t="shared" si="30"/>
        <v>3.4999999999999996E-2</v>
      </c>
      <c r="M78" s="400"/>
      <c r="N78" s="408"/>
      <c r="O78" s="408">
        <v>0</v>
      </c>
      <c r="P78" s="400"/>
      <c r="Q78" s="400"/>
      <c r="R78" s="400">
        <f t="shared" ref="R78:R84" si="46">+N78+O78+P78+Q78</f>
        <v>0</v>
      </c>
      <c r="S78" s="400">
        <f t="shared" ref="S78:S84" si="47">+R78+M78</f>
        <v>0</v>
      </c>
      <c r="T78" s="402"/>
      <c r="U78" s="403">
        <f t="shared" si="31"/>
        <v>0</v>
      </c>
      <c r="V78" s="403"/>
      <c r="W78" s="403">
        <f t="shared" si="32"/>
        <v>0</v>
      </c>
      <c r="X78" s="403"/>
      <c r="Y78" s="403">
        <f t="shared" si="33"/>
        <v>0</v>
      </c>
      <c r="Z78" s="403">
        <f>+X78*E78</f>
        <v>0</v>
      </c>
      <c r="AA78" s="403">
        <f t="shared" ref="AA78:AA84" si="48">+Y78*E78</f>
        <v>0</v>
      </c>
      <c r="AB78" s="425" t="s">
        <v>612</v>
      </c>
      <c r="AC78" s="828" t="s">
        <v>486</v>
      </c>
      <c r="AD78" s="828" t="s">
        <v>38</v>
      </c>
      <c r="AE78" s="765" t="s">
        <v>469</v>
      </c>
      <c r="AF78" s="381"/>
    </row>
    <row r="79" spans="1:32" ht="122.45" customHeight="1" thickBot="1" x14ac:dyDescent="0.35">
      <c r="A79" s="385"/>
      <c r="B79" s="1072" t="s">
        <v>613</v>
      </c>
      <c r="C79" s="1145" t="s">
        <v>614</v>
      </c>
      <c r="D79" s="806" t="s">
        <v>611</v>
      </c>
      <c r="E79" s="1259">
        <v>0.05</v>
      </c>
      <c r="F79" s="395">
        <v>1</v>
      </c>
      <c r="G79" s="415">
        <v>0.18</v>
      </c>
      <c r="H79" s="416">
        <v>0</v>
      </c>
      <c r="I79" s="405">
        <f>+G79/F79</f>
        <v>0.18</v>
      </c>
      <c r="J79" s="405"/>
      <c r="K79" s="406">
        <f>+(G79/F79)*E79</f>
        <v>8.9999999999999993E-3</v>
      </c>
      <c r="L79" s="406"/>
      <c r="M79" s="400">
        <v>0</v>
      </c>
      <c r="N79" s="408"/>
      <c r="O79" s="401"/>
      <c r="P79" s="400"/>
      <c r="Q79" s="400"/>
      <c r="R79" s="400">
        <f t="shared" si="46"/>
        <v>0</v>
      </c>
      <c r="S79" s="400">
        <f t="shared" si="47"/>
        <v>0</v>
      </c>
      <c r="T79" s="402">
        <f>+(M79/G79)</f>
        <v>0</v>
      </c>
      <c r="U79" s="403"/>
      <c r="V79" s="403">
        <f>+T79*E79</f>
        <v>0</v>
      </c>
      <c r="W79" s="403"/>
      <c r="X79" s="403">
        <f>+M79/F79</f>
        <v>0</v>
      </c>
      <c r="Y79" s="403">
        <f t="shared" si="33"/>
        <v>0</v>
      </c>
      <c r="Z79" s="403">
        <f>+X79*E79</f>
        <v>0</v>
      </c>
      <c r="AA79" s="403">
        <f t="shared" si="48"/>
        <v>0</v>
      </c>
      <c r="AB79" s="404" t="s">
        <v>43</v>
      </c>
      <c r="AC79" s="828" t="s">
        <v>486</v>
      </c>
      <c r="AD79" s="828" t="s">
        <v>38</v>
      </c>
      <c r="AE79" s="765" t="s">
        <v>469</v>
      </c>
      <c r="AF79" s="381"/>
    </row>
    <row r="80" spans="1:32" ht="122.45" customHeight="1" thickBot="1" x14ac:dyDescent="0.35">
      <c r="A80" s="385"/>
      <c r="B80" s="1072" t="s">
        <v>615</v>
      </c>
      <c r="C80" s="1145" t="s">
        <v>616</v>
      </c>
      <c r="D80" s="806" t="s">
        <v>611</v>
      </c>
      <c r="E80" s="1259">
        <v>0.2</v>
      </c>
      <c r="F80" s="395">
        <v>1526</v>
      </c>
      <c r="G80" s="415">
        <v>0</v>
      </c>
      <c r="H80" s="416">
        <v>0</v>
      </c>
      <c r="I80" s="405"/>
      <c r="J80" s="405"/>
      <c r="K80" s="406"/>
      <c r="L80" s="406"/>
      <c r="M80" s="400"/>
      <c r="N80" s="408"/>
      <c r="O80" s="401"/>
      <c r="P80" s="400"/>
      <c r="Q80" s="400"/>
      <c r="R80" s="400">
        <f t="shared" si="46"/>
        <v>0</v>
      </c>
      <c r="S80" s="400">
        <f t="shared" si="47"/>
        <v>0</v>
      </c>
      <c r="T80" s="402"/>
      <c r="U80" s="403"/>
      <c r="V80" s="403"/>
      <c r="W80" s="403"/>
      <c r="X80" s="403"/>
      <c r="Y80" s="403"/>
      <c r="Z80" s="403"/>
      <c r="AA80" s="403">
        <f t="shared" si="48"/>
        <v>0</v>
      </c>
      <c r="AB80" s="425" t="s">
        <v>612</v>
      </c>
      <c r="AC80" s="828" t="s">
        <v>486</v>
      </c>
      <c r="AD80" s="828" t="s">
        <v>38</v>
      </c>
      <c r="AE80" s="765" t="s">
        <v>469</v>
      </c>
      <c r="AF80" s="381"/>
    </row>
    <row r="81" spans="1:32" ht="122.45" customHeight="1" thickBot="1" x14ac:dyDescent="0.35">
      <c r="A81" s="385"/>
      <c r="B81" s="1072" t="s">
        <v>617</v>
      </c>
      <c r="C81" s="1145" t="s">
        <v>618</v>
      </c>
      <c r="D81" s="806" t="s">
        <v>611</v>
      </c>
      <c r="E81" s="1259">
        <v>0.15</v>
      </c>
      <c r="F81" s="395">
        <v>5</v>
      </c>
      <c r="G81" s="415">
        <v>1</v>
      </c>
      <c r="H81" s="416">
        <v>1</v>
      </c>
      <c r="I81" s="405">
        <f>+G81/F81</f>
        <v>0.2</v>
      </c>
      <c r="J81" s="405">
        <f t="shared" si="29"/>
        <v>0.2</v>
      </c>
      <c r="K81" s="406">
        <f>+(G81/F81)*E81</f>
        <v>0.03</v>
      </c>
      <c r="L81" s="406">
        <f t="shared" si="30"/>
        <v>0.03</v>
      </c>
      <c r="M81" s="400">
        <v>0</v>
      </c>
      <c r="N81" s="408"/>
      <c r="O81" s="401">
        <v>0</v>
      </c>
      <c r="P81" s="400"/>
      <c r="Q81" s="400"/>
      <c r="R81" s="400">
        <f t="shared" si="46"/>
        <v>0</v>
      </c>
      <c r="S81" s="400">
        <f t="shared" si="47"/>
        <v>0</v>
      </c>
      <c r="T81" s="402">
        <f>+(M81/G81)</f>
        <v>0</v>
      </c>
      <c r="U81" s="403">
        <f t="shared" si="31"/>
        <v>0</v>
      </c>
      <c r="V81" s="403">
        <f>+T81*E81</f>
        <v>0</v>
      </c>
      <c r="W81" s="403">
        <f t="shared" si="32"/>
        <v>0</v>
      </c>
      <c r="X81" s="403">
        <f>+M81/F81</f>
        <v>0</v>
      </c>
      <c r="Y81" s="403">
        <f t="shared" si="33"/>
        <v>0</v>
      </c>
      <c r="Z81" s="403">
        <f>+X81*E81</f>
        <v>0</v>
      </c>
      <c r="AA81" s="403">
        <f t="shared" si="48"/>
        <v>0</v>
      </c>
      <c r="AB81" s="404" t="s">
        <v>43</v>
      </c>
      <c r="AC81" s="828" t="s">
        <v>486</v>
      </c>
      <c r="AD81" s="828" t="s">
        <v>38</v>
      </c>
      <c r="AE81" s="765" t="s">
        <v>469</v>
      </c>
      <c r="AF81" s="381"/>
    </row>
    <row r="82" spans="1:32" ht="122.45" customHeight="1" thickBot="1" x14ac:dyDescent="0.35">
      <c r="A82" s="385"/>
      <c r="B82" s="1072" t="s">
        <v>619</v>
      </c>
      <c r="C82" s="1145" t="s">
        <v>620</v>
      </c>
      <c r="D82" s="807" t="s">
        <v>611</v>
      </c>
      <c r="E82" s="1259">
        <v>0.15</v>
      </c>
      <c r="F82" s="395">
        <v>6</v>
      </c>
      <c r="G82" s="415"/>
      <c r="H82" s="416">
        <v>0</v>
      </c>
      <c r="I82" s="405"/>
      <c r="J82" s="405"/>
      <c r="K82" s="406"/>
      <c r="L82" s="406"/>
      <c r="M82" s="400"/>
      <c r="N82" s="408"/>
      <c r="O82" s="401"/>
      <c r="P82" s="400"/>
      <c r="Q82" s="400"/>
      <c r="R82" s="400">
        <f t="shared" si="46"/>
        <v>0</v>
      </c>
      <c r="S82" s="400">
        <f t="shared" si="47"/>
        <v>0</v>
      </c>
      <c r="T82" s="402"/>
      <c r="U82" s="403"/>
      <c r="V82" s="403"/>
      <c r="W82" s="403"/>
      <c r="X82" s="403"/>
      <c r="Y82" s="403">
        <f t="shared" si="33"/>
        <v>0</v>
      </c>
      <c r="Z82" s="403"/>
      <c r="AA82" s="403">
        <f t="shared" si="48"/>
        <v>0</v>
      </c>
      <c r="AB82" s="425" t="s">
        <v>612</v>
      </c>
      <c r="AC82" s="828" t="s">
        <v>486</v>
      </c>
      <c r="AD82" s="828" t="s">
        <v>38</v>
      </c>
      <c r="AE82" s="765" t="s">
        <v>469</v>
      </c>
      <c r="AF82" s="381"/>
    </row>
    <row r="83" spans="1:32" ht="122.45" customHeight="1" thickBot="1" x14ac:dyDescent="0.35">
      <c r="A83" s="385"/>
      <c r="B83" s="1162" t="s">
        <v>621</v>
      </c>
      <c r="C83" s="1163" t="s">
        <v>622</v>
      </c>
      <c r="D83" s="800" t="s">
        <v>611</v>
      </c>
      <c r="E83" s="1259">
        <v>0.15</v>
      </c>
      <c r="F83" s="395">
        <v>2</v>
      </c>
      <c r="G83" s="415"/>
      <c r="H83" s="416">
        <v>0</v>
      </c>
      <c r="I83" s="405"/>
      <c r="J83" s="405"/>
      <c r="K83" s="406"/>
      <c r="L83" s="406"/>
      <c r="M83" s="400"/>
      <c r="N83" s="408"/>
      <c r="O83" s="401"/>
      <c r="P83" s="400"/>
      <c r="Q83" s="400"/>
      <c r="R83" s="400">
        <f t="shared" si="46"/>
        <v>0</v>
      </c>
      <c r="S83" s="400">
        <f t="shared" si="47"/>
        <v>0</v>
      </c>
      <c r="T83" s="402"/>
      <c r="U83" s="403"/>
      <c r="V83" s="403"/>
      <c r="W83" s="403"/>
      <c r="X83" s="403"/>
      <c r="Y83" s="403">
        <f t="shared" si="33"/>
        <v>0</v>
      </c>
      <c r="Z83" s="403"/>
      <c r="AA83" s="403">
        <f t="shared" si="48"/>
        <v>0</v>
      </c>
      <c r="AB83" s="425" t="s">
        <v>612</v>
      </c>
      <c r="AC83" s="828" t="s">
        <v>486</v>
      </c>
      <c r="AD83" s="828" t="s">
        <v>38</v>
      </c>
      <c r="AE83" s="765" t="s">
        <v>469</v>
      </c>
      <c r="AF83" s="381"/>
    </row>
    <row r="84" spans="1:32" ht="161.44999999999999" customHeight="1" thickBot="1" x14ac:dyDescent="0.35">
      <c r="A84" s="385"/>
      <c r="B84" s="1141" t="s">
        <v>623</v>
      </c>
      <c r="C84" s="1142" t="s">
        <v>624</v>
      </c>
      <c r="D84" s="584" t="s">
        <v>611</v>
      </c>
      <c r="E84" s="1259">
        <v>0.2</v>
      </c>
      <c r="F84" s="395">
        <v>2234</v>
      </c>
      <c r="G84" s="415"/>
      <c r="H84" s="416">
        <v>468</v>
      </c>
      <c r="I84" s="405"/>
      <c r="J84" s="405">
        <f t="shared" si="29"/>
        <v>0.20948970456580127</v>
      </c>
      <c r="K84" s="406"/>
      <c r="L84" s="406">
        <f t="shared" si="30"/>
        <v>4.1897940913160257E-2</v>
      </c>
      <c r="M84" s="400"/>
      <c r="N84" s="408"/>
      <c r="O84" s="401">
        <v>0</v>
      </c>
      <c r="P84" s="400"/>
      <c r="Q84" s="400"/>
      <c r="R84" s="400">
        <f t="shared" si="46"/>
        <v>0</v>
      </c>
      <c r="S84" s="400">
        <f t="shared" si="47"/>
        <v>0</v>
      </c>
      <c r="T84" s="402"/>
      <c r="U84" s="403">
        <f t="shared" si="31"/>
        <v>0</v>
      </c>
      <c r="V84" s="403"/>
      <c r="W84" s="403">
        <f t="shared" si="32"/>
        <v>0</v>
      </c>
      <c r="X84" s="403"/>
      <c r="Y84" s="403">
        <f t="shared" si="33"/>
        <v>0</v>
      </c>
      <c r="Z84" s="403">
        <f>+X84*E84</f>
        <v>0</v>
      </c>
      <c r="AA84" s="403">
        <f t="shared" si="48"/>
        <v>0</v>
      </c>
      <c r="AB84" s="425" t="s">
        <v>612</v>
      </c>
      <c r="AC84" s="828" t="s">
        <v>486</v>
      </c>
      <c r="AD84" s="828" t="s">
        <v>38</v>
      </c>
      <c r="AE84" s="765" t="s">
        <v>469</v>
      </c>
      <c r="AF84" s="381"/>
    </row>
    <row r="85" spans="1:32" ht="122.45" customHeight="1" thickBot="1" x14ac:dyDescent="0.35">
      <c r="A85" s="385"/>
      <c r="B85" s="1298" t="s">
        <v>625</v>
      </c>
      <c r="C85" s="1299"/>
      <c r="D85" s="808"/>
      <c r="E85" s="391">
        <v>0.09</v>
      </c>
      <c r="F85" s="410"/>
      <c r="G85" s="411"/>
      <c r="H85" s="392"/>
      <c r="I85" s="412">
        <f>+AVERAGE(I86:I90)</f>
        <v>0.36527777777777776</v>
      </c>
      <c r="J85" s="412">
        <f>+AVERAGE(J86:J90)</f>
        <v>0.24861111111111106</v>
      </c>
      <c r="K85" s="413">
        <f>+K86+K87+K88+K89+K90</f>
        <v>0.41006944444444449</v>
      </c>
      <c r="L85" s="413">
        <f>+L86+L87+L88+L89+L90</f>
        <v>0.24340277777777775</v>
      </c>
      <c r="M85" s="400"/>
      <c r="N85" s="414"/>
      <c r="O85" s="414"/>
      <c r="P85" s="414"/>
      <c r="Q85" s="414"/>
      <c r="R85" s="414"/>
      <c r="S85" s="414"/>
      <c r="T85" s="628">
        <f>+AVERAGE(T86:T90)</f>
        <v>1</v>
      </c>
      <c r="U85" s="628">
        <f>+AVERAGE(U86:U90)</f>
        <v>0.67549999999999999</v>
      </c>
      <c r="V85" s="436">
        <f>+(V86+V87+V88+V89+V90)*E85</f>
        <v>0.09</v>
      </c>
      <c r="W85" s="436">
        <f>+(W86+W87+W88+W89+W90)*E85</f>
        <v>4.7294999999999997E-2</v>
      </c>
      <c r="X85" s="393">
        <f>+AVERAGE(X86:X90)</f>
        <v>0.44777777777777777</v>
      </c>
      <c r="Y85" s="393">
        <f>+AVERAGE(Y86:Y90)</f>
        <v>0.72081944444444446</v>
      </c>
      <c r="Z85" s="393">
        <f>+(Z86+Z87+Z88+Z89+Z90)*E85</f>
        <v>4.2475000000000006E-2</v>
      </c>
      <c r="AA85" s="393">
        <f>+(AA86+AA87+AA88+AA89+AA90)</f>
        <v>0.65644444444444439</v>
      </c>
      <c r="AB85" s="394"/>
      <c r="AC85" s="380"/>
      <c r="AD85" s="381"/>
      <c r="AE85" s="381"/>
      <c r="AF85" s="381"/>
    </row>
    <row r="86" spans="1:32" ht="122.45" customHeight="1" thickBot="1" x14ac:dyDescent="0.35">
      <c r="A86" s="385"/>
      <c r="B86" s="1198" t="s">
        <v>626</v>
      </c>
      <c r="C86" s="1199" t="s">
        <v>627</v>
      </c>
      <c r="D86" s="800" t="s">
        <v>628</v>
      </c>
      <c r="E86" s="1259">
        <v>0.2</v>
      </c>
      <c r="F86" s="395">
        <v>1600</v>
      </c>
      <c r="G86" s="415">
        <v>400</v>
      </c>
      <c r="H86" s="416">
        <v>400</v>
      </c>
      <c r="I86" s="405">
        <f>+G86/F86</f>
        <v>0.25</v>
      </c>
      <c r="J86" s="405">
        <f t="shared" si="29"/>
        <v>0.25</v>
      </c>
      <c r="K86" s="406">
        <f>+(G86/F86)*E86</f>
        <v>0.05</v>
      </c>
      <c r="L86" s="406">
        <f t="shared" si="30"/>
        <v>0.05</v>
      </c>
      <c r="M86" s="400">
        <v>400</v>
      </c>
      <c r="N86" s="408">
        <v>225</v>
      </c>
      <c r="O86" s="400">
        <v>30</v>
      </c>
      <c r="P86" s="400"/>
      <c r="Q86" s="400"/>
      <c r="R86" s="400">
        <f t="shared" ref="R86:R90" si="49">+N86+O86+P86+Q86</f>
        <v>255</v>
      </c>
      <c r="S86" s="400">
        <f t="shared" ref="S86:S90" si="50">+R86+M86</f>
        <v>655</v>
      </c>
      <c r="T86" s="402">
        <f>+(M86/G86)</f>
        <v>1</v>
      </c>
      <c r="U86" s="403">
        <f t="shared" si="31"/>
        <v>0.63749999999999996</v>
      </c>
      <c r="V86" s="403">
        <f>+T86*E86</f>
        <v>0.2</v>
      </c>
      <c r="W86" s="403">
        <f>+U86*E86</f>
        <v>0.1275</v>
      </c>
      <c r="X86" s="403">
        <f>+M86/F86</f>
        <v>0.25</v>
      </c>
      <c r="Y86" s="403">
        <f t="shared" si="33"/>
        <v>0.40937499999999999</v>
      </c>
      <c r="Z86" s="403">
        <f>+X86*E86</f>
        <v>0.05</v>
      </c>
      <c r="AA86" s="403">
        <f>+Y86*E86</f>
        <v>8.1875000000000003E-2</v>
      </c>
      <c r="AB86" s="404" t="s">
        <v>43</v>
      </c>
      <c r="AC86" s="828" t="s">
        <v>486</v>
      </c>
      <c r="AD86" s="381"/>
      <c r="AE86" s="765" t="s">
        <v>469</v>
      </c>
      <c r="AF86" s="381"/>
    </row>
    <row r="87" spans="1:32" ht="114.6" customHeight="1" thickBot="1" x14ac:dyDescent="0.35">
      <c r="A87" s="385"/>
      <c r="B87" s="1198" t="s">
        <v>629</v>
      </c>
      <c r="C87" s="1199" t="s">
        <v>630</v>
      </c>
      <c r="D87" s="798" t="s">
        <v>628</v>
      </c>
      <c r="E87" s="426">
        <v>0.2</v>
      </c>
      <c r="F87" s="395">
        <v>400</v>
      </c>
      <c r="G87" s="415">
        <v>200</v>
      </c>
      <c r="H87" s="416">
        <v>100</v>
      </c>
      <c r="I87" s="405">
        <f>+G87/F87</f>
        <v>0.5</v>
      </c>
      <c r="J87" s="405">
        <f t="shared" si="29"/>
        <v>0.25</v>
      </c>
      <c r="K87" s="406">
        <f>+(G87/F87)*E87</f>
        <v>0.1</v>
      </c>
      <c r="L87" s="406">
        <f t="shared" si="30"/>
        <v>0.05</v>
      </c>
      <c r="M87" s="400">
        <v>200</v>
      </c>
      <c r="N87" s="408">
        <v>0</v>
      </c>
      <c r="O87" s="401">
        <v>74</v>
      </c>
      <c r="P87" s="400"/>
      <c r="Q87" s="400"/>
      <c r="R87" s="400">
        <f t="shared" si="49"/>
        <v>74</v>
      </c>
      <c r="S87" s="400">
        <f t="shared" si="50"/>
        <v>274</v>
      </c>
      <c r="T87" s="402">
        <f>+(M87/G87)</f>
        <v>1</v>
      </c>
      <c r="U87" s="403">
        <f t="shared" si="31"/>
        <v>0.74</v>
      </c>
      <c r="V87" s="403">
        <f>+T87*E87</f>
        <v>0.2</v>
      </c>
      <c r="W87" s="403">
        <f t="shared" si="32"/>
        <v>0.14799999999999999</v>
      </c>
      <c r="X87" s="403">
        <f>+M87/F87</f>
        <v>0.5</v>
      </c>
      <c r="Y87" s="403">
        <f t="shared" si="33"/>
        <v>0.68500000000000005</v>
      </c>
      <c r="Z87" s="403">
        <f>+X87*E87</f>
        <v>0.1</v>
      </c>
      <c r="AA87" s="403">
        <f>+Y87*E87</f>
        <v>0.13700000000000001</v>
      </c>
      <c r="AB87" s="404" t="s">
        <v>43</v>
      </c>
      <c r="AC87" s="828" t="s">
        <v>486</v>
      </c>
      <c r="AD87" s="381"/>
      <c r="AE87" s="765" t="s">
        <v>469</v>
      </c>
      <c r="AF87" s="381"/>
    </row>
    <row r="88" spans="1:32" ht="98.45" customHeight="1" thickBot="1" x14ac:dyDescent="0.35">
      <c r="A88" s="385"/>
      <c r="B88" s="1198" t="s">
        <v>631</v>
      </c>
      <c r="C88" s="1199" t="s">
        <v>632</v>
      </c>
      <c r="D88" s="798" t="s">
        <v>628</v>
      </c>
      <c r="E88" s="426">
        <v>0.15</v>
      </c>
      <c r="F88" s="427">
        <v>240</v>
      </c>
      <c r="G88" s="415">
        <v>65</v>
      </c>
      <c r="H88" s="416">
        <v>65</v>
      </c>
      <c r="I88" s="405">
        <f>+G88/F88</f>
        <v>0.27083333333333331</v>
      </c>
      <c r="J88" s="405">
        <f t="shared" si="29"/>
        <v>0.27083333333333331</v>
      </c>
      <c r="K88" s="406">
        <f>+(G88/F88)*E88</f>
        <v>4.0624999999999994E-2</v>
      </c>
      <c r="L88" s="406">
        <f t="shared" si="30"/>
        <v>4.0624999999999994E-2</v>
      </c>
      <c r="M88" s="400">
        <v>164</v>
      </c>
      <c r="N88" s="408">
        <v>50</v>
      </c>
      <c r="O88" s="401">
        <v>15</v>
      </c>
      <c r="P88" s="400"/>
      <c r="Q88" s="400"/>
      <c r="R88" s="400">
        <f t="shared" si="49"/>
        <v>65</v>
      </c>
      <c r="S88" s="400">
        <f t="shared" si="50"/>
        <v>229</v>
      </c>
      <c r="T88" s="402">
        <v>1</v>
      </c>
      <c r="U88" s="403">
        <f t="shared" si="31"/>
        <v>1</v>
      </c>
      <c r="V88" s="403">
        <f>+T88*E88</f>
        <v>0.15</v>
      </c>
      <c r="W88" s="403">
        <f t="shared" si="32"/>
        <v>0.15</v>
      </c>
      <c r="X88" s="403">
        <f>+M88/F88</f>
        <v>0.68333333333333335</v>
      </c>
      <c r="Y88" s="403">
        <f t="shared" si="33"/>
        <v>0.95416666666666672</v>
      </c>
      <c r="Z88" s="403">
        <f>+X88*E88</f>
        <v>0.10249999999999999</v>
      </c>
      <c r="AA88" s="403">
        <f>+Y88*E88</f>
        <v>0.143125</v>
      </c>
      <c r="AB88" s="404" t="s">
        <v>43</v>
      </c>
      <c r="AC88" s="828" t="s">
        <v>486</v>
      </c>
      <c r="AD88" s="381"/>
      <c r="AE88" s="765" t="s">
        <v>469</v>
      </c>
      <c r="AF88" s="381"/>
    </row>
    <row r="89" spans="1:32" ht="106.15" customHeight="1" thickBot="1" x14ac:dyDescent="0.35">
      <c r="A89" s="385"/>
      <c r="B89" s="1141" t="s">
        <v>633</v>
      </c>
      <c r="C89" s="1142" t="s">
        <v>634</v>
      </c>
      <c r="D89" s="584" t="s">
        <v>628</v>
      </c>
      <c r="E89" s="428">
        <v>0.1</v>
      </c>
      <c r="F89" s="427">
        <v>200</v>
      </c>
      <c r="G89" s="415">
        <v>50</v>
      </c>
      <c r="H89" s="416">
        <v>50</v>
      </c>
      <c r="I89" s="405">
        <f>+G89/F89</f>
        <v>0.25</v>
      </c>
      <c r="J89" s="405">
        <f t="shared" si="29"/>
        <v>0.25</v>
      </c>
      <c r="K89" s="406">
        <f>+(G89/F89)*E89</f>
        <v>2.5000000000000001E-2</v>
      </c>
      <c r="L89" s="406">
        <f t="shared" si="30"/>
        <v>2.5000000000000001E-2</v>
      </c>
      <c r="M89" s="400">
        <v>50</v>
      </c>
      <c r="N89" s="408">
        <v>43</v>
      </c>
      <c r="O89" s="401">
        <v>7</v>
      </c>
      <c r="P89" s="400"/>
      <c r="Q89" s="400"/>
      <c r="R89" s="400">
        <f t="shared" si="49"/>
        <v>50</v>
      </c>
      <c r="S89" s="400">
        <f>+R89+M89</f>
        <v>100</v>
      </c>
      <c r="T89" s="402">
        <v>1</v>
      </c>
      <c r="U89" s="403">
        <f t="shared" si="31"/>
        <v>1</v>
      </c>
      <c r="V89" s="403">
        <f>+T89*E89</f>
        <v>0.1</v>
      </c>
      <c r="W89" s="403">
        <f t="shared" si="32"/>
        <v>0.1</v>
      </c>
      <c r="X89" s="403">
        <f>+M89/F89</f>
        <v>0.25</v>
      </c>
      <c r="Y89" s="403">
        <v>1</v>
      </c>
      <c r="Z89" s="403">
        <f>+X89*E89</f>
        <v>2.5000000000000001E-2</v>
      </c>
      <c r="AA89" s="403">
        <f>+Y89*E89</f>
        <v>0.1</v>
      </c>
      <c r="AB89" s="404" t="s">
        <v>43</v>
      </c>
      <c r="AC89" s="828" t="s">
        <v>635</v>
      </c>
      <c r="AD89" s="381"/>
      <c r="AE89" s="765" t="s">
        <v>469</v>
      </c>
      <c r="AF89" s="381"/>
    </row>
    <row r="90" spans="1:32" ht="98.45" customHeight="1" thickBot="1" x14ac:dyDescent="0.35">
      <c r="A90" s="385"/>
      <c r="B90" s="1139" t="s">
        <v>636</v>
      </c>
      <c r="C90" s="1140" t="s">
        <v>637</v>
      </c>
      <c r="D90" s="801" t="s">
        <v>628</v>
      </c>
      <c r="E90" s="1115">
        <v>0.35</v>
      </c>
      <c r="F90" s="395">
        <v>9</v>
      </c>
      <c r="G90" s="415">
        <v>5</v>
      </c>
      <c r="H90" s="416">
        <v>2</v>
      </c>
      <c r="I90" s="405">
        <f>+G90/F90</f>
        <v>0.55555555555555558</v>
      </c>
      <c r="J90" s="405">
        <f t="shared" si="29"/>
        <v>0.22222222222222221</v>
      </c>
      <c r="K90" s="406">
        <f>+(G90/F90)*E90</f>
        <v>0.19444444444444445</v>
      </c>
      <c r="L90" s="406">
        <f t="shared" si="30"/>
        <v>7.7777777777777765E-2</v>
      </c>
      <c r="M90" s="400">
        <v>5</v>
      </c>
      <c r="N90" s="408">
        <v>0</v>
      </c>
      <c r="O90" s="401">
        <v>0</v>
      </c>
      <c r="P90" s="400"/>
      <c r="Q90" s="400"/>
      <c r="R90" s="400">
        <f t="shared" si="49"/>
        <v>0</v>
      </c>
      <c r="S90" s="400">
        <f t="shared" si="50"/>
        <v>5</v>
      </c>
      <c r="T90" s="402">
        <f>+(M90/G90)</f>
        <v>1</v>
      </c>
      <c r="U90" s="403">
        <f t="shared" si="31"/>
        <v>0</v>
      </c>
      <c r="V90" s="403">
        <f>+T90*E90</f>
        <v>0.35</v>
      </c>
      <c r="W90" s="403">
        <f t="shared" si="32"/>
        <v>0</v>
      </c>
      <c r="X90" s="403">
        <f>+M90/F90</f>
        <v>0.55555555555555558</v>
      </c>
      <c r="Y90" s="403">
        <f t="shared" si="33"/>
        <v>0.55555555555555558</v>
      </c>
      <c r="Z90" s="403">
        <f>+X90*E90</f>
        <v>0.19444444444444445</v>
      </c>
      <c r="AA90" s="403">
        <f>+Y90*E90</f>
        <v>0.19444444444444445</v>
      </c>
      <c r="AB90" s="404" t="s">
        <v>43</v>
      </c>
      <c r="AC90" s="828" t="s">
        <v>486</v>
      </c>
      <c r="AD90" s="381"/>
      <c r="AE90" s="765" t="s">
        <v>469</v>
      </c>
      <c r="AF90" s="381"/>
    </row>
    <row r="91" spans="1:32" ht="122.45" customHeight="1" thickBot="1" x14ac:dyDescent="0.35">
      <c r="A91" s="385"/>
      <c r="B91" s="1301" t="s">
        <v>638</v>
      </c>
      <c r="C91" s="1293"/>
      <c r="D91" s="429"/>
      <c r="E91" s="430">
        <v>0.1</v>
      </c>
      <c r="F91" s="431">
        <f>+E91*V91</f>
        <v>3.9149999999999997E-2</v>
      </c>
      <c r="G91" s="411"/>
      <c r="H91" s="387">
        <f>+E91*W91</f>
        <v>7.4717045454545444E-3</v>
      </c>
      <c r="I91" s="432">
        <f>+(I92+I101+I106)/3</f>
        <v>0.36897145335135689</v>
      </c>
      <c r="J91" s="432">
        <f>+(J92+J101+J106)/3</f>
        <v>0.36088216653487343</v>
      </c>
      <c r="K91" s="433">
        <f>+(K92+K101+K106)/3</f>
        <v>0.13546025296319508</v>
      </c>
      <c r="L91" s="433">
        <f>+(L92+L101+L106)/3</f>
        <v>0.20866225707050537</v>
      </c>
      <c r="M91" s="622"/>
      <c r="N91" s="434"/>
      <c r="O91" s="434"/>
      <c r="P91" s="434"/>
      <c r="Q91" s="434"/>
      <c r="R91" s="434"/>
      <c r="S91" s="434"/>
      <c r="T91" s="435">
        <f>+(T92+T101+T106)/3</f>
        <v>0.8396825396825397</v>
      </c>
      <c r="U91" s="435">
        <f>+(U92+U101+U106)/3</f>
        <v>0.16826839826839826</v>
      </c>
      <c r="V91" s="388">
        <f>+V92+V101+V106</f>
        <v>0.39149999999999996</v>
      </c>
      <c r="W91" s="388">
        <f>+W92+W101+W106</f>
        <v>7.4717045454545439E-2</v>
      </c>
      <c r="X91" s="389">
        <f>(X92+X101+X106)/3</f>
        <v>0.12107490645604667</v>
      </c>
      <c r="Y91" s="389">
        <f>(Y92+Y101+Y106)/3</f>
        <v>0.21972164484441217</v>
      </c>
      <c r="Z91" s="388">
        <f>(Z92+Z101+Z106)</f>
        <v>0.1147193821346188</v>
      </c>
      <c r="AA91" s="388">
        <f>(AA92*E92)+(AA101*E101)+(AA106*E106)</f>
        <v>0.22911010583729266</v>
      </c>
      <c r="AB91" s="390"/>
      <c r="AC91" s="380"/>
      <c r="AD91" s="381"/>
      <c r="AE91" s="381"/>
      <c r="AF91" s="381"/>
    </row>
    <row r="92" spans="1:32" ht="122.45" customHeight="1" thickBot="1" x14ac:dyDescent="0.35">
      <c r="A92" s="385"/>
      <c r="B92" s="1292" t="s">
        <v>639</v>
      </c>
      <c r="C92" s="1285"/>
      <c r="D92" s="809"/>
      <c r="E92" s="391">
        <v>0.35</v>
      </c>
      <c r="F92" s="410"/>
      <c r="G92" s="411"/>
      <c r="H92" s="392"/>
      <c r="I92" s="412">
        <f>+AVERAGE(I93:I100)</f>
        <v>0.36703340767311832</v>
      </c>
      <c r="J92" s="412">
        <f>+AVERAGE(J93:J100)</f>
        <v>0.24232903928716013</v>
      </c>
      <c r="K92" s="413">
        <f>+K93+K94+K95+K96+K97+K98+K99+K100</f>
        <v>0.19522004460387099</v>
      </c>
      <c r="L92" s="413">
        <f>+L93+L94+L95+L96+L97+L98+L99+L100</f>
        <v>0.2060820093067543</v>
      </c>
      <c r="M92" s="400"/>
      <c r="N92" s="414"/>
      <c r="O92" s="414"/>
      <c r="P92" s="414"/>
      <c r="Q92" s="414"/>
      <c r="R92" s="414"/>
      <c r="S92" s="414"/>
      <c r="T92" s="628">
        <f>+AVERAGE(T93:T100)</f>
        <v>1</v>
      </c>
      <c r="U92" s="988">
        <f>+AVERAGE(U93:U100)</f>
        <v>0.13707792207792208</v>
      </c>
      <c r="V92" s="436">
        <f>+(V93+V94+V95+V96+V97+V98+V99+V100)*E92</f>
        <v>0.17499999999999996</v>
      </c>
      <c r="W92" s="436">
        <f>+(W93+W94+W95+W96+W97+W98+W99+W100)*E92</f>
        <v>3.2876136363636357E-2</v>
      </c>
      <c r="X92" s="436">
        <f>+AVERAGE(X93:X100)</f>
        <v>0.1583199574633781</v>
      </c>
      <c r="Y92" s="436">
        <f>+AVERAGE(Y93:Y100)</f>
        <v>0.37070858532688733</v>
      </c>
      <c r="Z92" s="436">
        <f>+(Z93+Z94+Z95+Z96+Z97+Z98+Z99+Z100)*E92</f>
        <v>5.7744382134618799E-2</v>
      </c>
      <c r="AA92" s="436">
        <f>+(AA93+AA94+AA95+AA96+AA97+AA98+AA99+AA100)</f>
        <v>0.40735030239226472</v>
      </c>
      <c r="AB92" s="394"/>
      <c r="AC92" s="728"/>
      <c r="AD92" s="381"/>
      <c r="AE92" s="381"/>
      <c r="AF92" s="381"/>
    </row>
    <row r="93" spans="1:32" ht="122.45" customHeight="1" thickBot="1" x14ac:dyDescent="0.35">
      <c r="A93" s="385"/>
      <c r="B93" s="1146" t="s">
        <v>640</v>
      </c>
      <c r="C93" s="1071" t="s">
        <v>641</v>
      </c>
      <c r="D93" s="437" t="s">
        <v>642</v>
      </c>
      <c r="E93" s="1267">
        <v>0.15</v>
      </c>
      <c r="F93" s="395">
        <v>7190</v>
      </c>
      <c r="G93" s="415">
        <v>515</v>
      </c>
      <c r="H93" s="416">
        <v>1850</v>
      </c>
      <c r="I93" s="405"/>
      <c r="J93" s="405">
        <f t="shared" ref="J93:J118" si="51">+H93/F93</f>
        <v>0.2573018080667594</v>
      </c>
      <c r="K93" s="406"/>
      <c r="L93" s="406">
        <f t="shared" ref="L93:L118" si="52">+(H93/F93)*E93</f>
        <v>3.8595271210013909E-2</v>
      </c>
      <c r="M93" s="400">
        <v>6737</v>
      </c>
      <c r="N93" s="408">
        <v>0</v>
      </c>
      <c r="O93" s="400">
        <v>0</v>
      </c>
      <c r="P93" s="400"/>
      <c r="Q93" s="400"/>
      <c r="R93" s="400">
        <f t="shared" ref="R93:R99" si="53">+N93+O93+P93+Q93</f>
        <v>0</v>
      </c>
      <c r="S93" s="400">
        <f t="shared" ref="S93:S99" si="54">+R93+M93</f>
        <v>6737</v>
      </c>
      <c r="T93" s="402"/>
      <c r="U93" s="403">
        <f t="shared" ref="U93:U118" si="55">+R93/H93</f>
        <v>0</v>
      </c>
      <c r="V93" s="403"/>
      <c r="W93" s="403">
        <f t="shared" ref="W93:W118" si="56">+U93*E93</f>
        <v>0</v>
      </c>
      <c r="X93" s="403">
        <v>0</v>
      </c>
      <c r="Y93" s="403">
        <f t="shared" ref="Y93:Y118" si="57">+S93/F93</f>
        <v>0.93699582753824762</v>
      </c>
      <c r="Z93" s="403">
        <f>+X93*E93</f>
        <v>0</v>
      </c>
      <c r="AA93" s="403">
        <f>+Y93*E93</f>
        <v>0.14054937413073715</v>
      </c>
      <c r="AB93" s="732" t="s">
        <v>43</v>
      </c>
      <c r="AC93" s="828" t="s">
        <v>486</v>
      </c>
      <c r="AD93" s="828" t="s">
        <v>38</v>
      </c>
      <c r="AE93" s="752" t="s">
        <v>643</v>
      </c>
      <c r="AF93" s="381"/>
    </row>
    <row r="94" spans="1:32" ht="122.45" customHeight="1" thickBot="1" x14ac:dyDescent="0.35">
      <c r="A94" s="385"/>
      <c r="B94" s="1146" t="s">
        <v>644</v>
      </c>
      <c r="C94" s="1071" t="s">
        <v>645</v>
      </c>
      <c r="D94" s="438" t="s">
        <v>642</v>
      </c>
      <c r="E94" s="1259">
        <v>0.1</v>
      </c>
      <c r="F94" s="395">
        <v>9</v>
      </c>
      <c r="G94" s="415">
        <v>0</v>
      </c>
      <c r="H94" s="416">
        <v>3</v>
      </c>
      <c r="I94" s="405"/>
      <c r="J94" s="405">
        <f t="shared" si="51"/>
        <v>0.33333333333333331</v>
      </c>
      <c r="K94" s="406"/>
      <c r="L94" s="406">
        <f t="shared" si="52"/>
        <v>3.3333333333333333E-2</v>
      </c>
      <c r="M94" s="400"/>
      <c r="N94" s="408">
        <v>0</v>
      </c>
      <c r="O94" s="401">
        <v>0</v>
      </c>
      <c r="P94" s="400"/>
      <c r="Q94" s="400"/>
      <c r="R94" s="400">
        <f t="shared" si="53"/>
        <v>0</v>
      </c>
      <c r="S94" s="400">
        <f t="shared" si="54"/>
        <v>0</v>
      </c>
      <c r="T94" s="402"/>
      <c r="U94" s="403">
        <f t="shared" si="55"/>
        <v>0</v>
      </c>
      <c r="V94" s="403"/>
      <c r="W94" s="403">
        <f t="shared" si="56"/>
        <v>0</v>
      </c>
      <c r="X94" s="403">
        <v>0</v>
      </c>
      <c r="Y94" s="403">
        <f t="shared" si="57"/>
        <v>0</v>
      </c>
      <c r="Z94" s="403"/>
      <c r="AA94" s="403">
        <f t="shared" ref="AA94:AA100" si="58">+Y94*E94</f>
        <v>0</v>
      </c>
      <c r="AB94" s="404" t="s">
        <v>43</v>
      </c>
      <c r="AC94" s="828" t="s">
        <v>486</v>
      </c>
      <c r="AD94" s="828" t="s">
        <v>38</v>
      </c>
      <c r="AE94" s="765" t="s">
        <v>469</v>
      </c>
      <c r="AF94" s="381"/>
    </row>
    <row r="95" spans="1:32" ht="122.45" customHeight="1" thickBot="1" x14ac:dyDescent="0.35">
      <c r="A95" s="385"/>
      <c r="B95" s="1146" t="s">
        <v>646</v>
      </c>
      <c r="C95" s="1071" t="s">
        <v>647</v>
      </c>
      <c r="D95" s="810" t="s">
        <v>642</v>
      </c>
      <c r="E95" s="1259">
        <v>0.15</v>
      </c>
      <c r="F95" s="395">
        <v>6</v>
      </c>
      <c r="G95" s="415">
        <v>4</v>
      </c>
      <c r="H95" s="416">
        <v>0</v>
      </c>
      <c r="I95" s="405">
        <f>+G95/F95</f>
        <v>0.66666666666666663</v>
      </c>
      <c r="J95" s="405">
        <f t="shared" si="51"/>
        <v>0</v>
      </c>
      <c r="K95" s="406">
        <f>+(G95/F95)*E95</f>
        <v>9.9999999999999992E-2</v>
      </c>
      <c r="L95" s="406">
        <f t="shared" si="52"/>
        <v>0</v>
      </c>
      <c r="M95" s="400">
        <v>5</v>
      </c>
      <c r="N95" s="408"/>
      <c r="O95" s="401"/>
      <c r="P95" s="400"/>
      <c r="Q95" s="400"/>
      <c r="R95" s="400">
        <f t="shared" si="53"/>
        <v>0</v>
      </c>
      <c r="S95" s="400">
        <f t="shared" si="54"/>
        <v>5</v>
      </c>
      <c r="T95" s="402">
        <v>1</v>
      </c>
      <c r="U95" s="403"/>
      <c r="V95" s="403">
        <f>+T95*E95</f>
        <v>0.15</v>
      </c>
      <c r="W95" s="403"/>
      <c r="X95" s="403">
        <f>+M95/F95</f>
        <v>0.83333333333333337</v>
      </c>
      <c r="Y95" s="403">
        <f t="shared" si="57"/>
        <v>0.83333333333333337</v>
      </c>
      <c r="Z95" s="403">
        <f>+X95*E95</f>
        <v>0.125</v>
      </c>
      <c r="AA95" s="403">
        <f t="shared" si="58"/>
        <v>0.125</v>
      </c>
      <c r="AB95" s="404" t="s">
        <v>43</v>
      </c>
      <c r="AC95" s="828" t="s">
        <v>486</v>
      </c>
      <c r="AD95" s="828" t="s">
        <v>38</v>
      </c>
      <c r="AE95" s="765" t="s">
        <v>469</v>
      </c>
      <c r="AF95" s="381"/>
    </row>
    <row r="96" spans="1:32" ht="122.45" customHeight="1" thickBot="1" x14ac:dyDescent="0.35">
      <c r="A96" s="385"/>
      <c r="B96" s="1072" t="s">
        <v>648</v>
      </c>
      <c r="C96" s="1070" t="s">
        <v>649</v>
      </c>
      <c r="D96" s="438" t="s">
        <v>642</v>
      </c>
      <c r="E96" s="1259">
        <v>0.15</v>
      </c>
      <c r="F96" s="395">
        <v>448800</v>
      </c>
      <c r="G96" s="415">
        <v>65000</v>
      </c>
      <c r="H96" s="416">
        <v>110000</v>
      </c>
      <c r="I96" s="405">
        <f>+G96/F96</f>
        <v>0.14483065953654189</v>
      </c>
      <c r="J96" s="405">
        <f t="shared" si="51"/>
        <v>0.24509803921568626</v>
      </c>
      <c r="K96" s="406">
        <f>+(G96/F96)*E96</f>
        <v>2.1724598930481284E-2</v>
      </c>
      <c r="L96" s="406">
        <f t="shared" si="52"/>
        <v>3.6764705882352935E-2</v>
      </c>
      <c r="M96" s="400">
        <v>79458</v>
      </c>
      <c r="N96" s="408">
        <v>24490</v>
      </c>
      <c r="O96" s="401">
        <v>26060</v>
      </c>
      <c r="P96" s="400"/>
      <c r="Q96" s="400"/>
      <c r="R96" s="400">
        <f t="shared" si="53"/>
        <v>50550</v>
      </c>
      <c r="S96" s="400">
        <f t="shared" si="54"/>
        <v>130008</v>
      </c>
      <c r="T96" s="402">
        <v>1</v>
      </c>
      <c r="U96" s="403">
        <f t="shared" si="55"/>
        <v>0.45954545454545453</v>
      </c>
      <c r="V96" s="403">
        <f>+T96*E96</f>
        <v>0.15</v>
      </c>
      <c r="W96" s="403">
        <f t="shared" si="56"/>
        <v>6.8931818181818177E-2</v>
      </c>
      <c r="X96" s="403">
        <f>+M96/F96</f>
        <v>0.17704545454545453</v>
      </c>
      <c r="Y96" s="403">
        <f t="shared" si="57"/>
        <v>0.28967914438502673</v>
      </c>
      <c r="Z96" s="403">
        <f>+X96*E96</f>
        <v>2.6556818181818178E-2</v>
      </c>
      <c r="AA96" s="403">
        <f t="shared" si="58"/>
        <v>4.3451871657754007E-2</v>
      </c>
      <c r="AB96" s="404" t="s">
        <v>43</v>
      </c>
      <c r="AC96" s="828" t="s">
        <v>486</v>
      </c>
      <c r="AD96" s="828" t="s">
        <v>38</v>
      </c>
      <c r="AE96" s="765" t="s">
        <v>469</v>
      </c>
      <c r="AF96" s="381"/>
    </row>
    <row r="97" spans="1:32" ht="122.45" customHeight="1" thickBot="1" x14ac:dyDescent="0.35">
      <c r="A97" s="385"/>
      <c r="B97" s="1146" t="s">
        <v>650</v>
      </c>
      <c r="C97" s="1071" t="s">
        <v>651</v>
      </c>
      <c r="D97" s="810" t="s">
        <v>642</v>
      </c>
      <c r="E97" s="1259">
        <v>0.15</v>
      </c>
      <c r="F97" s="395">
        <v>12296</v>
      </c>
      <c r="G97" s="415">
        <v>5000</v>
      </c>
      <c r="H97" s="416">
        <v>4000</v>
      </c>
      <c r="I97" s="405">
        <f>+G97/F97</f>
        <v>0.4066363044892648</v>
      </c>
      <c r="J97" s="405">
        <f t="shared" si="51"/>
        <v>0.32530904359141183</v>
      </c>
      <c r="K97" s="406">
        <f>+(G97/F97)*E97</f>
        <v>6.0995445673389714E-2</v>
      </c>
      <c r="L97" s="406">
        <f t="shared" si="52"/>
        <v>4.8796356538711776E-2</v>
      </c>
      <c r="M97" s="400">
        <v>76</v>
      </c>
      <c r="N97" s="408">
        <v>0</v>
      </c>
      <c r="O97" s="401">
        <v>0</v>
      </c>
      <c r="P97" s="400"/>
      <c r="Q97" s="400"/>
      <c r="R97" s="400">
        <f t="shared" si="53"/>
        <v>0</v>
      </c>
      <c r="S97" s="400">
        <f>+R97+M97</f>
        <v>76</v>
      </c>
      <c r="T97" s="402">
        <v>1</v>
      </c>
      <c r="U97" s="403">
        <f t="shared" si="55"/>
        <v>0</v>
      </c>
      <c r="V97" s="403">
        <f>+T97*E97</f>
        <v>0.15</v>
      </c>
      <c r="W97" s="403">
        <f t="shared" si="56"/>
        <v>0</v>
      </c>
      <c r="X97" s="403">
        <f>+M97/F97</f>
        <v>6.1808718282368247E-3</v>
      </c>
      <c r="Y97" s="403">
        <f>+(S97+6449)/F97</f>
        <v>0.53066037735849059</v>
      </c>
      <c r="Z97" s="403">
        <f>+X97*E97</f>
        <v>9.2713077423552364E-4</v>
      </c>
      <c r="AA97" s="403">
        <f t="shared" si="58"/>
        <v>7.9599056603773588E-2</v>
      </c>
      <c r="AB97" s="404" t="s">
        <v>43</v>
      </c>
      <c r="AC97" s="828" t="s">
        <v>486</v>
      </c>
      <c r="AD97" s="828" t="s">
        <v>38</v>
      </c>
      <c r="AE97" s="765" t="s">
        <v>469</v>
      </c>
      <c r="AF97" s="381"/>
    </row>
    <row r="98" spans="1:32" ht="122.45" customHeight="1" thickBot="1" x14ac:dyDescent="0.35">
      <c r="A98" s="385"/>
      <c r="B98" s="1072" t="s">
        <v>652</v>
      </c>
      <c r="C98" s="1070" t="s">
        <v>653</v>
      </c>
      <c r="D98" s="438" t="s">
        <v>642</v>
      </c>
      <c r="E98" s="1259">
        <v>0.1</v>
      </c>
      <c r="F98" s="395">
        <v>592</v>
      </c>
      <c r="G98" s="415">
        <v>0</v>
      </c>
      <c r="H98" s="416">
        <v>115</v>
      </c>
      <c r="I98" s="405"/>
      <c r="J98" s="405">
        <f t="shared" si="51"/>
        <v>0.19425675675675674</v>
      </c>
      <c r="K98" s="406"/>
      <c r="L98" s="406">
        <f t="shared" si="52"/>
        <v>1.9425675675675675E-2</v>
      </c>
      <c r="M98" s="400"/>
      <c r="N98" s="408">
        <v>0</v>
      </c>
      <c r="O98" s="401">
        <v>0</v>
      </c>
      <c r="P98" s="400"/>
      <c r="Q98" s="400"/>
      <c r="R98" s="400">
        <f t="shared" si="53"/>
        <v>0</v>
      </c>
      <c r="S98" s="400">
        <f t="shared" si="54"/>
        <v>0</v>
      </c>
      <c r="T98" s="402"/>
      <c r="U98" s="403">
        <f t="shared" si="55"/>
        <v>0</v>
      </c>
      <c r="V98" s="403"/>
      <c r="W98" s="403">
        <f t="shared" si="56"/>
        <v>0</v>
      </c>
      <c r="X98" s="403">
        <v>0</v>
      </c>
      <c r="Y98" s="403">
        <f t="shared" si="57"/>
        <v>0</v>
      </c>
      <c r="Z98" s="403"/>
      <c r="AA98" s="403">
        <f t="shared" si="58"/>
        <v>0</v>
      </c>
      <c r="AB98" s="404" t="s">
        <v>43</v>
      </c>
      <c r="AC98" s="752" t="s">
        <v>127</v>
      </c>
      <c r="AD98" s="828" t="s">
        <v>38</v>
      </c>
      <c r="AE98" s="765" t="s">
        <v>469</v>
      </c>
      <c r="AF98" s="381"/>
    </row>
    <row r="99" spans="1:32" s="845" customFormat="1" ht="122.45" customHeight="1" thickBot="1" x14ac:dyDescent="0.35">
      <c r="A99" s="837"/>
      <c r="B99" s="1072" t="s">
        <v>654</v>
      </c>
      <c r="C99" s="1070" t="s">
        <v>655</v>
      </c>
      <c r="D99" s="438" t="s">
        <v>642</v>
      </c>
      <c r="E99" s="1259">
        <v>0.05</v>
      </c>
      <c r="F99" s="838">
        <v>45</v>
      </c>
      <c r="G99" s="839">
        <v>0</v>
      </c>
      <c r="H99" s="840">
        <v>15</v>
      </c>
      <c r="I99" s="841"/>
      <c r="J99" s="841">
        <f t="shared" si="51"/>
        <v>0.33333333333333331</v>
      </c>
      <c r="K99" s="842"/>
      <c r="L99" s="406">
        <f t="shared" si="52"/>
        <v>1.6666666666666666E-2</v>
      </c>
      <c r="M99" s="400"/>
      <c r="N99" s="408"/>
      <c r="O99" s="401">
        <v>0</v>
      </c>
      <c r="P99" s="400"/>
      <c r="Q99" s="400"/>
      <c r="R99" s="400">
        <f t="shared" si="53"/>
        <v>0</v>
      </c>
      <c r="S99" s="400">
        <f t="shared" si="54"/>
        <v>0</v>
      </c>
      <c r="T99" s="402"/>
      <c r="U99" s="403">
        <f t="shared" si="55"/>
        <v>0</v>
      </c>
      <c r="V99" s="403"/>
      <c r="W99" s="403">
        <f t="shared" si="56"/>
        <v>0</v>
      </c>
      <c r="X99" s="403">
        <v>0</v>
      </c>
      <c r="Y99" s="403">
        <f t="shared" si="57"/>
        <v>0</v>
      </c>
      <c r="Z99" s="403"/>
      <c r="AA99" s="403">
        <f t="shared" si="58"/>
        <v>0</v>
      </c>
      <c r="AB99" s="843" t="s">
        <v>43</v>
      </c>
      <c r="AC99" s="828" t="s">
        <v>486</v>
      </c>
      <c r="AD99" s="828" t="s">
        <v>38</v>
      </c>
      <c r="AE99" s="765" t="s">
        <v>469</v>
      </c>
      <c r="AF99" s="844"/>
    </row>
    <row r="100" spans="1:32" ht="262.14999999999998" customHeight="1" thickBot="1" x14ac:dyDescent="0.35">
      <c r="A100" s="385"/>
      <c r="B100" s="1072" t="s">
        <v>656</v>
      </c>
      <c r="C100" s="1070" t="s">
        <v>657</v>
      </c>
      <c r="D100" s="438" t="s">
        <v>658</v>
      </c>
      <c r="E100" s="1259">
        <v>0.05</v>
      </c>
      <c r="F100" s="439">
        <f>699282*4</f>
        <v>2797128</v>
      </c>
      <c r="G100" s="415">
        <f>246152+171307+281823</f>
        <v>699282</v>
      </c>
      <c r="H100" s="416">
        <v>699282</v>
      </c>
      <c r="I100" s="405">
        <f>+G100/F100</f>
        <v>0.25</v>
      </c>
      <c r="J100" s="405">
        <f t="shared" si="51"/>
        <v>0.25</v>
      </c>
      <c r="K100" s="406">
        <f>+(G100/F100)*E100</f>
        <v>1.2500000000000001E-2</v>
      </c>
      <c r="L100" s="406">
        <f t="shared" si="52"/>
        <v>1.2500000000000001E-2</v>
      </c>
      <c r="M100" s="400">
        <f>246152+171307+281823</f>
        <v>699282</v>
      </c>
      <c r="N100" s="408">
        <v>174820.5</v>
      </c>
      <c r="O100" s="408">
        <v>174820.5</v>
      </c>
      <c r="P100" s="400"/>
      <c r="Q100" s="400"/>
      <c r="R100" s="407">
        <f>+N100+O100+P100+Q100</f>
        <v>349641</v>
      </c>
      <c r="S100" s="407">
        <f>+R100+M100</f>
        <v>1048923</v>
      </c>
      <c r="T100" s="402">
        <f>+(M100/G100)</f>
        <v>1</v>
      </c>
      <c r="U100" s="403">
        <v>0.5</v>
      </c>
      <c r="V100" s="403">
        <f>+T100*E100</f>
        <v>0.05</v>
      </c>
      <c r="W100" s="403">
        <f t="shared" si="56"/>
        <v>2.5000000000000001E-2</v>
      </c>
      <c r="X100" s="403">
        <f>+M100/F100</f>
        <v>0.25</v>
      </c>
      <c r="Y100" s="409">
        <f>+S100/F100</f>
        <v>0.375</v>
      </c>
      <c r="Z100" s="403">
        <f>+X100*E100</f>
        <v>1.2500000000000001E-2</v>
      </c>
      <c r="AA100" s="403">
        <f t="shared" si="58"/>
        <v>1.8750000000000003E-2</v>
      </c>
      <c r="AB100" s="404" t="s">
        <v>43</v>
      </c>
      <c r="AC100" s="752" t="s">
        <v>659</v>
      </c>
      <c r="AD100" s="828" t="s">
        <v>38</v>
      </c>
      <c r="AE100" s="765" t="s">
        <v>469</v>
      </c>
      <c r="AF100" s="381"/>
    </row>
    <row r="101" spans="1:32" ht="122.45" customHeight="1" thickBot="1" x14ac:dyDescent="0.35">
      <c r="A101" s="385"/>
      <c r="B101" s="1292" t="s">
        <v>660</v>
      </c>
      <c r="C101" s="1285"/>
      <c r="D101" s="438"/>
      <c r="E101" s="391">
        <v>0.35</v>
      </c>
      <c r="F101" s="395"/>
      <c r="G101" s="415"/>
      <c r="H101" s="416"/>
      <c r="I101" s="412">
        <f>+AVERAGE(I102:I105)</f>
        <v>0.11488095238095238</v>
      </c>
      <c r="J101" s="412">
        <f>+AVERAGE(J102:J105)</f>
        <v>0.27142857142857141</v>
      </c>
      <c r="K101" s="413">
        <f>+K102+K103+K104+K105</f>
        <v>8.6160714285714285E-2</v>
      </c>
      <c r="L101" s="413">
        <f>+L102+L103+L104+L105</f>
        <v>0.20357142857142857</v>
      </c>
      <c r="M101" s="400"/>
      <c r="N101" s="414"/>
      <c r="O101" s="414"/>
      <c r="P101" s="414"/>
      <c r="Q101" s="414"/>
      <c r="R101" s="414"/>
      <c r="S101" s="414"/>
      <c r="T101" s="628">
        <f>+AVERAGE(T102:T105)</f>
        <v>0.61904761904761907</v>
      </c>
      <c r="U101" s="628">
        <f>+AVERAGE(U102:U105)</f>
        <v>0.15939393939393939</v>
      </c>
      <c r="V101" s="436">
        <f>+(V102+V103+V104+V105)*E101</f>
        <v>0.16250000000000001</v>
      </c>
      <c r="W101" s="436">
        <f>+(W102+W103+W104+W105)*E101</f>
        <v>4.1840909090909088E-2</v>
      </c>
      <c r="X101" s="393">
        <f>+AVERAGE(X102:X105)</f>
        <v>7.9904761904761909E-2</v>
      </c>
      <c r="Y101" s="393">
        <f>+X101+((Y102-X102)/4)+ ((Y103-X103)/7)+((Y104-X104)/4)</f>
        <v>0.13151190476190477</v>
      </c>
      <c r="Z101" s="393">
        <f>+(Z102+Z103+Z104+Z105)*E101</f>
        <v>2.0974999999999997E-2</v>
      </c>
      <c r="AA101" s="393">
        <f>+(AA102+AA103+AA104+AA105)</f>
        <v>0.11153571428571429</v>
      </c>
      <c r="AB101" s="394"/>
      <c r="AC101" s="380"/>
      <c r="AD101" s="381"/>
      <c r="AE101" s="381"/>
      <c r="AF101" s="381"/>
    </row>
    <row r="102" spans="1:32" ht="122.45" customHeight="1" thickBot="1" x14ac:dyDescent="0.35">
      <c r="A102" s="385"/>
      <c r="B102" s="1072" t="s">
        <v>661</v>
      </c>
      <c r="C102" s="1070" t="s">
        <v>662</v>
      </c>
      <c r="D102" s="810" t="s">
        <v>642</v>
      </c>
      <c r="E102" s="1259">
        <v>0.25</v>
      </c>
      <c r="F102" s="395">
        <v>7000</v>
      </c>
      <c r="G102" s="415">
        <v>400</v>
      </c>
      <c r="H102" s="416">
        <v>2200</v>
      </c>
      <c r="I102" s="405">
        <f>+G102/F102</f>
        <v>5.7142857142857141E-2</v>
      </c>
      <c r="J102" s="405">
        <f t="shared" si="51"/>
        <v>0.31428571428571428</v>
      </c>
      <c r="K102" s="406">
        <f>+(G102/F102)*E102</f>
        <v>1.4285714285714285E-2</v>
      </c>
      <c r="L102" s="406">
        <f t="shared" si="52"/>
        <v>7.857142857142857E-2</v>
      </c>
      <c r="M102" s="400">
        <v>1153</v>
      </c>
      <c r="N102" s="408">
        <v>524</v>
      </c>
      <c r="O102" s="401">
        <v>528</v>
      </c>
      <c r="P102" s="400"/>
      <c r="Q102" s="400"/>
      <c r="R102" s="400">
        <f t="shared" ref="R102:R105" si="59">+N102+O102+P102+Q102</f>
        <v>1052</v>
      </c>
      <c r="S102" s="400">
        <f>+R102+M102+393</f>
        <v>2598</v>
      </c>
      <c r="T102" s="402">
        <v>1</v>
      </c>
      <c r="U102" s="403">
        <f t="shared" si="55"/>
        <v>0.47818181818181821</v>
      </c>
      <c r="V102" s="403">
        <f>+T102*E102</f>
        <v>0.25</v>
      </c>
      <c r="W102" s="403">
        <f t="shared" si="56"/>
        <v>0.11954545454545455</v>
      </c>
      <c r="X102" s="403">
        <f>+M102/F102</f>
        <v>0.1647142857142857</v>
      </c>
      <c r="Y102" s="403">
        <f t="shared" si="57"/>
        <v>0.37114285714285716</v>
      </c>
      <c r="Z102" s="403">
        <f>+X102*E102</f>
        <v>4.1178571428571425E-2</v>
      </c>
      <c r="AA102" s="403">
        <f>+Y102*E102</f>
        <v>9.2785714285714291E-2</v>
      </c>
      <c r="AB102" s="404" t="s">
        <v>43</v>
      </c>
      <c r="AC102" s="828" t="s">
        <v>486</v>
      </c>
      <c r="AD102" s="828" t="s">
        <v>38</v>
      </c>
      <c r="AE102" s="765" t="s">
        <v>469</v>
      </c>
      <c r="AF102" s="381"/>
    </row>
    <row r="103" spans="1:32" ht="122.45" customHeight="1" thickBot="1" x14ac:dyDescent="0.35">
      <c r="A103" s="385"/>
      <c r="B103" s="1072" t="s">
        <v>663</v>
      </c>
      <c r="C103" s="1070" t="s">
        <v>664</v>
      </c>
      <c r="D103" s="438" t="s">
        <v>642</v>
      </c>
      <c r="E103" s="1259">
        <v>0.25</v>
      </c>
      <c r="F103" s="395">
        <v>800</v>
      </c>
      <c r="G103" s="415">
        <v>70</v>
      </c>
      <c r="H103" s="416">
        <v>240</v>
      </c>
      <c r="I103" s="405">
        <f>+G103/F103</f>
        <v>8.7499999999999994E-2</v>
      </c>
      <c r="J103" s="405">
        <f t="shared" si="51"/>
        <v>0.3</v>
      </c>
      <c r="K103" s="406">
        <f>+(G103/F103)*E103</f>
        <v>2.1874999999999999E-2</v>
      </c>
      <c r="L103" s="406">
        <f t="shared" si="52"/>
        <v>7.4999999999999997E-2</v>
      </c>
      <c r="M103" s="400">
        <v>60</v>
      </c>
      <c r="N103" s="408">
        <v>0</v>
      </c>
      <c r="O103" s="401">
        <v>0</v>
      </c>
      <c r="P103" s="400"/>
      <c r="Q103" s="400"/>
      <c r="R103" s="400">
        <f t="shared" si="59"/>
        <v>0</v>
      </c>
      <c r="S103" s="400">
        <f t="shared" ref="S103:S105" si="60">+R103+M103</f>
        <v>60</v>
      </c>
      <c r="T103" s="402">
        <f>+(M103/G103)</f>
        <v>0.8571428571428571</v>
      </c>
      <c r="U103" s="403">
        <f t="shared" si="55"/>
        <v>0</v>
      </c>
      <c r="V103" s="403">
        <f>+T103*E103</f>
        <v>0.21428571428571427</v>
      </c>
      <c r="W103" s="403">
        <f t="shared" si="56"/>
        <v>0</v>
      </c>
      <c r="X103" s="403">
        <f>+M103/F103</f>
        <v>7.4999999999999997E-2</v>
      </c>
      <c r="Y103" s="403">
        <f t="shared" si="57"/>
        <v>7.4999999999999997E-2</v>
      </c>
      <c r="Z103" s="403">
        <f>+X103*E103</f>
        <v>1.8749999999999999E-2</v>
      </c>
      <c r="AA103" s="403">
        <f>+Y103*E103</f>
        <v>1.8749999999999999E-2</v>
      </c>
      <c r="AB103" s="404" t="s">
        <v>43</v>
      </c>
      <c r="AC103" s="828" t="s">
        <v>486</v>
      </c>
      <c r="AD103" s="828" t="s">
        <v>38</v>
      </c>
      <c r="AE103" s="765" t="s">
        <v>469</v>
      </c>
      <c r="AF103" s="381"/>
    </row>
    <row r="104" spans="1:32" ht="122.45" customHeight="1" thickBot="1" x14ac:dyDescent="0.35">
      <c r="A104" s="385"/>
      <c r="B104" s="1072" t="s">
        <v>665</v>
      </c>
      <c r="C104" s="1070" t="s">
        <v>666</v>
      </c>
      <c r="D104" s="438" t="s">
        <v>658</v>
      </c>
      <c r="E104" s="1259">
        <v>0.25</v>
      </c>
      <c r="F104" s="395">
        <v>5</v>
      </c>
      <c r="G104" s="415">
        <v>1</v>
      </c>
      <c r="H104" s="416">
        <v>1</v>
      </c>
      <c r="I104" s="405">
        <f>+G104/F104</f>
        <v>0.2</v>
      </c>
      <c r="J104" s="405">
        <f t="shared" si="51"/>
        <v>0.2</v>
      </c>
      <c r="K104" s="406">
        <f>+(G104/F104)*E104</f>
        <v>0.05</v>
      </c>
      <c r="L104" s="406">
        <f t="shared" si="52"/>
        <v>0.05</v>
      </c>
      <c r="M104" s="400">
        <v>0</v>
      </c>
      <c r="N104" s="408">
        <v>0</v>
      </c>
      <c r="O104" s="401">
        <v>0</v>
      </c>
      <c r="P104" s="400"/>
      <c r="Q104" s="400"/>
      <c r="R104" s="400">
        <f t="shared" si="59"/>
        <v>0</v>
      </c>
      <c r="S104" s="400">
        <f t="shared" si="60"/>
        <v>0</v>
      </c>
      <c r="T104" s="402">
        <f>+(M104/G104)</f>
        <v>0</v>
      </c>
      <c r="U104" s="403">
        <f t="shared" si="55"/>
        <v>0</v>
      </c>
      <c r="V104" s="403">
        <f>+T104*E104</f>
        <v>0</v>
      </c>
      <c r="W104" s="403">
        <f t="shared" si="56"/>
        <v>0</v>
      </c>
      <c r="X104" s="403">
        <f>+M104/F104</f>
        <v>0</v>
      </c>
      <c r="Y104" s="403">
        <f t="shared" si="57"/>
        <v>0</v>
      </c>
      <c r="Z104" s="403">
        <f>+X104*E104</f>
        <v>0</v>
      </c>
      <c r="AA104" s="403">
        <f>+Y104*E104</f>
        <v>0</v>
      </c>
      <c r="AB104" s="404" t="s">
        <v>43</v>
      </c>
      <c r="AC104" s="828" t="s">
        <v>486</v>
      </c>
      <c r="AD104" s="828" t="s">
        <v>38</v>
      </c>
      <c r="AE104" s="765" t="s">
        <v>469</v>
      </c>
      <c r="AF104" s="381"/>
    </row>
    <row r="105" spans="1:32" ht="143.44999999999999" customHeight="1" thickBot="1" x14ac:dyDescent="0.35">
      <c r="A105" s="385"/>
      <c r="B105" s="1072" t="s">
        <v>667</v>
      </c>
      <c r="C105" s="1070" t="s">
        <v>668</v>
      </c>
      <c r="D105" s="438" t="s">
        <v>658</v>
      </c>
      <c r="E105" s="1259">
        <v>0.25</v>
      </c>
      <c r="F105" s="395">
        <v>6</v>
      </c>
      <c r="G105" s="415">
        <v>0</v>
      </c>
      <c r="H105" s="416">
        <v>0</v>
      </c>
      <c r="I105" s="405"/>
      <c r="J105" s="405"/>
      <c r="K105" s="406"/>
      <c r="L105" s="406"/>
      <c r="M105" s="400"/>
      <c r="N105" s="408"/>
      <c r="O105" s="401"/>
      <c r="P105" s="400"/>
      <c r="Q105" s="400"/>
      <c r="R105" s="400">
        <f t="shared" si="59"/>
        <v>0</v>
      </c>
      <c r="S105" s="400">
        <f t="shared" si="60"/>
        <v>0</v>
      </c>
      <c r="T105" s="402"/>
      <c r="U105" s="403"/>
      <c r="V105" s="403"/>
      <c r="W105" s="403"/>
      <c r="X105" s="403"/>
      <c r="Y105" s="403"/>
      <c r="Z105" s="403"/>
      <c r="AA105" s="403">
        <f>+Y105*E105</f>
        <v>0</v>
      </c>
      <c r="AB105" s="404" t="s">
        <v>43</v>
      </c>
      <c r="AC105" s="828" t="s">
        <v>486</v>
      </c>
      <c r="AD105" s="828" t="s">
        <v>38</v>
      </c>
      <c r="AE105" s="765" t="s">
        <v>469</v>
      </c>
      <c r="AF105" s="381"/>
    </row>
    <row r="106" spans="1:32" ht="127.9" customHeight="1" thickBot="1" x14ac:dyDescent="0.35">
      <c r="A106" s="385"/>
      <c r="B106" s="1292" t="s">
        <v>669</v>
      </c>
      <c r="C106" s="1285"/>
      <c r="D106" s="438"/>
      <c r="E106" s="391">
        <v>0.3</v>
      </c>
      <c r="F106" s="395"/>
      <c r="G106" s="415"/>
      <c r="H106" s="416"/>
      <c r="I106" s="412">
        <f>+AVERAGE(I107:I118)</f>
        <v>0.625</v>
      </c>
      <c r="J106" s="412">
        <f>+AVERAGE(J107:J118)</f>
        <v>0.56888888888888889</v>
      </c>
      <c r="K106" s="413">
        <f>+K107+K108+K109+K110+K111+K112+K113+K114+K115+K116+K117+K118</f>
        <v>0.125</v>
      </c>
      <c r="L106" s="413">
        <f>+L107+L108+L109+L110+L111+L112+L113+L114+L115+L116+L117+L118</f>
        <v>0.21633333333333332</v>
      </c>
      <c r="M106" s="400"/>
      <c r="N106" s="414"/>
      <c r="O106" s="414"/>
      <c r="P106" s="414"/>
      <c r="Q106" s="414"/>
      <c r="R106" s="414"/>
      <c r="S106" s="414"/>
      <c r="T106" s="628">
        <f>+AVERAGE(T107:T118)</f>
        <v>0.9</v>
      </c>
      <c r="U106" s="628">
        <f>+AVERAGE(U107:U118)</f>
        <v>0.20833333333333334</v>
      </c>
      <c r="V106" s="436">
        <f>+(V107+V108+V109+V110+V111+V112+V113+V114+V115+V116+V117+V118)*E106</f>
        <v>5.4000000000000006E-2</v>
      </c>
      <c r="W106" s="436">
        <f>+(W107+W108+W109+W110+W111+W112+W113+W114+W115+W116+W117+W118)*F106</f>
        <v>0</v>
      </c>
      <c r="X106" s="393">
        <v>0.125</v>
      </c>
      <c r="Y106" s="393">
        <f>+X106+((Y107-X107)/12)+ ((Y108-X108)/12)+((Y114-X114)/12)</f>
        <v>0.15694444444444444</v>
      </c>
      <c r="Z106" s="393">
        <f>+(Z107+Z108+Z109+Z110+Z111+Z112+Z113+Z114+Z115+Z116+Z117+Z118)*E106</f>
        <v>3.6000000000000004E-2</v>
      </c>
      <c r="AA106" s="393">
        <f>+(AA107+AA108+AA109+AA110+AA111+AA112+AA113+AA114+AA115+AA116+AA117+AA118)</f>
        <v>0.15833333333333335</v>
      </c>
      <c r="AB106" s="393" t="s">
        <v>670</v>
      </c>
      <c r="AC106" s="380"/>
      <c r="AD106" s="381"/>
      <c r="AE106" s="381"/>
      <c r="AF106" s="381"/>
    </row>
    <row r="107" spans="1:32" ht="122.45" customHeight="1" thickBot="1" x14ac:dyDescent="0.35">
      <c r="A107" s="385"/>
      <c r="B107" s="1146" t="s">
        <v>671</v>
      </c>
      <c r="C107" s="1071" t="s">
        <v>672</v>
      </c>
      <c r="D107" s="438" t="s">
        <v>658</v>
      </c>
      <c r="E107" s="1259">
        <v>0.1</v>
      </c>
      <c r="F107" s="395">
        <v>1</v>
      </c>
      <c r="G107" s="415">
        <v>1</v>
      </c>
      <c r="H107" s="416">
        <v>0</v>
      </c>
      <c r="I107" s="405">
        <f>+G107/F107</f>
        <v>1</v>
      </c>
      <c r="J107" s="405"/>
      <c r="K107" s="406">
        <f>+(G107/F107)*E107</f>
        <v>0.1</v>
      </c>
      <c r="L107" s="406"/>
      <c r="M107" s="400">
        <v>1</v>
      </c>
      <c r="N107" s="408"/>
      <c r="O107" s="400"/>
      <c r="P107" s="400"/>
      <c r="Q107" s="400"/>
      <c r="R107" s="400"/>
      <c r="S107" s="400">
        <f t="shared" ref="S107:S118" si="61">+R107+M107</f>
        <v>1</v>
      </c>
      <c r="T107" s="402">
        <f>+(M107/G107)</f>
        <v>1</v>
      </c>
      <c r="U107" s="403"/>
      <c r="V107" s="403">
        <f>+T107*E107</f>
        <v>0.1</v>
      </c>
      <c r="W107" s="403"/>
      <c r="X107" s="403">
        <f>+M107/F107</f>
        <v>1</v>
      </c>
      <c r="Y107" s="403">
        <f t="shared" si="57"/>
        <v>1</v>
      </c>
      <c r="Z107" s="403">
        <f>+X107*E107</f>
        <v>0.1</v>
      </c>
      <c r="AA107" s="403">
        <f>+Y107*E107</f>
        <v>0.1</v>
      </c>
      <c r="AB107" s="425"/>
      <c r="AC107" s="828" t="s">
        <v>673</v>
      </c>
      <c r="AD107" s="381"/>
      <c r="AE107" s="752" t="s">
        <v>71</v>
      </c>
      <c r="AF107" s="381"/>
    </row>
    <row r="108" spans="1:32" ht="122.45" customHeight="1" thickBot="1" x14ac:dyDescent="0.35">
      <c r="A108" s="385"/>
      <c r="B108" s="1072" t="s">
        <v>674</v>
      </c>
      <c r="C108" s="1070" t="s">
        <v>675</v>
      </c>
      <c r="D108" s="438" t="s">
        <v>658</v>
      </c>
      <c r="E108" s="1259">
        <v>0.1</v>
      </c>
      <c r="F108" s="395">
        <v>4</v>
      </c>
      <c r="G108" s="415">
        <v>1</v>
      </c>
      <c r="H108" s="1214">
        <v>1</v>
      </c>
      <c r="I108" s="405">
        <f>+G108/F108</f>
        <v>0.25</v>
      </c>
      <c r="J108" s="405">
        <f t="shared" si="51"/>
        <v>0.25</v>
      </c>
      <c r="K108" s="406">
        <f>+(G108/F108)*E108</f>
        <v>2.5000000000000001E-2</v>
      </c>
      <c r="L108" s="406">
        <f t="shared" si="52"/>
        <v>2.5000000000000001E-2</v>
      </c>
      <c r="M108" s="846">
        <v>0.8</v>
      </c>
      <c r="N108" s="408">
        <v>0</v>
      </c>
      <c r="O108" s="401">
        <v>1</v>
      </c>
      <c r="P108" s="400"/>
      <c r="Q108" s="400"/>
      <c r="R108" s="400">
        <f t="shared" ref="R108:R118" si="62">+N108+O108+P108+Q108</f>
        <v>1</v>
      </c>
      <c r="S108" s="400">
        <f t="shared" si="61"/>
        <v>1.8</v>
      </c>
      <c r="T108" s="402">
        <f>+(M108/G108)</f>
        <v>0.8</v>
      </c>
      <c r="U108" s="403">
        <f t="shared" si="55"/>
        <v>1</v>
      </c>
      <c r="V108" s="403">
        <f>+T108*E108</f>
        <v>8.0000000000000016E-2</v>
      </c>
      <c r="W108" s="403">
        <f t="shared" si="56"/>
        <v>0.1</v>
      </c>
      <c r="X108" s="403">
        <f>+M108/F108</f>
        <v>0.2</v>
      </c>
      <c r="Y108" s="631">
        <f>+(S108+0.2)/F108</f>
        <v>0.5</v>
      </c>
      <c r="Z108" s="403">
        <f>+X108*E108</f>
        <v>2.0000000000000004E-2</v>
      </c>
      <c r="AA108" s="403">
        <f>+Y108*E108</f>
        <v>0.05</v>
      </c>
      <c r="AB108" s="425"/>
      <c r="AC108" s="828" t="s">
        <v>486</v>
      </c>
      <c r="AD108" s="381"/>
      <c r="AE108" s="765" t="s">
        <v>469</v>
      </c>
      <c r="AF108" s="381"/>
    </row>
    <row r="109" spans="1:32" ht="122.45" customHeight="1" thickBot="1" x14ac:dyDescent="0.35">
      <c r="A109" s="385"/>
      <c r="B109" s="1072" t="s">
        <v>676</v>
      </c>
      <c r="C109" s="1070" t="s">
        <v>677</v>
      </c>
      <c r="D109" s="438" t="s">
        <v>658</v>
      </c>
      <c r="E109" s="1259">
        <v>0.1</v>
      </c>
      <c r="F109" s="395">
        <v>1</v>
      </c>
      <c r="G109" s="415">
        <v>0</v>
      </c>
      <c r="H109" s="416">
        <v>0</v>
      </c>
      <c r="I109" s="405"/>
      <c r="J109" s="405"/>
      <c r="K109" s="406"/>
      <c r="L109" s="406"/>
      <c r="M109" s="400"/>
      <c r="N109" s="408"/>
      <c r="O109" s="401"/>
      <c r="P109" s="400"/>
      <c r="Q109" s="400"/>
      <c r="R109" s="400">
        <f t="shared" si="62"/>
        <v>0</v>
      </c>
      <c r="S109" s="400">
        <f t="shared" si="61"/>
        <v>0</v>
      </c>
      <c r="T109" s="402"/>
      <c r="U109" s="403"/>
      <c r="V109" s="403"/>
      <c r="W109" s="403"/>
      <c r="X109" s="403"/>
      <c r="Y109" s="403"/>
      <c r="Z109" s="403"/>
      <c r="AA109" s="403">
        <f t="shared" ref="AA109:AA118" si="63">+Y109*E109</f>
        <v>0</v>
      </c>
      <c r="AB109" s="404" t="s">
        <v>43</v>
      </c>
      <c r="AC109" s="828" t="s">
        <v>486</v>
      </c>
      <c r="AD109" s="381"/>
      <c r="AE109" s="765" t="s">
        <v>469</v>
      </c>
      <c r="AF109" s="381"/>
    </row>
    <row r="110" spans="1:32" ht="122.45" customHeight="1" thickBot="1" x14ac:dyDescent="0.35">
      <c r="A110" s="385"/>
      <c r="B110" s="1072" t="s">
        <v>678</v>
      </c>
      <c r="C110" s="1070" t="s">
        <v>679</v>
      </c>
      <c r="D110" s="438" t="s">
        <v>658</v>
      </c>
      <c r="E110" s="1259">
        <v>0.1</v>
      </c>
      <c r="F110" s="395">
        <v>1</v>
      </c>
      <c r="G110" s="415">
        <v>0</v>
      </c>
      <c r="H110" s="416">
        <v>0</v>
      </c>
      <c r="I110" s="405"/>
      <c r="J110" s="405"/>
      <c r="K110" s="406"/>
      <c r="L110" s="406"/>
      <c r="M110" s="400"/>
      <c r="N110" s="408"/>
      <c r="O110" s="401"/>
      <c r="P110" s="400"/>
      <c r="Q110" s="400"/>
      <c r="R110" s="400">
        <f t="shared" si="62"/>
        <v>0</v>
      </c>
      <c r="S110" s="400">
        <f t="shared" si="61"/>
        <v>0</v>
      </c>
      <c r="T110" s="402"/>
      <c r="U110" s="403"/>
      <c r="V110" s="403"/>
      <c r="W110" s="403"/>
      <c r="X110" s="403"/>
      <c r="Y110" s="403"/>
      <c r="Z110" s="403"/>
      <c r="AA110" s="403">
        <f t="shared" si="63"/>
        <v>0</v>
      </c>
      <c r="AB110" s="404" t="s">
        <v>43</v>
      </c>
      <c r="AC110" s="828" t="s">
        <v>486</v>
      </c>
      <c r="AD110" s="381"/>
      <c r="AE110" s="765" t="s">
        <v>469</v>
      </c>
      <c r="AF110" s="381"/>
    </row>
    <row r="111" spans="1:32" ht="122.45" customHeight="1" thickBot="1" x14ac:dyDescent="0.35">
      <c r="A111" s="385"/>
      <c r="B111" s="1072" t="s">
        <v>680</v>
      </c>
      <c r="C111" s="1070" t="s">
        <v>681</v>
      </c>
      <c r="D111" s="438" t="s">
        <v>658</v>
      </c>
      <c r="E111" s="1259">
        <v>0.1</v>
      </c>
      <c r="F111" s="395">
        <v>1</v>
      </c>
      <c r="G111" s="415">
        <v>0</v>
      </c>
      <c r="H111" s="416">
        <v>0</v>
      </c>
      <c r="I111" s="405"/>
      <c r="J111" s="405"/>
      <c r="K111" s="406"/>
      <c r="L111" s="406"/>
      <c r="M111" s="440"/>
      <c r="N111" s="408"/>
      <c r="O111" s="1197"/>
      <c r="P111" s="440"/>
      <c r="Q111" s="440"/>
      <c r="R111" s="440">
        <f t="shared" si="62"/>
        <v>0</v>
      </c>
      <c r="S111" s="440">
        <f t="shared" si="61"/>
        <v>0</v>
      </c>
      <c r="T111" s="402"/>
      <c r="U111" s="403"/>
      <c r="V111" s="403"/>
      <c r="W111" s="403"/>
      <c r="X111" s="403"/>
      <c r="Y111" s="403"/>
      <c r="Z111" s="403"/>
      <c r="AA111" s="403">
        <f>+Y111*E111</f>
        <v>0</v>
      </c>
      <c r="AB111" s="404" t="s">
        <v>43</v>
      </c>
      <c r="AC111" s="828" t="s">
        <v>486</v>
      </c>
      <c r="AD111" s="381"/>
      <c r="AE111" s="765" t="s">
        <v>469</v>
      </c>
      <c r="AF111" s="381"/>
    </row>
    <row r="112" spans="1:32" ht="122.45" customHeight="1" thickBot="1" x14ac:dyDescent="0.35">
      <c r="A112" s="385"/>
      <c r="B112" s="1072" t="s">
        <v>682</v>
      </c>
      <c r="C112" s="1070" t="s">
        <v>683</v>
      </c>
      <c r="D112" s="438" t="s">
        <v>658</v>
      </c>
      <c r="E112" s="1259">
        <v>0.1</v>
      </c>
      <c r="F112" s="395">
        <v>4</v>
      </c>
      <c r="G112" s="415">
        <v>0</v>
      </c>
      <c r="H112" s="416">
        <v>0</v>
      </c>
      <c r="I112" s="405"/>
      <c r="J112" s="405"/>
      <c r="K112" s="406"/>
      <c r="L112" s="406"/>
      <c r="M112" s="440"/>
      <c r="N112" s="408"/>
      <c r="O112" s="1197"/>
      <c r="P112" s="440"/>
      <c r="Q112" s="440"/>
      <c r="R112" s="440">
        <f t="shared" si="62"/>
        <v>0</v>
      </c>
      <c r="S112" s="440">
        <f t="shared" si="61"/>
        <v>0</v>
      </c>
      <c r="T112" s="402"/>
      <c r="U112" s="403"/>
      <c r="V112" s="403"/>
      <c r="W112" s="403"/>
      <c r="X112" s="403"/>
      <c r="Y112" s="403"/>
      <c r="Z112" s="403"/>
      <c r="AA112" s="403">
        <f t="shared" si="63"/>
        <v>0</v>
      </c>
      <c r="AB112" s="404" t="s">
        <v>43</v>
      </c>
      <c r="AC112" s="828" t="s">
        <v>486</v>
      </c>
      <c r="AD112" s="381"/>
      <c r="AE112" s="765" t="s">
        <v>469</v>
      </c>
      <c r="AF112" s="381"/>
    </row>
    <row r="113" spans="1:32" ht="122.45" customHeight="1" thickBot="1" x14ac:dyDescent="0.35">
      <c r="A113" s="385"/>
      <c r="B113" s="1072" t="s">
        <v>684</v>
      </c>
      <c r="C113" s="1070" t="s">
        <v>685</v>
      </c>
      <c r="D113" s="438" t="s">
        <v>658</v>
      </c>
      <c r="E113" s="1259">
        <v>0.05</v>
      </c>
      <c r="F113" s="395">
        <v>1</v>
      </c>
      <c r="G113" s="415">
        <v>0</v>
      </c>
      <c r="H113" s="416"/>
      <c r="I113" s="405"/>
      <c r="J113" s="405"/>
      <c r="K113" s="406"/>
      <c r="L113" s="406"/>
      <c r="M113" s="400"/>
      <c r="N113" s="408"/>
      <c r="O113" s="401"/>
      <c r="P113" s="400"/>
      <c r="Q113" s="400"/>
      <c r="R113" s="400">
        <f t="shared" si="62"/>
        <v>0</v>
      </c>
      <c r="S113" s="400">
        <f t="shared" si="61"/>
        <v>0</v>
      </c>
      <c r="T113" s="402"/>
      <c r="U113" s="403"/>
      <c r="V113" s="403"/>
      <c r="W113" s="403"/>
      <c r="X113" s="403"/>
      <c r="Y113" s="403"/>
      <c r="Z113" s="403"/>
      <c r="AA113" s="403">
        <f t="shared" si="63"/>
        <v>0</v>
      </c>
      <c r="AB113" s="404" t="s">
        <v>43</v>
      </c>
      <c r="AC113" s="828" t="s">
        <v>486</v>
      </c>
      <c r="AD113" s="381"/>
      <c r="AE113" s="765" t="s">
        <v>469</v>
      </c>
      <c r="AF113" s="381"/>
    </row>
    <row r="114" spans="1:32" ht="122.45" customHeight="1" thickBot="1" x14ac:dyDescent="0.35">
      <c r="A114" s="385"/>
      <c r="B114" s="1072" t="s">
        <v>686</v>
      </c>
      <c r="C114" s="1070" t="s">
        <v>687</v>
      </c>
      <c r="D114" s="438" t="s">
        <v>658</v>
      </c>
      <c r="E114" s="1259">
        <v>0.1</v>
      </c>
      <c r="F114" s="395">
        <v>24</v>
      </c>
      <c r="G114" s="415">
        <v>0</v>
      </c>
      <c r="H114" s="416">
        <v>8</v>
      </c>
      <c r="I114" s="405"/>
      <c r="J114" s="405">
        <f t="shared" si="51"/>
        <v>0.33333333333333331</v>
      </c>
      <c r="K114" s="406"/>
      <c r="L114" s="406">
        <f t="shared" si="52"/>
        <v>3.3333333333333333E-2</v>
      </c>
      <c r="M114" s="400"/>
      <c r="N114" s="408">
        <v>2</v>
      </c>
      <c r="O114" s="401">
        <v>0</v>
      </c>
      <c r="P114" s="400"/>
      <c r="Q114" s="400"/>
      <c r="R114" s="400">
        <f t="shared" si="62"/>
        <v>2</v>
      </c>
      <c r="S114" s="400">
        <f t="shared" si="61"/>
        <v>2</v>
      </c>
      <c r="T114" s="402"/>
      <c r="U114" s="403">
        <f t="shared" si="55"/>
        <v>0.25</v>
      </c>
      <c r="V114" s="403"/>
      <c r="W114" s="403">
        <f t="shared" si="56"/>
        <v>2.5000000000000001E-2</v>
      </c>
      <c r="X114" s="403"/>
      <c r="Y114" s="403">
        <f>+S114/F114</f>
        <v>8.3333333333333329E-2</v>
      </c>
      <c r="Z114" s="403"/>
      <c r="AA114" s="403">
        <f t="shared" si="63"/>
        <v>8.3333333333333332E-3</v>
      </c>
      <c r="AB114" s="404" t="s">
        <v>43</v>
      </c>
      <c r="AC114" s="847" t="s">
        <v>688</v>
      </c>
      <c r="AD114" s="381"/>
      <c r="AE114" s="765" t="s">
        <v>469</v>
      </c>
      <c r="AF114" s="381"/>
    </row>
    <row r="115" spans="1:32" ht="122.45" customHeight="1" thickBot="1" x14ac:dyDescent="0.35">
      <c r="A115" s="385"/>
      <c r="B115" s="1072" t="s">
        <v>689</v>
      </c>
      <c r="C115" s="1070" t="s">
        <v>690</v>
      </c>
      <c r="D115" s="438" t="s">
        <v>658</v>
      </c>
      <c r="E115" s="1259">
        <v>0.1</v>
      </c>
      <c r="F115" s="395">
        <v>100000</v>
      </c>
      <c r="G115" s="415">
        <v>0</v>
      </c>
      <c r="H115" s="416">
        <v>33000</v>
      </c>
      <c r="I115" s="405"/>
      <c r="J115" s="405">
        <f t="shared" si="51"/>
        <v>0.33</v>
      </c>
      <c r="K115" s="406"/>
      <c r="L115" s="406">
        <f t="shared" si="52"/>
        <v>3.3000000000000002E-2</v>
      </c>
      <c r="M115" s="400"/>
      <c r="N115" s="408">
        <v>0</v>
      </c>
      <c r="O115" s="401">
        <v>0</v>
      </c>
      <c r="P115" s="400"/>
      <c r="Q115" s="400"/>
      <c r="R115" s="400">
        <f t="shared" si="62"/>
        <v>0</v>
      </c>
      <c r="S115" s="400">
        <f t="shared" si="61"/>
        <v>0</v>
      </c>
      <c r="T115" s="402"/>
      <c r="U115" s="403">
        <f t="shared" si="55"/>
        <v>0</v>
      </c>
      <c r="V115" s="403"/>
      <c r="W115" s="403">
        <f t="shared" si="56"/>
        <v>0</v>
      </c>
      <c r="X115" s="403"/>
      <c r="Y115" s="836">
        <f t="shared" si="57"/>
        <v>0</v>
      </c>
      <c r="Z115" s="403"/>
      <c r="AA115" s="403">
        <f t="shared" si="63"/>
        <v>0</v>
      </c>
      <c r="AB115" s="404" t="s">
        <v>43</v>
      </c>
      <c r="AC115" s="847" t="s">
        <v>688</v>
      </c>
      <c r="AD115" s="381"/>
      <c r="AE115" s="765" t="s">
        <v>469</v>
      </c>
      <c r="AF115" s="381"/>
    </row>
    <row r="116" spans="1:32" ht="122.45" customHeight="1" thickBot="1" x14ac:dyDescent="0.35">
      <c r="A116" s="385"/>
      <c r="B116" s="1072" t="s">
        <v>691</v>
      </c>
      <c r="C116" s="1070" t="s">
        <v>692</v>
      </c>
      <c r="D116" s="438" t="s">
        <v>658</v>
      </c>
      <c r="E116" s="1259">
        <v>0.05</v>
      </c>
      <c r="F116" s="395">
        <v>1</v>
      </c>
      <c r="G116" s="415">
        <v>0</v>
      </c>
      <c r="H116" s="416">
        <v>1</v>
      </c>
      <c r="I116" s="405"/>
      <c r="J116" s="405">
        <f t="shared" si="51"/>
        <v>1</v>
      </c>
      <c r="K116" s="406"/>
      <c r="L116" s="406">
        <f t="shared" si="52"/>
        <v>0.05</v>
      </c>
      <c r="M116" s="400"/>
      <c r="N116" s="408">
        <v>0</v>
      </c>
      <c r="O116" s="401">
        <v>0</v>
      </c>
      <c r="P116" s="400"/>
      <c r="Q116" s="400"/>
      <c r="R116" s="400">
        <f t="shared" si="62"/>
        <v>0</v>
      </c>
      <c r="S116" s="400">
        <f t="shared" si="61"/>
        <v>0</v>
      </c>
      <c r="T116" s="402"/>
      <c r="U116" s="403">
        <f t="shared" si="55"/>
        <v>0</v>
      </c>
      <c r="V116" s="403"/>
      <c r="W116" s="403">
        <f t="shared" si="56"/>
        <v>0</v>
      </c>
      <c r="X116" s="403"/>
      <c r="Y116" s="836">
        <f t="shared" si="57"/>
        <v>0</v>
      </c>
      <c r="Z116" s="403"/>
      <c r="AA116" s="403">
        <f t="shared" si="63"/>
        <v>0</v>
      </c>
      <c r="AB116" s="404" t="s">
        <v>43</v>
      </c>
      <c r="AC116" s="847" t="s">
        <v>693</v>
      </c>
      <c r="AD116" s="381"/>
      <c r="AE116" s="765" t="s">
        <v>469</v>
      </c>
      <c r="AF116" s="381"/>
    </row>
    <row r="117" spans="1:32" ht="122.45" customHeight="1" thickBot="1" x14ac:dyDescent="0.35">
      <c r="A117" s="385"/>
      <c r="B117" s="1072" t="s">
        <v>694</v>
      </c>
      <c r="C117" s="1070" t="s">
        <v>695</v>
      </c>
      <c r="D117" s="438" t="s">
        <v>658</v>
      </c>
      <c r="E117" s="1259">
        <v>0.05</v>
      </c>
      <c r="F117" s="395">
        <v>2</v>
      </c>
      <c r="G117" s="415">
        <v>0</v>
      </c>
      <c r="H117" s="416">
        <v>1</v>
      </c>
      <c r="I117" s="405"/>
      <c r="J117" s="405">
        <f t="shared" si="51"/>
        <v>0.5</v>
      </c>
      <c r="K117" s="406"/>
      <c r="L117" s="406">
        <f t="shared" si="52"/>
        <v>2.5000000000000001E-2</v>
      </c>
      <c r="M117" s="400"/>
      <c r="N117" s="408">
        <v>0</v>
      </c>
      <c r="O117" s="401">
        <v>0</v>
      </c>
      <c r="P117" s="400"/>
      <c r="Q117" s="400"/>
      <c r="R117" s="400">
        <f t="shared" si="62"/>
        <v>0</v>
      </c>
      <c r="S117" s="400">
        <f t="shared" si="61"/>
        <v>0</v>
      </c>
      <c r="T117" s="402"/>
      <c r="U117" s="403">
        <f t="shared" si="55"/>
        <v>0</v>
      </c>
      <c r="V117" s="403"/>
      <c r="W117" s="403">
        <f t="shared" si="56"/>
        <v>0</v>
      </c>
      <c r="X117" s="403"/>
      <c r="Y117" s="836">
        <f t="shared" si="57"/>
        <v>0</v>
      </c>
      <c r="Z117" s="403"/>
      <c r="AA117" s="403">
        <f t="shared" si="63"/>
        <v>0</v>
      </c>
      <c r="AB117" s="404" t="s">
        <v>43</v>
      </c>
      <c r="AC117" s="847" t="s">
        <v>696</v>
      </c>
      <c r="AD117" s="381"/>
      <c r="AE117" s="765" t="s">
        <v>469</v>
      </c>
      <c r="AF117" s="381"/>
    </row>
    <row r="118" spans="1:32" ht="122.45" customHeight="1" thickBot="1" x14ac:dyDescent="0.35">
      <c r="A118" s="385"/>
      <c r="B118" s="1072" t="s">
        <v>697</v>
      </c>
      <c r="C118" s="1070" t="s">
        <v>698</v>
      </c>
      <c r="D118" s="438" t="s">
        <v>658</v>
      </c>
      <c r="E118" s="1259">
        <v>0.05</v>
      </c>
      <c r="F118" s="395">
        <v>1</v>
      </c>
      <c r="G118" s="415">
        <v>0</v>
      </c>
      <c r="H118" s="416">
        <v>1</v>
      </c>
      <c r="I118" s="405"/>
      <c r="J118" s="405">
        <f t="shared" si="51"/>
        <v>1</v>
      </c>
      <c r="K118" s="406"/>
      <c r="L118" s="406">
        <f t="shared" si="52"/>
        <v>0.05</v>
      </c>
      <c r="M118" s="400"/>
      <c r="N118" s="408">
        <v>0</v>
      </c>
      <c r="O118" s="401">
        <v>0</v>
      </c>
      <c r="P118" s="400"/>
      <c r="Q118" s="400"/>
      <c r="R118" s="400">
        <f t="shared" si="62"/>
        <v>0</v>
      </c>
      <c r="S118" s="400">
        <f t="shared" si="61"/>
        <v>0</v>
      </c>
      <c r="T118" s="402"/>
      <c r="U118" s="403">
        <f t="shared" si="55"/>
        <v>0</v>
      </c>
      <c r="V118" s="403"/>
      <c r="W118" s="403">
        <f t="shared" si="56"/>
        <v>0</v>
      </c>
      <c r="X118" s="403"/>
      <c r="Y118" s="836">
        <f t="shared" si="57"/>
        <v>0</v>
      </c>
      <c r="Z118" s="403"/>
      <c r="AA118" s="403">
        <f t="shared" si="63"/>
        <v>0</v>
      </c>
      <c r="AB118" s="404" t="s">
        <v>43</v>
      </c>
      <c r="AC118" s="847" t="s">
        <v>699</v>
      </c>
      <c r="AD118" s="381"/>
      <c r="AE118" s="765" t="s">
        <v>469</v>
      </c>
      <c r="AF118" s="381"/>
    </row>
    <row r="119" spans="1:32" ht="122.45" customHeight="1" thickBot="1" x14ac:dyDescent="0.35">
      <c r="A119" s="385"/>
      <c r="B119" s="1301" t="s">
        <v>700</v>
      </c>
      <c r="C119" s="1285"/>
      <c r="D119" s="386"/>
      <c r="E119" s="430">
        <v>0.1</v>
      </c>
      <c r="F119" s="431">
        <f>+E119*V119</f>
        <v>7.759166666666667E-2</v>
      </c>
      <c r="G119" s="411"/>
      <c r="H119" s="387">
        <f>+E119*W119</f>
        <v>1.8175559821960102E-2</v>
      </c>
      <c r="I119" s="441">
        <f>+(I120+I122+I124+I126)/4</f>
        <v>0.17725490196078431</v>
      </c>
      <c r="J119" s="441">
        <f>+(J120+J122+J124+J126)/4</f>
        <v>0.30714689542483659</v>
      </c>
      <c r="K119" s="442">
        <f>+(K120+K122+K124+K126)/4</f>
        <v>0.16792156862745097</v>
      </c>
      <c r="L119" s="442">
        <f>+(L120+L122+L124+L126)/4</f>
        <v>0.31016911764705879</v>
      </c>
      <c r="M119" s="400"/>
      <c r="N119" s="400"/>
      <c r="O119" s="400"/>
      <c r="P119" s="400"/>
      <c r="Q119" s="400"/>
      <c r="R119" s="400"/>
      <c r="S119" s="400"/>
      <c r="T119" s="435">
        <f>+(T120+T122+T124+T126)/4</f>
        <v>0.84770833333333329</v>
      </c>
      <c r="U119" s="435">
        <f>+(U120+U122+U124+U126)/4</f>
        <v>0.18074231440029903</v>
      </c>
      <c r="V119" s="443">
        <f>+V120+V122+V124+V126</f>
        <v>0.7759166666666667</v>
      </c>
      <c r="W119" s="443">
        <f>+W120+W122+W124+W126</f>
        <v>0.18175559821960102</v>
      </c>
      <c r="X119" s="389">
        <f>(X120+X122+X124+X126)/4</f>
        <v>0.14324852941176469</v>
      </c>
      <c r="Y119" s="389">
        <f>(Y120+Y122+Y124+Y126)/4</f>
        <v>0.19891486928104574</v>
      </c>
      <c r="Z119" s="443">
        <f>(Z120+Z122+Z124+Z126)</f>
        <v>0.13347823529411765</v>
      </c>
      <c r="AA119" s="443">
        <f>(AA120*E120)+(AA122*E122)+(AA124*E124)+(AA126*E126)</f>
        <v>0.18983784313725491</v>
      </c>
      <c r="AB119" s="390"/>
      <c r="AC119" s="380"/>
      <c r="AD119" s="381"/>
      <c r="AE119" s="381"/>
      <c r="AF119" s="381"/>
    </row>
    <row r="120" spans="1:32" ht="122.45" customHeight="1" thickBot="1" x14ac:dyDescent="0.35">
      <c r="A120" s="385"/>
      <c r="B120" s="1292" t="s">
        <v>701</v>
      </c>
      <c r="C120" s="1285"/>
      <c r="D120" s="386"/>
      <c r="E120" s="391">
        <v>0.3</v>
      </c>
      <c r="F120" s="410"/>
      <c r="G120" s="411"/>
      <c r="H120" s="392"/>
      <c r="I120" s="412">
        <f>+AVERAGE(I121)</f>
        <v>0.04</v>
      </c>
      <c r="J120" s="412">
        <f>+AVERAGE(J121)</f>
        <v>0.3241</v>
      </c>
      <c r="K120" s="413">
        <f>+K121</f>
        <v>0.04</v>
      </c>
      <c r="L120" s="413">
        <f>+L121</f>
        <v>0.3241</v>
      </c>
      <c r="M120" s="400"/>
      <c r="N120" s="414"/>
      <c r="O120" s="414"/>
      <c r="P120" s="414"/>
      <c r="Q120" s="414"/>
      <c r="R120" s="414"/>
      <c r="S120" s="414"/>
      <c r="T120" s="628">
        <f>+AVERAGE(T121)</f>
        <v>0.89749999999999996</v>
      </c>
      <c r="U120" s="628">
        <f>+AVERAGE(U121)</f>
        <v>5.9858068497377355E-2</v>
      </c>
      <c r="V120" s="436">
        <f>+(V121)*E120</f>
        <v>0.26924999999999999</v>
      </c>
      <c r="W120" s="436">
        <f>+(W121)*E120</f>
        <v>1.7957420549213204E-2</v>
      </c>
      <c r="X120" s="393">
        <f>+AVERAGE(X121)</f>
        <v>3.5900000000000001E-2</v>
      </c>
      <c r="Y120" s="393">
        <f>+AVERAGE(Y121)</f>
        <v>5.5300000000000002E-2</v>
      </c>
      <c r="Z120" s="393">
        <f>+(Z121)*E120</f>
        <v>1.077E-2</v>
      </c>
      <c r="AA120" s="393">
        <f>+(AA121)</f>
        <v>5.5300000000000002E-2</v>
      </c>
      <c r="AB120" s="394"/>
      <c r="AC120" s="380"/>
      <c r="AD120" s="381"/>
      <c r="AE120" s="381"/>
      <c r="AF120" s="381"/>
    </row>
    <row r="121" spans="1:32" ht="122.45" customHeight="1" thickBot="1" x14ac:dyDescent="0.35">
      <c r="A121" s="385"/>
      <c r="B121" s="1072" t="s">
        <v>702</v>
      </c>
      <c r="C121" s="1070" t="s">
        <v>703</v>
      </c>
      <c r="D121" s="438" t="s">
        <v>704</v>
      </c>
      <c r="E121" s="1259">
        <v>1</v>
      </c>
      <c r="F121" s="395">
        <v>10000</v>
      </c>
      <c r="G121" s="415">
        <v>400</v>
      </c>
      <c r="H121" s="416">
        <v>3241</v>
      </c>
      <c r="I121" s="405">
        <f>+G121/F121</f>
        <v>0.04</v>
      </c>
      <c r="J121" s="405">
        <f t="shared" ref="J121" si="64">+H121/F121</f>
        <v>0.3241</v>
      </c>
      <c r="K121" s="406">
        <f>+(G121/F121)*E121</f>
        <v>0.04</v>
      </c>
      <c r="L121" s="406">
        <f t="shared" ref="L121" si="65">+(H121/F121)*E121</f>
        <v>0.3241</v>
      </c>
      <c r="M121" s="400">
        <v>359</v>
      </c>
      <c r="N121" s="408">
        <v>52</v>
      </c>
      <c r="O121" s="408">
        <v>142</v>
      </c>
      <c r="P121" s="400"/>
      <c r="Q121" s="400"/>
      <c r="R121" s="400">
        <f t="shared" ref="R121" si="66">+N121+O121+P121+Q121</f>
        <v>194</v>
      </c>
      <c r="S121" s="400">
        <f t="shared" ref="S121" si="67">+R121+M121</f>
        <v>553</v>
      </c>
      <c r="T121" s="402">
        <f>+(M121/G121)</f>
        <v>0.89749999999999996</v>
      </c>
      <c r="U121" s="403">
        <f>+R121/H121</f>
        <v>5.9858068497377355E-2</v>
      </c>
      <c r="V121" s="403">
        <f>+T121*E121</f>
        <v>0.89749999999999996</v>
      </c>
      <c r="W121" s="403">
        <f t="shared" ref="W121:W129" si="68">+U121*E121</f>
        <v>5.9858068497377355E-2</v>
      </c>
      <c r="X121" s="403">
        <f>+M121/F121</f>
        <v>3.5900000000000001E-2</v>
      </c>
      <c r="Y121" s="403">
        <f t="shared" ref="Y121:Y129" si="69">+S121/F121</f>
        <v>5.5300000000000002E-2</v>
      </c>
      <c r="Z121" s="403">
        <f>+X121*E121</f>
        <v>3.5900000000000001E-2</v>
      </c>
      <c r="AA121" s="403">
        <f>+Y121*E121</f>
        <v>5.5300000000000002E-2</v>
      </c>
      <c r="AB121" s="404" t="s">
        <v>43</v>
      </c>
      <c r="AC121" s="828" t="s">
        <v>486</v>
      </c>
      <c r="AD121" s="828" t="s">
        <v>38</v>
      </c>
      <c r="AE121" s="765" t="s">
        <v>469</v>
      </c>
      <c r="AF121" s="381"/>
    </row>
    <row r="122" spans="1:32" ht="122.45" customHeight="1" thickBot="1" x14ac:dyDescent="0.35">
      <c r="A122" s="385"/>
      <c r="B122" s="1292" t="s">
        <v>705</v>
      </c>
      <c r="C122" s="1285"/>
      <c r="D122" s="386"/>
      <c r="E122" s="391">
        <v>0.3</v>
      </c>
      <c r="F122" s="395"/>
      <c r="G122" s="415"/>
      <c r="H122" s="416"/>
      <c r="I122" s="412">
        <f>+AVERAGE(I123)</f>
        <v>0.21568627450980393</v>
      </c>
      <c r="J122" s="412">
        <f>+AVERAGE(J123)</f>
        <v>0.27450980392156865</v>
      </c>
      <c r="K122" s="413">
        <f>+K123</f>
        <v>0.21568627450980393</v>
      </c>
      <c r="L122" s="413">
        <f>+L123</f>
        <v>0.27450980392156865</v>
      </c>
      <c r="M122" s="400"/>
      <c r="N122" s="400"/>
      <c r="O122" s="400"/>
      <c r="P122" s="400"/>
      <c r="Q122" s="400"/>
      <c r="R122" s="400"/>
      <c r="S122" s="400"/>
      <c r="T122" s="628">
        <f>+AVERAGE(T123)</f>
        <v>1</v>
      </c>
      <c r="U122" s="628">
        <f>+AVERAGE(U123)</f>
        <v>0.17428571428571429</v>
      </c>
      <c r="V122" s="436">
        <f>+(V123)*E122</f>
        <v>0.3</v>
      </c>
      <c r="W122" s="436">
        <f>+(W123)*E122</f>
        <v>5.228571428571429E-2</v>
      </c>
      <c r="X122" s="393">
        <f>+AVERAGE(X123)</f>
        <v>0.22596078431372549</v>
      </c>
      <c r="Y122" s="393">
        <f>+AVERAGE(Y123)</f>
        <v>0.27380392156862743</v>
      </c>
      <c r="Z122" s="393">
        <f>+(Z123)*E122</f>
        <v>6.7788235294117649E-2</v>
      </c>
      <c r="AA122" s="393">
        <f>+(AA123)</f>
        <v>0.27380392156862743</v>
      </c>
      <c r="AB122" s="394"/>
      <c r="AC122" s="380"/>
      <c r="AD122" s="381"/>
      <c r="AE122" s="381"/>
      <c r="AF122" s="381"/>
    </row>
    <row r="123" spans="1:32" ht="122.45" customHeight="1" thickBot="1" x14ac:dyDescent="0.35">
      <c r="A123" s="385"/>
      <c r="B123" s="1072" t="s">
        <v>706</v>
      </c>
      <c r="C123" s="1070" t="s">
        <v>707</v>
      </c>
      <c r="D123" s="438" t="s">
        <v>704</v>
      </c>
      <c r="E123" s="1259">
        <v>1</v>
      </c>
      <c r="F123" s="395">
        <v>12750</v>
      </c>
      <c r="G123" s="415">
        <v>2750</v>
      </c>
      <c r="H123" s="416">
        <v>3500</v>
      </c>
      <c r="I123" s="444">
        <f>+G123/F123</f>
        <v>0.21568627450980393</v>
      </c>
      <c r="J123" s="444">
        <f t="shared" ref="J123" si="70">+H123/F123</f>
        <v>0.27450980392156865</v>
      </c>
      <c r="K123" s="445">
        <f>+(G123/F123)*E123</f>
        <v>0.21568627450980393</v>
      </c>
      <c r="L123" s="445">
        <f t="shared" ref="L123" si="71">+(H123/F123)*E123</f>
        <v>0.27450980392156865</v>
      </c>
      <c r="M123" s="400">
        <v>2881</v>
      </c>
      <c r="N123" s="401">
        <v>223</v>
      </c>
      <c r="O123" s="401">
        <f>610-N123</f>
        <v>387</v>
      </c>
      <c r="P123" s="400"/>
      <c r="Q123" s="400"/>
      <c r="R123" s="400">
        <f t="shared" ref="R123" si="72">+N123+O123+P123+Q123</f>
        <v>610</v>
      </c>
      <c r="S123" s="400">
        <f t="shared" ref="S123" si="73">+R123+M123</f>
        <v>3491</v>
      </c>
      <c r="T123" s="402">
        <v>1</v>
      </c>
      <c r="U123" s="403">
        <f t="shared" ref="U123" si="74">+R123/H123</f>
        <v>0.17428571428571429</v>
      </c>
      <c r="V123" s="403">
        <f>+T123*E123</f>
        <v>1</v>
      </c>
      <c r="W123" s="403">
        <f t="shared" si="68"/>
        <v>0.17428571428571429</v>
      </c>
      <c r="X123" s="403">
        <f>+M123/F123</f>
        <v>0.22596078431372549</v>
      </c>
      <c r="Y123" s="403">
        <f t="shared" si="69"/>
        <v>0.27380392156862743</v>
      </c>
      <c r="Z123" s="403">
        <f>+X123*E123</f>
        <v>0.22596078431372549</v>
      </c>
      <c r="AA123" s="403">
        <f>+Y123*E123</f>
        <v>0.27380392156862743</v>
      </c>
      <c r="AB123" s="404" t="s">
        <v>43</v>
      </c>
      <c r="AC123" s="828" t="s">
        <v>486</v>
      </c>
      <c r="AD123" s="828" t="s">
        <v>38</v>
      </c>
      <c r="AE123" s="765" t="s">
        <v>469</v>
      </c>
      <c r="AF123" s="381"/>
    </row>
    <row r="124" spans="1:32" ht="122.45" customHeight="1" thickBot="1" x14ac:dyDescent="0.35">
      <c r="A124" s="385"/>
      <c r="B124" s="1292" t="s">
        <v>708</v>
      </c>
      <c r="C124" s="1285"/>
      <c r="D124" s="438"/>
      <c r="E124" s="391">
        <v>0.2</v>
      </c>
      <c r="F124" s="395"/>
      <c r="G124" s="415"/>
      <c r="H124" s="416"/>
      <c r="I124" s="412">
        <f>+AVERAGE(I125)</f>
        <v>0.33</v>
      </c>
      <c r="J124" s="412">
        <f>+AVERAGE(J125)</f>
        <v>0.3342</v>
      </c>
      <c r="K124" s="413">
        <f>+K125</f>
        <v>0.33</v>
      </c>
      <c r="L124" s="413">
        <f>+L125</f>
        <v>0.3342</v>
      </c>
      <c r="M124" s="400"/>
      <c r="N124" s="400"/>
      <c r="O124" s="400"/>
      <c r="P124" s="400"/>
      <c r="Q124" s="400"/>
      <c r="R124" s="400"/>
      <c r="S124" s="400"/>
      <c r="T124" s="628">
        <f>+AVERAGE(T125)</f>
        <v>0.59333333333333338</v>
      </c>
      <c r="U124" s="628">
        <f>+AVERAGE(U125)</f>
        <v>0.15619389587073609</v>
      </c>
      <c r="V124" s="436">
        <f>+(V125)*E124</f>
        <v>0.11866666666666668</v>
      </c>
      <c r="W124" s="436">
        <f>+(W125)*E124</f>
        <v>3.1238779174147219E-2</v>
      </c>
      <c r="X124" s="393">
        <f>+AVERAGE(X125)</f>
        <v>0.1958</v>
      </c>
      <c r="Y124" s="393">
        <f>+AVERAGE(Y125)</f>
        <v>0.248</v>
      </c>
      <c r="Z124" s="393">
        <f>+(Z125)*E124</f>
        <v>3.916E-2</v>
      </c>
      <c r="AA124" s="393">
        <f>+(AA125)</f>
        <v>0.248</v>
      </c>
      <c r="AB124" s="394"/>
      <c r="AC124" s="380"/>
      <c r="AD124" s="381"/>
      <c r="AE124" s="381"/>
      <c r="AF124" s="381"/>
    </row>
    <row r="125" spans="1:32" ht="122.45" customHeight="1" thickBot="1" x14ac:dyDescent="0.35">
      <c r="A125" s="385"/>
      <c r="B125" s="1072" t="s">
        <v>709</v>
      </c>
      <c r="C125" s="1070" t="s">
        <v>710</v>
      </c>
      <c r="D125" s="438" t="s">
        <v>704</v>
      </c>
      <c r="E125" s="1259">
        <v>1</v>
      </c>
      <c r="F125" s="395">
        <v>5000</v>
      </c>
      <c r="G125" s="415">
        <v>1650</v>
      </c>
      <c r="H125" s="416">
        <v>1671</v>
      </c>
      <c r="I125" s="405">
        <f>+G125/F125</f>
        <v>0.33</v>
      </c>
      <c r="J125" s="405">
        <f t="shared" ref="J125" si="75">+H125/F125</f>
        <v>0.3342</v>
      </c>
      <c r="K125" s="406">
        <f>+(G125/F125)*E125</f>
        <v>0.33</v>
      </c>
      <c r="L125" s="406">
        <f t="shared" ref="L125" si="76">+(H125/F125)*E125</f>
        <v>0.3342</v>
      </c>
      <c r="M125" s="400">
        <v>979</v>
      </c>
      <c r="N125" s="401">
        <v>226</v>
      </c>
      <c r="O125" s="400">
        <v>35</v>
      </c>
      <c r="P125" s="400"/>
      <c r="Q125" s="400"/>
      <c r="R125" s="400">
        <f t="shared" ref="R125" si="77">+N125+O125+P125+Q125</f>
        <v>261</v>
      </c>
      <c r="S125" s="400">
        <f t="shared" ref="S125" si="78">+R125+M125</f>
        <v>1240</v>
      </c>
      <c r="T125" s="402">
        <f>+(M125/G125)</f>
        <v>0.59333333333333338</v>
      </c>
      <c r="U125" s="403">
        <f>+R125/H125</f>
        <v>0.15619389587073609</v>
      </c>
      <c r="V125" s="403">
        <f>+T125*E125</f>
        <v>0.59333333333333338</v>
      </c>
      <c r="W125" s="403">
        <f>+U125*E125</f>
        <v>0.15619389587073609</v>
      </c>
      <c r="X125" s="403">
        <f>+M125/F125</f>
        <v>0.1958</v>
      </c>
      <c r="Y125" s="403">
        <f t="shared" si="69"/>
        <v>0.248</v>
      </c>
      <c r="Z125" s="403">
        <f>+X125*E125</f>
        <v>0.1958</v>
      </c>
      <c r="AA125" s="403">
        <f>+Y125*E125</f>
        <v>0.248</v>
      </c>
      <c r="AB125" s="404" t="s">
        <v>43</v>
      </c>
      <c r="AC125" s="828" t="s">
        <v>486</v>
      </c>
      <c r="AD125" s="828" t="s">
        <v>38</v>
      </c>
      <c r="AE125" s="765" t="s">
        <v>469</v>
      </c>
      <c r="AF125" s="381"/>
    </row>
    <row r="126" spans="1:32" ht="122.45" customHeight="1" thickBot="1" x14ac:dyDescent="0.35">
      <c r="A126" s="385"/>
      <c r="B126" s="1292" t="s">
        <v>711</v>
      </c>
      <c r="C126" s="1285"/>
      <c r="D126" s="438"/>
      <c r="E126" s="391">
        <v>0.2</v>
      </c>
      <c r="F126" s="395"/>
      <c r="G126" s="415"/>
      <c r="H126" s="416"/>
      <c r="I126" s="412">
        <f>+AVERAGE(I127:I129)</f>
        <v>0.12333333333333334</v>
      </c>
      <c r="J126" s="412">
        <f>+AVERAGE(J127:J129)</f>
        <v>0.29577777777777775</v>
      </c>
      <c r="K126" s="413">
        <f>+K127+K128+K129</f>
        <v>8.5999999999999993E-2</v>
      </c>
      <c r="L126" s="413">
        <f>+L127+L128+L129</f>
        <v>0.30786666666666662</v>
      </c>
      <c r="M126" s="400"/>
      <c r="N126" s="414"/>
      <c r="O126" s="414"/>
      <c r="P126" s="414"/>
      <c r="Q126" s="414"/>
      <c r="R126" s="414"/>
      <c r="S126" s="414"/>
      <c r="T126" s="628">
        <f>+AVERAGE(T127:T129)</f>
        <v>0.9</v>
      </c>
      <c r="U126" s="628">
        <f>+AVERAGE(U127:U129)</f>
        <v>0.33263157894736839</v>
      </c>
      <c r="V126" s="436">
        <f>+(V127+V128+V129)*E126</f>
        <v>8.8000000000000009E-2</v>
      </c>
      <c r="W126" s="436">
        <f>+(W127+W128+W129)*E126</f>
        <v>8.0273684210526317E-2</v>
      </c>
      <c r="X126" s="393">
        <f>+AVERAGE(X127:X129)</f>
        <v>0.11533333333333333</v>
      </c>
      <c r="Y126" s="393">
        <f>+AVERAGE(Y127:Y129)</f>
        <v>0.21855555555555553</v>
      </c>
      <c r="Z126" s="393">
        <f>+(Z127+Z128+Z129)*E126</f>
        <v>1.5760000000000003E-2</v>
      </c>
      <c r="AA126" s="393">
        <f>+(AA127+AA128+AA129)</f>
        <v>0.20753333333333332</v>
      </c>
      <c r="AB126" s="394"/>
      <c r="AC126" s="380"/>
      <c r="AD126" s="381"/>
      <c r="AE126" s="381"/>
      <c r="AF126" s="381"/>
    </row>
    <row r="127" spans="1:32" ht="122.45" customHeight="1" thickBot="1" x14ac:dyDescent="0.35">
      <c r="A127" s="385"/>
      <c r="B127" s="1072" t="s">
        <v>712</v>
      </c>
      <c r="C127" s="1070" t="s">
        <v>713</v>
      </c>
      <c r="D127" s="438" t="s">
        <v>704</v>
      </c>
      <c r="E127" s="1259">
        <v>0.3</v>
      </c>
      <c r="F127" s="395">
        <v>5</v>
      </c>
      <c r="G127" s="415">
        <v>0.6</v>
      </c>
      <c r="H127" s="416">
        <v>1.52</v>
      </c>
      <c r="I127" s="405">
        <f>+G127/F127</f>
        <v>0.12</v>
      </c>
      <c r="J127" s="405">
        <f t="shared" ref="J127:J129" si="79">+H127/F127</f>
        <v>0.30399999999999999</v>
      </c>
      <c r="K127" s="406">
        <f>+(G127/F127)*E127</f>
        <v>3.5999999999999997E-2</v>
      </c>
      <c r="L127" s="406">
        <f t="shared" ref="L127:L129" si="80">+(H127/F127)*E127</f>
        <v>9.1199999999999989E-2</v>
      </c>
      <c r="M127" s="400">
        <v>0.48</v>
      </c>
      <c r="N127" s="401">
        <v>0</v>
      </c>
      <c r="O127" s="401">
        <v>0.24</v>
      </c>
      <c r="P127" s="400"/>
      <c r="Q127" s="400"/>
      <c r="R127" s="400">
        <f t="shared" ref="R127:R129" si="81">+N127+O127+P127+Q127</f>
        <v>0.24</v>
      </c>
      <c r="S127" s="400">
        <f t="shared" ref="S127:S129" si="82">+R127+M127</f>
        <v>0.72</v>
      </c>
      <c r="T127" s="402">
        <f>+(M127/G127)</f>
        <v>0.8</v>
      </c>
      <c r="U127" s="403">
        <f t="shared" ref="U127:U129" si="83">+R127/H127</f>
        <v>0.15789473684210525</v>
      </c>
      <c r="V127" s="403">
        <f>+T127*E127</f>
        <v>0.24</v>
      </c>
      <c r="W127" s="403">
        <f>+U127*E127</f>
        <v>4.7368421052631574E-2</v>
      </c>
      <c r="X127" s="403">
        <f>+M127/F127</f>
        <v>9.6000000000000002E-2</v>
      </c>
      <c r="Y127" s="403">
        <f t="shared" si="69"/>
        <v>0.14399999999999999</v>
      </c>
      <c r="Z127" s="403">
        <f>+X127*E127</f>
        <v>2.8799999999999999E-2</v>
      </c>
      <c r="AA127" s="403">
        <f>+Y127*E127</f>
        <v>4.3199999999999995E-2</v>
      </c>
      <c r="AB127" s="404" t="s">
        <v>43</v>
      </c>
      <c r="AC127" s="828" t="s">
        <v>486</v>
      </c>
      <c r="AD127" s="828" t="s">
        <v>38</v>
      </c>
      <c r="AE127" s="765" t="s">
        <v>469</v>
      </c>
      <c r="AF127" s="381"/>
    </row>
    <row r="128" spans="1:32" ht="122.45" customHeight="1" thickBot="1" x14ac:dyDescent="0.35">
      <c r="A128" s="385"/>
      <c r="B128" s="1146" t="s">
        <v>714</v>
      </c>
      <c r="C128" s="1071" t="s">
        <v>715</v>
      </c>
      <c r="D128" s="438" t="s">
        <v>716</v>
      </c>
      <c r="E128" s="1259">
        <v>0.5</v>
      </c>
      <c r="F128" s="395">
        <v>6</v>
      </c>
      <c r="G128" s="415">
        <v>0</v>
      </c>
      <c r="H128" s="416">
        <v>2</v>
      </c>
      <c r="I128" s="444">
        <v>0</v>
      </c>
      <c r="J128" s="444">
        <f t="shared" si="79"/>
        <v>0.33333333333333331</v>
      </c>
      <c r="K128" s="406"/>
      <c r="L128" s="406">
        <f t="shared" si="80"/>
        <v>0.16666666666666666</v>
      </c>
      <c r="M128" s="400"/>
      <c r="N128" s="401">
        <v>0</v>
      </c>
      <c r="O128" s="400">
        <v>1.24</v>
      </c>
      <c r="P128" s="400"/>
      <c r="Q128" s="400"/>
      <c r="R128" s="400">
        <f t="shared" si="81"/>
        <v>1.24</v>
      </c>
      <c r="S128" s="400">
        <f t="shared" si="82"/>
        <v>1.24</v>
      </c>
      <c r="T128" s="402"/>
      <c r="U128" s="403">
        <f>+R128/H128</f>
        <v>0.62</v>
      </c>
      <c r="V128" s="403"/>
      <c r="W128" s="403">
        <f>+U128*E128</f>
        <v>0.31</v>
      </c>
      <c r="X128" s="631">
        <v>0</v>
      </c>
      <c r="Y128" s="403">
        <f>+S128/F128</f>
        <v>0.20666666666666667</v>
      </c>
      <c r="Z128" s="403"/>
      <c r="AA128" s="403">
        <f>+Y128*E128</f>
        <v>0.10333333333333333</v>
      </c>
      <c r="AB128" s="404" t="s">
        <v>43</v>
      </c>
      <c r="AC128" s="752" t="s">
        <v>127</v>
      </c>
      <c r="AD128" s="380"/>
      <c r="AE128" s="765" t="s">
        <v>469</v>
      </c>
      <c r="AF128" s="381"/>
    </row>
    <row r="129" spans="1:32" ht="122.45" customHeight="1" thickBot="1" x14ac:dyDescent="0.35">
      <c r="A129" s="385"/>
      <c r="B129" s="1072" t="s">
        <v>717</v>
      </c>
      <c r="C129" s="1070" t="s">
        <v>718</v>
      </c>
      <c r="D129" s="797" t="s">
        <v>704</v>
      </c>
      <c r="E129" s="1259">
        <v>0.2</v>
      </c>
      <c r="F129" s="395">
        <v>4</v>
      </c>
      <c r="G129" s="415">
        <v>1</v>
      </c>
      <c r="H129" s="416">
        <v>1</v>
      </c>
      <c r="I129" s="405">
        <f>+G129/F129</f>
        <v>0.25</v>
      </c>
      <c r="J129" s="405">
        <f t="shared" si="79"/>
        <v>0.25</v>
      </c>
      <c r="K129" s="406">
        <f>+(G129/F129)*E129</f>
        <v>0.05</v>
      </c>
      <c r="L129" s="406">
        <f t="shared" si="80"/>
        <v>0.05</v>
      </c>
      <c r="M129" s="446">
        <v>1</v>
      </c>
      <c r="N129" s="630">
        <v>0</v>
      </c>
      <c r="O129" s="630">
        <v>0.22</v>
      </c>
      <c r="P129" s="446"/>
      <c r="Q129" s="446"/>
      <c r="R129" s="446">
        <f t="shared" si="81"/>
        <v>0.22</v>
      </c>
      <c r="S129" s="446">
        <f t="shared" si="82"/>
        <v>1.22</v>
      </c>
      <c r="T129" s="402">
        <f>+(M129/G129)</f>
        <v>1</v>
      </c>
      <c r="U129" s="403">
        <f t="shared" si="83"/>
        <v>0.22</v>
      </c>
      <c r="V129" s="403">
        <f>+T129*E129</f>
        <v>0.2</v>
      </c>
      <c r="W129" s="403">
        <f t="shared" si="68"/>
        <v>4.4000000000000004E-2</v>
      </c>
      <c r="X129" s="403">
        <f>+M129/F129</f>
        <v>0.25</v>
      </c>
      <c r="Y129" s="403">
        <f t="shared" si="69"/>
        <v>0.30499999999999999</v>
      </c>
      <c r="Z129" s="403">
        <f>+X129*E129</f>
        <v>0.05</v>
      </c>
      <c r="AA129" s="403">
        <f>+Y129*E129</f>
        <v>6.0999999999999999E-2</v>
      </c>
      <c r="AB129" s="404" t="s">
        <v>43</v>
      </c>
      <c r="AC129" s="828" t="s">
        <v>486</v>
      </c>
      <c r="AD129" s="828" t="s">
        <v>38</v>
      </c>
      <c r="AE129" s="765" t="s">
        <v>469</v>
      </c>
      <c r="AF129" s="381"/>
    </row>
    <row r="130" spans="1:32" ht="150.6" customHeight="1" thickBot="1" x14ac:dyDescent="0.35">
      <c r="A130" s="385"/>
      <c r="B130" s="1301" t="s">
        <v>719</v>
      </c>
      <c r="C130" s="1285"/>
      <c r="D130" s="447"/>
      <c r="E130" s="430">
        <v>0.15</v>
      </c>
      <c r="F130" s="431">
        <f>+E130*V130</f>
        <v>8.7450000000000014E-2</v>
      </c>
      <c r="G130" s="411"/>
      <c r="H130" s="387">
        <f>+E130*W130</f>
        <v>8.843609996984414E-2</v>
      </c>
      <c r="I130" s="441">
        <f>+(I131+I140+I145+I148+I154+I160)/5</f>
        <v>0.22655250131358057</v>
      </c>
      <c r="J130" s="632">
        <f>+(J131+J140+J145+J148+J154+J160)/6</f>
        <v>0.40396612216494382</v>
      </c>
      <c r="K130" s="442">
        <f>+(K131+K140+K145+K148+K154+K160)/5</f>
        <v>0.2503571688629197</v>
      </c>
      <c r="L130" s="633">
        <f>+(L131+L140+L145+L148+L154+L160)/6</f>
        <v>0.34713104798682154</v>
      </c>
      <c r="M130" s="416"/>
      <c r="N130" s="416"/>
      <c r="O130" s="416"/>
      <c r="P130" s="416"/>
      <c r="Q130" s="416"/>
      <c r="R130" s="416"/>
      <c r="S130" s="416"/>
      <c r="T130" s="448">
        <f>+(T131+T140+T145+T148+T154+T160)/5</f>
        <v>0.84071428571428586</v>
      </c>
      <c r="U130" s="629">
        <f>+(U131+U140+U145+U148+U154+U160)/6</f>
        <v>0.52321879696766105</v>
      </c>
      <c r="V130" s="449">
        <f>+V131+V140+V145+V148+V154+V160</f>
        <v>0.58300000000000007</v>
      </c>
      <c r="W130" s="635">
        <f>+W131+W140+W145+W148+W154+W160</f>
        <v>0.58957399979896097</v>
      </c>
      <c r="X130" s="389">
        <f>(X131+X140+X145+X148+X154+X160)/5</f>
        <v>0.21359110642145068</v>
      </c>
      <c r="Y130" s="629">
        <f>(Y131+Y140+Y145+Y148+Y154+Y160)/5</f>
        <v>0.47593529817233005</v>
      </c>
      <c r="Z130" s="449">
        <f>(Z131+Z140+Z145+Z148+Z154+Z160)</f>
        <v>0.17679704653535339</v>
      </c>
      <c r="AA130" s="449">
        <f>(AA131*E131)+(AA140*E140)+(AA145*E145)+(AA148*E148)+(AA154*E154)+(AA160*E160)</f>
        <v>0.39505789945529213</v>
      </c>
      <c r="AB130" s="390"/>
      <c r="AC130" s="901" t="s">
        <v>720</v>
      </c>
      <c r="AD130" s="381"/>
      <c r="AE130" s="381"/>
      <c r="AF130" s="381"/>
    </row>
    <row r="131" spans="1:32" ht="122.45" customHeight="1" thickBot="1" x14ac:dyDescent="0.35">
      <c r="A131" s="385"/>
      <c r="B131" s="1292" t="s">
        <v>721</v>
      </c>
      <c r="C131" s="1285"/>
      <c r="D131" s="804"/>
      <c r="E131" s="391">
        <v>0.3</v>
      </c>
      <c r="F131" s="410"/>
      <c r="G131" s="411"/>
      <c r="H131" s="392"/>
      <c r="I131" s="412">
        <f>+AVERAGE(I132:I139)</f>
        <v>0.10484583990123605</v>
      </c>
      <c r="J131" s="412">
        <f>+AVERAGE(J132:J139)</f>
        <v>0.29872381632299655</v>
      </c>
      <c r="K131" s="413">
        <f>+K132+K133+K134+K135+K136+K137+K138+K139</f>
        <v>6.9160844314598499E-2</v>
      </c>
      <c r="L131" s="413">
        <f>+L132+L133+L134+L135+L136+L137+L138+L139</f>
        <v>0.33846857958759585</v>
      </c>
      <c r="M131" s="416"/>
      <c r="N131" s="451"/>
      <c r="O131" s="451"/>
      <c r="P131" s="451"/>
      <c r="Q131" s="451"/>
      <c r="R131" s="451"/>
      <c r="S131" s="451"/>
      <c r="T131" s="634">
        <f>+AVERAGE(T132:T139)</f>
        <v>0.9285714285714286</v>
      </c>
      <c r="U131" s="436">
        <f>+AVERAGE(U132:U139)</f>
        <v>0.60270459467146309</v>
      </c>
      <c r="V131" s="436">
        <f>+(V132+V133+V134+V135+V136+V137+V138+V139)*E131</f>
        <v>0.19500000000000001</v>
      </c>
      <c r="W131" s="436">
        <f>+(W132+W133+W134+W135+W136+W137+W138+W139)*E131</f>
        <v>0.15789277172878552</v>
      </c>
      <c r="X131" s="393">
        <f>+AVERAGE(X132:X139)</f>
        <v>0.10670553210725324</v>
      </c>
      <c r="Y131" s="393">
        <f>+AVERAGE(Y132:Y139)</f>
        <v>0.40725982419498352</v>
      </c>
      <c r="Z131" s="393">
        <f>+(Z132+Z133+Z134+Z135+Z136+Z137+Z138+Z139)*E131</f>
        <v>2.1309546535353403E-2</v>
      </c>
      <c r="AA131" s="393">
        <f>+(AA132+AA133+AA134+AA135+AA136+AA137+AA138+AA139)</f>
        <v>0.35756799818430712</v>
      </c>
      <c r="AB131" s="394"/>
      <c r="AC131" s="380"/>
      <c r="AD131" s="381"/>
      <c r="AE131" s="381"/>
      <c r="AF131" s="381"/>
    </row>
    <row r="132" spans="1:32" ht="122.45" customHeight="1" thickBot="1" x14ac:dyDescent="0.35">
      <c r="A132" s="385"/>
      <c r="B132" s="1072" t="s">
        <v>722</v>
      </c>
      <c r="C132" s="1145" t="s">
        <v>723</v>
      </c>
      <c r="D132" s="583" t="s">
        <v>724</v>
      </c>
      <c r="E132" s="1259">
        <v>0.15</v>
      </c>
      <c r="F132" s="395">
        <v>306059</v>
      </c>
      <c r="G132" s="989">
        <v>40000</v>
      </c>
      <c r="H132" s="416">
        <v>88693</v>
      </c>
      <c r="I132" s="405">
        <f t="shared" ref="I132:I137" si="84">+G132/F132</f>
        <v>0.13069375512564571</v>
      </c>
      <c r="J132" s="405">
        <f t="shared" ref="J132:J163" si="85">+H132/F132</f>
        <v>0.28979053058397236</v>
      </c>
      <c r="K132" s="406">
        <f t="shared" ref="K132:K137" si="86">+(G132/F132)*E132</f>
        <v>1.9604063268846856E-2</v>
      </c>
      <c r="L132" s="452">
        <f t="shared" ref="L132:L163" si="87">+(H132/F132)*E132</f>
        <v>4.3468579587595854E-2</v>
      </c>
      <c r="M132" s="453">
        <v>47985</v>
      </c>
      <c r="N132" s="630">
        <v>3268</v>
      </c>
      <c r="O132" s="1166">
        <v>18520</v>
      </c>
      <c r="P132" s="453"/>
      <c r="Q132" s="453"/>
      <c r="R132" s="453">
        <f t="shared" ref="R132:R139" si="88">+N132+O132+P132+Q132</f>
        <v>21788</v>
      </c>
      <c r="S132" s="453">
        <f t="shared" ref="S132:S138" si="89">+R132+M132</f>
        <v>69773</v>
      </c>
      <c r="T132" s="454">
        <v>1</v>
      </c>
      <c r="U132" s="403">
        <f t="shared" ref="U132:U163" si="90">+R132/H132</f>
        <v>0.24565636521484221</v>
      </c>
      <c r="V132" s="403">
        <f t="shared" ref="V132:V137" si="91">+T132*E132</f>
        <v>0.15</v>
      </c>
      <c r="W132" s="403">
        <f t="shared" ref="W132:W163" si="92">+U132*E132</f>
        <v>3.6848454782226328E-2</v>
      </c>
      <c r="X132" s="403">
        <f t="shared" ref="X132:X137" si="93">+M132/F132</f>
        <v>0.15678349599260274</v>
      </c>
      <c r="Y132" s="403">
        <f t="shared" ref="Y132:Y163" si="94">+S132/F132</f>
        <v>0.22797238440954196</v>
      </c>
      <c r="Z132" s="403">
        <f t="shared" ref="Z132:Z137" si="95">+X132*E132</f>
        <v>2.3517524398890412E-2</v>
      </c>
      <c r="AA132" s="403">
        <f t="shared" ref="AA132:AA138" si="96">+Y132*E132</f>
        <v>3.4195857661431295E-2</v>
      </c>
      <c r="AB132" s="404" t="s">
        <v>43</v>
      </c>
      <c r="AC132" s="729" t="s">
        <v>44</v>
      </c>
      <c r="AD132" s="729" t="s">
        <v>38</v>
      </c>
      <c r="AE132" s="765" t="s">
        <v>469</v>
      </c>
      <c r="AF132" s="381"/>
    </row>
    <row r="133" spans="1:32" ht="132.6" customHeight="1" thickBot="1" x14ac:dyDescent="0.35">
      <c r="A133" s="385"/>
      <c r="B133" s="1072" t="s">
        <v>725</v>
      </c>
      <c r="C133" s="1145" t="s">
        <v>726</v>
      </c>
      <c r="D133" s="714" t="s">
        <v>724</v>
      </c>
      <c r="E133" s="1259">
        <v>0.1</v>
      </c>
      <c r="F133" s="395">
        <f>18*4</f>
        <v>72</v>
      </c>
      <c r="G133" s="415">
        <v>4</v>
      </c>
      <c r="H133" s="416">
        <v>18</v>
      </c>
      <c r="I133" s="405">
        <f t="shared" si="84"/>
        <v>5.5555555555555552E-2</v>
      </c>
      <c r="J133" s="405">
        <f t="shared" si="85"/>
        <v>0.25</v>
      </c>
      <c r="K133" s="406">
        <f t="shared" si="86"/>
        <v>5.5555555555555558E-3</v>
      </c>
      <c r="L133" s="455">
        <f t="shared" si="87"/>
        <v>2.5000000000000001E-2</v>
      </c>
      <c r="M133" s="416">
        <v>2</v>
      </c>
      <c r="N133" s="630">
        <v>4</v>
      </c>
      <c r="O133" s="630">
        <v>14</v>
      </c>
      <c r="P133" s="416"/>
      <c r="Q133" s="416"/>
      <c r="R133" s="416">
        <f t="shared" si="88"/>
        <v>18</v>
      </c>
      <c r="S133" s="416">
        <f t="shared" si="89"/>
        <v>20</v>
      </c>
      <c r="T133" s="454">
        <f>+(M133/G133)</f>
        <v>0.5</v>
      </c>
      <c r="U133" s="403">
        <v>1</v>
      </c>
      <c r="V133" s="403">
        <f t="shared" si="91"/>
        <v>0.05</v>
      </c>
      <c r="W133" s="403">
        <f t="shared" si="92"/>
        <v>0.1</v>
      </c>
      <c r="X133" s="403">
        <f t="shared" si="93"/>
        <v>2.7777777777777776E-2</v>
      </c>
      <c r="Y133" s="403">
        <f>+S133/F133</f>
        <v>0.27777777777777779</v>
      </c>
      <c r="Z133" s="403">
        <f t="shared" si="95"/>
        <v>2.7777777777777779E-3</v>
      </c>
      <c r="AA133" s="403">
        <f t="shared" si="96"/>
        <v>2.777777777777778E-2</v>
      </c>
      <c r="AB133" s="732" t="s">
        <v>43</v>
      </c>
      <c r="AC133" s="825" t="s">
        <v>727</v>
      </c>
      <c r="AD133" s="1165" t="s">
        <v>728</v>
      </c>
      <c r="AE133" s="765" t="s">
        <v>469</v>
      </c>
      <c r="AF133" s="381"/>
    </row>
    <row r="134" spans="1:32" ht="122.45" customHeight="1" thickBot="1" x14ac:dyDescent="0.35">
      <c r="A134" s="385"/>
      <c r="B134" s="1072" t="s">
        <v>729</v>
      </c>
      <c r="C134" s="1145" t="s">
        <v>730</v>
      </c>
      <c r="D134" s="811" t="s">
        <v>724</v>
      </c>
      <c r="E134" s="1259">
        <v>0.05</v>
      </c>
      <c r="F134" s="395">
        <f>1800*4</f>
        <v>7200</v>
      </c>
      <c r="G134" s="456">
        <v>375</v>
      </c>
      <c r="H134" s="416">
        <v>1800</v>
      </c>
      <c r="I134" s="405">
        <f t="shared" si="84"/>
        <v>5.2083333333333336E-2</v>
      </c>
      <c r="J134" s="405">
        <f t="shared" si="85"/>
        <v>0.25</v>
      </c>
      <c r="K134" s="406">
        <f t="shared" si="86"/>
        <v>2.604166666666667E-3</v>
      </c>
      <c r="L134" s="455">
        <f t="shared" si="87"/>
        <v>1.2500000000000001E-2</v>
      </c>
      <c r="M134" s="457">
        <v>375</v>
      </c>
      <c r="N134" s="630">
        <v>9</v>
      </c>
      <c r="O134" s="630">
        <v>591</v>
      </c>
      <c r="P134" s="457"/>
      <c r="Q134" s="457"/>
      <c r="R134" s="457">
        <f t="shared" si="88"/>
        <v>600</v>
      </c>
      <c r="S134" s="457">
        <f t="shared" si="89"/>
        <v>975</v>
      </c>
      <c r="T134" s="454">
        <v>1</v>
      </c>
      <c r="U134" s="403">
        <f t="shared" si="90"/>
        <v>0.33333333333333331</v>
      </c>
      <c r="V134" s="409">
        <f t="shared" si="91"/>
        <v>0.05</v>
      </c>
      <c r="W134" s="409">
        <f t="shared" si="92"/>
        <v>1.6666666666666666E-2</v>
      </c>
      <c r="X134" s="403">
        <f t="shared" si="93"/>
        <v>5.2083333333333336E-2</v>
      </c>
      <c r="Y134" s="403">
        <f>+S134/F134</f>
        <v>0.13541666666666666</v>
      </c>
      <c r="Z134" s="403">
        <f t="shared" si="95"/>
        <v>2.604166666666667E-3</v>
      </c>
      <c r="AA134" s="403">
        <f t="shared" si="96"/>
        <v>6.7708333333333336E-3</v>
      </c>
      <c r="AB134" s="404" t="s">
        <v>43</v>
      </c>
      <c r="AC134" s="825" t="s">
        <v>731</v>
      </c>
      <c r="AD134" s="1165" t="s">
        <v>728</v>
      </c>
      <c r="AE134" s="765" t="s">
        <v>469</v>
      </c>
      <c r="AF134" s="381"/>
    </row>
    <row r="135" spans="1:32" ht="122.45" customHeight="1" thickBot="1" x14ac:dyDescent="0.35">
      <c r="A135" s="385"/>
      <c r="B135" s="1146" t="s">
        <v>732</v>
      </c>
      <c r="C135" s="1147" t="s">
        <v>733</v>
      </c>
      <c r="D135" s="812" t="s">
        <v>724</v>
      </c>
      <c r="E135" s="1259">
        <v>0.1</v>
      </c>
      <c r="F135" s="395">
        <v>1</v>
      </c>
      <c r="G135" s="415">
        <v>0.2</v>
      </c>
      <c r="H135" s="416">
        <v>0.3</v>
      </c>
      <c r="I135" s="463">
        <f t="shared" si="84"/>
        <v>0.2</v>
      </c>
      <c r="J135" s="405">
        <f t="shared" si="85"/>
        <v>0.3</v>
      </c>
      <c r="K135" s="406">
        <f t="shared" si="86"/>
        <v>2.0000000000000004E-2</v>
      </c>
      <c r="L135" s="455">
        <f t="shared" si="87"/>
        <v>0.03</v>
      </c>
      <c r="M135" s="457">
        <v>0.2</v>
      </c>
      <c r="N135" s="630">
        <v>0</v>
      </c>
      <c r="O135" s="630">
        <v>0.625</v>
      </c>
      <c r="P135" s="457"/>
      <c r="Q135" s="457"/>
      <c r="R135" s="457">
        <f t="shared" si="88"/>
        <v>0.625</v>
      </c>
      <c r="S135" s="457">
        <f t="shared" si="89"/>
        <v>0.82499999999999996</v>
      </c>
      <c r="T135" s="454">
        <f>+M135/G135</f>
        <v>1</v>
      </c>
      <c r="U135" s="403">
        <v>1</v>
      </c>
      <c r="V135" s="403">
        <f t="shared" si="91"/>
        <v>0.1</v>
      </c>
      <c r="W135" s="403">
        <f t="shared" si="92"/>
        <v>0.1</v>
      </c>
      <c r="X135" s="403">
        <f t="shared" si="93"/>
        <v>0.2</v>
      </c>
      <c r="Y135" s="403">
        <f t="shared" si="94"/>
        <v>0.82499999999999996</v>
      </c>
      <c r="Z135" s="403">
        <f t="shared" si="95"/>
        <v>2.0000000000000004E-2</v>
      </c>
      <c r="AA135" s="403">
        <f t="shared" si="96"/>
        <v>8.2500000000000004E-2</v>
      </c>
      <c r="AB135" s="404" t="s">
        <v>43</v>
      </c>
      <c r="AC135" s="827" t="s">
        <v>734</v>
      </c>
      <c r="AD135" s="381"/>
      <c r="AE135" s="765" t="s">
        <v>469</v>
      </c>
      <c r="AF135" s="381"/>
    </row>
    <row r="136" spans="1:32" ht="122.45" customHeight="1" thickBot="1" x14ac:dyDescent="0.35">
      <c r="A136" s="385"/>
      <c r="B136" s="1146" t="s">
        <v>735</v>
      </c>
      <c r="C136" s="1147" t="s">
        <v>736</v>
      </c>
      <c r="D136" s="812" t="s">
        <v>724</v>
      </c>
      <c r="E136" s="1259">
        <v>0.05</v>
      </c>
      <c r="F136" s="395">
        <v>1</v>
      </c>
      <c r="G136" s="415">
        <v>0.2</v>
      </c>
      <c r="H136" s="1215">
        <v>0.3</v>
      </c>
      <c r="I136" s="467">
        <f t="shared" si="84"/>
        <v>0.2</v>
      </c>
      <c r="J136" s="463">
        <f t="shared" si="85"/>
        <v>0.3</v>
      </c>
      <c r="K136" s="406">
        <f t="shared" si="86"/>
        <v>1.0000000000000002E-2</v>
      </c>
      <c r="L136" s="455">
        <f t="shared" si="87"/>
        <v>1.4999999999999999E-2</v>
      </c>
      <c r="M136" s="457">
        <v>0.2</v>
      </c>
      <c r="N136" s="630"/>
      <c r="O136" s="630">
        <v>0.625</v>
      </c>
      <c r="P136" s="457"/>
      <c r="Q136" s="457"/>
      <c r="R136" s="457">
        <f t="shared" si="88"/>
        <v>0.625</v>
      </c>
      <c r="S136" s="457">
        <f t="shared" si="89"/>
        <v>0.82499999999999996</v>
      </c>
      <c r="T136" s="454">
        <f>+M136/G136</f>
        <v>1</v>
      </c>
      <c r="U136" s="403">
        <v>1</v>
      </c>
      <c r="V136" s="403">
        <f t="shared" si="91"/>
        <v>0.05</v>
      </c>
      <c r="W136" s="403">
        <f t="shared" si="92"/>
        <v>0.05</v>
      </c>
      <c r="X136" s="403">
        <f t="shared" si="93"/>
        <v>0.2</v>
      </c>
      <c r="Y136" s="403">
        <f t="shared" si="94"/>
        <v>0.82499999999999996</v>
      </c>
      <c r="Z136" s="403">
        <f t="shared" si="95"/>
        <v>1.0000000000000002E-2</v>
      </c>
      <c r="AA136" s="403">
        <f t="shared" si="96"/>
        <v>4.1250000000000002E-2</v>
      </c>
      <c r="AB136" s="404" t="s">
        <v>43</v>
      </c>
      <c r="AC136" s="827" t="s">
        <v>734</v>
      </c>
      <c r="AD136" s="381"/>
      <c r="AE136" s="765" t="s">
        <v>469</v>
      </c>
      <c r="AF136" s="381"/>
    </row>
    <row r="137" spans="1:32" ht="122.45" customHeight="1" thickBot="1" x14ac:dyDescent="0.35">
      <c r="A137" s="385"/>
      <c r="B137" s="1146" t="s">
        <v>737</v>
      </c>
      <c r="C137" s="1147" t="s">
        <v>738</v>
      </c>
      <c r="D137" s="812" t="s">
        <v>724</v>
      </c>
      <c r="E137" s="1259">
        <v>0.2</v>
      </c>
      <c r="F137" s="395">
        <f>34*4</f>
        <v>136</v>
      </c>
      <c r="G137" s="415">
        <v>6</v>
      </c>
      <c r="H137" s="415">
        <v>34</v>
      </c>
      <c r="I137" s="467">
        <f t="shared" si="84"/>
        <v>4.4117647058823532E-2</v>
      </c>
      <c r="J137" s="482">
        <f t="shared" si="85"/>
        <v>0.25</v>
      </c>
      <c r="K137" s="405">
        <f t="shared" si="86"/>
        <v>8.8235294117647075E-3</v>
      </c>
      <c r="L137" s="455">
        <f t="shared" si="87"/>
        <v>0.05</v>
      </c>
      <c r="M137" s="457">
        <v>6</v>
      </c>
      <c r="N137" s="630">
        <v>1</v>
      </c>
      <c r="O137" s="630">
        <v>0</v>
      </c>
      <c r="P137" s="416"/>
      <c r="Q137" s="416"/>
      <c r="R137" s="416">
        <f t="shared" si="88"/>
        <v>1</v>
      </c>
      <c r="S137" s="416">
        <f>+R137+M137+28</f>
        <v>35</v>
      </c>
      <c r="T137" s="454">
        <f>+(M137/G137)</f>
        <v>1</v>
      </c>
      <c r="U137" s="403">
        <f t="shared" si="90"/>
        <v>2.9411764705882353E-2</v>
      </c>
      <c r="V137" s="403">
        <f t="shared" si="91"/>
        <v>0.2</v>
      </c>
      <c r="W137" s="403">
        <f t="shared" si="92"/>
        <v>5.8823529411764705E-3</v>
      </c>
      <c r="X137" s="403">
        <f t="shared" si="93"/>
        <v>4.4117647058823532E-2</v>
      </c>
      <c r="Y137" s="403">
        <f t="shared" si="94"/>
        <v>0.25735294117647056</v>
      </c>
      <c r="Z137" s="403">
        <f t="shared" si="95"/>
        <v>8.8235294117647075E-3</v>
      </c>
      <c r="AA137" s="403">
        <f t="shared" si="96"/>
        <v>5.1470588235294115E-2</v>
      </c>
      <c r="AB137" s="404" t="s">
        <v>43</v>
      </c>
      <c r="AC137" s="825" t="s">
        <v>731</v>
      </c>
      <c r="AD137" s="1165" t="s">
        <v>728</v>
      </c>
      <c r="AE137" s="765" t="s">
        <v>469</v>
      </c>
      <c r="AF137" s="381"/>
    </row>
    <row r="138" spans="1:32" ht="122.45" customHeight="1" thickBot="1" x14ac:dyDescent="0.35">
      <c r="A138" s="385"/>
      <c r="B138" s="1146" t="s">
        <v>739</v>
      </c>
      <c r="C138" s="1147" t="s">
        <v>740</v>
      </c>
      <c r="D138" s="812" t="s">
        <v>724</v>
      </c>
      <c r="E138" s="1259">
        <v>0.3</v>
      </c>
      <c r="F138" s="395">
        <v>2</v>
      </c>
      <c r="G138" s="415">
        <v>0</v>
      </c>
      <c r="H138" s="416">
        <v>1</v>
      </c>
      <c r="I138" s="475"/>
      <c r="J138" s="475">
        <f t="shared" si="85"/>
        <v>0.5</v>
      </c>
      <c r="K138" s="406"/>
      <c r="L138" s="455">
        <f t="shared" si="87"/>
        <v>0.15</v>
      </c>
      <c r="M138" s="416"/>
      <c r="N138" s="630">
        <v>0.57499999999999996</v>
      </c>
      <c r="O138" s="640">
        <v>0.05</v>
      </c>
      <c r="P138" s="416"/>
      <c r="Q138" s="416"/>
      <c r="R138" s="416">
        <f t="shared" si="88"/>
        <v>0.625</v>
      </c>
      <c r="S138" s="416">
        <f t="shared" si="89"/>
        <v>0.625</v>
      </c>
      <c r="T138" s="454"/>
      <c r="U138" s="403">
        <f t="shared" si="90"/>
        <v>0.625</v>
      </c>
      <c r="V138" s="403"/>
      <c r="W138" s="403">
        <f t="shared" si="92"/>
        <v>0.1875</v>
      </c>
      <c r="X138" s="403"/>
      <c r="Y138" s="403">
        <f t="shared" si="94"/>
        <v>0.3125</v>
      </c>
      <c r="Z138" s="403"/>
      <c r="AA138" s="403">
        <f t="shared" si="96"/>
        <v>9.375E-2</v>
      </c>
      <c r="AB138" s="404" t="s">
        <v>43</v>
      </c>
      <c r="AC138" s="729" t="s">
        <v>44</v>
      </c>
      <c r="AD138" s="729" t="s">
        <v>38</v>
      </c>
      <c r="AE138" s="765" t="s">
        <v>469</v>
      </c>
      <c r="AF138" s="381"/>
    </row>
    <row r="139" spans="1:32" ht="122.45" customHeight="1" thickBot="1" x14ac:dyDescent="0.35">
      <c r="A139" s="385"/>
      <c r="B139" s="1146" t="s">
        <v>741</v>
      </c>
      <c r="C139" s="1147" t="s">
        <v>742</v>
      </c>
      <c r="D139" s="813" t="s">
        <v>724</v>
      </c>
      <c r="E139" s="1259">
        <v>0.05</v>
      </c>
      <c r="F139" s="395">
        <f>34*4</f>
        <v>136</v>
      </c>
      <c r="G139" s="415">
        <v>7</v>
      </c>
      <c r="H139" s="416">
        <v>34</v>
      </c>
      <c r="I139" s="405">
        <f>+G139/F139</f>
        <v>5.1470588235294115E-2</v>
      </c>
      <c r="J139" s="405">
        <f t="shared" si="85"/>
        <v>0.25</v>
      </c>
      <c r="K139" s="406">
        <f>+(G139/F139)*E139</f>
        <v>2.5735294117647058E-3</v>
      </c>
      <c r="L139" s="455">
        <f t="shared" si="87"/>
        <v>1.2500000000000001E-2</v>
      </c>
      <c r="M139" s="416">
        <v>9</v>
      </c>
      <c r="N139" s="630">
        <v>18</v>
      </c>
      <c r="O139" s="640">
        <v>2</v>
      </c>
      <c r="P139" s="416"/>
      <c r="Q139" s="416"/>
      <c r="R139" s="416">
        <f t="shared" si="88"/>
        <v>20</v>
      </c>
      <c r="S139" s="416">
        <f>+R139+M139+25</f>
        <v>54</v>
      </c>
      <c r="T139" s="454">
        <v>1</v>
      </c>
      <c r="U139" s="403">
        <f t="shared" si="90"/>
        <v>0.58823529411764708</v>
      </c>
      <c r="V139" s="403">
        <f>+T139*E139</f>
        <v>0.05</v>
      </c>
      <c r="W139" s="403">
        <f t="shared" si="92"/>
        <v>2.9411764705882356E-2</v>
      </c>
      <c r="X139" s="403">
        <f>+M139/F139</f>
        <v>6.6176470588235295E-2</v>
      </c>
      <c r="Y139" s="403">
        <f t="shared" si="94"/>
        <v>0.39705882352941174</v>
      </c>
      <c r="Z139" s="403">
        <f>+X139*E139</f>
        <v>3.3088235294117651E-3</v>
      </c>
      <c r="AA139" s="403">
        <f>+Y139*E139</f>
        <v>1.9852941176470587E-2</v>
      </c>
      <c r="AB139" s="404" t="s">
        <v>43</v>
      </c>
      <c r="AC139" s="827" t="s">
        <v>743</v>
      </c>
      <c r="AD139" s="1165" t="s">
        <v>728</v>
      </c>
      <c r="AE139" s="765" t="s">
        <v>469</v>
      </c>
      <c r="AF139" s="381"/>
    </row>
    <row r="140" spans="1:32" ht="122.45" customHeight="1" thickBot="1" x14ac:dyDescent="0.35">
      <c r="A140" s="385"/>
      <c r="B140" s="1292" t="s">
        <v>744</v>
      </c>
      <c r="C140" s="1285"/>
      <c r="D140" s="803"/>
      <c r="E140" s="391">
        <v>0.1</v>
      </c>
      <c r="F140" s="395"/>
      <c r="G140" s="415"/>
      <c r="H140" s="416"/>
      <c r="I140" s="412">
        <f>+AVERAGE(I141:I144)</f>
        <v>0.22499999999999998</v>
      </c>
      <c r="J140" s="412">
        <f>+AVERAGE(J141:J144)</f>
        <v>0.29166666666666663</v>
      </c>
      <c r="K140" s="413">
        <f>+K141+K142+K143+K144</f>
        <v>0.23583333333333334</v>
      </c>
      <c r="L140" s="413">
        <f>+L141+L142+L143+L144</f>
        <v>0.27083333333333331</v>
      </c>
      <c r="M140" s="416"/>
      <c r="N140" s="451"/>
      <c r="O140" s="451"/>
      <c r="P140" s="451"/>
      <c r="Q140" s="451"/>
      <c r="R140" s="451"/>
      <c r="S140" s="451"/>
      <c r="T140" s="634">
        <f>+AVERAGE(T141:T144)</f>
        <v>0.75</v>
      </c>
      <c r="U140" s="436">
        <f>+AVERAGE(U141:U144)</f>
        <v>0.89</v>
      </c>
      <c r="V140" s="436">
        <f>+(V141+V142+V143+V144)*E140</f>
        <v>9.0000000000000011E-2</v>
      </c>
      <c r="W140" s="436">
        <f>+(W141+W142+W143+W144)*E140</f>
        <v>8.900000000000001E-2</v>
      </c>
      <c r="X140" s="393">
        <f>+AVERAGE(X141:X144)</f>
        <v>0.36958333333333332</v>
      </c>
      <c r="Y140" s="393">
        <f>+AVERAGE(Y141:Y144)</f>
        <v>0.7586666666666666</v>
      </c>
      <c r="Z140" s="393">
        <f>+(Z141+Z142+Z143+Z144)*E140</f>
        <v>4.7750000000000001E-2</v>
      </c>
      <c r="AA140" s="393">
        <f>+(AA141+AA142+AA143+AA144)</f>
        <v>0.78400000000000003</v>
      </c>
      <c r="AB140" s="394"/>
      <c r="AC140" s="380"/>
      <c r="AD140" s="381"/>
      <c r="AE140" s="381"/>
      <c r="AF140" s="381"/>
    </row>
    <row r="141" spans="1:32" ht="122.45" customHeight="1" thickBot="1" x14ac:dyDescent="0.35">
      <c r="A141" s="385"/>
      <c r="B141" s="1072" t="s">
        <v>745</v>
      </c>
      <c r="C141" s="1071" t="s">
        <v>746</v>
      </c>
      <c r="D141" s="814" t="s">
        <v>724</v>
      </c>
      <c r="E141" s="1259">
        <v>0.5</v>
      </c>
      <c r="F141" s="395">
        <v>1000</v>
      </c>
      <c r="G141" s="415">
        <v>250</v>
      </c>
      <c r="H141" s="416">
        <v>250</v>
      </c>
      <c r="I141" s="405">
        <f>+G141/F141</f>
        <v>0.25</v>
      </c>
      <c r="J141" s="405">
        <f t="shared" si="85"/>
        <v>0.25</v>
      </c>
      <c r="K141" s="406">
        <f>+(G141/F141)*E141</f>
        <v>0.125</v>
      </c>
      <c r="L141" s="455">
        <f t="shared" si="87"/>
        <v>0.125</v>
      </c>
      <c r="M141" s="416">
        <v>565</v>
      </c>
      <c r="N141" s="640">
        <v>186</v>
      </c>
      <c r="O141" s="640">
        <v>97</v>
      </c>
      <c r="P141" s="416"/>
      <c r="Q141" s="416"/>
      <c r="R141" s="416">
        <f t="shared" ref="R141:R144" si="97">+N141+O141+P141+Q141</f>
        <v>283</v>
      </c>
      <c r="S141" s="416">
        <f t="shared" ref="S141:S144" si="98">+R141+M141</f>
        <v>848</v>
      </c>
      <c r="T141" s="454">
        <v>1</v>
      </c>
      <c r="U141" s="403">
        <v>1</v>
      </c>
      <c r="V141" s="403">
        <f>+T141*E141</f>
        <v>0.5</v>
      </c>
      <c r="W141" s="403">
        <f t="shared" si="92"/>
        <v>0.5</v>
      </c>
      <c r="X141" s="403">
        <f>+M141/F141</f>
        <v>0.56499999999999995</v>
      </c>
      <c r="Y141" s="403">
        <f t="shared" si="94"/>
        <v>0.84799999999999998</v>
      </c>
      <c r="Z141" s="403">
        <f>+X141*E141</f>
        <v>0.28249999999999997</v>
      </c>
      <c r="AA141" s="403">
        <f>+Y141*E141</f>
        <v>0.42399999999999999</v>
      </c>
      <c r="AB141" s="404" t="s">
        <v>43</v>
      </c>
      <c r="AC141" s="729" t="s">
        <v>44</v>
      </c>
      <c r="AD141" s="729" t="s">
        <v>38</v>
      </c>
      <c r="AE141" s="765" t="s">
        <v>469</v>
      </c>
      <c r="AF141" s="381"/>
    </row>
    <row r="142" spans="1:32" ht="122.45" customHeight="1" thickBot="1" x14ac:dyDescent="0.35">
      <c r="A142" s="385"/>
      <c r="B142" s="1072" t="s">
        <v>747</v>
      </c>
      <c r="C142" s="1071" t="s">
        <v>748</v>
      </c>
      <c r="D142" s="815" t="s">
        <v>724</v>
      </c>
      <c r="E142" s="1267">
        <v>0.25</v>
      </c>
      <c r="F142" s="395">
        <v>100</v>
      </c>
      <c r="G142" s="415">
        <v>25</v>
      </c>
      <c r="H142" s="416">
        <v>25</v>
      </c>
      <c r="I142" s="405">
        <f>+G142/F142</f>
        <v>0.25</v>
      </c>
      <c r="J142" s="405">
        <f t="shared" si="85"/>
        <v>0.25</v>
      </c>
      <c r="K142" s="406">
        <f>+(G142/F142)*E142</f>
        <v>6.25E-2</v>
      </c>
      <c r="L142" s="455">
        <f t="shared" si="87"/>
        <v>6.25E-2</v>
      </c>
      <c r="M142" s="416">
        <v>58</v>
      </c>
      <c r="N142" s="640">
        <v>13</v>
      </c>
      <c r="O142" s="640">
        <v>1</v>
      </c>
      <c r="P142" s="416"/>
      <c r="Q142" s="416"/>
      <c r="R142" s="416">
        <f t="shared" si="97"/>
        <v>14</v>
      </c>
      <c r="S142" s="416">
        <f t="shared" si="98"/>
        <v>72</v>
      </c>
      <c r="T142" s="454">
        <v>1</v>
      </c>
      <c r="U142" s="403">
        <f t="shared" si="90"/>
        <v>0.56000000000000005</v>
      </c>
      <c r="V142" s="403">
        <f>+T142*E142</f>
        <v>0.25</v>
      </c>
      <c r="W142" s="403">
        <f t="shared" si="92"/>
        <v>0.14000000000000001</v>
      </c>
      <c r="X142" s="403">
        <f>+M142/F142</f>
        <v>0.57999999999999996</v>
      </c>
      <c r="Y142" s="403">
        <f t="shared" si="94"/>
        <v>0.72</v>
      </c>
      <c r="Z142" s="403">
        <f>+X142*E142</f>
        <v>0.14499999999999999</v>
      </c>
      <c r="AA142" s="403">
        <f>+Y142*E142</f>
        <v>0.18</v>
      </c>
      <c r="AB142" s="404" t="s">
        <v>43</v>
      </c>
      <c r="AC142" s="1167" t="s">
        <v>749</v>
      </c>
      <c r="AD142" s="1165" t="s">
        <v>728</v>
      </c>
      <c r="AE142" s="765" t="s">
        <v>469</v>
      </c>
      <c r="AF142" s="381"/>
    </row>
    <row r="143" spans="1:32" ht="122.45" customHeight="1" thickBot="1" x14ac:dyDescent="0.35">
      <c r="A143" s="385"/>
      <c r="B143" s="1072" t="s">
        <v>750</v>
      </c>
      <c r="C143" s="1070" t="s">
        <v>751</v>
      </c>
      <c r="D143" s="814" t="s">
        <v>724</v>
      </c>
      <c r="E143" s="1259">
        <v>0.15</v>
      </c>
      <c r="F143" s="395">
        <v>6</v>
      </c>
      <c r="G143" s="415">
        <v>1</v>
      </c>
      <c r="H143" s="416">
        <v>2</v>
      </c>
      <c r="I143" s="405">
        <f>+G143/F143</f>
        <v>0.16666666666666666</v>
      </c>
      <c r="J143" s="405">
        <f t="shared" si="85"/>
        <v>0.33333333333333331</v>
      </c>
      <c r="K143" s="406">
        <f>+(G143/F143)*E143</f>
        <v>2.4999999999999998E-2</v>
      </c>
      <c r="L143" s="455">
        <f t="shared" si="87"/>
        <v>4.9999999999999996E-2</v>
      </c>
      <c r="M143" s="416">
        <v>2</v>
      </c>
      <c r="N143" s="640">
        <v>1</v>
      </c>
      <c r="O143" s="640">
        <v>1</v>
      </c>
      <c r="P143" s="416"/>
      <c r="Q143" s="416"/>
      <c r="R143" s="416">
        <f t="shared" si="97"/>
        <v>2</v>
      </c>
      <c r="S143" s="416">
        <f t="shared" si="98"/>
        <v>4</v>
      </c>
      <c r="T143" s="454">
        <v>1</v>
      </c>
      <c r="U143" s="403">
        <f t="shared" si="90"/>
        <v>1</v>
      </c>
      <c r="V143" s="403">
        <f>+T143*E143</f>
        <v>0.15</v>
      </c>
      <c r="W143" s="403">
        <f t="shared" si="92"/>
        <v>0.15</v>
      </c>
      <c r="X143" s="403">
        <f>+M143/F143</f>
        <v>0.33333333333333331</v>
      </c>
      <c r="Y143" s="403">
        <f t="shared" si="94"/>
        <v>0.66666666666666663</v>
      </c>
      <c r="Z143" s="403">
        <f>+X143*E143</f>
        <v>4.9999999999999996E-2</v>
      </c>
      <c r="AA143" s="403">
        <f>+Y143*E143</f>
        <v>9.9999999999999992E-2</v>
      </c>
      <c r="AB143" s="404" t="s">
        <v>43</v>
      </c>
      <c r="AC143" s="729" t="s">
        <v>44</v>
      </c>
      <c r="AD143" s="729" t="s">
        <v>38</v>
      </c>
      <c r="AE143" s="765" t="s">
        <v>469</v>
      </c>
      <c r="AF143" s="381"/>
    </row>
    <row r="144" spans="1:32" ht="122.45" customHeight="1" thickBot="1" x14ac:dyDescent="0.35">
      <c r="A144" s="385"/>
      <c r="B144" s="1072" t="s">
        <v>752</v>
      </c>
      <c r="C144" s="1070" t="s">
        <v>753</v>
      </c>
      <c r="D144" s="814" t="s">
        <v>724</v>
      </c>
      <c r="E144" s="1259">
        <v>0.1</v>
      </c>
      <c r="F144" s="395">
        <v>150</v>
      </c>
      <c r="G144" s="415">
        <v>35</v>
      </c>
      <c r="H144" s="416">
        <v>50</v>
      </c>
      <c r="I144" s="405">
        <f>+G144/F144</f>
        <v>0.23333333333333334</v>
      </c>
      <c r="J144" s="405">
        <f t="shared" si="85"/>
        <v>0.33333333333333331</v>
      </c>
      <c r="K144" s="406">
        <f>+(G144/F144)*E144</f>
        <v>2.3333333333333334E-2</v>
      </c>
      <c r="L144" s="455">
        <f t="shared" si="87"/>
        <v>3.3333333333333333E-2</v>
      </c>
      <c r="M144" s="416">
        <v>0</v>
      </c>
      <c r="N144" s="640">
        <v>0</v>
      </c>
      <c r="O144" s="640">
        <v>120</v>
      </c>
      <c r="P144" s="416"/>
      <c r="Q144" s="416"/>
      <c r="R144" s="416">
        <f t="shared" si="97"/>
        <v>120</v>
      </c>
      <c r="S144" s="416">
        <f t="shared" si="98"/>
        <v>120</v>
      </c>
      <c r="T144" s="477">
        <f>+(M144/G144)</f>
        <v>0</v>
      </c>
      <c r="U144" s="403">
        <v>1</v>
      </c>
      <c r="V144" s="403">
        <f>+T144*E144</f>
        <v>0</v>
      </c>
      <c r="W144" s="403">
        <f t="shared" si="92"/>
        <v>0.1</v>
      </c>
      <c r="X144" s="403">
        <f>+M144/F144</f>
        <v>0</v>
      </c>
      <c r="Y144" s="403">
        <f>+S144/F144</f>
        <v>0.8</v>
      </c>
      <c r="Z144" s="403">
        <f>+X144*E144</f>
        <v>0</v>
      </c>
      <c r="AA144" s="403">
        <f>+Y144*E144</f>
        <v>8.0000000000000016E-2</v>
      </c>
      <c r="AB144" s="404" t="s">
        <v>43</v>
      </c>
      <c r="AC144" s="729" t="s">
        <v>44</v>
      </c>
      <c r="AD144" s="729" t="s">
        <v>38</v>
      </c>
      <c r="AE144" s="765" t="s">
        <v>469</v>
      </c>
      <c r="AF144" s="381"/>
    </row>
    <row r="145" spans="1:32" ht="122.45" customHeight="1" thickBot="1" x14ac:dyDescent="0.35">
      <c r="A145" s="385"/>
      <c r="B145" s="1292" t="s">
        <v>754</v>
      </c>
      <c r="C145" s="1285"/>
      <c r="D145" s="438"/>
      <c r="E145" s="391">
        <v>0.1</v>
      </c>
      <c r="F145" s="395"/>
      <c r="G145" s="415"/>
      <c r="H145" s="416"/>
      <c r="I145" s="1216">
        <f>+AVERAGE(I146:I147)</f>
        <v>0.15208333333333332</v>
      </c>
      <c r="J145" s="412">
        <f>+AVERAGE(J146:J147)</f>
        <v>0.25</v>
      </c>
      <c r="K145" s="413">
        <f>+K146+K147</f>
        <v>0.24379166666666666</v>
      </c>
      <c r="L145" s="413">
        <f>+L146+L147</f>
        <v>0.25</v>
      </c>
      <c r="M145" s="416"/>
      <c r="N145" s="451"/>
      <c r="O145" s="451"/>
      <c r="P145" s="451"/>
      <c r="Q145" s="451"/>
      <c r="R145" s="451"/>
      <c r="S145" s="451"/>
      <c r="T145" s="436">
        <f>+AVERAGE(T146:T148)</f>
        <v>1</v>
      </c>
      <c r="U145" s="634">
        <f>+AVERAGE(U146:U148)</f>
        <v>0.54888888888888887</v>
      </c>
      <c r="V145" s="436">
        <f>+(V146+V147)*E145</f>
        <v>0.1</v>
      </c>
      <c r="W145" s="436">
        <f>+(W146+W147)*E145</f>
        <v>8.0190000000000011E-2</v>
      </c>
      <c r="X145" s="393">
        <f>+AVERAGE(X146:X147)</f>
        <v>0.18124999999999999</v>
      </c>
      <c r="Y145" s="393">
        <f>+AVERAGE(Y146:Y147)</f>
        <v>0.47875000000000001</v>
      </c>
      <c r="Z145" s="393">
        <f>+(Z146+Z147)*E145</f>
        <v>2.5487500000000003E-2</v>
      </c>
      <c r="AA145" s="393">
        <f>+(AA146+AA147)</f>
        <v>0.52137500000000003</v>
      </c>
      <c r="AB145" s="394"/>
      <c r="AC145" s="380"/>
      <c r="AD145" s="381"/>
      <c r="AE145" s="381"/>
      <c r="AF145" s="381"/>
    </row>
    <row r="146" spans="1:32" ht="122.45" customHeight="1" thickBot="1" x14ac:dyDescent="0.35">
      <c r="A146" s="385"/>
      <c r="B146" s="1072" t="s">
        <v>755</v>
      </c>
      <c r="C146" s="1070" t="s">
        <v>756</v>
      </c>
      <c r="D146" s="814" t="s">
        <v>724</v>
      </c>
      <c r="E146" s="1259">
        <v>0.19</v>
      </c>
      <c r="F146" s="395">
        <f>1800*4</f>
        <v>7200</v>
      </c>
      <c r="G146" s="415">
        <v>30</v>
      </c>
      <c r="H146" s="415">
        <v>1800</v>
      </c>
      <c r="I146" s="467">
        <f>+G146/F146</f>
        <v>4.1666666666666666E-3</v>
      </c>
      <c r="J146" s="405">
        <f t="shared" si="85"/>
        <v>0.25</v>
      </c>
      <c r="K146" s="406">
        <f>+(G146/F146)*E146</f>
        <v>7.9166666666666665E-4</v>
      </c>
      <c r="L146" s="455">
        <f t="shared" si="87"/>
        <v>4.7500000000000001E-2</v>
      </c>
      <c r="M146" s="416">
        <v>450</v>
      </c>
      <c r="N146" s="640">
        <v>0</v>
      </c>
      <c r="O146" s="640">
        <v>0</v>
      </c>
      <c r="P146" s="416"/>
      <c r="Q146" s="416"/>
      <c r="R146" s="416">
        <f t="shared" ref="R146:R147" si="99">+N146+O146+P146+Q146</f>
        <v>0</v>
      </c>
      <c r="S146" s="416">
        <f>+R146+M146+2502</f>
        <v>2952</v>
      </c>
      <c r="T146" s="638">
        <v>1</v>
      </c>
      <c r="U146" s="403">
        <f t="shared" si="90"/>
        <v>0</v>
      </c>
      <c r="V146" s="403">
        <f>+T146*E146</f>
        <v>0.19</v>
      </c>
      <c r="W146" s="403">
        <f t="shared" si="92"/>
        <v>0</v>
      </c>
      <c r="X146" s="403">
        <f>+M146/F146</f>
        <v>6.25E-2</v>
      </c>
      <c r="Y146" s="403">
        <f t="shared" si="94"/>
        <v>0.41</v>
      </c>
      <c r="Z146" s="403">
        <f>+X146*E146</f>
        <v>1.1875E-2</v>
      </c>
      <c r="AA146" s="403">
        <f>+Y146*E146</f>
        <v>7.7899999999999997E-2</v>
      </c>
      <c r="AB146" s="404" t="s">
        <v>43</v>
      </c>
      <c r="AC146" s="827" t="s">
        <v>749</v>
      </c>
      <c r="AD146" s="729" t="s">
        <v>38</v>
      </c>
      <c r="AE146" s="1167" t="s">
        <v>749</v>
      </c>
      <c r="AF146" s="381"/>
    </row>
    <row r="147" spans="1:32" ht="122.45" customHeight="1" thickBot="1" x14ac:dyDescent="0.35">
      <c r="A147" s="385"/>
      <c r="B147" s="1072" t="s">
        <v>757</v>
      </c>
      <c r="C147" s="1070" t="s">
        <v>758</v>
      </c>
      <c r="D147" s="816" t="s">
        <v>724</v>
      </c>
      <c r="E147" s="1259">
        <v>0.81</v>
      </c>
      <c r="F147" s="395">
        <v>1</v>
      </c>
      <c r="G147" s="415">
        <v>0.3</v>
      </c>
      <c r="H147" s="416">
        <v>0.25</v>
      </c>
      <c r="I147" s="475">
        <f>+G147/F147</f>
        <v>0.3</v>
      </c>
      <c r="J147" s="405">
        <f t="shared" si="85"/>
        <v>0.25</v>
      </c>
      <c r="K147" s="406">
        <f>+(G147/F147)*E147</f>
        <v>0.24299999999999999</v>
      </c>
      <c r="L147" s="455">
        <f t="shared" si="87"/>
        <v>0.20250000000000001</v>
      </c>
      <c r="M147" s="416">
        <v>0.3</v>
      </c>
      <c r="N147" s="640">
        <v>6.25E-2</v>
      </c>
      <c r="O147" s="640">
        <v>0.185</v>
      </c>
      <c r="P147" s="416"/>
      <c r="Q147" s="416"/>
      <c r="R147" s="416">
        <f t="shared" si="99"/>
        <v>0.2475</v>
      </c>
      <c r="S147" s="416">
        <f t="shared" ref="S147" si="100">+R147+M147</f>
        <v>0.54749999999999999</v>
      </c>
      <c r="T147" s="454">
        <v>1</v>
      </c>
      <c r="U147" s="403">
        <f t="shared" si="90"/>
        <v>0.99</v>
      </c>
      <c r="V147" s="403">
        <f>+T147*E147</f>
        <v>0.81</v>
      </c>
      <c r="W147" s="403">
        <f t="shared" si="92"/>
        <v>0.80190000000000006</v>
      </c>
      <c r="X147" s="403">
        <f>+M147/F147</f>
        <v>0.3</v>
      </c>
      <c r="Y147" s="403">
        <f t="shared" si="94"/>
        <v>0.54749999999999999</v>
      </c>
      <c r="Z147" s="403">
        <f>+X147*E147</f>
        <v>0.24299999999999999</v>
      </c>
      <c r="AA147" s="403">
        <f>+Y147*E147</f>
        <v>0.44347500000000001</v>
      </c>
      <c r="AB147" s="404" t="s">
        <v>43</v>
      </c>
      <c r="AC147" s="729" t="s">
        <v>44</v>
      </c>
      <c r="AD147" s="729" t="s">
        <v>38</v>
      </c>
      <c r="AE147" s="765" t="s">
        <v>469</v>
      </c>
      <c r="AF147" s="381"/>
    </row>
    <row r="148" spans="1:32" ht="122.45" customHeight="1" thickBot="1" x14ac:dyDescent="0.35">
      <c r="A148" s="385"/>
      <c r="B148" s="1300" t="s">
        <v>759</v>
      </c>
      <c r="C148" s="1295"/>
      <c r="D148" s="800"/>
      <c r="E148" s="391">
        <v>0.05</v>
      </c>
      <c r="F148" s="395"/>
      <c r="G148" s="415"/>
      <c r="H148" s="416"/>
      <c r="I148" s="412">
        <f>+AVERAGE(I149:I153)</f>
        <v>0.21333333333333335</v>
      </c>
      <c r="J148" s="412">
        <f>+AVERAGE(J149:J153)</f>
        <v>0.57199999999999995</v>
      </c>
      <c r="K148" s="413">
        <f>+K149+K150+K151+K152+K153</f>
        <v>0.128</v>
      </c>
      <c r="L148" s="413">
        <f>+L149+L150+L151+L152+L153</f>
        <v>0.57200000000000006</v>
      </c>
      <c r="M148" s="416"/>
      <c r="N148" s="451"/>
      <c r="O148" s="451"/>
      <c r="P148" s="451"/>
      <c r="Q148" s="451"/>
      <c r="R148" s="451"/>
      <c r="S148" s="451"/>
      <c r="T148" s="634">
        <f>+AVERAGE(T149:T153)</f>
        <v>1</v>
      </c>
      <c r="U148" s="436">
        <f>+AVERAGE(U149:U153)</f>
        <v>0.65666666666666673</v>
      </c>
      <c r="V148" s="436">
        <f>+(V149+V150+V151+V152+V153)*E148</f>
        <v>3.0000000000000006E-2</v>
      </c>
      <c r="W148" s="436">
        <f>+(W149+W150+W151+W152+W153)*E148</f>
        <v>3.2833333333333339E-2</v>
      </c>
      <c r="X148" s="393">
        <f>+AVERAGE(X149:X153)</f>
        <v>0.21666666666666667</v>
      </c>
      <c r="Y148" s="393">
        <f>+AVERAGE(Y149:Y153)</f>
        <v>0.46000000000000008</v>
      </c>
      <c r="Z148" s="393">
        <f>+(Z149+Z150+Z151+Z152+Z153)*E148</f>
        <v>6.5000000000000006E-3</v>
      </c>
      <c r="AA148" s="393">
        <f>+(AA149+AA150+AA151+AA152+AA153)</f>
        <v>0.45999999999999996</v>
      </c>
      <c r="AB148" s="394"/>
      <c r="AC148" s="380"/>
      <c r="AD148" s="381"/>
      <c r="AE148" s="381"/>
      <c r="AF148" s="381"/>
    </row>
    <row r="149" spans="1:32" ht="122.45" customHeight="1" thickBot="1" x14ac:dyDescent="0.35">
      <c r="A149" s="385"/>
      <c r="B149" s="1168" t="s">
        <v>760</v>
      </c>
      <c r="C149" s="1169" t="s">
        <v>761</v>
      </c>
      <c r="D149" s="583" t="s">
        <v>724</v>
      </c>
      <c r="E149" s="1259">
        <v>0.2</v>
      </c>
      <c r="F149" s="395">
        <v>1</v>
      </c>
      <c r="G149" s="415">
        <v>7.0000000000000007E-2</v>
      </c>
      <c r="H149" s="416">
        <v>0.48</v>
      </c>
      <c r="I149" s="405">
        <f>+G149/F149</f>
        <v>7.0000000000000007E-2</v>
      </c>
      <c r="J149" s="405">
        <f t="shared" si="85"/>
        <v>0.48</v>
      </c>
      <c r="K149" s="406">
        <f>+(G149/F149)*E149</f>
        <v>1.4000000000000002E-2</v>
      </c>
      <c r="L149" s="455">
        <f t="shared" si="87"/>
        <v>9.6000000000000002E-2</v>
      </c>
      <c r="M149" s="416">
        <v>0.08</v>
      </c>
      <c r="N149" s="640">
        <v>0.12</v>
      </c>
      <c r="O149" s="416">
        <v>0.28000000000000003</v>
      </c>
      <c r="P149" s="416"/>
      <c r="Q149" s="416"/>
      <c r="R149" s="416">
        <f t="shared" ref="R149:R153" si="101">+N149+O149+P149+Q149</f>
        <v>0.4</v>
      </c>
      <c r="S149" s="416">
        <f t="shared" ref="S149:S153" si="102">+R149+M149</f>
        <v>0.48000000000000004</v>
      </c>
      <c r="T149" s="454">
        <v>1</v>
      </c>
      <c r="U149" s="403">
        <f t="shared" si="90"/>
        <v>0.83333333333333337</v>
      </c>
      <c r="V149" s="403">
        <f>+T149*E149</f>
        <v>0.2</v>
      </c>
      <c r="W149" s="403">
        <f t="shared" si="92"/>
        <v>0.16666666666666669</v>
      </c>
      <c r="X149" s="403">
        <f>+M149/F149</f>
        <v>0.08</v>
      </c>
      <c r="Y149" s="403">
        <f t="shared" si="94"/>
        <v>0.48000000000000004</v>
      </c>
      <c r="Z149" s="403">
        <f>+X149*E149</f>
        <v>1.6E-2</v>
      </c>
      <c r="AA149" s="403">
        <f>+Y149*E149</f>
        <v>9.6000000000000016E-2</v>
      </c>
      <c r="AB149" s="404" t="s">
        <v>43</v>
      </c>
      <c r="AC149" s="729" t="s">
        <v>44</v>
      </c>
      <c r="AD149" s="729" t="s">
        <v>38</v>
      </c>
      <c r="AE149" s="765" t="s">
        <v>469</v>
      </c>
      <c r="AF149" s="381"/>
    </row>
    <row r="150" spans="1:32" ht="122.45" customHeight="1" thickBot="1" x14ac:dyDescent="0.35">
      <c r="A150" s="385"/>
      <c r="B150" s="1139" t="s">
        <v>762</v>
      </c>
      <c r="C150" s="1140" t="s">
        <v>763</v>
      </c>
      <c r="D150" s="817" t="s">
        <v>724</v>
      </c>
      <c r="E150" s="1259">
        <v>0.2</v>
      </c>
      <c r="F150" s="395">
        <v>1</v>
      </c>
      <c r="G150" s="415">
        <v>7.0000000000000007E-2</v>
      </c>
      <c r="H150" s="416">
        <v>0.48</v>
      </c>
      <c r="I150" s="405">
        <f>+G150/F150</f>
        <v>7.0000000000000007E-2</v>
      </c>
      <c r="J150" s="405">
        <f t="shared" si="85"/>
        <v>0.48</v>
      </c>
      <c r="K150" s="406">
        <f>+(G150/F150)*E150</f>
        <v>1.4000000000000002E-2</v>
      </c>
      <c r="L150" s="455">
        <f t="shared" si="87"/>
        <v>9.6000000000000002E-2</v>
      </c>
      <c r="M150" s="416">
        <v>7.0000000000000007E-2</v>
      </c>
      <c r="N150" s="640">
        <v>0.12</v>
      </c>
      <c r="O150" s="416">
        <v>0.18</v>
      </c>
      <c r="P150" s="416"/>
      <c r="Q150" s="416"/>
      <c r="R150" s="416">
        <f t="shared" si="101"/>
        <v>0.3</v>
      </c>
      <c r="S150" s="416">
        <f t="shared" si="102"/>
        <v>0.37</v>
      </c>
      <c r="T150" s="454">
        <f>+(M150/G150)</f>
        <v>1</v>
      </c>
      <c r="U150" s="403">
        <f t="shared" si="90"/>
        <v>0.625</v>
      </c>
      <c r="V150" s="403">
        <f>+T150*E150</f>
        <v>0.2</v>
      </c>
      <c r="W150" s="403">
        <f t="shared" si="92"/>
        <v>0.125</v>
      </c>
      <c r="X150" s="403">
        <f>+M150/F150</f>
        <v>7.0000000000000007E-2</v>
      </c>
      <c r="Y150" s="403">
        <f t="shared" si="94"/>
        <v>0.37</v>
      </c>
      <c r="Z150" s="403">
        <f>+X150*E150</f>
        <v>1.4000000000000002E-2</v>
      </c>
      <c r="AA150" s="403">
        <f>+Y150*E150</f>
        <v>7.3999999999999996E-2</v>
      </c>
      <c r="AB150" s="404" t="s">
        <v>43</v>
      </c>
      <c r="AC150" s="729" t="s">
        <v>44</v>
      </c>
      <c r="AD150" s="729" t="s">
        <v>38</v>
      </c>
      <c r="AE150" s="765" t="s">
        <v>469</v>
      </c>
      <c r="AF150" s="381"/>
    </row>
    <row r="151" spans="1:32" ht="122.45" customHeight="1" thickBot="1" x14ac:dyDescent="0.35">
      <c r="A151" s="385"/>
      <c r="B151" s="1168" t="s">
        <v>764</v>
      </c>
      <c r="C151" s="1169" t="s">
        <v>765</v>
      </c>
      <c r="D151" s="583" t="s">
        <v>724</v>
      </c>
      <c r="E151" s="1259">
        <v>0.2</v>
      </c>
      <c r="F151" s="395">
        <v>1</v>
      </c>
      <c r="G151" s="415">
        <v>0.5</v>
      </c>
      <c r="H151" s="416">
        <v>0.5</v>
      </c>
      <c r="I151" s="405">
        <f>+G151/F151</f>
        <v>0.5</v>
      </c>
      <c r="J151" s="405">
        <f t="shared" si="85"/>
        <v>0.5</v>
      </c>
      <c r="K151" s="406">
        <f>+(G151/F151)*E151</f>
        <v>0.1</v>
      </c>
      <c r="L151" s="455">
        <f t="shared" si="87"/>
        <v>0.1</v>
      </c>
      <c r="M151" s="416">
        <v>0.5</v>
      </c>
      <c r="N151" s="640">
        <v>0.25</v>
      </c>
      <c r="O151" s="416">
        <v>0.33</v>
      </c>
      <c r="P151" s="416"/>
      <c r="Q151" s="416"/>
      <c r="R151" s="416">
        <f t="shared" si="101"/>
        <v>0.58000000000000007</v>
      </c>
      <c r="S151" s="416">
        <f t="shared" si="102"/>
        <v>1.08</v>
      </c>
      <c r="T151" s="454">
        <f>+(M151/G151)</f>
        <v>1</v>
      </c>
      <c r="U151" s="403">
        <v>1</v>
      </c>
      <c r="V151" s="403">
        <f>+T151*E151</f>
        <v>0.2</v>
      </c>
      <c r="W151" s="403">
        <f t="shared" si="92"/>
        <v>0.2</v>
      </c>
      <c r="X151" s="403">
        <f>+M151/F151</f>
        <v>0.5</v>
      </c>
      <c r="Y151" s="403">
        <v>1</v>
      </c>
      <c r="Z151" s="403">
        <f>+X151*E151</f>
        <v>0.1</v>
      </c>
      <c r="AA151" s="403">
        <f>+Y151*E151</f>
        <v>0.2</v>
      </c>
      <c r="AB151" s="404" t="s">
        <v>43</v>
      </c>
      <c r="AC151" s="729" t="s">
        <v>44</v>
      </c>
      <c r="AD151" s="729" t="s">
        <v>36</v>
      </c>
      <c r="AE151" s="765" t="s">
        <v>469</v>
      </c>
      <c r="AF151" s="381"/>
    </row>
    <row r="152" spans="1:32" ht="122.45" customHeight="1" thickBot="1" x14ac:dyDescent="0.35">
      <c r="A152" s="385"/>
      <c r="B152" s="1139" t="s">
        <v>766</v>
      </c>
      <c r="C152" s="1140" t="s">
        <v>767</v>
      </c>
      <c r="D152" s="817" t="s">
        <v>724</v>
      </c>
      <c r="E152" s="1259">
        <v>0.2</v>
      </c>
      <c r="F152" s="395">
        <v>1</v>
      </c>
      <c r="G152" s="415">
        <v>0</v>
      </c>
      <c r="H152" s="416">
        <v>0.4</v>
      </c>
      <c r="I152" s="405"/>
      <c r="J152" s="405">
        <f t="shared" si="85"/>
        <v>0.4</v>
      </c>
      <c r="K152" s="406"/>
      <c r="L152" s="455">
        <f t="shared" si="87"/>
        <v>8.0000000000000016E-2</v>
      </c>
      <c r="M152" s="416"/>
      <c r="N152" s="640">
        <v>0.06</v>
      </c>
      <c r="O152" s="416">
        <v>0.19</v>
      </c>
      <c r="P152" s="416"/>
      <c r="Q152" s="416"/>
      <c r="R152" s="416">
        <f t="shared" si="101"/>
        <v>0.25</v>
      </c>
      <c r="S152" s="416">
        <f t="shared" si="102"/>
        <v>0.25</v>
      </c>
      <c r="T152" s="454"/>
      <c r="U152" s="403">
        <f t="shared" si="90"/>
        <v>0.625</v>
      </c>
      <c r="V152" s="403"/>
      <c r="W152" s="403">
        <f t="shared" si="92"/>
        <v>0.125</v>
      </c>
      <c r="X152" s="403"/>
      <c r="Y152" s="403">
        <f t="shared" si="94"/>
        <v>0.25</v>
      </c>
      <c r="Z152" s="403"/>
      <c r="AA152" s="403">
        <f t="shared" ref="AA152:AA153" si="103">+Y152*E152</f>
        <v>0.05</v>
      </c>
      <c r="AB152" s="404" t="s">
        <v>43</v>
      </c>
      <c r="AC152" s="729" t="s">
        <v>44</v>
      </c>
      <c r="AD152" s="729" t="s">
        <v>38</v>
      </c>
      <c r="AE152" s="765" t="s">
        <v>469</v>
      </c>
      <c r="AF152" s="381"/>
    </row>
    <row r="153" spans="1:32" ht="122.45" customHeight="1" thickBot="1" x14ac:dyDescent="0.35">
      <c r="A153" s="385"/>
      <c r="B153" s="1141" t="s">
        <v>768</v>
      </c>
      <c r="C153" s="1142" t="s">
        <v>769</v>
      </c>
      <c r="D153" s="583" t="s">
        <v>724</v>
      </c>
      <c r="E153" s="1259">
        <v>0.2</v>
      </c>
      <c r="F153" s="395">
        <v>1</v>
      </c>
      <c r="G153" s="415">
        <v>0</v>
      </c>
      <c r="H153" s="416">
        <v>1</v>
      </c>
      <c r="I153" s="405"/>
      <c r="J153" s="405">
        <f t="shared" si="85"/>
        <v>1</v>
      </c>
      <c r="K153" s="406"/>
      <c r="L153" s="455">
        <f t="shared" si="87"/>
        <v>0.2</v>
      </c>
      <c r="M153" s="416"/>
      <c r="N153" s="640">
        <v>0.15</v>
      </c>
      <c r="O153" s="416">
        <v>0.05</v>
      </c>
      <c r="P153" s="416"/>
      <c r="Q153" s="416"/>
      <c r="R153" s="416">
        <f t="shared" si="101"/>
        <v>0.2</v>
      </c>
      <c r="S153" s="416">
        <f t="shared" si="102"/>
        <v>0.2</v>
      </c>
      <c r="T153" s="454"/>
      <c r="U153" s="403">
        <f t="shared" si="90"/>
        <v>0.2</v>
      </c>
      <c r="V153" s="403"/>
      <c r="W153" s="403">
        <f t="shared" si="92"/>
        <v>4.0000000000000008E-2</v>
      </c>
      <c r="X153" s="403"/>
      <c r="Y153" s="403">
        <f t="shared" si="94"/>
        <v>0.2</v>
      </c>
      <c r="Z153" s="403"/>
      <c r="AA153" s="403">
        <f t="shared" si="103"/>
        <v>4.0000000000000008E-2</v>
      </c>
      <c r="AB153" s="404" t="s">
        <v>43</v>
      </c>
      <c r="AC153" s="729" t="s">
        <v>44</v>
      </c>
      <c r="AD153" s="729" t="s">
        <v>38</v>
      </c>
      <c r="AE153" s="765" t="s">
        <v>469</v>
      </c>
      <c r="AF153" s="381"/>
    </row>
    <row r="154" spans="1:32" ht="122.45" customHeight="1" thickBot="1" x14ac:dyDescent="0.35">
      <c r="A154" s="385"/>
      <c r="B154" s="1298" t="s">
        <v>770</v>
      </c>
      <c r="C154" s="1299"/>
      <c r="D154" s="805"/>
      <c r="E154" s="391">
        <v>0.3</v>
      </c>
      <c r="F154" s="395"/>
      <c r="G154" s="415"/>
      <c r="H154" s="416"/>
      <c r="I154" s="412">
        <f>+AVERAGE(I155:I159)</f>
        <v>0.4375</v>
      </c>
      <c r="J154" s="412">
        <f>+AVERAGE(J155:J159)</f>
        <v>0.34500000000000003</v>
      </c>
      <c r="K154" s="413">
        <f>+K155+K156+K157+K158+K159</f>
        <v>0.57500000000000007</v>
      </c>
      <c r="L154" s="413">
        <f>+L155+L156+L157+L158+L159</f>
        <v>0.28500000000000003</v>
      </c>
      <c r="M154" s="416"/>
      <c r="N154" s="451"/>
      <c r="O154" s="451"/>
      <c r="P154" s="451"/>
      <c r="Q154" s="451"/>
      <c r="R154" s="451"/>
      <c r="S154" s="451"/>
      <c r="T154" s="634">
        <f>+AVERAGE(T155:T159)</f>
        <v>0.52500000000000002</v>
      </c>
      <c r="U154" s="436">
        <f>+AVERAGE(U155:U159)</f>
        <v>0.44105263157894736</v>
      </c>
      <c r="V154" s="436">
        <f>+(V155+V156+V157+V158+V159)*E154</f>
        <v>0.16800000000000001</v>
      </c>
      <c r="W154" s="436">
        <f>+(W155+W156+W157+W158+W159)*E154</f>
        <v>0.22965789473684212</v>
      </c>
      <c r="X154" s="393">
        <f>+AVERAGE(X155:X159)</f>
        <v>0.19375000000000001</v>
      </c>
      <c r="Y154" s="393">
        <f>+AVERAGE(Y155:Y159)</f>
        <v>0.27500000000000002</v>
      </c>
      <c r="Z154" s="393">
        <f>+(Z155+Z156+Z157+Z158+Z159)*E154</f>
        <v>7.5749999999999998E-2</v>
      </c>
      <c r="AA154" s="393">
        <f>+(AA155+AA156+AA157+AA158+AA159)</f>
        <v>0.44750000000000006</v>
      </c>
      <c r="AB154" s="394"/>
      <c r="AC154" s="380"/>
      <c r="AD154" s="381"/>
      <c r="AE154" s="381"/>
      <c r="AF154" s="381"/>
    </row>
    <row r="155" spans="1:32" ht="122.45" customHeight="1" thickBot="1" x14ac:dyDescent="0.35">
      <c r="A155" s="385"/>
      <c r="B155" s="1072" t="s">
        <v>771</v>
      </c>
      <c r="C155" s="1145" t="s">
        <v>772</v>
      </c>
      <c r="D155" s="583" t="s">
        <v>724</v>
      </c>
      <c r="E155" s="1259">
        <v>0.45</v>
      </c>
      <c r="F155" s="395">
        <v>16</v>
      </c>
      <c r="G155" s="415">
        <v>16</v>
      </c>
      <c r="H155" s="416">
        <v>4</v>
      </c>
      <c r="I155" s="405">
        <f>+G155/F155</f>
        <v>1</v>
      </c>
      <c r="J155" s="405">
        <f t="shared" si="85"/>
        <v>0.25</v>
      </c>
      <c r="K155" s="406">
        <f>+(G155/F155)*E155</f>
        <v>0.45</v>
      </c>
      <c r="L155" s="455">
        <f t="shared" si="87"/>
        <v>0.1125</v>
      </c>
      <c r="M155" s="416">
        <v>8</v>
      </c>
      <c r="N155" s="640">
        <v>2</v>
      </c>
      <c r="O155" s="640">
        <v>2</v>
      </c>
      <c r="P155" s="416"/>
      <c r="Q155" s="416"/>
      <c r="R155" s="416">
        <f t="shared" ref="R155:R159" si="104">+N155+O155+P155+Q155</f>
        <v>4</v>
      </c>
      <c r="S155" s="416">
        <f>+R155+M155</f>
        <v>12</v>
      </c>
      <c r="T155" s="454">
        <v>1</v>
      </c>
      <c r="U155" s="403">
        <f t="shared" si="90"/>
        <v>1</v>
      </c>
      <c r="V155" s="403">
        <f>+T155*E155</f>
        <v>0.45</v>
      </c>
      <c r="W155" s="403">
        <f t="shared" si="92"/>
        <v>0.45</v>
      </c>
      <c r="X155" s="403">
        <f>+M155/F155</f>
        <v>0.5</v>
      </c>
      <c r="Y155" s="403">
        <f t="shared" si="94"/>
        <v>0.75</v>
      </c>
      <c r="Z155" s="403">
        <f>+X155*E155</f>
        <v>0.22500000000000001</v>
      </c>
      <c r="AA155" s="403">
        <f>+Y155*E155</f>
        <v>0.33750000000000002</v>
      </c>
      <c r="AB155" s="404" t="s">
        <v>43</v>
      </c>
      <c r="AC155" s="781" t="s">
        <v>486</v>
      </c>
      <c r="AD155" s="729" t="s">
        <v>38</v>
      </c>
      <c r="AE155" s="765" t="s">
        <v>469</v>
      </c>
      <c r="AF155" s="381"/>
    </row>
    <row r="156" spans="1:32" ht="122.45" customHeight="1" thickBot="1" x14ac:dyDescent="0.35">
      <c r="A156" s="385"/>
      <c r="B156" s="1072" t="s">
        <v>773</v>
      </c>
      <c r="C156" s="1145" t="s">
        <v>774</v>
      </c>
      <c r="D156" s="812" t="s">
        <v>724</v>
      </c>
      <c r="E156" s="1259">
        <v>0.3</v>
      </c>
      <c r="F156" s="395">
        <v>4</v>
      </c>
      <c r="G156" s="415">
        <v>1</v>
      </c>
      <c r="H156" s="416">
        <v>1</v>
      </c>
      <c r="I156" s="405">
        <f>+G156/F156</f>
        <v>0.25</v>
      </c>
      <c r="J156" s="405">
        <f t="shared" si="85"/>
        <v>0.25</v>
      </c>
      <c r="K156" s="406">
        <f>+(G156/F156)*E156</f>
        <v>7.4999999999999997E-2</v>
      </c>
      <c r="L156" s="455">
        <f t="shared" si="87"/>
        <v>7.4999999999999997E-2</v>
      </c>
      <c r="M156" s="416">
        <v>0</v>
      </c>
      <c r="N156" s="640">
        <v>1</v>
      </c>
      <c r="O156" s="640">
        <v>0</v>
      </c>
      <c r="P156" s="416"/>
      <c r="Q156" s="416"/>
      <c r="R156" s="416">
        <f t="shared" si="104"/>
        <v>1</v>
      </c>
      <c r="S156" s="416">
        <f t="shared" ref="S156:S159" si="105">+R156+M156</f>
        <v>1</v>
      </c>
      <c r="T156" s="454">
        <f>+(M156/G156)</f>
        <v>0</v>
      </c>
      <c r="U156" s="403">
        <f t="shared" si="90"/>
        <v>1</v>
      </c>
      <c r="V156" s="403">
        <f>+T156*E156</f>
        <v>0</v>
      </c>
      <c r="W156" s="403">
        <f t="shared" si="92"/>
        <v>0.3</v>
      </c>
      <c r="X156" s="403">
        <f>+M156/F156</f>
        <v>0</v>
      </c>
      <c r="Y156" s="403">
        <f t="shared" si="94"/>
        <v>0.25</v>
      </c>
      <c r="Z156" s="403">
        <f>+X156*E156</f>
        <v>0</v>
      </c>
      <c r="AA156" s="403">
        <f>+Y156*E156</f>
        <v>7.4999999999999997E-2</v>
      </c>
      <c r="AB156" s="404" t="s">
        <v>43</v>
      </c>
      <c r="AC156" s="781" t="s">
        <v>486</v>
      </c>
      <c r="AD156" s="729" t="s">
        <v>38</v>
      </c>
      <c r="AE156" s="765" t="s">
        <v>469</v>
      </c>
      <c r="AF156" s="381"/>
    </row>
    <row r="157" spans="1:32" ht="122.45" customHeight="1" thickBot="1" x14ac:dyDescent="0.35">
      <c r="A157" s="385"/>
      <c r="B157" s="1072" t="s">
        <v>775</v>
      </c>
      <c r="C157" s="1145" t="s">
        <v>776</v>
      </c>
      <c r="D157" s="812" t="s">
        <v>724</v>
      </c>
      <c r="E157" s="1259">
        <v>0.1</v>
      </c>
      <c r="F157" s="395">
        <v>1</v>
      </c>
      <c r="G157" s="415">
        <v>0.25</v>
      </c>
      <c r="H157" s="416">
        <v>0.47499999999999998</v>
      </c>
      <c r="I157" s="405">
        <f>+G157/F157</f>
        <v>0.25</v>
      </c>
      <c r="J157" s="405">
        <f t="shared" si="85"/>
        <v>0.47499999999999998</v>
      </c>
      <c r="K157" s="406">
        <f>+(G157/F157)*E157</f>
        <v>2.5000000000000001E-2</v>
      </c>
      <c r="L157" s="455">
        <f t="shared" si="87"/>
        <v>4.7500000000000001E-2</v>
      </c>
      <c r="M157" s="416">
        <v>2.5000000000000001E-2</v>
      </c>
      <c r="N157" s="640">
        <v>0</v>
      </c>
      <c r="O157" s="640">
        <v>0.05</v>
      </c>
      <c r="P157" s="416"/>
      <c r="Q157" s="416"/>
      <c r="R157" s="416">
        <f t="shared" si="104"/>
        <v>0.05</v>
      </c>
      <c r="S157" s="416">
        <f t="shared" si="105"/>
        <v>7.5000000000000011E-2</v>
      </c>
      <c r="T157" s="454">
        <f>+(M157/G157)</f>
        <v>0.1</v>
      </c>
      <c r="U157" s="403">
        <f t="shared" si="90"/>
        <v>0.10526315789473685</v>
      </c>
      <c r="V157" s="403">
        <f>+T157*E157</f>
        <v>1.0000000000000002E-2</v>
      </c>
      <c r="W157" s="403">
        <f t="shared" si="92"/>
        <v>1.0526315789473686E-2</v>
      </c>
      <c r="X157" s="403">
        <f>+M157/F157</f>
        <v>2.5000000000000001E-2</v>
      </c>
      <c r="Y157" s="403">
        <f t="shared" si="94"/>
        <v>7.5000000000000011E-2</v>
      </c>
      <c r="Z157" s="403">
        <f>+X157*E157</f>
        <v>2.5000000000000005E-3</v>
      </c>
      <c r="AA157" s="403">
        <f>+Y157*E157</f>
        <v>7.5000000000000015E-3</v>
      </c>
      <c r="AB157" s="404" t="s">
        <v>43</v>
      </c>
      <c r="AC157" s="781" t="s">
        <v>486</v>
      </c>
      <c r="AD157" s="729" t="s">
        <v>38</v>
      </c>
      <c r="AE157" s="765" t="s">
        <v>469</v>
      </c>
      <c r="AF157" s="381"/>
    </row>
    <row r="158" spans="1:32" ht="170.45" customHeight="1" thickBot="1" x14ac:dyDescent="0.35">
      <c r="A158" s="385"/>
      <c r="B158" s="1072" t="s">
        <v>777</v>
      </c>
      <c r="C158" s="1145" t="s">
        <v>778</v>
      </c>
      <c r="D158" s="812" t="s">
        <v>724</v>
      </c>
      <c r="E158" s="1259">
        <v>0.1</v>
      </c>
      <c r="F158" s="395">
        <v>4</v>
      </c>
      <c r="G158" s="415">
        <v>1</v>
      </c>
      <c r="H158" s="416">
        <v>1</v>
      </c>
      <c r="I158" s="405">
        <f>+G158/F158</f>
        <v>0.25</v>
      </c>
      <c r="J158" s="405">
        <f t="shared" si="85"/>
        <v>0.25</v>
      </c>
      <c r="K158" s="406">
        <f>+(G158/F158)*E158</f>
        <v>2.5000000000000001E-2</v>
      </c>
      <c r="L158" s="455">
        <f t="shared" si="87"/>
        <v>2.5000000000000001E-2</v>
      </c>
      <c r="M158" s="416">
        <v>1</v>
      </c>
      <c r="N158" s="640">
        <v>0</v>
      </c>
      <c r="O158" s="640">
        <v>0</v>
      </c>
      <c r="P158" s="416"/>
      <c r="Q158" s="416"/>
      <c r="R158" s="416">
        <f t="shared" si="104"/>
        <v>0</v>
      </c>
      <c r="S158" s="416">
        <f t="shared" si="105"/>
        <v>1</v>
      </c>
      <c r="T158" s="454">
        <f>+(M158/G158)</f>
        <v>1</v>
      </c>
      <c r="U158" s="403">
        <f t="shared" si="90"/>
        <v>0</v>
      </c>
      <c r="V158" s="403">
        <f>+T158*E158</f>
        <v>0.1</v>
      </c>
      <c r="W158" s="403">
        <f t="shared" si="92"/>
        <v>0</v>
      </c>
      <c r="X158" s="403">
        <f>+M158/F158</f>
        <v>0.25</v>
      </c>
      <c r="Y158" s="403">
        <f t="shared" si="94"/>
        <v>0.25</v>
      </c>
      <c r="Z158" s="403">
        <f>+X158*E158</f>
        <v>2.5000000000000001E-2</v>
      </c>
      <c r="AA158" s="403">
        <f>+Y158*E158</f>
        <v>2.5000000000000001E-2</v>
      </c>
      <c r="AB158" s="404" t="s">
        <v>43</v>
      </c>
      <c r="AC158" s="781" t="s">
        <v>486</v>
      </c>
      <c r="AD158" s="729" t="s">
        <v>38</v>
      </c>
      <c r="AE158" s="765" t="s">
        <v>469</v>
      </c>
      <c r="AF158" s="381"/>
    </row>
    <row r="159" spans="1:32" ht="122.45" customHeight="1" thickBot="1" x14ac:dyDescent="0.35">
      <c r="A159" s="385"/>
      <c r="B159" s="1072" t="s">
        <v>779</v>
      </c>
      <c r="C159" s="1070" t="s">
        <v>780</v>
      </c>
      <c r="D159" s="812" t="s">
        <v>724</v>
      </c>
      <c r="E159" s="1259">
        <v>0.05</v>
      </c>
      <c r="F159" s="395">
        <v>1</v>
      </c>
      <c r="G159" s="415">
        <v>0</v>
      </c>
      <c r="H159" s="416">
        <v>0.5</v>
      </c>
      <c r="I159" s="405"/>
      <c r="J159" s="405">
        <f t="shared" si="85"/>
        <v>0.5</v>
      </c>
      <c r="K159" s="406"/>
      <c r="L159" s="455">
        <f t="shared" si="87"/>
        <v>2.5000000000000001E-2</v>
      </c>
      <c r="M159" s="416"/>
      <c r="N159" s="640">
        <v>0</v>
      </c>
      <c r="O159" s="640">
        <v>0.05</v>
      </c>
      <c r="P159" s="416"/>
      <c r="Q159" s="416"/>
      <c r="R159" s="416">
        <f t="shared" si="104"/>
        <v>0.05</v>
      </c>
      <c r="S159" s="416">
        <f t="shared" si="105"/>
        <v>0.05</v>
      </c>
      <c r="T159" s="454"/>
      <c r="U159" s="403">
        <f t="shared" si="90"/>
        <v>0.1</v>
      </c>
      <c r="V159" s="403"/>
      <c r="W159" s="403">
        <f t="shared" si="92"/>
        <v>5.000000000000001E-3</v>
      </c>
      <c r="X159" s="403"/>
      <c r="Y159" s="403">
        <f t="shared" si="94"/>
        <v>0.05</v>
      </c>
      <c r="Z159" s="403"/>
      <c r="AA159" s="403">
        <f>+Y159*E159</f>
        <v>2.5000000000000005E-3</v>
      </c>
      <c r="AB159" s="404" t="s">
        <v>43</v>
      </c>
      <c r="AC159" s="752" t="s">
        <v>127</v>
      </c>
      <c r="AD159" s="381"/>
      <c r="AE159" s="765" t="s">
        <v>469</v>
      </c>
      <c r="AF159" s="381"/>
    </row>
    <row r="160" spans="1:32" ht="88.9" customHeight="1" thickBot="1" x14ac:dyDescent="0.35">
      <c r="A160" s="385"/>
      <c r="B160" s="1292" t="s">
        <v>781</v>
      </c>
      <c r="C160" s="1285"/>
      <c r="D160" s="438"/>
      <c r="E160" s="391">
        <v>0.15</v>
      </c>
      <c r="F160" s="395"/>
      <c r="G160" s="415"/>
      <c r="H160" s="416"/>
      <c r="I160" s="412"/>
      <c r="J160" s="412">
        <f>+AVERAGE(J161:J163)</f>
        <v>0.66640624999999998</v>
      </c>
      <c r="K160" s="413"/>
      <c r="L160" s="450">
        <f>+L161+L162+L163</f>
        <v>0.36648437499999997</v>
      </c>
      <c r="M160" s="416"/>
      <c r="N160" s="451"/>
      <c r="O160" s="451"/>
      <c r="P160" s="451"/>
      <c r="Q160" s="451"/>
      <c r="R160" s="451"/>
      <c r="S160" s="451"/>
      <c r="T160" s="634"/>
      <c r="U160" s="436">
        <f>+AVERAGE(U161:U163)</f>
        <v>0</v>
      </c>
      <c r="V160" s="436"/>
      <c r="W160" s="436">
        <f>+(W161+W162+W163)*E160</f>
        <v>0</v>
      </c>
      <c r="X160" s="393"/>
      <c r="Y160" s="899">
        <f>+AVERAGE(Y161:Y163)</f>
        <v>0</v>
      </c>
      <c r="Z160" s="393">
        <f>+(Z161+Z162+Z163)*E160</f>
        <v>0</v>
      </c>
      <c r="AA160" s="393">
        <f>+(AA161+AA162+AA163)</f>
        <v>0</v>
      </c>
      <c r="AB160" s="900"/>
      <c r="AC160" s="902" t="s">
        <v>782</v>
      </c>
      <c r="AD160" s="380"/>
      <c r="AE160" s="381"/>
      <c r="AF160" s="381"/>
    </row>
    <row r="161" spans="1:32" ht="122.45" customHeight="1" thickBot="1" x14ac:dyDescent="0.35">
      <c r="A161" s="385"/>
      <c r="B161" s="1072" t="s">
        <v>783</v>
      </c>
      <c r="C161" s="1070" t="s">
        <v>784</v>
      </c>
      <c r="D161" s="814" t="s">
        <v>785</v>
      </c>
      <c r="E161" s="1259">
        <v>0.35</v>
      </c>
      <c r="F161" s="395">
        <v>640</v>
      </c>
      <c r="G161" s="415">
        <v>0</v>
      </c>
      <c r="H161" s="416">
        <v>213</v>
      </c>
      <c r="I161" s="405"/>
      <c r="J161" s="405">
        <f t="shared" si="85"/>
        <v>0.33281250000000001</v>
      </c>
      <c r="K161" s="406"/>
      <c r="L161" s="455">
        <f t="shared" si="87"/>
        <v>0.116484375</v>
      </c>
      <c r="M161" s="416"/>
      <c r="N161" s="640">
        <v>0</v>
      </c>
      <c r="O161" s="416">
        <v>0</v>
      </c>
      <c r="P161" s="416"/>
      <c r="Q161" s="416"/>
      <c r="R161" s="416">
        <f t="shared" ref="R161:R163" si="106">+N161+O161+P161+Q161</f>
        <v>0</v>
      </c>
      <c r="S161" s="416">
        <f t="shared" ref="S161:S163" si="107">+R161+M161</f>
        <v>0</v>
      </c>
      <c r="T161" s="454"/>
      <c r="U161" s="403">
        <f t="shared" si="90"/>
        <v>0</v>
      </c>
      <c r="V161" s="403"/>
      <c r="W161" s="403">
        <f t="shared" si="92"/>
        <v>0</v>
      </c>
      <c r="X161" s="403"/>
      <c r="Y161" s="403">
        <f t="shared" si="94"/>
        <v>0</v>
      </c>
      <c r="Z161" s="403"/>
      <c r="AA161" s="403">
        <f t="shared" ref="AA161:AA163" si="108">+Y161*E161</f>
        <v>0</v>
      </c>
      <c r="AB161" s="404" t="s">
        <v>43</v>
      </c>
      <c r="AC161" s="752" t="s">
        <v>127</v>
      </c>
      <c r="AD161" s="729" t="s">
        <v>38</v>
      </c>
      <c r="AE161" s="765" t="s">
        <v>469</v>
      </c>
      <c r="AF161" s="381"/>
    </row>
    <row r="162" spans="1:32" ht="122.45" customHeight="1" thickBot="1" x14ac:dyDescent="0.35">
      <c r="A162" s="385"/>
      <c r="B162" s="1072" t="s">
        <v>786</v>
      </c>
      <c r="C162" s="1070" t="s">
        <v>787</v>
      </c>
      <c r="D162" s="814" t="s">
        <v>785</v>
      </c>
      <c r="E162" s="1259">
        <v>0.4</v>
      </c>
      <c r="F162" s="395">
        <v>2</v>
      </c>
      <c r="G162" s="415">
        <v>0</v>
      </c>
      <c r="H162" s="416">
        <v>0</v>
      </c>
      <c r="I162" s="405"/>
      <c r="J162" s="405"/>
      <c r="K162" s="406"/>
      <c r="L162" s="455"/>
      <c r="M162" s="416"/>
      <c r="N162" s="640"/>
      <c r="O162" s="416"/>
      <c r="P162" s="416"/>
      <c r="Q162" s="416"/>
      <c r="R162" s="416">
        <f t="shared" si="106"/>
        <v>0</v>
      </c>
      <c r="S162" s="416">
        <f t="shared" si="107"/>
        <v>0</v>
      </c>
      <c r="T162" s="454"/>
      <c r="U162" s="403"/>
      <c r="V162" s="403"/>
      <c r="W162" s="403"/>
      <c r="X162" s="403"/>
      <c r="Y162" s="403"/>
      <c r="Z162" s="403"/>
      <c r="AA162" s="403">
        <f t="shared" si="108"/>
        <v>0</v>
      </c>
      <c r="AB162" s="404" t="s">
        <v>43</v>
      </c>
      <c r="AC162" s="724" t="s">
        <v>44</v>
      </c>
      <c r="AD162" s="729" t="s">
        <v>38</v>
      </c>
      <c r="AE162" s="765" t="s">
        <v>469</v>
      </c>
      <c r="AF162" s="381"/>
    </row>
    <row r="163" spans="1:32" ht="122.45" customHeight="1" thickBot="1" x14ac:dyDescent="0.35">
      <c r="A163" s="385"/>
      <c r="B163" s="1164" t="s">
        <v>788</v>
      </c>
      <c r="C163" s="502" t="s">
        <v>789</v>
      </c>
      <c r="D163" s="814" t="s">
        <v>785</v>
      </c>
      <c r="E163" s="1259">
        <v>0.25</v>
      </c>
      <c r="F163" s="395">
        <v>1</v>
      </c>
      <c r="G163" s="415">
        <v>0</v>
      </c>
      <c r="H163" s="416">
        <v>1</v>
      </c>
      <c r="I163" s="405"/>
      <c r="J163" s="405">
        <f t="shared" si="85"/>
        <v>1</v>
      </c>
      <c r="K163" s="406"/>
      <c r="L163" s="455">
        <f t="shared" si="87"/>
        <v>0.25</v>
      </c>
      <c r="M163" s="416"/>
      <c r="N163" s="640">
        <v>0</v>
      </c>
      <c r="O163" s="416">
        <v>0</v>
      </c>
      <c r="P163" s="416"/>
      <c r="Q163" s="416"/>
      <c r="R163" s="416">
        <f t="shared" si="106"/>
        <v>0</v>
      </c>
      <c r="S163" s="416">
        <f t="shared" si="107"/>
        <v>0</v>
      </c>
      <c r="T163" s="454"/>
      <c r="U163" s="403">
        <f t="shared" si="90"/>
        <v>0</v>
      </c>
      <c r="V163" s="403"/>
      <c r="W163" s="403">
        <f t="shared" si="92"/>
        <v>0</v>
      </c>
      <c r="X163" s="403"/>
      <c r="Y163" s="403">
        <f t="shared" si="94"/>
        <v>0</v>
      </c>
      <c r="Z163" s="403"/>
      <c r="AA163" s="403">
        <f t="shared" si="108"/>
        <v>0</v>
      </c>
      <c r="AB163" s="404" t="s">
        <v>43</v>
      </c>
      <c r="AC163" s="752" t="s">
        <v>127</v>
      </c>
      <c r="AD163" s="729" t="s">
        <v>38</v>
      </c>
      <c r="AE163" s="1167" t="s">
        <v>790</v>
      </c>
      <c r="AF163" s="381"/>
    </row>
    <row r="164" spans="1:32" ht="94.15" customHeight="1" thickBot="1" x14ac:dyDescent="0.35">
      <c r="A164" s="385"/>
      <c r="B164" s="1294" t="s">
        <v>791</v>
      </c>
      <c r="C164" s="1295"/>
      <c r="D164" s="798"/>
      <c r="E164" s="430">
        <v>0.2</v>
      </c>
      <c r="F164" s="431">
        <f>+E164*V164</f>
        <v>0.1569418604651163</v>
      </c>
      <c r="G164" s="411"/>
      <c r="H164" s="387">
        <f>+E164*W164</f>
        <v>8.5601690625247029E-2</v>
      </c>
      <c r="I164" s="458">
        <f>+(I165+I170+I173+I176+I182+I184+I187)/7</f>
        <v>0.23893651055292212</v>
      </c>
      <c r="J164" s="458">
        <f>+(J165+J170+J173+J176+J182+J184+J187)/7</f>
        <v>0.28593294105804123</v>
      </c>
      <c r="K164" s="459">
        <f>+(K165+K170+K173+K176+K182+K184+K187)/7</f>
        <v>0.22368966475650506</v>
      </c>
      <c r="L164" s="459">
        <f>+(L165+L170+L173+L176+L182+L184+L187)/7</f>
        <v>0.2870384761939736</v>
      </c>
      <c r="M164" s="623"/>
      <c r="N164" s="392"/>
      <c r="O164" s="392"/>
      <c r="P164" s="392"/>
      <c r="Q164" s="392"/>
      <c r="R164" s="392"/>
      <c r="S164" s="392"/>
      <c r="T164" s="448">
        <f>+(T165+T170+T173+T176+T182+T184+T187)/7</f>
        <v>0.91621262458471764</v>
      </c>
      <c r="U164" s="389">
        <f>+(U165+U170+U173+U176+U182+U184+U187)/7</f>
        <v>0.54730197997129915</v>
      </c>
      <c r="V164" s="443">
        <f>V165+V170+V173+V176+V182+V184+V187</f>
        <v>0.78470930232558145</v>
      </c>
      <c r="W164" s="443">
        <f>W165+W170+W173+W176+W182+W184+W187</f>
        <v>0.42800845312623509</v>
      </c>
      <c r="X164" s="389">
        <f>(X165+X170+X173+X176+X182+X184+X187)/7</f>
        <v>0.26532184592777297</v>
      </c>
      <c r="Y164" s="389">
        <f>(Y165+Y170+Y173+Y176+Y182+Y184+Y187)/7</f>
        <v>0.42056134495239916</v>
      </c>
      <c r="Z164" s="443">
        <f>(Z165+Z170+Z173+Z176+Z182+Z184+Z187)</f>
        <v>0.20257591878811407</v>
      </c>
      <c r="AA164" s="443">
        <f>(AA165*E165)+(AA170*E170)+(AA173*E173)+(AA176*E176)+(AA182*E182)+(AA184*E184)+(AA187*E187)</f>
        <v>0.36671416124027445</v>
      </c>
      <c r="AB164" s="390"/>
      <c r="AC164" s="380"/>
      <c r="AD164" s="381"/>
      <c r="AE164" s="381"/>
      <c r="AF164" s="381"/>
    </row>
    <row r="165" spans="1:32" ht="122.45" customHeight="1" thickBot="1" x14ac:dyDescent="0.35">
      <c r="A165" s="385"/>
      <c r="B165" s="1296" t="s">
        <v>792</v>
      </c>
      <c r="C165" s="1297"/>
      <c r="D165" s="584"/>
      <c r="E165" s="391">
        <v>0.35</v>
      </c>
      <c r="F165" s="395"/>
      <c r="G165" s="411"/>
      <c r="H165" s="392"/>
      <c r="I165" s="412">
        <f>+AVERAGE(I166:I169)</f>
        <v>0.3125</v>
      </c>
      <c r="J165" s="412">
        <f>+AVERAGE(J166:J169)</f>
        <v>0.39083333333333331</v>
      </c>
      <c r="K165" s="413">
        <f>+K166+K167+K168+K169</f>
        <v>0.3125</v>
      </c>
      <c r="L165" s="413">
        <f>+L166+L167+L168+L169</f>
        <v>0.39083333333333331</v>
      </c>
      <c r="M165" s="416"/>
      <c r="N165" s="451"/>
      <c r="O165" s="451"/>
      <c r="P165" s="451"/>
      <c r="Q165" s="451"/>
      <c r="R165" s="451"/>
      <c r="S165" s="451"/>
      <c r="T165" s="634">
        <f>+AVERAGE(T166:T169)</f>
        <v>0.51</v>
      </c>
      <c r="U165" s="436">
        <f>+AVERAGE(U166:U169)</f>
        <v>0.36957762557077622</v>
      </c>
      <c r="V165" s="436">
        <f>+(V166+V167+V168+V169)*E165</f>
        <v>0.17849999999999999</v>
      </c>
      <c r="W165" s="436">
        <f>+(W166+W167+W168+W169)*E165</f>
        <v>0.12935216894977167</v>
      </c>
      <c r="X165" s="393">
        <f>+AVERAGE(X166:X169)</f>
        <v>0.17541666666666667</v>
      </c>
      <c r="Y165" s="393">
        <f>+AVERAGE(Y166:Y169)</f>
        <v>0.33520833333333333</v>
      </c>
      <c r="Z165" s="393">
        <f>+(Z166+Z167+Z168+Z169)*E165</f>
        <v>6.139583333333333E-2</v>
      </c>
      <c r="AA165" s="393">
        <f>+(AA166+AA167+AA168+AA169)</f>
        <v>0.33520833333333333</v>
      </c>
      <c r="AB165" s="394"/>
      <c r="AC165" s="728"/>
      <c r="AD165" s="381"/>
      <c r="AE165" s="381"/>
      <c r="AF165" s="381"/>
    </row>
    <row r="166" spans="1:32" ht="122.45" customHeight="1" thickBot="1" x14ac:dyDescent="0.35">
      <c r="A166" s="385"/>
      <c r="B166" s="1139" t="s">
        <v>793</v>
      </c>
      <c r="C166" s="1140" t="s">
        <v>794</v>
      </c>
      <c r="D166" s="817" t="s">
        <v>795</v>
      </c>
      <c r="E166" s="1259">
        <v>0.25</v>
      </c>
      <c r="F166" s="395">
        <v>12</v>
      </c>
      <c r="G166" s="415">
        <v>3</v>
      </c>
      <c r="H166" s="416">
        <v>4</v>
      </c>
      <c r="I166" s="405">
        <f>+G166/F166</f>
        <v>0.25</v>
      </c>
      <c r="J166" s="405">
        <f t="shared" ref="J166:J174" si="109">+H166/F166</f>
        <v>0.33333333333333331</v>
      </c>
      <c r="K166" s="406">
        <f>+(G166/F166)*E166</f>
        <v>6.25E-2</v>
      </c>
      <c r="L166" s="455">
        <f>+(H166/F166)*E166</f>
        <v>8.3333333333333329E-2</v>
      </c>
      <c r="M166" s="416">
        <v>0</v>
      </c>
      <c r="N166" s="640">
        <v>0</v>
      </c>
      <c r="O166" s="640">
        <v>0</v>
      </c>
      <c r="P166" s="416"/>
      <c r="Q166" s="416"/>
      <c r="R166" s="416">
        <f t="shared" ref="R166:R190" si="110">+N166+O166+P166+Q166</f>
        <v>0</v>
      </c>
      <c r="S166" s="416">
        <f t="shared" ref="S166:S191" si="111">+R166+M166</f>
        <v>0</v>
      </c>
      <c r="T166" s="454">
        <f>+(M166/G166)</f>
        <v>0</v>
      </c>
      <c r="U166" s="403">
        <f t="shared" ref="U166:U190" si="112">+R166/H166</f>
        <v>0</v>
      </c>
      <c r="V166" s="403">
        <f>+T166*E166</f>
        <v>0</v>
      </c>
      <c r="W166" s="403">
        <f t="shared" ref="W166:W181" si="113">+U166*E166</f>
        <v>0</v>
      </c>
      <c r="X166" s="403">
        <f>+M166/F166</f>
        <v>0</v>
      </c>
      <c r="Y166" s="403">
        <f t="shared" ref="Y166:Y180" si="114">+S166/F166</f>
        <v>0</v>
      </c>
      <c r="Z166" s="403">
        <f>+X166*E166</f>
        <v>0</v>
      </c>
      <c r="AA166" s="403">
        <f>+Y166*E166</f>
        <v>0</v>
      </c>
      <c r="AB166" s="732" t="s">
        <v>43</v>
      </c>
      <c r="AC166" s="855" t="s">
        <v>486</v>
      </c>
      <c r="AD166" s="855" t="s">
        <v>38</v>
      </c>
      <c r="AE166" s="734" t="s">
        <v>796</v>
      </c>
      <c r="AF166" s="381"/>
    </row>
    <row r="167" spans="1:32" ht="122.45" customHeight="1" thickBot="1" x14ac:dyDescent="0.35">
      <c r="A167" s="385"/>
      <c r="B167" s="1141" t="s">
        <v>797</v>
      </c>
      <c r="C167" s="1142" t="s">
        <v>798</v>
      </c>
      <c r="D167" s="583" t="s">
        <v>795</v>
      </c>
      <c r="E167" s="1259">
        <v>0.25</v>
      </c>
      <c r="F167" s="395">
        <v>1</v>
      </c>
      <c r="G167" s="415">
        <v>0.5</v>
      </c>
      <c r="H167" s="416">
        <v>0.73</v>
      </c>
      <c r="I167" s="405">
        <f>+G167/F167</f>
        <v>0.5</v>
      </c>
      <c r="J167" s="405">
        <f t="shared" si="109"/>
        <v>0.73</v>
      </c>
      <c r="K167" s="406">
        <f>+(G167/F167)*E167</f>
        <v>0.125</v>
      </c>
      <c r="L167" s="455">
        <f t="shared" ref="L167:L191" si="115">+(H167/F167)*E167</f>
        <v>0.1825</v>
      </c>
      <c r="M167" s="416">
        <v>0.27</v>
      </c>
      <c r="N167" s="640">
        <v>0.4</v>
      </c>
      <c r="O167" s="640">
        <v>0.01</v>
      </c>
      <c r="P167" s="416"/>
      <c r="Q167" s="416"/>
      <c r="R167" s="416">
        <f t="shared" si="110"/>
        <v>0.41000000000000003</v>
      </c>
      <c r="S167" s="416">
        <f t="shared" si="111"/>
        <v>0.68</v>
      </c>
      <c r="T167" s="454">
        <f>+(M167/G167)</f>
        <v>0.54</v>
      </c>
      <c r="U167" s="403">
        <f t="shared" si="112"/>
        <v>0.56164383561643838</v>
      </c>
      <c r="V167" s="403">
        <f>+T167*E167</f>
        <v>0.13500000000000001</v>
      </c>
      <c r="W167" s="403">
        <f t="shared" si="113"/>
        <v>0.1404109589041096</v>
      </c>
      <c r="X167" s="403">
        <f>+M167/F167</f>
        <v>0.27</v>
      </c>
      <c r="Y167" s="403">
        <f t="shared" si="114"/>
        <v>0.68</v>
      </c>
      <c r="Z167" s="403">
        <f>+X167*E167</f>
        <v>6.7500000000000004E-2</v>
      </c>
      <c r="AA167" s="403">
        <f>+Y167*E167</f>
        <v>0.17</v>
      </c>
      <c r="AB167" s="732" t="s">
        <v>43</v>
      </c>
      <c r="AC167" s="854" t="s">
        <v>486</v>
      </c>
      <c r="AD167" s="855" t="s">
        <v>38</v>
      </c>
      <c r="AE167" s="734" t="s">
        <v>796</v>
      </c>
      <c r="AF167" s="381"/>
    </row>
    <row r="168" spans="1:32" ht="122.45" customHeight="1" thickBot="1" x14ac:dyDescent="0.35">
      <c r="A168" s="385"/>
      <c r="B168" s="1141" t="s">
        <v>799</v>
      </c>
      <c r="C168" s="1142" t="s">
        <v>800</v>
      </c>
      <c r="D168" s="583" t="s">
        <v>795</v>
      </c>
      <c r="E168" s="1259">
        <v>0.25</v>
      </c>
      <c r="F168" s="395">
        <v>16</v>
      </c>
      <c r="G168" s="415">
        <v>4</v>
      </c>
      <c r="H168" s="416">
        <v>4</v>
      </c>
      <c r="I168" s="405">
        <f>+G168/F168</f>
        <v>0.25</v>
      </c>
      <c r="J168" s="405">
        <f t="shared" si="109"/>
        <v>0.25</v>
      </c>
      <c r="K168" s="406">
        <f>+(G168/F168)*E168</f>
        <v>6.25E-2</v>
      </c>
      <c r="L168" s="455">
        <f t="shared" si="115"/>
        <v>6.25E-2</v>
      </c>
      <c r="M168" s="416">
        <v>2</v>
      </c>
      <c r="N168" s="640">
        <v>1</v>
      </c>
      <c r="O168" s="640">
        <v>0</v>
      </c>
      <c r="P168" s="416"/>
      <c r="Q168" s="416"/>
      <c r="R168" s="416">
        <f t="shared" si="110"/>
        <v>1</v>
      </c>
      <c r="S168" s="416">
        <f t="shared" si="111"/>
        <v>3</v>
      </c>
      <c r="T168" s="454">
        <f>+(M168/G168)</f>
        <v>0.5</v>
      </c>
      <c r="U168" s="403">
        <f t="shared" si="112"/>
        <v>0.25</v>
      </c>
      <c r="V168" s="403">
        <f>+T168*E168</f>
        <v>0.125</v>
      </c>
      <c r="W168" s="403">
        <f t="shared" si="113"/>
        <v>6.25E-2</v>
      </c>
      <c r="X168" s="403">
        <f>+M168/F168</f>
        <v>0.125</v>
      </c>
      <c r="Y168" s="403">
        <f t="shared" si="114"/>
        <v>0.1875</v>
      </c>
      <c r="Z168" s="403">
        <f>+X168*E168</f>
        <v>3.125E-2</v>
      </c>
      <c r="AA168" s="403">
        <f>+Y168*E168</f>
        <v>4.6875E-2</v>
      </c>
      <c r="AB168" s="732" t="s">
        <v>43</v>
      </c>
      <c r="AC168" s="854" t="s">
        <v>486</v>
      </c>
      <c r="AD168" s="855" t="s">
        <v>38</v>
      </c>
      <c r="AE168" s="734" t="s">
        <v>796</v>
      </c>
      <c r="AF168" s="381"/>
    </row>
    <row r="169" spans="1:32" ht="122.45" customHeight="1" thickBot="1" x14ac:dyDescent="0.35">
      <c r="A169" s="385"/>
      <c r="B169" s="1141" t="s">
        <v>801</v>
      </c>
      <c r="C169" s="1142" t="s">
        <v>802</v>
      </c>
      <c r="D169" s="583" t="s">
        <v>795</v>
      </c>
      <c r="E169" s="1259">
        <v>0.25</v>
      </c>
      <c r="F169" s="395">
        <v>1200</v>
      </c>
      <c r="G169" s="415">
        <v>300</v>
      </c>
      <c r="H169" s="416">
        <v>300</v>
      </c>
      <c r="I169" s="405">
        <f>+G169/F169</f>
        <v>0.25</v>
      </c>
      <c r="J169" s="405">
        <f t="shared" si="109"/>
        <v>0.25</v>
      </c>
      <c r="K169" s="406">
        <f>+(G169/F169)*E169</f>
        <v>6.25E-2</v>
      </c>
      <c r="L169" s="455">
        <f t="shared" si="115"/>
        <v>6.25E-2</v>
      </c>
      <c r="M169" s="416">
        <v>368</v>
      </c>
      <c r="N169" s="640">
        <v>83</v>
      </c>
      <c r="O169" s="640">
        <v>117</v>
      </c>
      <c r="P169" s="416"/>
      <c r="Q169" s="416"/>
      <c r="R169" s="416">
        <f t="shared" si="110"/>
        <v>200</v>
      </c>
      <c r="S169" s="416">
        <f t="shared" si="111"/>
        <v>568</v>
      </c>
      <c r="T169" s="454">
        <v>1</v>
      </c>
      <c r="U169" s="403">
        <f>+R169/H169</f>
        <v>0.66666666666666663</v>
      </c>
      <c r="V169" s="403">
        <f>+T169*E169</f>
        <v>0.25</v>
      </c>
      <c r="W169" s="403">
        <f t="shared" si="113"/>
        <v>0.16666666666666666</v>
      </c>
      <c r="X169" s="403">
        <f>+M169/F169</f>
        <v>0.30666666666666664</v>
      </c>
      <c r="Y169" s="403">
        <f t="shared" si="114"/>
        <v>0.47333333333333333</v>
      </c>
      <c r="Z169" s="403">
        <f>+X169*E169</f>
        <v>7.6666666666666661E-2</v>
      </c>
      <c r="AA169" s="403">
        <f>+Y169*E169</f>
        <v>0.11833333333333333</v>
      </c>
      <c r="AB169" s="732" t="s">
        <v>43</v>
      </c>
      <c r="AC169" s="825" t="s">
        <v>803</v>
      </c>
      <c r="AD169" s="855" t="s">
        <v>38</v>
      </c>
      <c r="AE169" s="734" t="s">
        <v>796</v>
      </c>
      <c r="AF169" s="381"/>
    </row>
    <row r="170" spans="1:32" ht="122.45" customHeight="1" thickBot="1" x14ac:dyDescent="0.35">
      <c r="A170" s="385"/>
      <c r="B170" s="1298" t="s">
        <v>804</v>
      </c>
      <c r="C170" s="1299"/>
      <c r="D170" s="805"/>
      <c r="E170" s="391">
        <v>0.2</v>
      </c>
      <c r="F170" s="395"/>
      <c r="G170" s="415"/>
      <c r="H170" s="416"/>
      <c r="I170" s="412">
        <f>+AVERAGE(I171:I172)</f>
        <v>3.2271422261484099E-2</v>
      </c>
      <c r="J170" s="412">
        <f>+AVERAGE(J171:J172)</f>
        <v>0.31835247349823326</v>
      </c>
      <c r="K170" s="413">
        <f>+K171+K172</f>
        <v>2.6429991166077735E-2</v>
      </c>
      <c r="L170" s="413">
        <f>+L171+L172</f>
        <v>0.32069346289752654</v>
      </c>
      <c r="M170" s="416"/>
      <c r="N170" s="451"/>
      <c r="O170" s="451"/>
      <c r="P170" s="451"/>
      <c r="Q170" s="451"/>
      <c r="R170" s="451"/>
      <c r="S170" s="451"/>
      <c r="T170" s="634">
        <f>+AVERAGE(T171:T173)</f>
        <v>0.95000000000000007</v>
      </c>
      <c r="U170" s="436">
        <f>+AVERAGE(U171:U172)</f>
        <v>0.51474114441416896</v>
      </c>
      <c r="V170" s="436">
        <f>+(V171+V172)*E170</f>
        <v>0.17900000000000002</v>
      </c>
      <c r="W170" s="436">
        <f>+(W171+W172)*E170</f>
        <v>0.1073275204359673</v>
      </c>
      <c r="X170" s="393">
        <f>+AVERAGE(X171:X172)</f>
        <v>3.7196333922261481E-2</v>
      </c>
      <c r="Y170" s="393">
        <f>+AVERAGE(Y171:Y172)</f>
        <v>0.20138582155477031</v>
      </c>
      <c r="Z170" s="393">
        <f>+(Z171+Z172)*E170</f>
        <v>5.6649734982332153E-3</v>
      </c>
      <c r="AA170" s="393">
        <f>+(AA171+AA172)</f>
        <v>0.20069015017667843</v>
      </c>
      <c r="AB170" s="380"/>
      <c r="AC170" s="383"/>
      <c r="AD170" s="381"/>
      <c r="AE170" s="384"/>
      <c r="AF170" s="381"/>
    </row>
    <row r="171" spans="1:32" ht="122.45" customHeight="1" thickBot="1" x14ac:dyDescent="0.35">
      <c r="A171" s="385"/>
      <c r="B171" s="1141" t="s">
        <v>805</v>
      </c>
      <c r="C171" s="1142" t="s">
        <v>806</v>
      </c>
      <c r="D171" s="812" t="s">
        <v>795</v>
      </c>
      <c r="E171" s="1259">
        <v>0.7</v>
      </c>
      <c r="F171" s="395">
        <v>1132</v>
      </c>
      <c r="G171" s="415">
        <v>20</v>
      </c>
      <c r="H171" s="416">
        <v>367</v>
      </c>
      <c r="I171" s="405">
        <f>+G171/F171</f>
        <v>1.7667844522968199E-2</v>
      </c>
      <c r="J171" s="405">
        <f t="shared" si="109"/>
        <v>0.32420494699646646</v>
      </c>
      <c r="K171" s="406">
        <f>+(G171/F171)*E171</f>
        <v>1.2367491166077738E-2</v>
      </c>
      <c r="L171" s="455">
        <f t="shared" si="115"/>
        <v>0.22694346289752651</v>
      </c>
      <c r="M171" s="416">
        <v>17</v>
      </c>
      <c r="N171" s="640">
        <v>209</v>
      </c>
      <c r="O171" s="640">
        <v>0</v>
      </c>
      <c r="P171" s="416"/>
      <c r="Q171" s="416"/>
      <c r="R171" s="416">
        <f t="shared" si="110"/>
        <v>209</v>
      </c>
      <c r="S171" s="416">
        <f t="shared" si="111"/>
        <v>226</v>
      </c>
      <c r="T171" s="454">
        <f>+(M171/G171)</f>
        <v>0.85</v>
      </c>
      <c r="U171" s="403">
        <f t="shared" si="112"/>
        <v>0.56948228882833785</v>
      </c>
      <c r="V171" s="403">
        <f>+T171*E171</f>
        <v>0.59499999999999997</v>
      </c>
      <c r="W171" s="403">
        <f t="shared" si="113"/>
        <v>0.39863760217983646</v>
      </c>
      <c r="X171" s="403">
        <f>+M171/F171</f>
        <v>1.5017667844522967E-2</v>
      </c>
      <c r="Y171" s="403">
        <f t="shared" si="114"/>
        <v>0.19964664310954064</v>
      </c>
      <c r="Z171" s="409">
        <f>+X171*E171</f>
        <v>1.0512367491166076E-2</v>
      </c>
      <c r="AA171" s="409">
        <f>+Y171*E171</f>
        <v>0.13975265017667843</v>
      </c>
      <c r="AB171" s="404" t="s">
        <v>43</v>
      </c>
      <c r="AC171" s="854" t="s">
        <v>486</v>
      </c>
      <c r="AD171" s="381"/>
      <c r="AE171" s="734" t="s">
        <v>796</v>
      </c>
      <c r="AF171" s="381"/>
    </row>
    <row r="172" spans="1:32" ht="122.45" customHeight="1" thickBot="1" x14ac:dyDescent="0.35">
      <c r="A172" s="385"/>
      <c r="B172" s="1141" t="s">
        <v>807</v>
      </c>
      <c r="C172" s="1142" t="s">
        <v>808</v>
      </c>
      <c r="D172" s="818" t="s">
        <v>795</v>
      </c>
      <c r="E172" s="1259">
        <v>0.3</v>
      </c>
      <c r="F172" s="395">
        <v>320</v>
      </c>
      <c r="G172" s="415">
        <v>15</v>
      </c>
      <c r="H172" s="416">
        <v>100</v>
      </c>
      <c r="I172" s="405">
        <f>+G172/F172</f>
        <v>4.6875E-2</v>
      </c>
      <c r="J172" s="405">
        <f t="shared" si="109"/>
        <v>0.3125</v>
      </c>
      <c r="K172" s="406">
        <f>+(G172/F172)*E172</f>
        <v>1.4062499999999999E-2</v>
      </c>
      <c r="L172" s="455">
        <f t="shared" si="115"/>
        <v>9.375E-2</v>
      </c>
      <c r="M172" s="416">
        <v>19</v>
      </c>
      <c r="N172" s="640">
        <v>46</v>
      </c>
      <c r="O172" s="640">
        <v>0</v>
      </c>
      <c r="P172" s="416"/>
      <c r="Q172" s="416"/>
      <c r="R172" s="416">
        <f t="shared" si="110"/>
        <v>46</v>
      </c>
      <c r="S172" s="416">
        <f t="shared" si="111"/>
        <v>65</v>
      </c>
      <c r="T172" s="454">
        <v>1</v>
      </c>
      <c r="U172" s="403">
        <f t="shared" si="112"/>
        <v>0.46</v>
      </c>
      <c r="V172" s="403">
        <f>+T172*E172</f>
        <v>0.3</v>
      </c>
      <c r="W172" s="403">
        <f t="shared" si="113"/>
        <v>0.13800000000000001</v>
      </c>
      <c r="X172" s="403">
        <f>+M172/F172</f>
        <v>5.9374999999999997E-2</v>
      </c>
      <c r="Y172" s="403">
        <f t="shared" si="114"/>
        <v>0.203125</v>
      </c>
      <c r="Z172" s="403">
        <f>+X172*E172</f>
        <v>1.7812499999999998E-2</v>
      </c>
      <c r="AA172" s="403">
        <f>+Y172*E172</f>
        <v>6.0937499999999999E-2</v>
      </c>
      <c r="AB172" s="404" t="s">
        <v>43</v>
      </c>
      <c r="AC172" s="854" t="s">
        <v>486</v>
      </c>
      <c r="AD172" s="381"/>
      <c r="AE172" s="734" t="s">
        <v>796</v>
      </c>
      <c r="AF172" s="381"/>
    </row>
    <row r="173" spans="1:32" ht="122.45" customHeight="1" thickBot="1" x14ac:dyDescent="0.35">
      <c r="A173" s="385"/>
      <c r="B173" s="1300" t="s">
        <v>809</v>
      </c>
      <c r="C173" s="1295"/>
      <c r="D173" s="800"/>
      <c r="E173" s="391">
        <v>0.1</v>
      </c>
      <c r="F173" s="395"/>
      <c r="G173" s="415"/>
      <c r="H173" s="416"/>
      <c r="I173" s="412">
        <f>+AVERAGE(I174:I175)</f>
        <v>0.25058139534883722</v>
      </c>
      <c r="J173" s="412">
        <f>+AVERAGE(J174:J175)</f>
        <v>0.25058139534883722</v>
      </c>
      <c r="K173" s="413">
        <f>+K174+K175</f>
        <v>0.2508139534883721</v>
      </c>
      <c r="L173" s="413">
        <f>+L174+L175</f>
        <v>0.2508139534883721</v>
      </c>
      <c r="M173" s="416"/>
      <c r="N173" s="451"/>
      <c r="O173" s="451"/>
      <c r="P173" s="451"/>
      <c r="Q173" s="451"/>
      <c r="R173" s="451"/>
      <c r="S173" s="451"/>
      <c r="T173" s="634">
        <f>+AVERAGE(T174:T175)</f>
        <v>1</v>
      </c>
      <c r="U173" s="436">
        <f>+AVERAGE(U174:U175)</f>
        <v>0.42064814814814816</v>
      </c>
      <c r="V173" s="436">
        <f>+(V174+V175)*E173</f>
        <v>0.1</v>
      </c>
      <c r="W173" s="436">
        <f>+(W174+W175)*E173</f>
        <v>3.889074074074074E-2</v>
      </c>
      <c r="X173" s="393">
        <f>+AVERAGE(X174:X175)</f>
        <v>0.33380620155038759</v>
      </c>
      <c r="Y173" s="393">
        <f>+AVERAGE(Y174:Y175)</f>
        <v>0.43916666666666665</v>
      </c>
      <c r="Z173" s="393">
        <f>+(Z174+Z175)*E173</f>
        <v>3.3399534883720931E-2</v>
      </c>
      <c r="AA173" s="393">
        <f>+(AA174+AA175)</f>
        <v>0.43149999999999999</v>
      </c>
      <c r="AB173" s="394"/>
      <c r="AC173" s="380"/>
      <c r="AD173" s="381"/>
      <c r="AE173" s="381"/>
      <c r="AF173" s="381"/>
    </row>
    <row r="174" spans="1:32" ht="122.45" customHeight="1" thickBot="1" x14ac:dyDescent="0.35">
      <c r="A174" s="385"/>
      <c r="B174" s="1141" t="s">
        <v>810</v>
      </c>
      <c r="C174" s="1142" t="s">
        <v>811</v>
      </c>
      <c r="D174" s="583" t="s">
        <v>795</v>
      </c>
      <c r="E174" s="1259">
        <v>0.7</v>
      </c>
      <c r="F174" s="395">
        <v>21500</v>
      </c>
      <c r="G174" s="415">
        <v>5400</v>
      </c>
      <c r="H174" s="416">
        <v>5400</v>
      </c>
      <c r="I174" s="405">
        <f>+G174/F174</f>
        <v>0.25116279069767444</v>
      </c>
      <c r="J174" s="405">
        <f t="shared" si="109"/>
        <v>0.25116279069767444</v>
      </c>
      <c r="K174" s="406">
        <f>+(G174/F174)*E174</f>
        <v>0.17581395348837209</v>
      </c>
      <c r="L174" s="455">
        <f t="shared" si="115"/>
        <v>0.17581395348837209</v>
      </c>
      <c r="M174" s="416">
        <v>7187</v>
      </c>
      <c r="N174" s="640">
        <v>300</v>
      </c>
      <c r="O174" s="640">
        <f>1338+205</f>
        <v>1543</v>
      </c>
      <c r="P174" s="416"/>
      <c r="Q174" s="416"/>
      <c r="R174" s="416">
        <f t="shared" si="110"/>
        <v>1843</v>
      </c>
      <c r="S174" s="416">
        <f t="shared" si="111"/>
        <v>9030</v>
      </c>
      <c r="T174" s="454">
        <v>1</v>
      </c>
      <c r="U174" s="403">
        <f t="shared" si="112"/>
        <v>0.34129629629629632</v>
      </c>
      <c r="V174" s="403">
        <f>+T174*E174</f>
        <v>0.7</v>
      </c>
      <c r="W174" s="403">
        <f t="shared" si="113"/>
        <v>0.2389074074074074</v>
      </c>
      <c r="X174" s="403">
        <f>+M174/F174</f>
        <v>0.33427906976744187</v>
      </c>
      <c r="Y174" s="403">
        <f t="shared" si="114"/>
        <v>0.42</v>
      </c>
      <c r="Z174" s="403">
        <f>+X174*E174</f>
        <v>0.23399534883720929</v>
      </c>
      <c r="AA174" s="403">
        <f>+Y174*E174</f>
        <v>0.29399999999999998</v>
      </c>
      <c r="AB174" s="404" t="s">
        <v>43</v>
      </c>
      <c r="AC174" s="380"/>
      <c r="AD174" s="381"/>
      <c r="AE174" s="734" t="s">
        <v>796</v>
      </c>
      <c r="AF174" s="381"/>
    </row>
    <row r="175" spans="1:32" ht="122.45" customHeight="1" thickBot="1" x14ac:dyDescent="0.35">
      <c r="A175" s="385"/>
      <c r="B175" s="1143" t="s">
        <v>812</v>
      </c>
      <c r="C175" s="1144" t="s">
        <v>813</v>
      </c>
      <c r="D175" s="583" t="s">
        <v>795</v>
      </c>
      <c r="E175" s="1259">
        <v>0.3</v>
      </c>
      <c r="F175" s="395">
        <v>12</v>
      </c>
      <c r="G175" s="415">
        <v>3</v>
      </c>
      <c r="H175" s="416">
        <v>3</v>
      </c>
      <c r="I175" s="405">
        <f>+G175/F175</f>
        <v>0.25</v>
      </c>
      <c r="J175" s="405">
        <f>+H175/F175</f>
        <v>0.25</v>
      </c>
      <c r="K175" s="406">
        <f>+(G175/F175)*E175</f>
        <v>7.4999999999999997E-2</v>
      </c>
      <c r="L175" s="455">
        <f t="shared" si="115"/>
        <v>7.4999999999999997E-2</v>
      </c>
      <c r="M175" s="416">
        <v>4</v>
      </c>
      <c r="N175" s="640">
        <v>0.5</v>
      </c>
      <c r="O175" s="640">
        <v>1</v>
      </c>
      <c r="P175" s="416"/>
      <c r="Q175" s="416"/>
      <c r="R175" s="416">
        <f t="shared" si="110"/>
        <v>1.5</v>
      </c>
      <c r="S175" s="416">
        <f t="shared" si="111"/>
        <v>5.5</v>
      </c>
      <c r="T175" s="454">
        <v>1</v>
      </c>
      <c r="U175" s="403">
        <f t="shared" si="112"/>
        <v>0.5</v>
      </c>
      <c r="V175" s="403">
        <f>+T175*E175</f>
        <v>0.3</v>
      </c>
      <c r="W175" s="403">
        <f t="shared" si="113"/>
        <v>0.15</v>
      </c>
      <c r="X175" s="403">
        <f>+M175/F175</f>
        <v>0.33333333333333331</v>
      </c>
      <c r="Y175" s="403">
        <f t="shared" si="114"/>
        <v>0.45833333333333331</v>
      </c>
      <c r="Z175" s="403">
        <f>+X175*E175</f>
        <v>9.9999999999999992E-2</v>
      </c>
      <c r="AA175" s="403">
        <f>+Y175*E175</f>
        <v>0.13749999999999998</v>
      </c>
      <c r="AB175" s="404" t="s">
        <v>43</v>
      </c>
      <c r="AC175" s="380"/>
      <c r="AD175" s="381"/>
      <c r="AE175" s="734" t="s">
        <v>796</v>
      </c>
      <c r="AF175" s="381"/>
    </row>
    <row r="176" spans="1:32" ht="122.45" customHeight="1" thickBot="1" x14ac:dyDescent="0.35">
      <c r="A176" s="385"/>
      <c r="B176" s="1296" t="s">
        <v>814</v>
      </c>
      <c r="C176" s="1297"/>
      <c r="D176" s="584"/>
      <c r="E176" s="391">
        <v>0.1</v>
      </c>
      <c r="F176" s="395"/>
      <c r="G176" s="415"/>
      <c r="H176" s="416"/>
      <c r="I176" s="412">
        <f>+AVERAGE(I177:I181)</f>
        <v>0.40547619047619043</v>
      </c>
      <c r="J176" s="412">
        <f>+AVERAGE(J177:J181)</f>
        <v>0.26428571428571429</v>
      </c>
      <c r="K176" s="413">
        <f>+K177+K178+K179+K180+K181</f>
        <v>0.29269047619047617</v>
      </c>
      <c r="L176" s="413">
        <f>+L177+L178+L179+L180+L181</f>
        <v>0.27214285714285719</v>
      </c>
      <c r="M176" s="416"/>
      <c r="N176" s="451"/>
      <c r="O176" s="451"/>
      <c r="P176" s="451"/>
      <c r="Q176" s="451"/>
      <c r="R176" s="451"/>
      <c r="S176" s="451"/>
      <c r="T176" s="634">
        <f>+AVERAGE(T177:T181)</f>
        <v>0.95348837209302328</v>
      </c>
      <c r="U176" s="436">
        <f>+AVERAGE(U177:U181)</f>
        <v>0.79208955223880595</v>
      </c>
      <c r="V176" s="436">
        <f>+(V177+V178+V179+V180+V181)*E176</f>
        <v>7.7209302325581403E-2</v>
      </c>
      <c r="W176" s="436">
        <f>+(W177+W178+W179+W180+W181)*E176</f>
        <v>8.3813432835820906E-2</v>
      </c>
      <c r="X176" s="393">
        <f>+AVERAGE(X177:X181)</f>
        <v>0.36753669154228857</v>
      </c>
      <c r="Y176" s="393">
        <f>+AVERAGE(Y177:Y181)</f>
        <v>0.47159459843638951</v>
      </c>
      <c r="Z176" s="393">
        <f>+(Z177+Z178+Z179+Z180+Z181)*E176</f>
        <v>2.7086664889836534E-2</v>
      </c>
      <c r="AA176" s="393">
        <f>+(AA177+AA178+AA179+AA180+AA181)</f>
        <v>0.45982880241648899</v>
      </c>
      <c r="AB176" s="394"/>
      <c r="AC176" s="380"/>
      <c r="AD176" s="381"/>
      <c r="AE176" s="364"/>
      <c r="AF176" s="381"/>
    </row>
    <row r="177" spans="1:32" ht="122.45" customHeight="1" thickBot="1" x14ac:dyDescent="0.35">
      <c r="A177" s="385"/>
      <c r="B177" s="1141" t="s">
        <v>815</v>
      </c>
      <c r="C177" s="1217" t="s">
        <v>816</v>
      </c>
      <c r="D177" s="817" t="s">
        <v>795</v>
      </c>
      <c r="E177" s="1259">
        <v>0.3</v>
      </c>
      <c r="F177" s="395">
        <v>26800</v>
      </c>
      <c r="G177" s="460">
        <v>6700</v>
      </c>
      <c r="H177" s="461">
        <v>6700</v>
      </c>
      <c r="I177" s="405">
        <f>+G177/F177</f>
        <v>0.25</v>
      </c>
      <c r="J177" s="405">
        <f>+H177/F177</f>
        <v>0.25</v>
      </c>
      <c r="K177" s="406">
        <f>+(G177/F177)*E177</f>
        <v>7.4999999999999997E-2</v>
      </c>
      <c r="L177" s="452">
        <f t="shared" si="115"/>
        <v>7.4999999999999997E-2</v>
      </c>
      <c r="M177" s="462">
        <v>6762</v>
      </c>
      <c r="N177" s="641">
        <v>1239</v>
      </c>
      <c r="O177" s="641">
        <f>4537+659</f>
        <v>5196</v>
      </c>
      <c r="P177" s="462"/>
      <c r="Q177" s="462"/>
      <c r="R177" s="462">
        <f t="shared" si="110"/>
        <v>6435</v>
      </c>
      <c r="S177" s="462">
        <f t="shared" si="111"/>
        <v>13197</v>
      </c>
      <c r="T177" s="454">
        <v>1</v>
      </c>
      <c r="U177" s="403">
        <f t="shared" si="112"/>
        <v>0.96044776119402986</v>
      </c>
      <c r="V177" s="403">
        <f>+T177*E177</f>
        <v>0.3</v>
      </c>
      <c r="W177" s="403">
        <f t="shared" si="113"/>
        <v>0.28813432835820896</v>
      </c>
      <c r="X177" s="403">
        <f>+M177/F177</f>
        <v>0.25231343283582092</v>
      </c>
      <c r="Y177" s="403">
        <f t="shared" si="114"/>
        <v>0.49242537313432838</v>
      </c>
      <c r="Z177" s="403">
        <f>+X177*E177</f>
        <v>7.5694029850746275E-2</v>
      </c>
      <c r="AA177" s="403">
        <f>+Y177*E177</f>
        <v>0.14772761194029851</v>
      </c>
      <c r="AB177" s="404" t="s">
        <v>43</v>
      </c>
      <c r="AC177" s="854" t="s">
        <v>486</v>
      </c>
      <c r="AD177" s="854" t="s">
        <v>38</v>
      </c>
      <c r="AE177" s="828" t="s">
        <v>796</v>
      </c>
      <c r="AF177" s="380"/>
    </row>
    <row r="178" spans="1:32" ht="122.45" customHeight="1" thickBot="1" x14ac:dyDescent="0.35">
      <c r="A178" s="385"/>
      <c r="B178" s="1141" t="s">
        <v>817</v>
      </c>
      <c r="C178" s="1217" t="s">
        <v>818</v>
      </c>
      <c r="D178" s="583" t="s">
        <v>795</v>
      </c>
      <c r="E178" s="1259">
        <v>0.1</v>
      </c>
      <c r="F178" s="395">
        <f>(51*4)+ (6)</f>
        <v>210</v>
      </c>
      <c r="G178" s="415">
        <v>55</v>
      </c>
      <c r="H178" s="416">
        <v>57</v>
      </c>
      <c r="I178" s="405">
        <f>+G178/F178</f>
        <v>0.26190476190476192</v>
      </c>
      <c r="J178" s="405">
        <f t="shared" ref="J178:J191" si="116">+H178/F178</f>
        <v>0.27142857142857141</v>
      </c>
      <c r="K178" s="406">
        <f>+(G178/F178)*E178</f>
        <v>2.6190476190476195E-2</v>
      </c>
      <c r="L178" s="455">
        <f t="shared" si="115"/>
        <v>2.7142857142857142E-2</v>
      </c>
      <c r="M178" s="416">
        <v>55</v>
      </c>
      <c r="N178" s="640"/>
      <c r="O178" s="640">
        <v>55</v>
      </c>
      <c r="P178" s="416"/>
      <c r="Q178" s="416"/>
      <c r="R178" s="416">
        <f t="shared" si="110"/>
        <v>55</v>
      </c>
      <c r="S178" s="416">
        <f>+R178+M178+4+4</f>
        <v>118</v>
      </c>
      <c r="T178" s="454">
        <f>+(M178/G178)</f>
        <v>1</v>
      </c>
      <c r="U178" s="403">
        <v>1</v>
      </c>
      <c r="V178" s="403">
        <f>+T178*E178</f>
        <v>0.1</v>
      </c>
      <c r="W178" s="403">
        <f t="shared" si="113"/>
        <v>0.1</v>
      </c>
      <c r="X178" s="403">
        <f>+M178/F178</f>
        <v>0.26190476190476192</v>
      </c>
      <c r="Y178" s="403">
        <f t="shared" si="114"/>
        <v>0.56190476190476191</v>
      </c>
      <c r="Z178" s="403">
        <f>+X178*E178</f>
        <v>2.6190476190476195E-2</v>
      </c>
      <c r="AA178" s="403">
        <f>+Y178*E178</f>
        <v>5.6190476190476193E-2</v>
      </c>
      <c r="AB178" s="732" t="s">
        <v>43</v>
      </c>
      <c r="AC178" s="825" t="s">
        <v>819</v>
      </c>
      <c r="AD178" s="854" t="s">
        <v>38</v>
      </c>
      <c r="AE178" s="847" t="s">
        <v>820</v>
      </c>
      <c r="AF178" s="380"/>
    </row>
    <row r="179" spans="1:32" ht="188.45" customHeight="1" thickBot="1" x14ac:dyDescent="0.35">
      <c r="A179" s="385"/>
      <c r="B179" s="1139" t="s">
        <v>821</v>
      </c>
      <c r="C179" s="1140" t="s">
        <v>822</v>
      </c>
      <c r="D179" s="817" t="s">
        <v>823</v>
      </c>
      <c r="E179" s="1259">
        <v>0.2</v>
      </c>
      <c r="F179" s="395">
        <v>4</v>
      </c>
      <c r="G179" s="415">
        <v>0</v>
      </c>
      <c r="H179" s="416">
        <v>2</v>
      </c>
      <c r="I179" s="405"/>
      <c r="J179" s="405">
        <f t="shared" si="116"/>
        <v>0.5</v>
      </c>
      <c r="K179" s="406"/>
      <c r="L179" s="455">
        <f t="shared" si="115"/>
        <v>0.1</v>
      </c>
      <c r="M179" s="416"/>
      <c r="N179" s="640">
        <v>0</v>
      </c>
      <c r="O179" s="640">
        <v>0</v>
      </c>
      <c r="P179" s="416"/>
      <c r="Q179" s="416"/>
      <c r="R179" s="416">
        <f t="shared" si="110"/>
        <v>0</v>
      </c>
      <c r="S179" s="416">
        <f t="shared" si="111"/>
        <v>0</v>
      </c>
      <c r="T179" s="454"/>
      <c r="U179" s="403">
        <v>1</v>
      </c>
      <c r="V179" s="403"/>
      <c r="W179" s="403">
        <f t="shared" si="113"/>
        <v>0.2</v>
      </c>
      <c r="X179" s="403"/>
      <c r="Y179" s="403">
        <f t="shared" si="114"/>
        <v>0</v>
      </c>
      <c r="Z179" s="403"/>
      <c r="AA179" s="403">
        <f>+Y179*E179</f>
        <v>0</v>
      </c>
      <c r="AB179" s="404" t="s">
        <v>43</v>
      </c>
      <c r="AC179" s="825" t="s">
        <v>824</v>
      </c>
      <c r="AD179" s="854" t="s">
        <v>38</v>
      </c>
      <c r="AE179" s="828" t="s">
        <v>796</v>
      </c>
      <c r="AF179" s="380"/>
    </row>
    <row r="180" spans="1:32" ht="122.45" customHeight="1" thickBot="1" x14ac:dyDescent="0.35">
      <c r="A180" s="385"/>
      <c r="B180" s="1141" t="s">
        <v>825</v>
      </c>
      <c r="C180" s="1142" t="s">
        <v>826</v>
      </c>
      <c r="D180" s="583" t="s">
        <v>795</v>
      </c>
      <c r="E180" s="1259">
        <v>0.25</v>
      </c>
      <c r="F180" s="395">
        <v>28000</v>
      </c>
      <c r="G180" s="415">
        <v>7000</v>
      </c>
      <c r="H180" s="416">
        <v>7000</v>
      </c>
      <c r="I180" s="405">
        <f>+G180/F180</f>
        <v>0.25</v>
      </c>
      <c r="J180" s="405">
        <f t="shared" si="116"/>
        <v>0.25</v>
      </c>
      <c r="K180" s="406">
        <f>+(G180/F180)*E180</f>
        <v>6.25E-2</v>
      </c>
      <c r="L180" s="455">
        <f t="shared" si="115"/>
        <v>6.25E-2</v>
      </c>
      <c r="M180" s="416">
        <v>7166</v>
      </c>
      <c r="N180" s="640">
        <v>429</v>
      </c>
      <c r="O180" s="640">
        <f>8552-N180+1184</f>
        <v>9307</v>
      </c>
      <c r="P180" s="416"/>
      <c r="Q180" s="416"/>
      <c r="R180" s="416">
        <f t="shared" si="110"/>
        <v>9736</v>
      </c>
      <c r="S180" s="416">
        <f t="shared" si="111"/>
        <v>16902</v>
      </c>
      <c r="T180" s="454">
        <v>1</v>
      </c>
      <c r="U180" s="403">
        <v>1</v>
      </c>
      <c r="V180" s="403">
        <f>+T180*E180</f>
        <v>0.25</v>
      </c>
      <c r="W180" s="403">
        <f t="shared" si="113"/>
        <v>0.25</v>
      </c>
      <c r="X180" s="403">
        <f>+M180/F180</f>
        <v>0.25592857142857145</v>
      </c>
      <c r="Y180" s="403">
        <f t="shared" si="114"/>
        <v>0.60364285714285715</v>
      </c>
      <c r="Z180" s="403">
        <f>+X180*E180</f>
        <v>6.3982142857142862E-2</v>
      </c>
      <c r="AA180" s="403">
        <f>+Y180*E180</f>
        <v>0.15091071428571429</v>
      </c>
      <c r="AB180" s="404" t="s">
        <v>43</v>
      </c>
      <c r="AC180" s="854" t="s">
        <v>486</v>
      </c>
      <c r="AD180" s="854" t="s">
        <v>38</v>
      </c>
      <c r="AE180" s="828" t="s">
        <v>796</v>
      </c>
      <c r="AF180" s="381"/>
    </row>
    <row r="181" spans="1:32" ht="162.6" customHeight="1" thickBot="1" x14ac:dyDescent="0.35">
      <c r="A181" s="385"/>
      <c r="B181" s="1249" t="s">
        <v>827</v>
      </c>
      <c r="C181" s="1250" t="s">
        <v>828</v>
      </c>
      <c r="D181" s="819" t="s">
        <v>823</v>
      </c>
      <c r="E181" s="1259">
        <v>0.15</v>
      </c>
      <c r="F181" s="395">
        <v>200</v>
      </c>
      <c r="G181" s="415">
        <v>172</v>
      </c>
      <c r="H181" s="416">
        <v>10</v>
      </c>
      <c r="I181" s="405">
        <f>+G181/F181</f>
        <v>0.86</v>
      </c>
      <c r="J181" s="405">
        <f t="shared" si="116"/>
        <v>0.05</v>
      </c>
      <c r="K181" s="406">
        <f>+(G181/F181)*E181</f>
        <v>0.129</v>
      </c>
      <c r="L181" s="455">
        <f t="shared" si="115"/>
        <v>7.4999999999999997E-3</v>
      </c>
      <c r="M181" s="416">
        <v>140</v>
      </c>
      <c r="N181" s="640">
        <v>0</v>
      </c>
      <c r="O181" s="826"/>
      <c r="P181" s="416"/>
      <c r="Q181" s="416"/>
      <c r="R181" s="416">
        <f t="shared" si="110"/>
        <v>0</v>
      </c>
      <c r="S181" s="416">
        <f t="shared" si="111"/>
        <v>140</v>
      </c>
      <c r="T181" s="454">
        <f>+(M181/G181)</f>
        <v>0.81395348837209303</v>
      </c>
      <c r="U181" s="403">
        <f t="shared" si="112"/>
        <v>0</v>
      </c>
      <c r="V181" s="403">
        <f>+T181*E181</f>
        <v>0.12209302325581395</v>
      </c>
      <c r="W181" s="403">
        <f t="shared" si="113"/>
        <v>0</v>
      </c>
      <c r="X181" s="403">
        <f>+M181/F181</f>
        <v>0.7</v>
      </c>
      <c r="Y181" s="403">
        <f>+S181/F181</f>
        <v>0.7</v>
      </c>
      <c r="Z181" s="403">
        <f>+X181*E181</f>
        <v>0.105</v>
      </c>
      <c r="AA181" s="403">
        <f>+Y181*E181</f>
        <v>0.105</v>
      </c>
      <c r="AB181" s="404" t="s">
        <v>43</v>
      </c>
      <c r="AC181" s="825" t="s">
        <v>829</v>
      </c>
      <c r="AD181" s="854" t="s">
        <v>38</v>
      </c>
      <c r="AE181" s="847" t="s">
        <v>830</v>
      </c>
      <c r="AF181" s="381"/>
    </row>
    <row r="182" spans="1:32" ht="122.45" customHeight="1" thickBot="1" x14ac:dyDescent="0.35">
      <c r="A182" s="385"/>
      <c r="B182" s="1292" t="s">
        <v>831</v>
      </c>
      <c r="C182" s="1293"/>
      <c r="D182" s="805"/>
      <c r="E182" s="391">
        <v>0.1</v>
      </c>
      <c r="F182" s="395"/>
      <c r="G182" s="415"/>
      <c r="H182" s="416"/>
      <c r="I182" s="412">
        <f>+AVERAGE(I183)</f>
        <v>0.25409836065573771</v>
      </c>
      <c r="J182" s="412">
        <f>+AVERAGE(J183)</f>
        <v>0.25</v>
      </c>
      <c r="K182" s="413">
        <f>+K183</f>
        <v>0.25409836065573771</v>
      </c>
      <c r="L182" s="413">
        <f>+L183</f>
        <v>0.25</v>
      </c>
      <c r="M182" s="416"/>
      <c r="N182" s="451"/>
      <c r="O182" s="451"/>
      <c r="P182" s="451"/>
      <c r="Q182" s="451"/>
      <c r="R182" s="451"/>
      <c r="S182" s="451"/>
      <c r="T182" s="634">
        <f>+AVERAGE(T183)</f>
        <v>1</v>
      </c>
      <c r="U182" s="436">
        <f>+AVERAGE(U183)</f>
        <v>0.34524590163934427</v>
      </c>
      <c r="V182" s="436">
        <f>+(V183)*E182</f>
        <v>0.1</v>
      </c>
      <c r="W182" s="436">
        <f>+(W183)*E182</f>
        <v>3.4524590163934429E-2</v>
      </c>
      <c r="X182" s="393">
        <f>+AVERAGE(X183)</f>
        <v>0.25537704918032789</v>
      </c>
      <c r="Y182" s="393">
        <f>+AVERAGE(Y183)</f>
        <v>0.34168852459016391</v>
      </c>
      <c r="Z182" s="393">
        <f>+(Z183)*E182</f>
        <v>2.553770491803279E-2</v>
      </c>
      <c r="AA182" s="393">
        <f>+(AA183)</f>
        <v>0.34168852459016391</v>
      </c>
      <c r="AB182" s="394"/>
      <c r="AC182" s="380"/>
      <c r="AD182" s="381"/>
      <c r="AE182" s="381"/>
      <c r="AF182" s="381"/>
    </row>
    <row r="183" spans="1:32" ht="122.45" customHeight="1" thickBot="1" x14ac:dyDescent="0.35">
      <c r="A183" s="385"/>
      <c r="B183" s="1072" t="s">
        <v>832</v>
      </c>
      <c r="C183" s="1145" t="s">
        <v>833</v>
      </c>
      <c r="D183" s="812" t="s">
        <v>795</v>
      </c>
      <c r="E183" s="1259">
        <v>1</v>
      </c>
      <c r="F183" s="395">
        <v>61000</v>
      </c>
      <c r="G183" s="415">
        <v>15500</v>
      </c>
      <c r="H183" s="416">
        <v>15250</v>
      </c>
      <c r="I183" s="405">
        <f>+G183/F183</f>
        <v>0.25409836065573771</v>
      </c>
      <c r="J183" s="405">
        <f t="shared" si="116"/>
        <v>0.25</v>
      </c>
      <c r="K183" s="406">
        <f>+(G183/F183)*E183</f>
        <v>0.25409836065573771</v>
      </c>
      <c r="L183" s="455">
        <f t="shared" si="115"/>
        <v>0.25</v>
      </c>
      <c r="M183" s="416">
        <v>15578</v>
      </c>
      <c r="N183" s="640">
        <v>264</v>
      </c>
      <c r="O183" s="416">
        <f>1865-N183+3400</f>
        <v>5001</v>
      </c>
      <c r="P183" s="416"/>
      <c r="Q183" s="416"/>
      <c r="R183" s="416">
        <f t="shared" si="110"/>
        <v>5265</v>
      </c>
      <c r="S183" s="416">
        <f t="shared" si="111"/>
        <v>20843</v>
      </c>
      <c r="T183" s="477">
        <v>1</v>
      </c>
      <c r="U183" s="403">
        <f t="shared" si="112"/>
        <v>0.34524590163934427</v>
      </c>
      <c r="V183" s="403">
        <f>+T183*E183</f>
        <v>1</v>
      </c>
      <c r="W183" s="403">
        <f>+U183*E183</f>
        <v>0.34524590163934427</v>
      </c>
      <c r="X183" s="403">
        <f>+M183/F183</f>
        <v>0.25537704918032789</v>
      </c>
      <c r="Y183" s="403">
        <f>+S183/F183</f>
        <v>0.34168852459016391</v>
      </c>
      <c r="Z183" s="403">
        <f>+X183*E183</f>
        <v>0.25537704918032789</v>
      </c>
      <c r="AA183" s="403">
        <f>+Y183*E183</f>
        <v>0.34168852459016391</v>
      </c>
      <c r="AB183" s="404" t="s">
        <v>43</v>
      </c>
      <c r="AC183" s="854" t="s">
        <v>486</v>
      </c>
      <c r="AD183" s="381"/>
      <c r="AE183" s="828" t="s">
        <v>796</v>
      </c>
      <c r="AF183" s="381"/>
    </row>
    <row r="184" spans="1:32" ht="122.45" customHeight="1" thickBot="1" x14ac:dyDescent="0.35">
      <c r="A184" s="385"/>
      <c r="B184" s="1292" t="s">
        <v>834</v>
      </c>
      <c r="C184" s="1293"/>
      <c r="D184" s="806"/>
      <c r="E184" s="391">
        <v>0.1</v>
      </c>
      <c r="F184" s="395"/>
      <c r="G184" s="415"/>
      <c r="H184" s="416"/>
      <c r="I184" s="412">
        <f>+AVERAGE(I185:I186)</f>
        <v>0.25</v>
      </c>
      <c r="J184" s="412">
        <f>+AVERAGE(J185:J186)</f>
        <v>0.25948888888888888</v>
      </c>
      <c r="K184" s="413">
        <f>+K185+K186</f>
        <v>0.25</v>
      </c>
      <c r="L184" s="636">
        <f>+L185+L186</f>
        <v>0.25981777777777776</v>
      </c>
      <c r="M184" s="416"/>
      <c r="N184" s="451"/>
      <c r="O184" s="451"/>
      <c r="P184" s="451"/>
      <c r="Q184" s="451"/>
      <c r="R184" s="451"/>
      <c r="S184" s="451"/>
      <c r="T184" s="436">
        <f>+AVERAGE(T185:T186)</f>
        <v>1</v>
      </c>
      <c r="U184" s="634">
        <f>+AVERAGE(U185:U186)</f>
        <v>0.78631148778785076</v>
      </c>
      <c r="V184" s="436">
        <f>+(V185+V186)*E184</f>
        <v>0.1</v>
      </c>
      <c r="W184" s="436">
        <f>+(W185+W186)*F184</f>
        <v>0</v>
      </c>
      <c r="X184" s="393">
        <f>+AVERAGE(X185:X186)</f>
        <v>0.30041388888888887</v>
      </c>
      <c r="Y184" s="393">
        <f>+AVERAGE(Y185:Y186)</f>
        <v>0.50426527777777774</v>
      </c>
      <c r="Z184" s="393">
        <f>+(Z185+Z186)*E184</f>
        <v>3.0235694444444447E-2</v>
      </c>
      <c r="AA184" s="393">
        <f>+(AA185+AA186)</f>
        <v>0.50498597222222219</v>
      </c>
      <c r="AB184" s="394"/>
      <c r="AC184" s="380"/>
      <c r="AD184" s="381"/>
      <c r="AE184" s="381"/>
      <c r="AF184" s="381"/>
    </row>
    <row r="185" spans="1:32" ht="122.45" customHeight="1" thickBot="1" x14ac:dyDescent="0.35">
      <c r="A185" s="385"/>
      <c r="B185" s="1072" t="s">
        <v>835</v>
      </c>
      <c r="C185" s="1145" t="s">
        <v>836</v>
      </c>
      <c r="D185" s="812" t="s">
        <v>795</v>
      </c>
      <c r="E185" s="1259">
        <v>0.55000000000000004</v>
      </c>
      <c r="F185" s="395">
        <v>180000</v>
      </c>
      <c r="G185" s="415">
        <v>45000</v>
      </c>
      <c r="H185" s="416">
        <v>47300</v>
      </c>
      <c r="I185" s="405">
        <f>+G185/F185</f>
        <v>0.25</v>
      </c>
      <c r="J185" s="405">
        <f t="shared" si="116"/>
        <v>0.26277777777777778</v>
      </c>
      <c r="K185" s="455">
        <f>+(G185/F185)*E185</f>
        <v>0.13750000000000001</v>
      </c>
      <c r="L185" s="467">
        <f t="shared" si="115"/>
        <v>0.14452777777777778</v>
      </c>
      <c r="M185" s="461">
        <v>57572</v>
      </c>
      <c r="N185" s="642">
        <v>4292</v>
      </c>
      <c r="O185" s="461">
        <f>31848-N185+2645</f>
        <v>30201</v>
      </c>
      <c r="P185" s="461"/>
      <c r="Q185" s="461"/>
      <c r="R185" s="461">
        <f t="shared" si="110"/>
        <v>34493</v>
      </c>
      <c r="S185" s="461">
        <f t="shared" si="111"/>
        <v>92065</v>
      </c>
      <c r="T185" s="638">
        <v>1</v>
      </c>
      <c r="U185" s="403">
        <f t="shared" si="112"/>
        <v>0.72923890063424945</v>
      </c>
      <c r="V185" s="403">
        <f>+T185*E185</f>
        <v>0.55000000000000004</v>
      </c>
      <c r="W185" s="403">
        <f t="shared" ref="W185:W186" si="117">+U185*E185</f>
        <v>0.40108139534883724</v>
      </c>
      <c r="X185" s="403">
        <f>+M185/F185</f>
        <v>0.31984444444444443</v>
      </c>
      <c r="Y185" s="403">
        <f t="shared" ref="Y185:Y186" si="118">+S185/F185</f>
        <v>0.51147222222222222</v>
      </c>
      <c r="Z185" s="403">
        <f>+X185*E185</f>
        <v>0.17591444444444446</v>
      </c>
      <c r="AA185" s="403">
        <f>+Y185*E185</f>
        <v>0.28130972222222222</v>
      </c>
      <c r="AB185" s="404" t="s">
        <v>43</v>
      </c>
      <c r="AC185" s="854" t="s">
        <v>486</v>
      </c>
      <c r="AD185" s="381"/>
      <c r="AE185" s="828" t="s">
        <v>796</v>
      </c>
      <c r="AF185" s="381"/>
    </row>
    <row r="186" spans="1:32" ht="122.45" customHeight="1" thickBot="1" x14ac:dyDescent="0.35">
      <c r="A186" s="385"/>
      <c r="B186" s="1072" t="s">
        <v>837</v>
      </c>
      <c r="C186" s="1145" t="s">
        <v>838</v>
      </c>
      <c r="D186" s="812" t="s">
        <v>795</v>
      </c>
      <c r="E186" s="1259">
        <v>0.45</v>
      </c>
      <c r="F186" s="395">
        <v>120000</v>
      </c>
      <c r="G186" s="415">
        <v>30000</v>
      </c>
      <c r="H186" s="416">
        <v>30744</v>
      </c>
      <c r="I186" s="405">
        <f>+G186/F186</f>
        <v>0.25</v>
      </c>
      <c r="J186" s="405">
        <f t="shared" si="116"/>
        <v>0.25619999999999998</v>
      </c>
      <c r="K186" s="406">
        <f>+(G186/F186)*E186</f>
        <v>0.1125</v>
      </c>
      <c r="L186" s="452">
        <f t="shared" si="115"/>
        <v>0.11528999999999999</v>
      </c>
      <c r="M186" s="462">
        <v>33718</v>
      </c>
      <c r="N186" s="641">
        <v>10000</v>
      </c>
      <c r="O186" s="462">
        <f>20067-N186+5862</f>
        <v>15929</v>
      </c>
      <c r="P186" s="462"/>
      <c r="Q186" s="462"/>
      <c r="R186" s="462">
        <f>+N186+O186+P186+Q186</f>
        <v>25929</v>
      </c>
      <c r="S186" s="462">
        <f t="shared" si="111"/>
        <v>59647</v>
      </c>
      <c r="T186" s="454">
        <v>1</v>
      </c>
      <c r="U186" s="403">
        <f t="shared" si="112"/>
        <v>0.84338407494145196</v>
      </c>
      <c r="V186" s="403">
        <f>+T186*E186</f>
        <v>0.45</v>
      </c>
      <c r="W186" s="403">
        <f t="shared" si="117"/>
        <v>0.37952283372365336</v>
      </c>
      <c r="X186" s="403">
        <f>+M186/F186</f>
        <v>0.28098333333333331</v>
      </c>
      <c r="Y186" s="403">
        <f t="shared" si="118"/>
        <v>0.49705833333333332</v>
      </c>
      <c r="Z186" s="403">
        <f>+X186*E186</f>
        <v>0.12644249999999999</v>
      </c>
      <c r="AA186" s="403">
        <f>+Y186*E186</f>
        <v>0.22367624999999999</v>
      </c>
      <c r="AB186" s="404" t="s">
        <v>43</v>
      </c>
      <c r="AC186" s="854" t="s">
        <v>486</v>
      </c>
      <c r="AD186" s="381"/>
      <c r="AE186" s="828" t="s">
        <v>796</v>
      </c>
      <c r="AF186" s="381"/>
    </row>
    <row r="187" spans="1:32" ht="122.45" customHeight="1" thickBot="1" x14ac:dyDescent="0.35">
      <c r="A187" s="385"/>
      <c r="B187" s="1292" t="s">
        <v>839</v>
      </c>
      <c r="C187" s="1293"/>
      <c r="D187" s="806"/>
      <c r="E187" s="391">
        <v>0.05</v>
      </c>
      <c r="F187" s="395"/>
      <c r="G187" s="415"/>
      <c r="H187" s="416"/>
      <c r="I187" s="412">
        <f>+AVERAGE(I188:I191)</f>
        <v>0.16762820512820512</v>
      </c>
      <c r="J187" s="412">
        <f>+AVERAGE(J188:J191)</f>
        <v>0.26798878205128207</v>
      </c>
      <c r="K187" s="413">
        <f>+K188+K189+K190+K191</f>
        <v>0.1792948717948718</v>
      </c>
      <c r="L187" s="413">
        <f>+L188+L189+L190+L191</f>
        <v>0.26496794871794871</v>
      </c>
      <c r="M187" s="416"/>
      <c r="N187" s="451"/>
      <c r="O187" s="451"/>
      <c r="P187" s="451"/>
      <c r="Q187" s="451"/>
      <c r="R187" s="451"/>
      <c r="S187" s="451"/>
      <c r="T187" s="634">
        <f>+AVERAGE(T188:T191)</f>
        <v>1</v>
      </c>
      <c r="U187" s="436">
        <f>+AVERAGE(U188:U191)</f>
        <v>0.60250000000000004</v>
      </c>
      <c r="V187" s="436">
        <f>+(V188+V189+V190+V191)*E187</f>
        <v>0.05</v>
      </c>
      <c r="W187" s="436">
        <f>+(W188+W189+W190+W191)*E187</f>
        <v>3.4099999999999998E-2</v>
      </c>
      <c r="X187" s="393">
        <f>+AVERAGE(X188:X191)</f>
        <v>0.38750608974358969</v>
      </c>
      <c r="Y187" s="393">
        <f>+AVERAGE(Y188:Y191)</f>
        <v>0.6506201923076923</v>
      </c>
      <c r="Z187" s="393">
        <f>+(Z188+Z189+Z190+Z191)*E187</f>
        <v>1.9255512820512823E-2</v>
      </c>
      <c r="AA187" s="393">
        <f>+(AA188+AA189+AA190+AA191)</f>
        <v>0.70905769230769233</v>
      </c>
      <c r="AB187" s="394"/>
      <c r="AC187" s="380"/>
      <c r="AD187" s="381"/>
      <c r="AE187" s="381"/>
      <c r="AF187" s="381"/>
    </row>
    <row r="188" spans="1:32" ht="122.45" customHeight="1" thickBot="1" x14ac:dyDescent="0.35">
      <c r="A188" s="385"/>
      <c r="B188" s="1146" t="s">
        <v>840</v>
      </c>
      <c r="C188" s="1147" t="s">
        <v>841</v>
      </c>
      <c r="D188" s="812" t="s">
        <v>795</v>
      </c>
      <c r="E188" s="1259">
        <v>0.2</v>
      </c>
      <c r="F188" s="395">
        <v>200</v>
      </c>
      <c r="G188" s="415">
        <v>20</v>
      </c>
      <c r="H188" s="416">
        <v>60</v>
      </c>
      <c r="I188" s="405">
        <f>+G188/F188</f>
        <v>0.1</v>
      </c>
      <c r="J188" s="405">
        <f t="shared" si="116"/>
        <v>0.3</v>
      </c>
      <c r="K188" s="406">
        <f>+(G188/F188)*E188</f>
        <v>2.0000000000000004E-2</v>
      </c>
      <c r="L188" s="455">
        <f t="shared" si="115"/>
        <v>0.06</v>
      </c>
      <c r="M188" s="416">
        <v>70</v>
      </c>
      <c r="N188" s="640">
        <v>5</v>
      </c>
      <c r="O188" s="416">
        <v>10</v>
      </c>
      <c r="P188" s="416"/>
      <c r="Q188" s="416"/>
      <c r="R188" s="416">
        <f t="shared" si="110"/>
        <v>15</v>
      </c>
      <c r="S188" s="416">
        <f t="shared" si="111"/>
        <v>85</v>
      </c>
      <c r="T188" s="454">
        <v>1</v>
      </c>
      <c r="U188" s="403">
        <f t="shared" si="112"/>
        <v>0.25</v>
      </c>
      <c r="V188" s="403">
        <f>+T188*E188</f>
        <v>0.2</v>
      </c>
      <c r="W188" s="403">
        <f t="shared" ref="W188:W191" si="119">+U188*E188</f>
        <v>0.05</v>
      </c>
      <c r="X188" s="403">
        <f>+M188/F188</f>
        <v>0.35</v>
      </c>
      <c r="Y188" s="403">
        <f t="shared" ref="Y188:Y191" si="120">+S188/F188</f>
        <v>0.42499999999999999</v>
      </c>
      <c r="Z188" s="403">
        <f>+X188*E188</f>
        <v>6.9999999999999993E-2</v>
      </c>
      <c r="AA188" s="403">
        <f>+Y188*E188</f>
        <v>8.5000000000000006E-2</v>
      </c>
      <c r="AB188" s="404" t="s">
        <v>43</v>
      </c>
      <c r="AC188" s="825" t="s">
        <v>842</v>
      </c>
      <c r="AD188" s="381"/>
      <c r="AE188" s="828" t="s">
        <v>796</v>
      </c>
      <c r="AF188" s="381"/>
    </row>
    <row r="189" spans="1:32" ht="122.45" customHeight="1" thickBot="1" x14ac:dyDescent="0.35">
      <c r="A189" s="385"/>
      <c r="B189" s="1072" t="s">
        <v>843</v>
      </c>
      <c r="C189" s="1145" t="s">
        <v>844</v>
      </c>
      <c r="D189" s="812" t="s">
        <v>795</v>
      </c>
      <c r="E189" s="1259">
        <v>0.35</v>
      </c>
      <c r="F189" s="395">
        <v>60000</v>
      </c>
      <c r="G189" s="415">
        <v>15000</v>
      </c>
      <c r="H189" s="416">
        <v>15000</v>
      </c>
      <c r="I189" s="405">
        <f>+G189/F189</f>
        <v>0.25</v>
      </c>
      <c r="J189" s="463">
        <f t="shared" si="116"/>
        <v>0.25</v>
      </c>
      <c r="K189" s="464">
        <f>+(G189/F189)*E189</f>
        <v>8.7499999999999994E-2</v>
      </c>
      <c r="L189" s="465">
        <f t="shared" si="115"/>
        <v>8.7499999999999994E-2</v>
      </c>
      <c r="M189" s="416">
        <v>20000</v>
      </c>
      <c r="N189" s="640">
        <v>14328</v>
      </c>
      <c r="O189" s="416">
        <f>51827-N189+1650</f>
        <v>39149</v>
      </c>
      <c r="P189" s="416"/>
      <c r="Q189" s="416"/>
      <c r="R189" s="416">
        <f t="shared" si="110"/>
        <v>53477</v>
      </c>
      <c r="S189" s="416">
        <f t="shared" si="111"/>
        <v>73477</v>
      </c>
      <c r="T189" s="454">
        <v>1</v>
      </c>
      <c r="U189" s="403">
        <v>1</v>
      </c>
      <c r="V189" s="403">
        <f>+T189*E189</f>
        <v>0.35</v>
      </c>
      <c r="W189" s="403">
        <f t="shared" si="119"/>
        <v>0.35</v>
      </c>
      <c r="X189" s="403">
        <f>+M189/F189</f>
        <v>0.33333333333333331</v>
      </c>
      <c r="Y189" s="403">
        <v>1</v>
      </c>
      <c r="Z189" s="403">
        <f>+X189*E189</f>
        <v>0.11666666666666665</v>
      </c>
      <c r="AA189" s="403">
        <f>+Y189*E189</f>
        <v>0.35</v>
      </c>
      <c r="AB189" s="404" t="s">
        <v>43</v>
      </c>
      <c r="AC189" s="854" t="s">
        <v>486</v>
      </c>
      <c r="AD189" s="381"/>
      <c r="AE189" s="828" t="s">
        <v>36</v>
      </c>
      <c r="AF189" s="381"/>
    </row>
    <row r="190" spans="1:32" ht="122.45" customHeight="1" thickBot="1" x14ac:dyDescent="0.35">
      <c r="A190" s="385"/>
      <c r="B190" s="1146" t="s">
        <v>845</v>
      </c>
      <c r="C190" s="1147" t="s">
        <v>846</v>
      </c>
      <c r="D190" s="812" t="s">
        <v>795</v>
      </c>
      <c r="E190" s="1259">
        <v>0.2</v>
      </c>
      <c r="F190" s="395">
        <v>96</v>
      </c>
      <c r="G190" s="415">
        <v>16</v>
      </c>
      <c r="H190" s="416">
        <v>25</v>
      </c>
      <c r="I190" s="466">
        <f>+G190/F190</f>
        <v>0.16666666666666666</v>
      </c>
      <c r="J190" s="467">
        <f t="shared" si="116"/>
        <v>0.26041666666666669</v>
      </c>
      <c r="K190" s="467">
        <f>+(G190/F190)*E190</f>
        <v>3.3333333333333333E-2</v>
      </c>
      <c r="L190" s="467">
        <f t="shared" si="115"/>
        <v>5.2083333333333343E-2</v>
      </c>
      <c r="M190" s="416">
        <v>35</v>
      </c>
      <c r="N190" s="640">
        <v>1</v>
      </c>
      <c r="O190" s="416">
        <v>3</v>
      </c>
      <c r="P190" s="416"/>
      <c r="Q190" s="416"/>
      <c r="R190" s="416">
        <f t="shared" si="110"/>
        <v>4</v>
      </c>
      <c r="S190" s="416">
        <f t="shared" si="111"/>
        <v>39</v>
      </c>
      <c r="T190" s="454">
        <v>1</v>
      </c>
      <c r="U190" s="403">
        <f t="shared" si="112"/>
        <v>0.16</v>
      </c>
      <c r="V190" s="403">
        <f>+T190*E190</f>
        <v>0.2</v>
      </c>
      <c r="W190" s="403">
        <f t="shared" si="119"/>
        <v>3.2000000000000001E-2</v>
      </c>
      <c r="X190" s="403">
        <f>+M190/F190</f>
        <v>0.36458333333333331</v>
      </c>
      <c r="Y190" s="403">
        <f t="shared" si="120"/>
        <v>0.40625</v>
      </c>
      <c r="Z190" s="403">
        <f>+X190*E190</f>
        <v>7.2916666666666671E-2</v>
      </c>
      <c r="AA190" s="403">
        <f>+Y190*E190</f>
        <v>8.1250000000000003E-2</v>
      </c>
      <c r="AB190" s="404" t="s">
        <v>43</v>
      </c>
      <c r="AC190" s="825" t="s">
        <v>842</v>
      </c>
      <c r="AD190" s="381"/>
      <c r="AE190" s="828" t="s">
        <v>36</v>
      </c>
      <c r="AF190" s="381"/>
    </row>
    <row r="191" spans="1:32" ht="122.45" customHeight="1" thickBot="1" x14ac:dyDescent="0.35">
      <c r="A191" s="385"/>
      <c r="B191" s="1072" t="s">
        <v>847</v>
      </c>
      <c r="C191" s="1145" t="s">
        <v>848</v>
      </c>
      <c r="D191" s="812" t="s">
        <v>795</v>
      </c>
      <c r="E191" s="1259">
        <v>0.25</v>
      </c>
      <c r="F191" s="395">
        <v>65000</v>
      </c>
      <c r="G191" s="415">
        <v>10000</v>
      </c>
      <c r="H191" s="416">
        <v>17000</v>
      </c>
      <c r="I191" s="466">
        <f>+G191/F191</f>
        <v>0.15384615384615385</v>
      </c>
      <c r="J191" s="467">
        <f t="shared" si="116"/>
        <v>0.26153846153846155</v>
      </c>
      <c r="K191" s="467">
        <f>+(G191/F191)*E191</f>
        <v>3.8461538461538464E-2</v>
      </c>
      <c r="L191" s="467">
        <f t="shared" si="115"/>
        <v>6.5384615384615388E-2</v>
      </c>
      <c r="M191" s="457">
        <v>32637</v>
      </c>
      <c r="N191" s="640">
        <v>493</v>
      </c>
      <c r="O191" s="457">
        <f>17493-N191</f>
        <v>17000</v>
      </c>
      <c r="P191" s="457"/>
      <c r="Q191" s="457"/>
      <c r="R191" s="457">
        <f>+N191+O191+P191+Q191</f>
        <v>17493</v>
      </c>
      <c r="S191" s="457">
        <f t="shared" si="111"/>
        <v>50130</v>
      </c>
      <c r="T191" s="454">
        <v>1</v>
      </c>
      <c r="U191" s="403">
        <v>1</v>
      </c>
      <c r="V191" s="403">
        <f>+T191*E191</f>
        <v>0.25</v>
      </c>
      <c r="W191" s="403">
        <f t="shared" si="119"/>
        <v>0.25</v>
      </c>
      <c r="X191" s="403">
        <f>+M191/F191</f>
        <v>0.50210769230769225</v>
      </c>
      <c r="Y191" s="403">
        <f t="shared" si="120"/>
        <v>0.77123076923076928</v>
      </c>
      <c r="Z191" s="403">
        <f>+X191*E191</f>
        <v>0.12552692307692306</v>
      </c>
      <c r="AA191" s="403">
        <f>+Y191*E191</f>
        <v>0.19280769230769232</v>
      </c>
      <c r="AB191" s="404" t="s">
        <v>43</v>
      </c>
      <c r="AC191" s="825" t="s">
        <v>842</v>
      </c>
      <c r="AD191" s="381"/>
      <c r="AE191" s="828" t="s">
        <v>36</v>
      </c>
      <c r="AF191" s="381"/>
    </row>
    <row r="192" spans="1:32" ht="122.45" customHeight="1" thickBot="1" x14ac:dyDescent="0.35">
      <c r="A192" s="385"/>
      <c r="B192" s="1301" t="s">
        <v>849</v>
      </c>
      <c r="C192" s="1293"/>
      <c r="D192" s="820"/>
      <c r="E192" s="430">
        <v>0.15</v>
      </c>
      <c r="F192" s="431">
        <f>+E192*V192</f>
        <v>0.10303125</v>
      </c>
      <c r="G192" s="415"/>
      <c r="H192" s="387">
        <f>+E192*W192</f>
        <v>8.174927407338424E-2</v>
      </c>
      <c r="I192" s="468">
        <f>+(I193+I198+I203)/3</f>
        <v>0.23789691874878258</v>
      </c>
      <c r="J192" s="469">
        <f>+(J193+J198+J203)/3</f>
        <v>0.31958568748605082</v>
      </c>
      <c r="K192" s="388">
        <f>+(K193+K198+K203)/3</f>
        <v>0.18171330652877268</v>
      </c>
      <c r="L192" s="388">
        <f>+(L193+L198+L203)/3</f>
        <v>0.28480466761010298</v>
      </c>
      <c r="M192" s="624"/>
      <c r="N192" s="470"/>
      <c r="O192" s="470"/>
      <c r="P192" s="470"/>
      <c r="Q192" s="470"/>
      <c r="R192" s="470"/>
      <c r="S192" s="470"/>
      <c r="T192" s="448">
        <f>+(T193+T198+T203)/3</f>
        <v>0.94739583333333333</v>
      </c>
      <c r="U192" s="389">
        <f>+(U193+U198+U203)/3</f>
        <v>0.48272505742844724</v>
      </c>
      <c r="V192" s="388">
        <f>V193+V198+V203</f>
        <v>0.68687500000000001</v>
      </c>
      <c r="W192" s="388">
        <f>W193+W198+W203</f>
        <v>0.54499516048922825</v>
      </c>
      <c r="X192" s="389">
        <f>(X193+X198+X203)/3</f>
        <v>0.33997892066194169</v>
      </c>
      <c r="Y192" s="389">
        <f>(Y193+Y198+Y203)/3</f>
        <v>0.43765215226673959</v>
      </c>
      <c r="Z192" s="388">
        <f>(Z193+Z198+Z203)</f>
        <v>0.24110540532107533</v>
      </c>
      <c r="AA192" s="388">
        <f>(AA193*E193)+(AA198*E198)+(AA203*E203)</f>
        <v>0.45311494603151192</v>
      </c>
      <c r="AB192" s="390"/>
      <c r="AC192" s="380"/>
      <c r="AD192" s="381"/>
      <c r="AE192" s="381"/>
      <c r="AF192" s="381"/>
    </row>
    <row r="193" spans="1:32" ht="122.45" customHeight="1" thickBot="1" x14ac:dyDescent="0.35">
      <c r="A193" s="385"/>
      <c r="B193" s="1292" t="s">
        <v>850</v>
      </c>
      <c r="C193" s="1285"/>
      <c r="D193" s="803"/>
      <c r="E193" s="391">
        <v>0.5</v>
      </c>
      <c r="F193" s="395"/>
      <c r="G193" s="415"/>
      <c r="H193" s="416"/>
      <c r="I193" s="471">
        <f>+AVERAGE(I194:I197)</f>
        <v>0.23879427591508487</v>
      </c>
      <c r="J193" s="393">
        <f>+AVERAGE(J194:J197)</f>
        <v>0.33623578341513416</v>
      </c>
      <c r="K193" s="393">
        <f>+K194+K195+K196+K197</f>
        <v>0.11410989888238424</v>
      </c>
      <c r="L193" s="393">
        <f>+L194+L195+L196+L197</f>
        <v>0.33924147004908045</v>
      </c>
      <c r="M193" s="457"/>
      <c r="N193" s="472"/>
      <c r="O193" s="472"/>
      <c r="P193" s="472"/>
      <c r="Q193" s="472"/>
      <c r="R193" s="472"/>
      <c r="S193" s="472"/>
      <c r="T193" s="634">
        <f>+AVERAGE(T194:T197)</f>
        <v>1</v>
      </c>
      <c r="U193" s="436">
        <f>+AVERAGE(U194:U197)</f>
        <v>0.59038095238095234</v>
      </c>
      <c r="V193" s="436">
        <f>+(V194+V195+V196+V197)*E193</f>
        <v>0.25</v>
      </c>
      <c r="W193" s="436">
        <f>+(W194+W195+W196+W197)*E193</f>
        <v>0.31779285714285715</v>
      </c>
      <c r="X193" s="393">
        <f>+AVERAGE(X194:X197)</f>
        <v>0.33240983608865465</v>
      </c>
      <c r="Y193" s="393">
        <f>+X193+((Y194-X194)/4)+((Y195-X195)/4)+((Y197-X197)/4)</f>
        <v>0.38980660129642308</v>
      </c>
      <c r="Z193" s="393">
        <f>+(Z194+Z195+Z196+Z197)*E193</f>
        <v>8.0094974636120198E-2</v>
      </c>
      <c r="AA193" s="393">
        <f>+(AA194+AA195+AA196+AA197)</f>
        <v>0.44977998048607415</v>
      </c>
      <c r="AB193" s="394"/>
      <c r="AC193" s="380"/>
      <c r="AD193" s="381"/>
      <c r="AE193" s="381"/>
      <c r="AF193" s="381"/>
    </row>
    <row r="194" spans="1:32" ht="122.45" customHeight="1" thickBot="1" x14ac:dyDescent="0.35">
      <c r="A194" s="385"/>
      <c r="B194" s="1072" t="s">
        <v>851</v>
      </c>
      <c r="C194" s="1070" t="s">
        <v>852</v>
      </c>
      <c r="D194" s="438" t="s">
        <v>853</v>
      </c>
      <c r="E194" s="1259">
        <v>0.15</v>
      </c>
      <c r="F194" s="395">
        <v>2800</v>
      </c>
      <c r="G194" s="415">
        <v>700</v>
      </c>
      <c r="H194" s="416">
        <v>700</v>
      </c>
      <c r="I194" s="466">
        <f>+G194/F194</f>
        <v>0.25</v>
      </c>
      <c r="J194" s="467">
        <f t="shared" ref="J194:J196" si="121">+H194/F194</f>
        <v>0.25</v>
      </c>
      <c r="K194" s="467">
        <f>+(G194/F194)*E194</f>
        <v>3.7499999999999999E-2</v>
      </c>
      <c r="L194" s="467">
        <f t="shared" ref="L194:L196" si="122">+(H194/F194)*E194</f>
        <v>3.7499999999999999E-2</v>
      </c>
      <c r="M194" s="473">
        <v>1265</v>
      </c>
      <c r="N194" s="643">
        <v>261</v>
      </c>
      <c r="O194" s="643">
        <v>0</v>
      </c>
      <c r="P194" s="473"/>
      <c r="Q194" s="473"/>
      <c r="R194" s="473">
        <f t="shared" ref="R194:R197" si="123">+N194+O194+P194+Q194</f>
        <v>261</v>
      </c>
      <c r="S194" s="473">
        <f t="shared" ref="S194:S197" si="124">+R194+M194</f>
        <v>1526</v>
      </c>
      <c r="T194" s="454">
        <v>1</v>
      </c>
      <c r="U194" s="403">
        <f t="shared" ref="U194:U196" si="125">+R194/H194</f>
        <v>0.37285714285714283</v>
      </c>
      <c r="V194" s="403">
        <f>+T194*E194</f>
        <v>0.15</v>
      </c>
      <c r="W194" s="403">
        <f t="shared" ref="W194:W196" si="126">+U194*E194</f>
        <v>5.5928571428571425E-2</v>
      </c>
      <c r="X194" s="403">
        <f>+M194/F194</f>
        <v>0.45178571428571429</v>
      </c>
      <c r="Y194" s="403">
        <f t="shared" ref="Y194:Y197" si="127">+S194/F194</f>
        <v>0.54500000000000004</v>
      </c>
      <c r="Z194" s="403">
        <f>+X194*E194</f>
        <v>6.7767857142857144E-2</v>
      </c>
      <c r="AA194" s="403">
        <f>+Y194*E194</f>
        <v>8.1750000000000003E-2</v>
      </c>
      <c r="AB194" s="404" t="s">
        <v>43</v>
      </c>
      <c r="AC194" s="734" t="s">
        <v>486</v>
      </c>
      <c r="AD194" s="734" t="s">
        <v>38</v>
      </c>
      <c r="AE194" s="734" t="s">
        <v>796</v>
      </c>
      <c r="AF194" s="381"/>
    </row>
    <row r="195" spans="1:32" ht="152.44999999999999" customHeight="1" thickBot="1" x14ac:dyDescent="0.35">
      <c r="A195" s="385"/>
      <c r="B195" s="1072" t="s">
        <v>854</v>
      </c>
      <c r="C195" s="1070" t="s">
        <v>855</v>
      </c>
      <c r="D195" s="438" t="s">
        <v>853</v>
      </c>
      <c r="E195" s="1259">
        <v>0.2</v>
      </c>
      <c r="F195" s="395">
        <v>33822</v>
      </c>
      <c r="G195" s="415">
        <v>4500</v>
      </c>
      <c r="H195" s="416">
        <v>8750</v>
      </c>
      <c r="I195" s="466">
        <f>+G195/F195</f>
        <v>0.13304949441192124</v>
      </c>
      <c r="J195" s="467">
        <f t="shared" si="121"/>
        <v>0.25870735024540242</v>
      </c>
      <c r="K195" s="467">
        <f>+(G195/F195)*E195</f>
        <v>2.6609898882384249E-2</v>
      </c>
      <c r="L195" s="467">
        <f t="shared" si="122"/>
        <v>5.1741470049080487E-2</v>
      </c>
      <c r="M195" s="473">
        <v>7174</v>
      </c>
      <c r="N195" s="643">
        <v>599</v>
      </c>
      <c r="O195" s="643">
        <v>2886</v>
      </c>
      <c r="P195" s="473"/>
      <c r="Q195" s="473"/>
      <c r="R195" s="473">
        <f t="shared" si="123"/>
        <v>3485</v>
      </c>
      <c r="S195" s="473">
        <f t="shared" si="124"/>
        <v>10659</v>
      </c>
      <c r="T195" s="454">
        <v>1</v>
      </c>
      <c r="U195" s="403">
        <f t="shared" si="125"/>
        <v>0.3982857142857143</v>
      </c>
      <c r="V195" s="403">
        <f>+T195*E195</f>
        <v>0.2</v>
      </c>
      <c r="W195" s="403">
        <f t="shared" si="126"/>
        <v>7.9657142857142871E-2</v>
      </c>
      <c r="X195" s="403">
        <f>+M195/F195</f>
        <v>0.21211046064691622</v>
      </c>
      <c r="Y195" s="403">
        <f t="shared" si="127"/>
        <v>0.31514990243037078</v>
      </c>
      <c r="Z195" s="403">
        <f>+X195*E195</f>
        <v>4.2422092129383249E-2</v>
      </c>
      <c r="AA195" s="403">
        <f t="shared" ref="AA195:AA197" si="128">+Y195*E195</f>
        <v>6.3029980486074152E-2</v>
      </c>
      <c r="AB195" s="404" t="s">
        <v>43</v>
      </c>
      <c r="AC195" s="734" t="s">
        <v>486</v>
      </c>
      <c r="AD195" s="734" t="s">
        <v>38</v>
      </c>
      <c r="AE195" s="734" t="s">
        <v>796</v>
      </c>
      <c r="AF195" s="381"/>
    </row>
    <row r="196" spans="1:32" ht="122.45" customHeight="1" thickBot="1" x14ac:dyDescent="0.35">
      <c r="A196" s="385"/>
      <c r="B196" s="1072" t="s">
        <v>856</v>
      </c>
      <c r="C196" s="1070" t="s">
        <v>857</v>
      </c>
      <c r="D196" s="438" t="s">
        <v>853</v>
      </c>
      <c r="E196" s="1259">
        <v>0.5</v>
      </c>
      <c r="F196" s="395">
        <v>2</v>
      </c>
      <c r="G196" s="415">
        <v>0</v>
      </c>
      <c r="H196" s="416">
        <v>1</v>
      </c>
      <c r="I196" s="466"/>
      <c r="J196" s="467">
        <f t="shared" si="121"/>
        <v>0.5</v>
      </c>
      <c r="K196" s="467"/>
      <c r="L196" s="467">
        <f t="shared" si="122"/>
        <v>0.25</v>
      </c>
      <c r="M196" s="457"/>
      <c r="N196" s="640">
        <v>0</v>
      </c>
      <c r="O196" s="640">
        <v>1</v>
      </c>
      <c r="P196" s="457"/>
      <c r="Q196" s="457"/>
      <c r="R196" s="457">
        <f t="shared" si="123"/>
        <v>1</v>
      </c>
      <c r="S196" s="457">
        <f t="shared" si="124"/>
        <v>1</v>
      </c>
      <c r="T196" s="454"/>
      <c r="U196" s="403">
        <f t="shared" si="125"/>
        <v>1</v>
      </c>
      <c r="V196" s="403"/>
      <c r="W196" s="403">
        <f t="shared" si="126"/>
        <v>0.5</v>
      </c>
      <c r="X196" s="403"/>
      <c r="Y196" s="403">
        <f t="shared" si="127"/>
        <v>0.5</v>
      </c>
      <c r="Z196" s="403">
        <v>0</v>
      </c>
      <c r="AA196" s="403">
        <f t="shared" si="128"/>
        <v>0.25</v>
      </c>
      <c r="AB196" s="404" t="s">
        <v>43</v>
      </c>
      <c r="AC196" s="752" t="s">
        <v>127</v>
      </c>
      <c r="AD196" s="734" t="s">
        <v>38</v>
      </c>
      <c r="AE196" s="734" t="s">
        <v>796</v>
      </c>
      <c r="AF196" s="381"/>
    </row>
    <row r="197" spans="1:32" ht="122.45" customHeight="1" thickBot="1" x14ac:dyDescent="0.35">
      <c r="A197" s="385"/>
      <c r="B197" s="1072" t="s">
        <v>858</v>
      </c>
      <c r="C197" s="1070" t="s">
        <v>859</v>
      </c>
      <c r="D197" s="438" t="s">
        <v>853</v>
      </c>
      <c r="E197" s="1259">
        <v>0.15</v>
      </c>
      <c r="F197" s="395">
        <v>3</v>
      </c>
      <c r="G197" s="415">
        <v>1</v>
      </c>
      <c r="H197" s="416">
        <v>0</v>
      </c>
      <c r="I197" s="466">
        <f>+G197/F197</f>
        <v>0.33333333333333331</v>
      </c>
      <c r="J197" s="467"/>
      <c r="K197" s="467">
        <f>+(G197/F197)*E197</f>
        <v>4.9999999999999996E-2</v>
      </c>
      <c r="L197" s="467"/>
      <c r="M197" s="457">
        <v>1</v>
      </c>
      <c r="N197" s="640">
        <v>0.1</v>
      </c>
      <c r="O197" s="640">
        <v>0</v>
      </c>
      <c r="P197" s="457"/>
      <c r="Q197" s="457"/>
      <c r="R197" s="457">
        <f t="shared" si="123"/>
        <v>0.1</v>
      </c>
      <c r="S197" s="457">
        <f t="shared" si="124"/>
        <v>1.1000000000000001</v>
      </c>
      <c r="T197" s="454">
        <f>+(M197/G197)</f>
        <v>1</v>
      </c>
      <c r="U197" s="403"/>
      <c r="V197" s="403">
        <f>+T197*E197</f>
        <v>0.15</v>
      </c>
      <c r="W197" s="403"/>
      <c r="X197" s="403">
        <f>+M197/F197</f>
        <v>0.33333333333333331</v>
      </c>
      <c r="Y197" s="403">
        <f t="shared" si="127"/>
        <v>0.3666666666666667</v>
      </c>
      <c r="Z197" s="403">
        <f>+X197*E197</f>
        <v>4.9999999999999996E-2</v>
      </c>
      <c r="AA197" s="403">
        <f t="shared" si="128"/>
        <v>5.5E-2</v>
      </c>
      <c r="AB197" s="404" t="s">
        <v>43</v>
      </c>
      <c r="AC197" s="734" t="s">
        <v>486</v>
      </c>
      <c r="AD197" s="734" t="s">
        <v>38</v>
      </c>
      <c r="AE197" s="734" t="s">
        <v>796</v>
      </c>
      <c r="AF197" s="381"/>
    </row>
    <row r="198" spans="1:32" ht="122.45" customHeight="1" thickBot="1" x14ac:dyDescent="0.35">
      <c r="A198" s="385"/>
      <c r="B198" s="1292" t="s">
        <v>860</v>
      </c>
      <c r="C198" s="1285"/>
      <c r="D198" s="438"/>
      <c r="E198" s="391">
        <v>0.25</v>
      </c>
      <c r="F198" s="395"/>
      <c r="G198" s="415"/>
      <c r="H198" s="416"/>
      <c r="I198" s="471">
        <f>+AVERAGE(I199:I202)</f>
        <v>0.31944444444444442</v>
      </c>
      <c r="J198" s="393">
        <f>+AVERAGE(J199:J202)</f>
        <v>0.34074074074074073</v>
      </c>
      <c r="K198" s="481">
        <f>+K199+K200+K201+K202</f>
        <v>0.27361111111111114</v>
      </c>
      <c r="L198" s="481">
        <f>+L199+L200+L201+L202</f>
        <v>0.2338888888888889</v>
      </c>
      <c r="M198" s="416"/>
      <c r="N198" s="451"/>
      <c r="O198" s="451"/>
      <c r="P198" s="451"/>
      <c r="Q198" s="451"/>
      <c r="R198" s="451"/>
      <c r="S198" s="451"/>
      <c r="T198" s="634">
        <f>+AVERAGE(T199:T202)</f>
        <v>0.84218749999999998</v>
      </c>
      <c r="U198" s="436">
        <f>+AVERAGE(U199:U202)</f>
        <v>0.26616666666666666</v>
      </c>
      <c r="V198" s="436">
        <f>+(V199+V200+V201+V202)*E198</f>
        <v>0.18687500000000004</v>
      </c>
      <c r="W198" s="436">
        <f>+(W199+W200+W201+W202)*E198</f>
        <v>6.1166666666666675E-2</v>
      </c>
      <c r="X198" s="393">
        <f>+AVERAGE(X199:X202)</f>
        <v>0.25733506944444445</v>
      </c>
      <c r="Y198" s="393">
        <f>+AVERAGE(Y199:Y202)</f>
        <v>0.32634895833333333</v>
      </c>
      <c r="Z198" s="393">
        <f>+(Z199+Z200+Z201+Z202)*E198</f>
        <v>5.0629340277777775E-2</v>
      </c>
      <c r="AA198" s="393">
        <f>+(AA199+AA200+AA201+AA202)</f>
        <v>0.28462708333333336</v>
      </c>
      <c r="AB198" s="394"/>
      <c r="AC198" s="380"/>
      <c r="AD198" s="381"/>
      <c r="AE198" s="381"/>
      <c r="AF198" s="381"/>
    </row>
    <row r="199" spans="1:32" ht="122.45" customHeight="1" thickBot="1" x14ac:dyDescent="0.35">
      <c r="A199" s="385"/>
      <c r="B199" s="1072" t="s">
        <v>861</v>
      </c>
      <c r="C199" s="1070" t="s">
        <v>862</v>
      </c>
      <c r="D199" s="438" t="s">
        <v>853</v>
      </c>
      <c r="E199" s="1259">
        <v>0.4</v>
      </c>
      <c r="F199" s="395">
        <v>36000</v>
      </c>
      <c r="G199" s="474">
        <v>10000</v>
      </c>
      <c r="H199" s="457">
        <v>9800</v>
      </c>
      <c r="I199" s="405">
        <f>+G199/F199</f>
        <v>0.27777777777777779</v>
      </c>
      <c r="J199" s="475">
        <f t="shared" ref="J199:J201" si="129">+H199/F199</f>
        <v>0.2722222222222222</v>
      </c>
      <c r="K199" s="637">
        <f>+(G199/F199)*E199</f>
        <v>0.11111111111111112</v>
      </c>
      <c r="L199" s="467">
        <f t="shared" ref="L199:L201" si="130">+(H199/F199)*E199</f>
        <v>0.10888888888888888</v>
      </c>
      <c r="M199" s="457">
        <v>10810</v>
      </c>
      <c r="N199" s="640">
        <v>1263</v>
      </c>
      <c r="O199" s="640">
        <v>3098</v>
      </c>
      <c r="P199" s="457"/>
      <c r="Q199" s="457"/>
      <c r="R199" s="457">
        <f t="shared" ref="R199:R202" si="131">+N199+O199+P199+Q199</f>
        <v>4361</v>
      </c>
      <c r="S199" s="457">
        <f t="shared" ref="S199:S202" si="132">+R199+M199</f>
        <v>15171</v>
      </c>
      <c r="T199" s="454">
        <v>1</v>
      </c>
      <c r="U199" s="403">
        <f t="shared" ref="U199:U201" si="133">+R199/H199</f>
        <v>0.44500000000000001</v>
      </c>
      <c r="V199" s="403">
        <f>+T199*E199</f>
        <v>0.4</v>
      </c>
      <c r="W199" s="403">
        <f t="shared" ref="W199:W201" si="134">+U199*E199</f>
        <v>0.17800000000000002</v>
      </c>
      <c r="X199" s="403">
        <f>+M199/F199</f>
        <v>0.30027777777777775</v>
      </c>
      <c r="Y199" s="403">
        <f t="shared" ref="Y199:Y202" si="135">+S199/F199</f>
        <v>0.42141666666666666</v>
      </c>
      <c r="Z199" s="403">
        <f>+X199*E199</f>
        <v>0.12011111111111111</v>
      </c>
      <c r="AA199" s="403">
        <f>+Y199*E199</f>
        <v>0.16856666666666667</v>
      </c>
      <c r="AB199" s="404" t="s">
        <v>43</v>
      </c>
      <c r="AC199" s="734" t="s">
        <v>486</v>
      </c>
      <c r="AD199" s="734" t="s">
        <v>38</v>
      </c>
      <c r="AE199" s="734" t="s">
        <v>796</v>
      </c>
      <c r="AF199" s="381"/>
    </row>
    <row r="200" spans="1:32" ht="122.45" customHeight="1" thickBot="1" x14ac:dyDescent="0.35">
      <c r="A200" s="385"/>
      <c r="B200" s="1072" t="s">
        <v>863</v>
      </c>
      <c r="C200" s="1070" t="s">
        <v>864</v>
      </c>
      <c r="D200" s="438" t="s">
        <v>853</v>
      </c>
      <c r="E200" s="1259">
        <v>0.4</v>
      </c>
      <c r="F200" s="395">
        <f>480*4</f>
        <v>1920</v>
      </c>
      <c r="G200" s="474">
        <v>480</v>
      </c>
      <c r="H200" s="457">
        <v>480</v>
      </c>
      <c r="I200" s="405">
        <f>+G200/F200</f>
        <v>0.25</v>
      </c>
      <c r="J200" s="405">
        <f t="shared" si="129"/>
        <v>0.25</v>
      </c>
      <c r="K200" s="455">
        <f>+(G200/F200)*E200</f>
        <v>0.1</v>
      </c>
      <c r="L200" s="467">
        <f t="shared" si="130"/>
        <v>0.1</v>
      </c>
      <c r="M200" s="457">
        <v>177</v>
      </c>
      <c r="N200" s="640">
        <v>16</v>
      </c>
      <c r="O200" s="640">
        <v>64</v>
      </c>
      <c r="P200" s="457"/>
      <c r="Q200" s="457"/>
      <c r="R200" s="457">
        <f t="shared" si="131"/>
        <v>80</v>
      </c>
      <c r="S200" s="457">
        <f t="shared" si="132"/>
        <v>257</v>
      </c>
      <c r="T200" s="454">
        <f>+(M200/G200)</f>
        <v>0.36875000000000002</v>
      </c>
      <c r="U200" s="403">
        <f>+R200/H200</f>
        <v>0.16666666666666666</v>
      </c>
      <c r="V200" s="403">
        <f>+T200*E200</f>
        <v>0.14750000000000002</v>
      </c>
      <c r="W200" s="403">
        <f t="shared" si="134"/>
        <v>6.6666666666666666E-2</v>
      </c>
      <c r="X200" s="403">
        <f>+M200/F200</f>
        <v>9.2187500000000006E-2</v>
      </c>
      <c r="Y200" s="403">
        <f t="shared" si="135"/>
        <v>0.13385416666666666</v>
      </c>
      <c r="Z200" s="403">
        <f>+X200*E200</f>
        <v>3.6875000000000005E-2</v>
      </c>
      <c r="AA200" s="403">
        <f>+Y200*E200</f>
        <v>5.3541666666666668E-2</v>
      </c>
      <c r="AB200" s="404" t="s">
        <v>43</v>
      </c>
      <c r="AC200" s="734" t="s">
        <v>486</v>
      </c>
      <c r="AD200" s="734" t="s">
        <v>38</v>
      </c>
      <c r="AE200" s="734" t="s">
        <v>796</v>
      </c>
      <c r="AF200" s="381"/>
    </row>
    <row r="201" spans="1:32" ht="122.45" customHeight="1" thickBot="1" x14ac:dyDescent="0.35">
      <c r="A201" s="385"/>
      <c r="B201" s="1072" t="s">
        <v>865</v>
      </c>
      <c r="C201" s="1070" t="s">
        <v>866</v>
      </c>
      <c r="D201" s="438" t="s">
        <v>853</v>
      </c>
      <c r="E201" s="1259">
        <v>0.05</v>
      </c>
      <c r="F201" s="395">
        <v>1</v>
      </c>
      <c r="G201" s="474">
        <v>0.5</v>
      </c>
      <c r="H201" s="457">
        <v>0.5</v>
      </c>
      <c r="I201" s="405">
        <f>+G201/F201</f>
        <v>0.5</v>
      </c>
      <c r="J201" s="405">
        <f t="shared" si="129"/>
        <v>0.5</v>
      </c>
      <c r="K201" s="455">
        <f>+(G201/F201)*E201</f>
        <v>2.5000000000000001E-2</v>
      </c>
      <c r="L201" s="467">
        <f t="shared" si="130"/>
        <v>2.5000000000000001E-2</v>
      </c>
      <c r="M201" s="457">
        <v>0.5</v>
      </c>
      <c r="N201" s="640">
        <v>0</v>
      </c>
      <c r="O201" s="640">
        <v>0</v>
      </c>
      <c r="P201" s="457"/>
      <c r="Q201" s="457"/>
      <c r="R201" s="457">
        <f t="shared" si="131"/>
        <v>0</v>
      </c>
      <c r="S201" s="457">
        <f t="shared" si="132"/>
        <v>0.5</v>
      </c>
      <c r="T201" s="454">
        <f>+(M201/G201)</f>
        <v>1</v>
      </c>
      <c r="U201" s="403">
        <f t="shared" si="133"/>
        <v>0</v>
      </c>
      <c r="V201" s="403">
        <f>+T201*E201</f>
        <v>0.05</v>
      </c>
      <c r="W201" s="403">
        <f t="shared" si="134"/>
        <v>0</v>
      </c>
      <c r="X201" s="403">
        <f>+M201/F201</f>
        <v>0.5</v>
      </c>
      <c r="Y201" s="403">
        <f t="shared" si="135"/>
        <v>0.5</v>
      </c>
      <c r="Z201" s="403">
        <f>+X201*E201</f>
        <v>2.5000000000000001E-2</v>
      </c>
      <c r="AA201" s="403">
        <f>+Y201*E201</f>
        <v>2.5000000000000001E-2</v>
      </c>
      <c r="AB201" s="404" t="s">
        <v>43</v>
      </c>
      <c r="AC201" s="734" t="s">
        <v>486</v>
      </c>
      <c r="AD201" s="734" t="s">
        <v>38</v>
      </c>
      <c r="AE201" s="734" t="s">
        <v>796</v>
      </c>
      <c r="AF201" s="381"/>
    </row>
    <row r="202" spans="1:32" ht="122.45" customHeight="1" thickBot="1" x14ac:dyDescent="0.35">
      <c r="A202" s="385"/>
      <c r="B202" s="1072" t="s">
        <v>867</v>
      </c>
      <c r="C202" s="1070" t="s">
        <v>868</v>
      </c>
      <c r="D202" s="438" t="s">
        <v>853</v>
      </c>
      <c r="E202" s="1259">
        <v>0.15</v>
      </c>
      <c r="F202" s="476">
        <v>8000</v>
      </c>
      <c r="G202" s="474">
        <v>2000</v>
      </c>
      <c r="H202" s="457">
        <v>2000</v>
      </c>
      <c r="I202" s="463">
        <f>+G202/F202</f>
        <v>0.25</v>
      </c>
      <c r="J202" s="463"/>
      <c r="K202" s="465">
        <f>+(G202/F202)*E202</f>
        <v>3.7499999999999999E-2</v>
      </c>
      <c r="L202" s="467"/>
      <c r="M202" s="457">
        <v>1095</v>
      </c>
      <c r="N202" s="640">
        <v>25</v>
      </c>
      <c r="O202" s="640">
        <v>881</v>
      </c>
      <c r="P202" s="457"/>
      <c r="Q202" s="457"/>
      <c r="R202" s="457">
        <f t="shared" si="131"/>
        <v>906</v>
      </c>
      <c r="S202" s="457">
        <f t="shared" si="132"/>
        <v>2001</v>
      </c>
      <c r="T202" s="477">
        <v>1</v>
      </c>
      <c r="U202" s="403">
        <f>+R202/H202</f>
        <v>0.45300000000000001</v>
      </c>
      <c r="V202" s="403">
        <f>+T202*E202</f>
        <v>0.15</v>
      </c>
      <c r="W202" s="403"/>
      <c r="X202" s="403">
        <f>+M202/F202</f>
        <v>0.136875</v>
      </c>
      <c r="Y202" s="403">
        <f t="shared" si="135"/>
        <v>0.25012499999999999</v>
      </c>
      <c r="Z202" s="403">
        <f>+X202*E202</f>
        <v>2.0531249999999997E-2</v>
      </c>
      <c r="AA202" s="403">
        <f>+Y202*E202</f>
        <v>3.7518749999999997E-2</v>
      </c>
      <c r="AB202" s="404" t="s">
        <v>43</v>
      </c>
      <c r="AC202" s="752" t="s">
        <v>869</v>
      </c>
      <c r="AD202" s="734" t="s">
        <v>38</v>
      </c>
      <c r="AE202" s="734" t="s">
        <v>796</v>
      </c>
      <c r="AF202" s="381"/>
    </row>
    <row r="203" spans="1:32" ht="122.45" customHeight="1" thickBot="1" x14ac:dyDescent="0.35">
      <c r="A203" s="385"/>
      <c r="B203" s="1292" t="s">
        <v>870</v>
      </c>
      <c r="C203" s="1285"/>
      <c r="D203" s="438"/>
      <c r="E203" s="478">
        <v>0.25</v>
      </c>
      <c r="F203" s="479"/>
      <c r="G203" s="474"/>
      <c r="H203" s="457"/>
      <c r="I203" s="480">
        <f>+AVERAGE(I204:I205)</f>
        <v>0.1554520358868185</v>
      </c>
      <c r="J203" s="480">
        <f>+AVERAGE(J204:J205)</f>
        <v>0.28178053830227745</v>
      </c>
      <c r="K203" s="393">
        <f>+K204+K205</f>
        <v>0.15741890959282262</v>
      </c>
      <c r="L203" s="393">
        <f>+L204+L205</f>
        <v>0.28128364389233956</v>
      </c>
      <c r="M203" s="416"/>
      <c r="N203" s="451"/>
      <c r="O203" s="451"/>
      <c r="P203" s="451"/>
      <c r="Q203" s="451"/>
      <c r="R203" s="451"/>
      <c r="S203" s="451"/>
      <c r="T203" s="639">
        <f>+AVERAGE(T204:T206)</f>
        <v>1</v>
      </c>
      <c r="U203" s="436">
        <f>+AVERAGE(U204:U206)</f>
        <v>0.59162755323772276</v>
      </c>
      <c r="V203" s="436">
        <f>+(V204+V205)*E203</f>
        <v>0.25</v>
      </c>
      <c r="W203" s="436">
        <f>+(W204+W205)*E203</f>
        <v>0.16603563667970447</v>
      </c>
      <c r="X203" s="393">
        <f>+AVERAGE(X204:X205)</f>
        <v>0.43019185645272601</v>
      </c>
      <c r="Y203" s="393">
        <f>+AVERAGE(Y204:Y205)</f>
        <v>0.59680089717046236</v>
      </c>
      <c r="Z203" s="393">
        <f>+(Z204+Z205)*E203</f>
        <v>0.11038109040717736</v>
      </c>
      <c r="AA203" s="393">
        <f>+(AA204+AA205)</f>
        <v>0.62827273982056597</v>
      </c>
      <c r="AB203" s="394"/>
      <c r="AC203" s="380"/>
      <c r="AD203" s="381"/>
      <c r="AE203" s="381"/>
      <c r="AF203" s="381"/>
    </row>
    <row r="204" spans="1:32" ht="122.45" customHeight="1" thickBot="1" x14ac:dyDescent="0.35">
      <c r="A204" s="385"/>
      <c r="B204" s="1072" t="s">
        <v>871</v>
      </c>
      <c r="C204" s="1070" t="s">
        <v>872</v>
      </c>
      <c r="D204" s="438" t="s">
        <v>853</v>
      </c>
      <c r="E204" s="1259">
        <v>0.8</v>
      </c>
      <c r="F204" s="479">
        <v>63000</v>
      </c>
      <c r="G204" s="474">
        <v>10000</v>
      </c>
      <c r="H204" s="457">
        <v>17700</v>
      </c>
      <c r="I204" s="482">
        <f>+G204/F204</f>
        <v>0.15873015873015872</v>
      </c>
      <c r="J204" s="482">
        <f t="shared" ref="J204:J205" si="136">+H204/F204</f>
        <v>0.28095238095238095</v>
      </c>
      <c r="K204" s="467">
        <f>+(G204/F204)*E204</f>
        <v>0.12698412698412698</v>
      </c>
      <c r="L204" s="483">
        <f t="shared" ref="L204:L205" si="137">+(H204/F204)*E204</f>
        <v>0.22476190476190477</v>
      </c>
      <c r="M204" s="457">
        <v>28292</v>
      </c>
      <c r="N204" s="640">
        <v>1495</v>
      </c>
      <c r="O204" s="640">
        <v>11116</v>
      </c>
      <c r="P204" s="457"/>
      <c r="Q204" s="457"/>
      <c r="R204" s="457">
        <f t="shared" ref="R204:R205" si="138">+N204+O204+P204+Q204</f>
        <v>12611</v>
      </c>
      <c r="S204" s="457">
        <f t="shared" ref="S204:S205" si="139">+R204+M204</f>
        <v>40903</v>
      </c>
      <c r="T204" s="484">
        <v>1</v>
      </c>
      <c r="U204" s="403">
        <f t="shared" ref="U204" si="140">+R204/H204</f>
        <v>0.71248587570621469</v>
      </c>
      <c r="V204" s="403">
        <f>+T204*E204</f>
        <v>0.8</v>
      </c>
      <c r="W204" s="403">
        <f t="shared" ref="W204:W205" si="141">+U204*E204</f>
        <v>0.56998870056497175</v>
      </c>
      <c r="X204" s="403">
        <f>+M204/F204</f>
        <v>0.44907936507936508</v>
      </c>
      <c r="Y204" s="403">
        <f t="shared" ref="Y204:Y205" si="142">+S204/F204</f>
        <v>0.64925396825396831</v>
      </c>
      <c r="Z204" s="403">
        <f>+X204*E204</f>
        <v>0.35926349206349206</v>
      </c>
      <c r="AA204" s="403">
        <f>+Y204*E204</f>
        <v>0.51940317460317464</v>
      </c>
      <c r="AB204" s="404" t="s">
        <v>43</v>
      </c>
      <c r="AC204" s="734" t="s">
        <v>486</v>
      </c>
      <c r="AD204" s="734" t="s">
        <v>38</v>
      </c>
      <c r="AE204" s="734" t="s">
        <v>796</v>
      </c>
      <c r="AF204" s="381"/>
    </row>
    <row r="205" spans="1:32" ht="122.45" customHeight="1" thickBot="1" x14ac:dyDescent="0.35">
      <c r="A205" s="385"/>
      <c r="B205" s="1073" t="s">
        <v>873</v>
      </c>
      <c r="C205" s="1074" t="s">
        <v>874</v>
      </c>
      <c r="D205" s="821" t="s">
        <v>853</v>
      </c>
      <c r="E205" s="1259">
        <v>0.2</v>
      </c>
      <c r="F205" s="479">
        <v>2300</v>
      </c>
      <c r="G205" s="474">
        <v>350</v>
      </c>
      <c r="H205" s="457">
        <v>650</v>
      </c>
      <c r="I205" s="482">
        <f>+G205/F205</f>
        <v>0.15217391304347827</v>
      </c>
      <c r="J205" s="482">
        <f t="shared" si="136"/>
        <v>0.28260869565217389</v>
      </c>
      <c r="K205" s="467">
        <f>+(G205/F205)*E205</f>
        <v>3.0434782608695657E-2</v>
      </c>
      <c r="L205" s="483">
        <f t="shared" si="137"/>
        <v>5.6521739130434782E-2</v>
      </c>
      <c r="M205" s="457">
        <v>946</v>
      </c>
      <c r="N205" s="640">
        <v>149</v>
      </c>
      <c r="O205" s="640">
        <v>157</v>
      </c>
      <c r="P205" s="457"/>
      <c r="Q205" s="457"/>
      <c r="R205" s="457">
        <f t="shared" si="138"/>
        <v>306</v>
      </c>
      <c r="S205" s="457">
        <f t="shared" si="139"/>
        <v>1252</v>
      </c>
      <c r="T205" s="484">
        <v>1</v>
      </c>
      <c r="U205" s="403">
        <f>+R205/H205</f>
        <v>0.47076923076923077</v>
      </c>
      <c r="V205" s="403">
        <f>+T205*E205</f>
        <v>0.2</v>
      </c>
      <c r="W205" s="403">
        <f t="shared" si="141"/>
        <v>9.4153846153846157E-2</v>
      </c>
      <c r="X205" s="403">
        <f>+M205/F205</f>
        <v>0.41130434782608694</v>
      </c>
      <c r="Y205" s="403">
        <f t="shared" si="142"/>
        <v>0.54434782608695653</v>
      </c>
      <c r="Z205" s="403">
        <f>+X205*E205</f>
        <v>8.2260869565217387E-2</v>
      </c>
      <c r="AA205" s="403">
        <f>+Y205*E205</f>
        <v>0.10886956521739131</v>
      </c>
      <c r="AB205" s="404" t="s">
        <v>43</v>
      </c>
      <c r="AC205" s="734" t="s">
        <v>486</v>
      </c>
      <c r="AD205" s="734" t="s">
        <v>38</v>
      </c>
      <c r="AE205" s="734" t="s">
        <v>796</v>
      </c>
      <c r="AF205" s="381"/>
    </row>
    <row r="206" spans="1:32" ht="122.45" customHeight="1" thickBot="1" x14ac:dyDescent="0.35">
      <c r="A206" s="381"/>
      <c r="B206" s="384"/>
      <c r="C206" s="384"/>
      <c r="D206" s="822"/>
      <c r="E206" s="384"/>
      <c r="F206" s="485"/>
      <c r="G206" s="384"/>
      <c r="H206" s="384"/>
      <c r="I206" s="384"/>
      <c r="J206" s="384"/>
      <c r="K206" s="384"/>
      <c r="L206" s="384"/>
      <c r="M206" s="625"/>
      <c r="N206" s="384"/>
      <c r="O206" s="384"/>
      <c r="P206" s="384"/>
      <c r="Q206" s="384"/>
      <c r="R206" s="384"/>
      <c r="S206" s="384"/>
      <c r="T206" s="384"/>
      <c r="U206" s="384"/>
      <c r="V206" s="384"/>
      <c r="W206" s="384"/>
      <c r="X206" s="384"/>
      <c r="Y206" s="384"/>
      <c r="Z206" s="384"/>
      <c r="AA206" s="384"/>
      <c r="AB206" s="384"/>
      <c r="AC206" s="381"/>
      <c r="AD206" s="381"/>
      <c r="AE206" s="381"/>
      <c r="AF206" s="381"/>
    </row>
    <row r="207" spans="1:32" ht="122.45" customHeight="1" thickBot="1" x14ac:dyDescent="0.35">
      <c r="A207" s="381"/>
      <c r="B207" s="381"/>
      <c r="C207" s="381"/>
      <c r="D207" s="823"/>
      <c r="E207" s="381"/>
      <c r="F207" s="486"/>
      <c r="G207" s="381"/>
      <c r="H207" s="381"/>
      <c r="I207" s="381"/>
      <c r="J207" s="381"/>
      <c r="K207" s="381"/>
      <c r="L207" s="381"/>
      <c r="M207" s="626"/>
      <c r="N207" s="381"/>
      <c r="O207" s="381"/>
      <c r="P207" s="381"/>
      <c r="Q207" s="381"/>
      <c r="R207" s="381"/>
      <c r="S207" s="381"/>
      <c r="T207" s="381"/>
      <c r="U207" s="381"/>
      <c r="V207" s="381"/>
      <c r="W207" s="381"/>
      <c r="X207" s="381"/>
      <c r="Y207" s="381"/>
      <c r="Z207" s="381"/>
      <c r="AA207" s="381"/>
      <c r="AB207" s="381"/>
      <c r="AC207" s="381"/>
      <c r="AD207" s="381"/>
      <c r="AE207" s="381"/>
      <c r="AF207" s="381"/>
    </row>
    <row r="208" spans="1:32" ht="122.45" customHeight="1" thickBot="1" x14ac:dyDescent="0.35">
      <c r="A208" s="381"/>
      <c r="B208" s="381"/>
      <c r="C208" s="381"/>
      <c r="D208" s="823"/>
      <c r="E208" s="381"/>
      <c r="F208" s="486"/>
      <c r="G208" s="381"/>
      <c r="H208" s="381"/>
      <c r="I208" s="381"/>
      <c r="J208" s="381"/>
      <c r="K208" s="381"/>
      <c r="L208" s="381"/>
      <c r="M208" s="626"/>
      <c r="N208" s="381"/>
      <c r="O208" s="381"/>
      <c r="P208" s="381"/>
      <c r="Q208" s="381"/>
      <c r="R208" s="381"/>
      <c r="S208" s="381"/>
      <c r="T208" s="381"/>
      <c r="U208" s="381"/>
      <c r="V208" s="381"/>
      <c r="W208" s="381"/>
      <c r="X208" s="381"/>
      <c r="Y208" s="381"/>
      <c r="Z208" s="381"/>
      <c r="AA208" s="381"/>
      <c r="AB208" s="381"/>
      <c r="AC208" s="381"/>
      <c r="AD208" s="381"/>
      <c r="AE208" s="381"/>
      <c r="AF208" s="381"/>
    </row>
    <row r="209" spans="1:32" ht="122.45" customHeight="1" thickBot="1" x14ac:dyDescent="0.35">
      <c r="A209" s="381"/>
      <c r="B209" s="381"/>
      <c r="C209" s="381"/>
      <c r="D209" s="823"/>
      <c r="E209" s="381"/>
      <c r="F209" s="486"/>
      <c r="G209" s="381"/>
      <c r="H209" s="381"/>
      <c r="I209" s="381"/>
      <c r="J209" s="381"/>
      <c r="K209" s="381"/>
      <c r="L209" s="381"/>
      <c r="M209" s="626"/>
      <c r="N209" s="381"/>
      <c r="O209" s="381"/>
      <c r="P209" s="381"/>
      <c r="Q209" s="381"/>
      <c r="R209" s="381"/>
      <c r="S209" s="381"/>
      <c r="T209" s="381"/>
      <c r="U209" s="381"/>
      <c r="V209" s="381"/>
      <c r="W209" s="381"/>
      <c r="X209" s="381"/>
      <c r="Y209" s="381"/>
      <c r="Z209" s="381"/>
      <c r="AA209" s="381"/>
      <c r="AB209" s="381"/>
      <c r="AC209" s="381"/>
      <c r="AD209" s="381"/>
      <c r="AE209" s="381"/>
      <c r="AF209" s="381"/>
    </row>
    <row r="210" spans="1:32" ht="122.45" customHeight="1" thickBot="1" x14ac:dyDescent="0.35">
      <c r="A210" s="381"/>
      <c r="B210" s="381"/>
      <c r="C210" s="381"/>
      <c r="D210" s="823"/>
      <c r="E210" s="381"/>
      <c r="F210" s="486"/>
      <c r="G210" s="381"/>
      <c r="H210" s="381"/>
      <c r="I210" s="381"/>
      <c r="J210" s="381"/>
      <c r="K210" s="381"/>
      <c r="L210" s="381"/>
      <c r="M210" s="626"/>
      <c r="N210" s="381"/>
      <c r="O210" s="381"/>
      <c r="P210" s="381"/>
      <c r="Q210" s="381"/>
      <c r="R210" s="381"/>
      <c r="S210" s="381"/>
      <c r="T210" s="381"/>
      <c r="U210" s="381"/>
      <c r="V210" s="381"/>
      <c r="W210" s="381"/>
      <c r="X210" s="381"/>
      <c r="Y210" s="381"/>
      <c r="Z210" s="381"/>
      <c r="AA210" s="381"/>
      <c r="AB210" s="381"/>
      <c r="AC210" s="381"/>
      <c r="AD210" s="381"/>
      <c r="AE210" s="381"/>
      <c r="AF210" s="381"/>
    </row>
    <row r="211" spans="1:32" ht="122.45" customHeight="1" thickBot="1" x14ac:dyDescent="0.35">
      <c r="A211" s="381"/>
      <c r="B211" s="381"/>
      <c r="C211" s="381"/>
      <c r="D211" s="823"/>
      <c r="E211" s="381"/>
      <c r="F211" s="486"/>
      <c r="G211" s="381"/>
      <c r="H211" s="381"/>
      <c r="I211" s="381"/>
      <c r="J211" s="381"/>
      <c r="K211" s="381"/>
      <c r="L211" s="381"/>
      <c r="M211" s="626"/>
      <c r="N211" s="381"/>
      <c r="O211" s="381"/>
      <c r="P211" s="381"/>
      <c r="Q211" s="381"/>
      <c r="R211" s="381"/>
      <c r="S211" s="381"/>
      <c r="T211" s="381"/>
      <c r="U211" s="381"/>
      <c r="V211" s="381"/>
      <c r="W211" s="381"/>
      <c r="X211" s="381"/>
      <c r="Y211" s="381"/>
      <c r="Z211" s="381"/>
      <c r="AA211" s="381"/>
      <c r="AB211" s="381"/>
      <c r="AC211" s="381"/>
      <c r="AD211" s="381"/>
      <c r="AE211" s="381"/>
      <c r="AF211" s="381"/>
    </row>
    <row r="212" spans="1:32" ht="122.45" customHeight="1" thickBot="1" x14ac:dyDescent="0.35">
      <c r="A212" s="381"/>
      <c r="B212" s="381"/>
      <c r="C212" s="381"/>
      <c r="D212" s="823"/>
      <c r="E212" s="381"/>
      <c r="F212" s="486"/>
      <c r="G212" s="381"/>
      <c r="H212" s="381"/>
      <c r="I212" s="381"/>
      <c r="J212" s="381"/>
      <c r="K212" s="381"/>
      <c r="L212" s="381"/>
      <c r="M212" s="626"/>
      <c r="N212" s="381"/>
      <c r="O212" s="381"/>
      <c r="P212" s="381"/>
      <c r="Q212" s="381"/>
      <c r="R212" s="381"/>
      <c r="S212" s="381"/>
      <c r="T212" s="381"/>
      <c r="U212" s="381"/>
      <c r="V212" s="381"/>
      <c r="W212" s="381"/>
      <c r="X212" s="381"/>
      <c r="Y212" s="381"/>
      <c r="Z212" s="381"/>
      <c r="AA212" s="381"/>
      <c r="AB212" s="381"/>
      <c r="AC212" s="381"/>
      <c r="AD212" s="381"/>
      <c r="AE212" s="381"/>
      <c r="AF212" s="381"/>
    </row>
    <row r="213" spans="1:32" ht="122.45" customHeight="1" thickBot="1" x14ac:dyDescent="0.35">
      <c r="A213" s="381"/>
      <c r="B213" s="381"/>
      <c r="C213" s="381"/>
      <c r="D213" s="823"/>
      <c r="E213" s="381"/>
      <c r="F213" s="486"/>
      <c r="G213" s="381"/>
      <c r="H213" s="381"/>
      <c r="I213" s="381"/>
      <c r="J213" s="381"/>
      <c r="K213" s="381"/>
      <c r="L213" s="381"/>
      <c r="M213" s="626"/>
      <c r="N213" s="381"/>
      <c r="O213" s="381"/>
      <c r="P213" s="381"/>
      <c r="Q213" s="381"/>
      <c r="R213" s="381"/>
      <c r="S213" s="381"/>
      <c r="T213" s="381"/>
      <c r="U213" s="381"/>
      <c r="V213" s="381"/>
      <c r="W213" s="381"/>
      <c r="X213" s="381"/>
      <c r="Y213" s="381"/>
      <c r="Z213" s="381"/>
      <c r="AA213" s="381"/>
      <c r="AB213" s="381"/>
      <c r="AC213" s="381"/>
      <c r="AD213" s="381"/>
      <c r="AE213" s="381"/>
      <c r="AF213" s="381"/>
    </row>
    <row r="214" spans="1:32" ht="122.45" customHeight="1" thickBot="1" x14ac:dyDescent="0.35">
      <c r="A214" s="381"/>
      <c r="B214" s="381"/>
      <c r="C214" s="381"/>
      <c r="D214" s="823"/>
      <c r="E214" s="381"/>
      <c r="F214" s="486"/>
      <c r="G214" s="381"/>
      <c r="H214" s="381"/>
      <c r="I214" s="381"/>
      <c r="J214" s="381"/>
      <c r="K214" s="381"/>
      <c r="L214" s="381"/>
      <c r="M214" s="626"/>
      <c r="N214" s="381"/>
      <c r="O214" s="381"/>
      <c r="P214" s="381"/>
      <c r="Q214" s="381"/>
      <c r="R214" s="381"/>
      <c r="S214" s="381"/>
      <c r="T214" s="381"/>
      <c r="U214" s="381"/>
      <c r="V214" s="381"/>
      <c r="W214" s="381"/>
      <c r="X214" s="381"/>
      <c r="Y214" s="381"/>
      <c r="Z214" s="381"/>
      <c r="AA214" s="381"/>
      <c r="AB214" s="381"/>
      <c r="AC214" s="381"/>
      <c r="AD214" s="381"/>
      <c r="AE214" s="381"/>
      <c r="AF214" s="381"/>
    </row>
    <row r="215" spans="1:32" ht="122.45" customHeight="1" thickBot="1" x14ac:dyDescent="0.35">
      <c r="A215" s="381"/>
      <c r="B215" s="381"/>
      <c r="C215" s="381"/>
      <c r="D215" s="823"/>
      <c r="E215" s="381"/>
      <c r="F215" s="486"/>
      <c r="G215" s="381"/>
      <c r="H215" s="381"/>
      <c r="I215" s="381"/>
      <c r="J215" s="381"/>
      <c r="K215" s="381"/>
      <c r="L215" s="381"/>
      <c r="M215" s="626"/>
      <c r="N215" s="381"/>
      <c r="O215" s="381"/>
      <c r="P215" s="381"/>
      <c r="Q215" s="381"/>
      <c r="R215" s="381"/>
      <c r="S215" s="381"/>
      <c r="T215" s="381"/>
      <c r="U215" s="381"/>
      <c r="V215" s="381"/>
      <c r="W215" s="381"/>
      <c r="X215" s="381"/>
      <c r="Y215" s="381"/>
      <c r="Z215" s="381"/>
      <c r="AA215" s="381"/>
      <c r="AB215" s="381"/>
      <c r="AC215" s="381"/>
      <c r="AD215" s="381"/>
      <c r="AE215" s="381"/>
      <c r="AF215" s="381"/>
    </row>
    <row r="216" spans="1:32" ht="122.45" customHeight="1" thickBot="1" x14ac:dyDescent="0.35">
      <c r="A216" s="381"/>
      <c r="B216" s="381"/>
      <c r="C216" s="381"/>
      <c r="D216" s="823"/>
      <c r="E216" s="381"/>
      <c r="F216" s="486"/>
      <c r="G216" s="381"/>
      <c r="H216" s="381"/>
      <c r="I216" s="381"/>
      <c r="J216" s="381"/>
      <c r="K216" s="381"/>
      <c r="L216" s="381"/>
      <c r="M216" s="626"/>
      <c r="N216" s="381"/>
      <c r="O216" s="381"/>
      <c r="P216" s="381"/>
      <c r="Q216" s="381"/>
      <c r="R216" s="381"/>
      <c r="S216" s="381"/>
      <c r="T216" s="381"/>
      <c r="U216" s="381"/>
      <c r="V216" s="381"/>
      <c r="W216" s="381"/>
      <c r="X216" s="381"/>
      <c r="Y216" s="381"/>
      <c r="Z216" s="381"/>
      <c r="AA216" s="381"/>
      <c r="AB216" s="381"/>
      <c r="AC216" s="381"/>
      <c r="AD216" s="381"/>
      <c r="AE216" s="381"/>
      <c r="AF216" s="381"/>
    </row>
    <row r="217" spans="1:32" ht="122.45" customHeight="1" thickBot="1" x14ac:dyDescent="0.35">
      <c r="A217" s="381"/>
      <c r="B217" s="381"/>
      <c r="C217" s="381"/>
      <c r="D217" s="823"/>
      <c r="E217" s="381"/>
      <c r="F217" s="486"/>
      <c r="G217" s="381"/>
      <c r="H217" s="381"/>
      <c r="I217" s="381"/>
      <c r="J217" s="381"/>
      <c r="K217" s="381"/>
      <c r="L217" s="381"/>
      <c r="M217" s="626"/>
      <c r="N217" s="381"/>
      <c r="O217" s="381"/>
      <c r="P217" s="381"/>
      <c r="Q217" s="381"/>
      <c r="R217" s="381"/>
      <c r="S217" s="381"/>
      <c r="T217" s="381"/>
      <c r="U217" s="381"/>
      <c r="V217" s="381"/>
      <c r="W217" s="381"/>
      <c r="X217" s="381"/>
      <c r="Y217" s="381"/>
      <c r="Z217" s="381"/>
      <c r="AA217" s="381"/>
      <c r="AB217" s="381"/>
      <c r="AC217" s="381"/>
      <c r="AD217" s="381"/>
      <c r="AE217" s="381"/>
      <c r="AF217" s="381"/>
    </row>
    <row r="218" spans="1:32" ht="122.45" customHeight="1" thickBot="1" x14ac:dyDescent="0.35">
      <c r="A218" s="381"/>
      <c r="B218" s="381"/>
      <c r="C218" s="381"/>
      <c r="D218" s="823"/>
      <c r="E218" s="381"/>
      <c r="F218" s="486"/>
      <c r="G218" s="381"/>
      <c r="H218" s="381"/>
      <c r="I218" s="381"/>
      <c r="J218" s="381"/>
      <c r="K218" s="381"/>
      <c r="L218" s="381"/>
      <c r="M218" s="626"/>
      <c r="N218" s="381"/>
      <c r="O218" s="381"/>
      <c r="P218" s="381"/>
      <c r="Q218" s="381"/>
      <c r="R218" s="381"/>
      <c r="S218" s="381"/>
      <c r="T218" s="381"/>
      <c r="U218" s="381"/>
      <c r="V218" s="381"/>
      <c r="W218" s="381"/>
      <c r="X218" s="381"/>
      <c r="Y218" s="381"/>
      <c r="Z218" s="381"/>
      <c r="AA218" s="381"/>
      <c r="AB218" s="381"/>
      <c r="AC218" s="381"/>
      <c r="AD218" s="381"/>
      <c r="AE218" s="381"/>
      <c r="AF218" s="381"/>
    </row>
    <row r="219" spans="1:32" ht="122.45" customHeight="1" thickBot="1" x14ac:dyDescent="0.35">
      <c r="A219" s="381"/>
      <c r="B219" s="381"/>
      <c r="C219" s="381"/>
      <c r="D219" s="823"/>
      <c r="E219" s="381"/>
      <c r="F219" s="486"/>
      <c r="G219" s="381"/>
      <c r="H219" s="381"/>
      <c r="I219" s="381"/>
      <c r="J219" s="381"/>
      <c r="K219" s="381"/>
      <c r="L219" s="381"/>
      <c r="M219" s="626"/>
      <c r="N219" s="381"/>
      <c r="O219" s="381"/>
      <c r="P219" s="381"/>
      <c r="Q219" s="381"/>
      <c r="R219" s="381"/>
      <c r="S219" s="381"/>
      <c r="T219" s="381"/>
      <c r="U219" s="381"/>
      <c r="V219" s="381"/>
      <c r="W219" s="381"/>
      <c r="X219" s="381"/>
      <c r="Y219" s="381"/>
      <c r="Z219" s="381"/>
      <c r="AA219" s="381"/>
      <c r="AB219" s="381"/>
      <c r="AC219" s="381"/>
      <c r="AD219" s="381"/>
      <c r="AE219" s="381"/>
      <c r="AF219" s="381"/>
    </row>
    <row r="220" spans="1:32" ht="122.45" customHeight="1" thickBot="1" x14ac:dyDescent="0.35">
      <c r="A220" s="381"/>
      <c r="B220" s="381"/>
      <c r="C220" s="381"/>
      <c r="D220" s="823"/>
      <c r="E220" s="381"/>
      <c r="F220" s="486"/>
      <c r="G220" s="381"/>
      <c r="H220" s="381"/>
      <c r="I220" s="381"/>
      <c r="J220" s="381"/>
      <c r="K220" s="381"/>
      <c r="L220" s="381"/>
      <c r="M220" s="626"/>
      <c r="N220" s="381"/>
      <c r="O220" s="381"/>
      <c r="P220" s="381"/>
      <c r="Q220" s="381"/>
      <c r="R220" s="381"/>
      <c r="S220" s="381"/>
      <c r="T220" s="381"/>
      <c r="U220" s="381"/>
      <c r="V220" s="381"/>
      <c r="W220" s="381"/>
      <c r="X220" s="381"/>
      <c r="Y220" s="381"/>
      <c r="Z220" s="381"/>
      <c r="AA220" s="381"/>
      <c r="AB220" s="381"/>
      <c r="AC220" s="381"/>
      <c r="AD220" s="381"/>
      <c r="AE220" s="381"/>
      <c r="AF220" s="381"/>
    </row>
    <row r="221" spans="1:32" ht="122.45" customHeight="1" thickBot="1" x14ac:dyDescent="0.35">
      <c r="A221" s="381"/>
      <c r="B221" s="381"/>
      <c r="C221" s="381"/>
      <c r="D221" s="823"/>
      <c r="E221" s="381"/>
      <c r="F221" s="486"/>
      <c r="G221" s="381"/>
      <c r="H221" s="381"/>
      <c r="I221" s="381"/>
      <c r="J221" s="381"/>
      <c r="K221" s="381"/>
      <c r="L221" s="381"/>
      <c r="M221" s="626"/>
      <c r="N221" s="381"/>
      <c r="O221" s="381"/>
      <c r="P221" s="381"/>
      <c r="Q221" s="381"/>
      <c r="R221" s="381"/>
      <c r="S221" s="381"/>
      <c r="T221" s="381"/>
      <c r="U221" s="381"/>
      <c r="V221" s="381"/>
      <c r="W221" s="381"/>
      <c r="X221" s="381"/>
      <c r="Y221" s="381"/>
      <c r="Z221" s="381"/>
      <c r="AA221" s="381"/>
      <c r="AB221" s="381"/>
      <c r="AC221" s="381"/>
      <c r="AD221" s="381"/>
      <c r="AE221" s="381"/>
      <c r="AF221" s="381"/>
    </row>
    <row r="222" spans="1:32" ht="122.45" customHeight="1" thickBot="1" x14ac:dyDescent="0.35">
      <c r="A222" s="381"/>
      <c r="B222" s="381"/>
      <c r="C222" s="381"/>
      <c r="D222" s="823"/>
      <c r="E222" s="381"/>
      <c r="F222" s="486"/>
      <c r="G222" s="381"/>
      <c r="H222" s="381"/>
      <c r="I222" s="381"/>
      <c r="J222" s="381"/>
      <c r="K222" s="381"/>
      <c r="L222" s="381"/>
      <c r="M222" s="626"/>
      <c r="N222" s="381"/>
      <c r="O222" s="381"/>
      <c r="P222" s="381"/>
      <c r="Q222" s="381"/>
      <c r="R222" s="381"/>
      <c r="S222" s="381"/>
      <c r="T222" s="381"/>
      <c r="U222" s="381"/>
      <c r="V222" s="381"/>
      <c r="W222" s="381"/>
      <c r="X222" s="381"/>
      <c r="Y222" s="381"/>
      <c r="Z222" s="381"/>
      <c r="AA222" s="381"/>
      <c r="AB222" s="381"/>
      <c r="AC222" s="381"/>
      <c r="AD222" s="381"/>
      <c r="AE222" s="381"/>
      <c r="AF222" s="381"/>
    </row>
    <row r="223" spans="1:32" ht="122.45" customHeight="1" thickBot="1" x14ac:dyDescent="0.35">
      <c r="A223" s="381"/>
      <c r="B223" s="381"/>
      <c r="C223" s="381"/>
      <c r="D223" s="823"/>
      <c r="E223" s="381"/>
      <c r="F223" s="486"/>
      <c r="G223" s="381"/>
      <c r="H223" s="381"/>
      <c r="I223" s="381"/>
      <c r="J223" s="381"/>
      <c r="K223" s="381"/>
      <c r="L223" s="381"/>
      <c r="M223" s="626"/>
      <c r="N223" s="381"/>
      <c r="O223" s="381"/>
      <c r="P223" s="381"/>
      <c r="Q223" s="381"/>
      <c r="R223" s="381"/>
      <c r="S223" s="381"/>
      <c r="T223" s="381"/>
      <c r="U223" s="381"/>
      <c r="V223" s="381"/>
      <c r="W223" s="381"/>
      <c r="X223" s="381"/>
      <c r="Y223" s="381"/>
      <c r="Z223" s="381"/>
      <c r="AA223" s="381"/>
      <c r="AB223" s="381"/>
      <c r="AC223" s="381"/>
      <c r="AD223" s="381"/>
      <c r="AE223" s="381"/>
      <c r="AF223" s="381"/>
    </row>
    <row r="224" spans="1:32" ht="122.45" customHeight="1" thickBot="1" x14ac:dyDescent="0.35">
      <c r="A224" s="381"/>
      <c r="B224" s="381"/>
      <c r="C224" s="381"/>
      <c r="D224" s="823"/>
      <c r="E224" s="381"/>
      <c r="F224" s="486"/>
      <c r="G224" s="381"/>
      <c r="H224" s="381"/>
      <c r="I224" s="381"/>
      <c r="J224" s="381"/>
      <c r="K224" s="381"/>
      <c r="L224" s="381"/>
      <c r="M224" s="626"/>
      <c r="N224" s="381"/>
      <c r="O224" s="381"/>
      <c r="P224" s="381"/>
      <c r="Q224" s="381"/>
      <c r="R224" s="381"/>
      <c r="S224" s="381"/>
      <c r="T224" s="381"/>
      <c r="U224" s="381"/>
      <c r="V224" s="381"/>
      <c r="W224" s="381"/>
      <c r="X224" s="381"/>
      <c r="Y224" s="381"/>
      <c r="Z224" s="381"/>
      <c r="AA224" s="381"/>
      <c r="AB224" s="381"/>
      <c r="AC224" s="381"/>
      <c r="AD224" s="381"/>
      <c r="AE224" s="381"/>
      <c r="AF224" s="381"/>
    </row>
    <row r="225" spans="1:32" ht="122.45" customHeight="1" thickBot="1" x14ac:dyDescent="0.35">
      <c r="A225" s="381"/>
      <c r="B225" s="381"/>
      <c r="C225" s="381"/>
      <c r="D225" s="823"/>
      <c r="E225" s="381"/>
      <c r="F225" s="486"/>
      <c r="G225" s="381"/>
      <c r="H225" s="381"/>
      <c r="I225" s="381"/>
      <c r="J225" s="381"/>
      <c r="K225" s="381"/>
      <c r="L225" s="381"/>
      <c r="M225" s="626"/>
      <c r="N225" s="381"/>
      <c r="O225" s="381"/>
      <c r="P225" s="381"/>
      <c r="Q225" s="381"/>
      <c r="R225" s="381"/>
      <c r="S225" s="381"/>
      <c r="T225" s="381"/>
      <c r="U225" s="381"/>
      <c r="V225" s="381"/>
      <c r="W225" s="381"/>
      <c r="X225" s="381"/>
      <c r="Y225" s="381"/>
      <c r="Z225" s="381"/>
      <c r="AA225" s="381"/>
      <c r="AB225" s="381"/>
      <c r="AC225" s="381"/>
      <c r="AD225" s="381"/>
      <c r="AE225" s="381"/>
      <c r="AF225" s="381"/>
    </row>
    <row r="226" spans="1:32" ht="122.45" customHeight="1" thickBot="1" x14ac:dyDescent="0.35">
      <c r="A226" s="381"/>
      <c r="B226" s="381"/>
      <c r="C226" s="381"/>
      <c r="D226" s="823"/>
      <c r="E226" s="381"/>
      <c r="F226" s="486"/>
      <c r="G226" s="381"/>
      <c r="H226" s="381"/>
      <c r="I226" s="381"/>
      <c r="J226" s="381"/>
      <c r="K226" s="381"/>
      <c r="L226" s="381"/>
      <c r="M226" s="626"/>
      <c r="N226" s="381"/>
      <c r="O226" s="381"/>
      <c r="P226" s="381"/>
      <c r="Q226" s="381"/>
      <c r="R226" s="381"/>
      <c r="S226" s="381"/>
      <c r="T226" s="381"/>
      <c r="U226" s="381"/>
      <c r="V226" s="381"/>
      <c r="W226" s="381"/>
      <c r="X226" s="381"/>
      <c r="Y226" s="381"/>
      <c r="Z226" s="381"/>
      <c r="AA226" s="381"/>
      <c r="AB226" s="381"/>
      <c r="AC226" s="381"/>
      <c r="AD226" s="381"/>
      <c r="AE226" s="381"/>
      <c r="AF226" s="381"/>
    </row>
    <row r="227" spans="1:32" ht="122.45" customHeight="1" thickBot="1" x14ac:dyDescent="0.35">
      <c r="A227" s="381"/>
      <c r="B227" s="381"/>
      <c r="C227" s="381"/>
      <c r="D227" s="823"/>
      <c r="E227" s="381"/>
      <c r="F227" s="486"/>
      <c r="G227" s="381"/>
      <c r="H227" s="381"/>
      <c r="I227" s="381"/>
      <c r="J227" s="381"/>
      <c r="K227" s="381"/>
      <c r="L227" s="381"/>
      <c r="M227" s="626"/>
      <c r="N227" s="381"/>
      <c r="O227" s="381"/>
      <c r="P227" s="381"/>
      <c r="Q227" s="381"/>
      <c r="R227" s="381"/>
      <c r="S227" s="381"/>
      <c r="T227" s="381"/>
      <c r="U227" s="381"/>
      <c r="V227" s="381"/>
      <c r="W227" s="381"/>
      <c r="X227" s="381"/>
      <c r="Y227" s="381"/>
      <c r="Z227" s="381"/>
      <c r="AA227" s="381"/>
      <c r="AB227" s="381"/>
      <c r="AC227" s="381"/>
      <c r="AD227" s="381"/>
      <c r="AE227" s="381"/>
      <c r="AF227" s="381"/>
    </row>
    <row r="228" spans="1:32" ht="122.45" customHeight="1" thickBot="1" x14ac:dyDescent="0.35">
      <c r="A228" s="381"/>
      <c r="B228" s="381"/>
      <c r="C228" s="381"/>
      <c r="D228" s="823"/>
      <c r="E228" s="381"/>
      <c r="F228" s="486"/>
      <c r="G228" s="381"/>
      <c r="H228" s="381"/>
      <c r="I228" s="381"/>
      <c r="J228" s="381"/>
      <c r="K228" s="381"/>
      <c r="L228" s="381"/>
      <c r="M228" s="626"/>
      <c r="N228" s="381"/>
      <c r="O228" s="381"/>
      <c r="P228" s="381"/>
      <c r="Q228" s="381"/>
      <c r="R228" s="381"/>
      <c r="S228" s="381"/>
      <c r="T228" s="381"/>
      <c r="U228" s="381"/>
      <c r="V228" s="381"/>
      <c r="W228" s="381"/>
      <c r="X228" s="381"/>
      <c r="Y228" s="381"/>
      <c r="Z228" s="381"/>
      <c r="AA228" s="381"/>
      <c r="AB228" s="381"/>
      <c r="AC228" s="381"/>
      <c r="AD228" s="381"/>
      <c r="AE228" s="381"/>
      <c r="AF228" s="381"/>
    </row>
    <row r="229" spans="1:32" ht="122.45" customHeight="1" thickBot="1" x14ac:dyDescent="0.35">
      <c r="A229" s="381"/>
      <c r="B229" s="381"/>
      <c r="C229" s="381"/>
      <c r="D229" s="823"/>
      <c r="E229" s="381"/>
      <c r="F229" s="486"/>
      <c r="G229" s="381"/>
      <c r="H229" s="381"/>
      <c r="I229" s="381"/>
      <c r="J229" s="381"/>
      <c r="K229" s="381"/>
      <c r="L229" s="381"/>
      <c r="M229" s="626"/>
      <c r="N229" s="381"/>
      <c r="O229" s="381"/>
      <c r="P229" s="381"/>
      <c r="Q229" s="381"/>
      <c r="R229" s="381"/>
      <c r="S229" s="381"/>
      <c r="T229" s="381"/>
      <c r="U229" s="381"/>
      <c r="V229" s="381"/>
      <c r="W229" s="381"/>
      <c r="X229" s="381"/>
      <c r="Y229" s="381"/>
      <c r="Z229" s="381"/>
      <c r="AA229" s="381"/>
      <c r="AB229" s="381"/>
      <c r="AC229" s="381"/>
      <c r="AD229" s="381"/>
      <c r="AE229" s="381"/>
      <c r="AF229" s="381"/>
    </row>
    <row r="230" spans="1:32" ht="122.45" customHeight="1" thickBot="1" x14ac:dyDescent="0.35">
      <c r="A230" s="381"/>
      <c r="B230" s="381"/>
      <c r="C230" s="381"/>
      <c r="D230" s="823"/>
      <c r="E230" s="381"/>
      <c r="F230" s="486"/>
      <c r="G230" s="381"/>
      <c r="H230" s="381"/>
      <c r="I230" s="381"/>
      <c r="J230" s="381"/>
      <c r="K230" s="381"/>
      <c r="L230" s="381"/>
      <c r="M230" s="626"/>
      <c r="N230" s="381"/>
      <c r="O230" s="381"/>
      <c r="P230" s="381"/>
      <c r="Q230" s="381"/>
      <c r="R230" s="381"/>
      <c r="S230" s="381"/>
      <c r="T230" s="381"/>
      <c r="U230" s="381"/>
      <c r="V230" s="381"/>
      <c r="W230" s="381"/>
      <c r="X230" s="381"/>
      <c r="Y230" s="381"/>
      <c r="Z230" s="381"/>
      <c r="AA230" s="381"/>
      <c r="AB230" s="381"/>
      <c r="AC230" s="381"/>
      <c r="AD230" s="381"/>
      <c r="AE230" s="381"/>
      <c r="AF230" s="381"/>
    </row>
    <row r="231" spans="1:32" ht="122.45" customHeight="1" thickBot="1" x14ac:dyDescent="0.35">
      <c r="A231" s="381"/>
      <c r="B231" s="381"/>
      <c r="C231" s="381"/>
      <c r="D231" s="823"/>
      <c r="E231" s="381"/>
      <c r="F231" s="486"/>
      <c r="G231" s="381"/>
      <c r="H231" s="381"/>
      <c r="I231" s="381"/>
      <c r="J231" s="381"/>
      <c r="K231" s="381"/>
      <c r="L231" s="381"/>
      <c r="M231" s="626"/>
      <c r="N231" s="381"/>
      <c r="O231" s="381"/>
      <c r="P231" s="381"/>
      <c r="Q231" s="381"/>
      <c r="R231" s="381"/>
      <c r="S231" s="381"/>
      <c r="T231" s="381"/>
      <c r="U231" s="381"/>
      <c r="V231" s="381"/>
      <c r="W231" s="381"/>
      <c r="X231" s="381"/>
      <c r="Y231" s="381"/>
      <c r="Z231" s="381"/>
      <c r="AA231" s="381"/>
      <c r="AB231" s="381"/>
      <c r="AC231" s="381"/>
      <c r="AD231" s="381"/>
      <c r="AE231" s="381"/>
      <c r="AF231" s="381"/>
    </row>
    <row r="232" spans="1:32" ht="122.45" customHeight="1" thickBot="1" x14ac:dyDescent="0.35">
      <c r="A232" s="381"/>
      <c r="B232" s="381"/>
      <c r="C232" s="381"/>
      <c r="D232" s="823"/>
      <c r="E232" s="381"/>
      <c r="F232" s="486"/>
      <c r="G232" s="381"/>
      <c r="H232" s="381"/>
      <c r="I232" s="381"/>
      <c r="J232" s="381"/>
      <c r="K232" s="381"/>
      <c r="L232" s="381"/>
      <c r="M232" s="626"/>
      <c r="N232" s="381"/>
      <c r="O232" s="381"/>
      <c r="P232" s="381"/>
      <c r="Q232" s="381"/>
      <c r="R232" s="381"/>
      <c r="S232" s="381"/>
      <c r="T232" s="381"/>
      <c r="U232" s="381"/>
      <c r="V232" s="381"/>
      <c r="W232" s="381"/>
      <c r="X232" s="381"/>
      <c r="Y232" s="381"/>
      <c r="Z232" s="381"/>
      <c r="AA232" s="381"/>
      <c r="AB232" s="381"/>
      <c r="AC232" s="381"/>
      <c r="AD232" s="381"/>
      <c r="AE232" s="381"/>
      <c r="AF232" s="381"/>
    </row>
    <row r="233" spans="1:32" ht="122.45" customHeight="1" thickBot="1" x14ac:dyDescent="0.35">
      <c r="A233" s="381"/>
      <c r="B233" s="381"/>
      <c r="C233" s="381"/>
      <c r="D233" s="823"/>
      <c r="E233" s="381"/>
      <c r="F233" s="486"/>
      <c r="G233" s="381"/>
      <c r="H233" s="381"/>
      <c r="I233" s="381"/>
      <c r="J233" s="381"/>
      <c r="K233" s="381"/>
      <c r="L233" s="381"/>
      <c r="M233" s="626"/>
      <c r="N233" s="381"/>
      <c r="O233" s="381"/>
      <c r="P233" s="381"/>
      <c r="Q233" s="381"/>
      <c r="R233" s="381"/>
      <c r="S233" s="381"/>
      <c r="T233" s="381"/>
      <c r="U233" s="381"/>
      <c r="V233" s="381"/>
      <c r="W233" s="381"/>
      <c r="X233" s="381"/>
      <c r="Y233" s="381"/>
      <c r="Z233" s="381"/>
      <c r="AA233" s="381"/>
      <c r="AB233" s="381"/>
      <c r="AC233" s="381"/>
      <c r="AD233" s="381"/>
      <c r="AE233" s="381"/>
      <c r="AF233" s="381"/>
    </row>
    <row r="234" spans="1:32" ht="122.45" customHeight="1" thickBot="1" x14ac:dyDescent="0.35">
      <c r="A234" s="381"/>
      <c r="B234" s="381"/>
      <c r="C234" s="381"/>
      <c r="D234" s="823"/>
      <c r="E234" s="381"/>
      <c r="F234" s="486"/>
      <c r="G234" s="381"/>
      <c r="H234" s="381"/>
      <c r="I234" s="381"/>
      <c r="J234" s="381"/>
      <c r="K234" s="381"/>
      <c r="L234" s="381"/>
      <c r="M234" s="626"/>
      <c r="N234" s="381"/>
      <c r="O234" s="381"/>
      <c r="P234" s="381"/>
      <c r="Q234" s="381"/>
      <c r="R234" s="381"/>
      <c r="S234" s="381"/>
      <c r="T234" s="381"/>
      <c r="U234" s="381"/>
      <c r="V234" s="381"/>
      <c r="W234" s="381"/>
      <c r="X234" s="381"/>
      <c r="Y234" s="381"/>
      <c r="Z234" s="381"/>
      <c r="AA234" s="381"/>
      <c r="AB234" s="381"/>
      <c r="AC234" s="381"/>
      <c r="AD234" s="381"/>
      <c r="AE234" s="381"/>
      <c r="AF234" s="381"/>
    </row>
    <row r="235" spans="1:32" ht="122.45" customHeight="1" thickBot="1" x14ac:dyDescent="0.35">
      <c r="A235" s="381"/>
      <c r="B235" s="381"/>
      <c r="C235" s="381"/>
      <c r="D235" s="823"/>
      <c r="E235" s="381"/>
      <c r="F235" s="486"/>
      <c r="G235" s="381"/>
      <c r="H235" s="381"/>
      <c r="I235" s="381"/>
      <c r="J235" s="381"/>
      <c r="K235" s="381"/>
      <c r="L235" s="381"/>
      <c r="M235" s="626"/>
      <c r="N235" s="381"/>
      <c r="O235" s="381"/>
      <c r="P235" s="381"/>
      <c r="Q235" s="381"/>
      <c r="R235" s="381"/>
      <c r="S235" s="381"/>
      <c r="T235" s="381"/>
      <c r="U235" s="381"/>
      <c r="V235" s="381"/>
      <c r="W235" s="381"/>
      <c r="X235" s="381"/>
      <c r="Y235" s="381"/>
      <c r="Z235" s="381"/>
      <c r="AA235" s="381"/>
      <c r="AB235" s="381"/>
      <c r="AC235" s="381"/>
      <c r="AD235" s="381"/>
      <c r="AE235" s="381"/>
      <c r="AF235" s="381"/>
    </row>
    <row r="236" spans="1:32" ht="122.45" customHeight="1" thickBot="1" x14ac:dyDescent="0.35">
      <c r="A236" s="381"/>
      <c r="B236" s="381"/>
      <c r="C236" s="381"/>
      <c r="D236" s="823"/>
      <c r="E236" s="381"/>
      <c r="F236" s="486"/>
      <c r="G236" s="381"/>
      <c r="H236" s="381"/>
      <c r="I236" s="381"/>
      <c r="J236" s="381"/>
      <c r="K236" s="381"/>
      <c r="L236" s="381"/>
      <c r="M236" s="626"/>
      <c r="N236" s="381"/>
      <c r="O236" s="381"/>
      <c r="P236" s="381"/>
      <c r="Q236" s="381"/>
      <c r="R236" s="381"/>
      <c r="S236" s="381"/>
      <c r="T236" s="381"/>
      <c r="U236" s="381"/>
      <c r="V236" s="381"/>
      <c r="W236" s="381"/>
      <c r="X236" s="381"/>
      <c r="Y236" s="381"/>
      <c r="Z236" s="381"/>
      <c r="AA236" s="381"/>
      <c r="AB236" s="381"/>
      <c r="AC236" s="381"/>
      <c r="AD236" s="381"/>
      <c r="AE236" s="381"/>
      <c r="AF236" s="381"/>
    </row>
    <row r="237" spans="1:32" ht="122.45" customHeight="1" thickBot="1" x14ac:dyDescent="0.35">
      <c r="A237" s="381"/>
      <c r="B237" s="381"/>
      <c r="C237" s="381"/>
      <c r="D237" s="823"/>
      <c r="E237" s="381"/>
      <c r="F237" s="486"/>
      <c r="G237" s="381"/>
      <c r="H237" s="381"/>
      <c r="I237" s="381"/>
      <c r="J237" s="381"/>
      <c r="K237" s="381"/>
      <c r="L237" s="381"/>
      <c r="M237" s="626"/>
      <c r="N237" s="381"/>
      <c r="O237" s="381"/>
      <c r="P237" s="381"/>
      <c r="Q237" s="381"/>
      <c r="R237" s="381"/>
      <c r="S237" s="381"/>
      <c r="T237" s="381"/>
      <c r="U237" s="381"/>
      <c r="V237" s="381"/>
      <c r="W237" s="381"/>
      <c r="X237" s="381"/>
      <c r="Y237" s="381"/>
      <c r="Z237" s="381"/>
      <c r="AA237" s="381"/>
      <c r="AB237" s="381"/>
      <c r="AC237" s="381"/>
      <c r="AD237" s="381"/>
      <c r="AE237" s="381"/>
      <c r="AF237" s="381"/>
    </row>
    <row r="238" spans="1:32" ht="122.45" customHeight="1" thickBot="1" x14ac:dyDescent="0.35">
      <c r="A238" s="381"/>
      <c r="B238" s="381"/>
      <c r="C238" s="381"/>
      <c r="D238" s="823"/>
      <c r="E238" s="381"/>
      <c r="F238" s="486"/>
      <c r="G238" s="381"/>
      <c r="H238" s="381"/>
      <c r="I238" s="381"/>
      <c r="J238" s="381"/>
      <c r="K238" s="381"/>
      <c r="L238" s="381"/>
      <c r="M238" s="626"/>
      <c r="N238" s="381"/>
      <c r="O238" s="381"/>
      <c r="P238" s="381"/>
      <c r="Q238" s="381"/>
      <c r="R238" s="381"/>
      <c r="S238" s="381"/>
      <c r="T238" s="381"/>
      <c r="U238" s="381"/>
      <c r="V238" s="381"/>
      <c r="W238" s="381"/>
      <c r="X238" s="381"/>
      <c r="Y238" s="381"/>
      <c r="Z238" s="381"/>
      <c r="AA238" s="381"/>
      <c r="AB238" s="381"/>
      <c r="AC238" s="381"/>
      <c r="AD238" s="381"/>
      <c r="AE238" s="381"/>
      <c r="AF238" s="381"/>
    </row>
    <row r="239" spans="1:32" ht="122.45" customHeight="1" thickBot="1" x14ac:dyDescent="0.35">
      <c r="A239" s="381"/>
      <c r="B239" s="381"/>
      <c r="C239" s="381"/>
      <c r="D239" s="823"/>
      <c r="E239" s="381"/>
      <c r="F239" s="486"/>
      <c r="G239" s="381"/>
      <c r="H239" s="381"/>
      <c r="I239" s="381"/>
      <c r="J239" s="381"/>
      <c r="K239" s="381"/>
      <c r="L239" s="381"/>
      <c r="M239" s="626"/>
      <c r="N239" s="381"/>
      <c r="O239" s="381"/>
      <c r="P239" s="381"/>
      <c r="Q239" s="381"/>
      <c r="R239" s="381"/>
      <c r="S239" s="381"/>
      <c r="T239" s="381"/>
      <c r="U239" s="381"/>
      <c r="V239" s="381"/>
      <c r="W239" s="381"/>
      <c r="X239" s="381"/>
      <c r="Y239" s="381"/>
      <c r="Z239" s="381"/>
      <c r="AA239" s="381"/>
      <c r="AB239" s="381"/>
      <c r="AC239" s="381"/>
      <c r="AD239" s="381"/>
      <c r="AE239" s="381"/>
      <c r="AF239" s="381"/>
    </row>
    <row r="240" spans="1:32" ht="122.45" customHeight="1" thickBot="1" x14ac:dyDescent="0.35">
      <c r="A240" s="381"/>
      <c r="B240" s="381"/>
      <c r="C240" s="381"/>
      <c r="D240" s="823"/>
      <c r="E240" s="381"/>
      <c r="F240" s="486"/>
      <c r="G240" s="381"/>
      <c r="H240" s="381"/>
      <c r="I240" s="381"/>
      <c r="J240" s="381"/>
      <c r="K240" s="381"/>
      <c r="L240" s="381"/>
      <c r="M240" s="626"/>
      <c r="N240" s="381"/>
      <c r="O240" s="381"/>
      <c r="P240" s="381"/>
      <c r="Q240" s="381"/>
      <c r="R240" s="381"/>
      <c r="S240" s="381"/>
      <c r="T240" s="381"/>
      <c r="U240" s="381"/>
      <c r="V240" s="381"/>
      <c r="W240" s="381"/>
      <c r="X240" s="381"/>
      <c r="Y240" s="381"/>
      <c r="Z240" s="381"/>
      <c r="AA240" s="381"/>
      <c r="AB240" s="381"/>
      <c r="AC240" s="381"/>
      <c r="AD240" s="381"/>
      <c r="AE240" s="381"/>
      <c r="AF240" s="381"/>
    </row>
    <row r="241" spans="1:32" ht="122.45" customHeight="1" thickBot="1" x14ac:dyDescent="0.35">
      <c r="A241" s="381"/>
      <c r="B241" s="381"/>
      <c r="C241" s="381"/>
      <c r="D241" s="823"/>
      <c r="E241" s="381"/>
      <c r="F241" s="486"/>
      <c r="G241" s="381"/>
      <c r="H241" s="381"/>
      <c r="I241" s="381"/>
      <c r="J241" s="381"/>
      <c r="K241" s="381"/>
      <c r="L241" s="381"/>
      <c r="M241" s="626"/>
      <c r="N241" s="381"/>
      <c r="O241" s="381"/>
      <c r="P241" s="381"/>
      <c r="Q241" s="381"/>
      <c r="R241" s="381"/>
      <c r="S241" s="381"/>
      <c r="T241" s="381"/>
      <c r="U241" s="381"/>
      <c r="V241" s="381"/>
      <c r="W241" s="381"/>
      <c r="X241" s="381"/>
      <c r="Y241" s="381"/>
      <c r="Z241" s="381"/>
      <c r="AA241" s="381"/>
      <c r="AB241" s="381"/>
      <c r="AC241" s="381"/>
      <c r="AD241" s="381"/>
      <c r="AE241" s="381"/>
      <c r="AF241" s="381"/>
    </row>
    <row r="242" spans="1:32" ht="122.45" customHeight="1" thickBot="1" x14ac:dyDescent="0.35">
      <c r="A242" s="381"/>
      <c r="B242" s="381"/>
      <c r="C242" s="381"/>
      <c r="D242" s="823"/>
      <c r="E242" s="381"/>
      <c r="F242" s="486"/>
      <c r="G242" s="381"/>
      <c r="H242" s="381"/>
      <c r="I242" s="381"/>
      <c r="J242" s="381"/>
      <c r="K242" s="381"/>
      <c r="L242" s="381"/>
      <c r="M242" s="626"/>
      <c r="N242" s="381"/>
      <c r="O242" s="381"/>
      <c r="P242" s="381"/>
      <c r="Q242" s="381"/>
      <c r="R242" s="381"/>
      <c r="S242" s="381"/>
      <c r="T242" s="381"/>
      <c r="U242" s="381"/>
      <c r="V242" s="381"/>
      <c r="W242" s="381"/>
      <c r="X242" s="381"/>
      <c r="Y242" s="381"/>
      <c r="Z242" s="381"/>
      <c r="AA242" s="381"/>
      <c r="AB242" s="381"/>
      <c r="AC242" s="381"/>
      <c r="AD242" s="381"/>
      <c r="AE242" s="381"/>
      <c r="AF242" s="381"/>
    </row>
    <row r="243" spans="1:32" ht="122.45" customHeight="1" thickBot="1" x14ac:dyDescent="0.35">
      <c r="A243" s="381"/>
      <c r="B243" s="381"/>
      <c r="C243" s="381"/>
      <c r="D243" s="823"/>
      <c r="E243" s="381"/>
      <c r="F243" s="486"/>
      <c r="G243" s="381"/>
      <c r="H243" s="381"/>
      <c r="I243" s="381"/>
      <c r="J243" s="381"/>
      <c r="K243" s="381"/>
      <c r="L243" s="381"/>
      <c r="M243" s="626"/>
      <c r="N243" s="381"/>
      <c r="O243" s="381"/>
      <c r="P243" s="381"/>
      <c r="Q243" s="381"/>
      <c r="R243" s="381"/>
      <c r="S243" s="381"/>
      <c r="T243" s="381"/>
      <c r="U243" s="381"/>
      <c r="V243" s="381"/>
      <c r="W243" s="381"/>
      <c r="X243" s="381"/>
      <c r="Y243" s="381"/>
      <c r="Z243" s="381"/>
      <c r="AA243" s="381"/>
      <c r="AB243" s="381"/>
      <c r="AC243" s="381"/>
      <c r="AD243" s="381"/>
      <c r="AE243" s="381"/>
      <c r="AF243" s="381"/>
    </row>
    <row r="244" spans="1:32" ht="122.45" customHeight="1" thickBot="1" x14ac:dyDescent="0.35">
      <c r="A244" s="381"/>
      <c r="B244" s="381"/>
      <c r="C244" s="381"/>
      <c r="D244" s="823"/>
      <c r="E244" s="381"/>
      <c r="F244" s="486"/>
      <c r="G244" s="381"/>
      <c r="H244" s="381"/>
      <c r="I244" s="381"/>
      <c r="J244" s="381"/>
      <c r="K244" s="381"/>
      <c r="L244" s="381"/>
      <c r="M244" s="626"/>
      <c r="N244" s="381"/>
      <c r="O244" s="381"/>
      <c r="P244" s="381"/>
      <c r="Q244" s="381"/>
      <c r="R244" s="381"/>
      <c r="S244" s="381"/>
      <c r="T244" s="381"/>
      <c r="U244" s="381"/>
      <c r="V244" s="381"/>
      <c r="W244" s="381"/>
      <c r="X244" s="381"/>
      <c r="Y244" s="381"/>
      <c r="Z244" s="381"/>
      <c r="AA244" s="381"/>
      <c r="AB244" s="381"/>
      <c r="AC244" s="381"/>
      <c r="AD244" s="381"/>
      <c r="AE244" s="381"/>
      <c r="AF244" s="381"/>
    </row>
    <row r="245" spans="1:32" ht="122.45" customHeight="1" thickBot="1" x14ac:dyDescent="0.35">
      <c r="A245" s="381"/>
      <c r="B245" s="381"/>
      <c r="C245" s="381"/>
      <c r="D245" s="823"/>
      <c r="E245" s="381"/>
      <c r="F245" s="486"/>
      <c r="G245" s="381"/>
      <c r="H245" s="381"/>
      <c r="I245" s="381"/>
      <c r="J245" s="381"/>
      <c r="K245" s="381"/>
      <c r="L245" s="381"/>
      <c r="M245" s="626"/>
      <c r="N245" s="381"/>
      <c r="O245" s="381"/>
      <c r="P245" s="381"/>
      <c r="Q245" s="381"/>
      <c r="R245" s="381"/>
      <c r="S245" s="381"/>
      <c r="T245" s="381"/>
      <c r="U245" s="381"/>
      <c r="V245" s="381"/>
      <c r="W245" s="381"/>
      <c r="X245" s="381"/>
      <c r="Y245" s="381"/>
      <c r="Z245" s="381"/>
      <c r="AA245" s="381"/>
      <c r="AB245" s="381"/>
      <c r="AC245" s="381"/>
      <c r="AD245" s="381"/>
      <c r="AE245" s="381"/>
      <c r="AF245" s="381"/>
    </row>
    <row r="246" spans="1:32" ht="122.45" customHeight="1" thickBot="1" x14ac:dyDescent="0.35">
      <c r="A246" s="381"/>
      <c r="B246" s="381"/>
      <c r="C246" s="381"/>
      <c r="D246" s="823"/>
      <c r="E246" s="381"/>
      <c r="F246" s="486"/>
      <c r="G246" s="381"/>
      <c r="H246" s="381"/>
      <c r="I246" s="381"/>
      <c r="J246" s="381"/>
      <c r="K246" s="381"/>
      <c r="L246" s="381"/>
      <c r="M246" s="626"/>
      <c r="N246" s="381"/>
      <c r="O246" s="381"/>
      <c r="P246" s="381"/>
      <c r="Q246" s="381"/>
      <c r="R246" s="381"/>
      <c r="S246" s="381"/>
      <c r="T246" s="381"/>
      <c r="U246" s="381"/>
      <c r="V246" s="381"/>
      <c r="W246" s="381"/>
      <c r="X246" s="381"/>
      <c r="Y246" s="381"/>
      <c r="Z246" s="381"/>
      <c r="AA246" s="381"/>
      <c r="AB246" s="381"/>
      <c r="AC246" s="381"/>
      <c r="AD246" s="381"/>
      <c r="AE246" s="381"/>
      <c r="AF246" s="381"/>
    </row>
    <row r="247" spans="1:32" ht="122.45" customHeight="1" thickBot="1" x14ac:dyDescent="0.35">
      <c r="A247" s="381"/>
      <c r="B247" s="381"/>
      <c r="C247" s="381"/>
      <c r="D247" s="823"/>
      <c r="E247" s="381"/>
      <c r="F247" s="486"/>
      <c r="G247" s="381"/>
      <c r="H247" s="381"/>
      <c r="I247" s="381"/>
      <c r="J247" s="381"/>
      <c r="K247" s="381"/>
      <c r="L247" s="381"/>
      <c r="M247" s="626"/>
      <c r="N247" s="381"/>
      <c r="O247" s="381"/>
      <c r="P247" s="381"/>
      <c r="Q247" s="381"/>
      <c r="R247" s="381"/>
      <c r="S247" s="381"/>
      <c r="T247" s="381"/>
      <c r="U247" s="381"/>
      <c r="V247" s="381"/>
      <c r="W247" s="381"/>
      <c r="X247" s="381"/>
      <c r="Y247" s="381"/>
      <c r="Z247" s="381"/>
      <c r="AA247" s="381"/>
      <c r="AB247" s="381"/>
      <c r="AC247" s="381"/>
      <c r="AD247" s="381"/>
      <c r="AE247" s="381"/>
      <c r="AF247" s="381"/>
    </row>
    <row r="248" spans="1:32" ht="122.45" customHeight="1" thickBot="1" x14ac:dyDescent="0.35">
      <c r="A248" s="381"/>
      <c r="B248" s="381"/>
      <c r="C248" s="381"/>
      <c r="D248" s="823"/>
      <c r="E248" s="381"/>
      <c r="F248" s="486"/>
      <c r="G248" s="381"/>
      <c r="H248" s="381"/>
      <c r="I248" s="381"/>
      <c r="J248" s="381"/>
      <c r="K248" s="381"/>
      <c r="L248" s="381"/>
      <c r="M248" s="626"/>
      <c r="N248" s="381"/>
      <c r="O248" s="381"/>
      <c r="P248" s="381"/>
      <c r="Q248" s="381"/>
      <c r="R248" s="381"/>
      <c r="S248" s="381"/>
      <c r="T248" s="381"/>
      <c r="U248" s="381"/>
      <c r="V248" s="381"/>
      <c r="W248" s="381"/>
      <c r="X248" s="381"/>
      <c r="Y248" s="381"/>
      <c r="Z248" s="381"/>
      <c r="AA248" s="381"/>
      <c r="AB248" s="381"/>
      <c r="AC248" s="381"/>
      <c r="AD248" s="381"/>
      <c r="AE248" s="381"/>
      <c r="AF248" s="381"/>
    </row>
    <row r="249" spans="1:32" ht="122.45" customHeight="1" thickBot="1" x14ac:dyDescent="0.35">
      <c r="A249" s="381"/>
      <c r="B249" s="381"/>
      <c r="C249" s="381"/>
      <c r="D249" s="823"/>
      <c r="E249" s="381"/>
      <c r="F249" s="486"/>
      <c r="G249" s="381"/>
      <c r="H249" s="381"/>
      <c r="I249" s="381"/>
      <c r="J249" s="381"/>
      <c r="K249" s="381"/>
      <c r="L249" s="381"/>
      <c r="M249" s="626"/>
      <c r="N249" s="381"/>
      <c r="O249" s="381"/>
      <c r="P249" s="381"/>
      <c r="Q249" s="381"/>
      <c r="R249" s="381"/>
      <c r="S249" s="381"/>
      <c r="T249" s="381"/>
      <c r="U249" s="381"/>
      <c r="V249" s="381"/>
      <c r="W249" s="381"/>
      <c r="X249" s="381"/>
      <c r="Y249" s="381"/>
      <c r="Z249" s="381"/>
      <c r="AA249" s="381"/>
      <c r="AB249" s="381"/>
      <c r="AC249" s="381"/>
      <c r="AD249" s="381"/>
      <c r="AE249" s="381"/>
      <c r="AF249" s="381"/>
    </row>
    <row r="250" spans="1:32" ht="122.45" customHeight="1" thickBot="1" x14ac:dyDescent="0.35">
      <c r="A250" s="381"/>
      <c r="B250" s="381"/>
      <c r="C250" s="381"/>
      <c r="D250" s="823"/>
      <c r="E250" s="381"/>
      <c r="F250" s="486"/>
      <c r="G250" s="381"/>
      <c r="H250" s="381"/>
      <c r="I250" s="381"/>
      <c r="J250" s="381"/>
      <c r="K250" s="381"/>
      <c r="L250" s="381"/>
      <c r="M250" s="626"/>
      <c r="N250" s="381"/>
      <c r="O250" s="381"/>
      <c r="P250" s="381"/>
      <c r="Q250" s="381"/>
      <c r="R250" s="381"/>
      <c r="S250" s="381"/>
      <c r="T250" s="381"/>
      <c r="U250" s="381"/>
      <c r="V250" s="381"/>
      <c r="W250" s="381"/>
      <c r="X250" s="381"/>
      <c r="Y250" s="381"/>
      <c r="Z250" s="381"/>
      <c r="AA250" s="381"/>
      <c r="AB250" s="381"/>
      <c r="AC250" s="381"/>
      <c r="AD250" s="381"/>
      <c r="AE250" s="381"/>
      <c r="AF250" s="381"/>
    </row>
    <row r="251" spans="1:32" ht="122.45" customHeight="1" thickBot="1" x14ac:dyDescent="0.35">
      <c r="A251" s="381"/>
      <c r="B251" s="381"/>
      <c r="C251" s="381"/>
      <c r="D251" s="823"/>
      <c r="E251" s="381"/>
      <c r="F251" s="486"/>
      <c r="G251" s="381"/>
      <c r="H251" s="381"/>
      <c r="I251" s="381"/>
      <c r="J251" s="381"/>
      <c r="K251" s="381"/>
      <c r="L251" s="381"/>
      <c r="M251" s="626"/>
      <c r="N251" s="381"/>
      <c r="O251" s="381"/>
      <c r="P251" s="381"/>
      <c r="Q251" s="381"/>
      <c r="R251" s="381"/>
      <c r="S251" s="381"/>
      <c r="T251" s="381"/>
      <c r="U251" s="381"/>
      <c r="V251" s="381"/>
      <c r="W251" s="381"/>
      <c r="X251" s="381"/>
      <c r="Y251" s="381"/>
      <c r="Z251" s="381"/>
      <c r="AA251" s="381"/>
      <c r="AB251" s="381"/>
      <c r="AC251" s="381"/>
      <c r="AD251" s="381"/>
      <c r="AE251" s="381"/>
      <c r="AF251" s="381"/>
    </row>
    <row r="252" spans="1:32" ht="122.45" customHeight="1" thickBot="1" x14ac:dyDescent="0.35">
      <c r="A252" s="381"/>
      <c r="B252" s="381"/>
      <c r="C252" s="381"/>
      <c r="D252" s="823"/>
      <c r="E252" s="381"/>
      <c r="F252" s="486"/>
      <c r="G252" s="381"/>
      <c r="H252" s="381"/>
      <c r="I252" s="381"/>
      <c r="J252" s="381"/>
      <c r="K252" s="381"/>
      <c r="L252" s="381"/>
      <c r="M252" s="626"/>
      <c r="N252" s="381"/>
      <c r="O252" s="381"/>
      <c r="P252" s="381"/>
      <c r="Q252" s="381"/>
      <c r="R252" s="381"/>
      <c r="S252" s="381"/>
      <c r="T252" s="381"/>
      <c r="U252" s="381"/>
      <c r="V252" s="381"/>
      <c r="W252" s="381"/>
      <c r="X252" s="381"/>
      <c r="Y252" s="381"/>
      <c r="Z252" s="381"/>
      <c r="AA252" s="381"/>
      <c r="AB252" s="381"/>
      <c r="AC252" s="381"/>
      <c r="AD252" s="381"/>
      <c r="AE252" s="381"/>
      <c r="AF252" s="381"/>
    </row>
    <row r="253" spans="1:32" ht="122.45" customHeight="1" thickBot="1" x14ac:dyDescent="0.35">
      <c r="A253" s="381"/>
      <c r="B253" s="381"/>
      <c r="C253" s="381"/>
      <c r="D253" s="823"/>
      <c r="E253" s="381"/>
      <c r="F253" s="486"/>
      <c r="G253" s="381"/>
      <c r="H253" s="381"/>
      <c r="I253" s="381"/>
      <c r="J253" s="381"/>
      <c r="K253" s="381"/>
      <c r="L253" s="381"/>
      <c r="M253" s="626"/>
      <c r="N253" s="381"/>
      <c r="O253" s="381"/>
      <c r="P253" s="381"/>
      <c r="Q253" s="381"/>
      <c r="R253" s="381"/>
      <c r="S253" s="381"/>
      <c r="T253" s="381"/>
      <c r="U253" s="381"/>
      <c r="V253" s="381"/>
      <c r="W253" s="381"/>
      <c r="X253" s="381"/>
      <c r="Y253" s="381"/>
      <c r="Z253" s="381"/>
      <c r="AA253" s="381"/>
      <c r="AB253" s="381"/>
      <c r="AC253" s="381"/>
      <c r="AD253" s="381"/>
      <c r="AE253" s="381"/>
      <c r="AF253" s="381"/>
    </row>
    <row r="254" spans="1:32" ht="122.45" customHeight="1" thickBot="1" x14ac:dyDescent="0.35">
      <c r="A254" s="381"/>
      <c r="B254" s="381"/>
      <c r="C254" s="381"/>
      <c r="D254" s="823"/>
      <c r="E254" s="381"/>
      <c r="F254" s="486"/>
      <c r="G254" s="381"/>
      <c r="H254" s="381"/>
      <c r="I254" s="381"/>
      <c r="J254" s="381"/>
      <c r="K254" s="381"/>
      <c r="L254" s="381"/>
      <c r="M254" s="626"/>
      <c r="N254" s="381"/>
      <c r="O254" s="381"/>
      <c r="P254" s="381"/>
      <c r="Q254" s="381"/>
      <c r="R254" s="381"/>
      <c r="S254" s="381"/>
      <c r="T254" s="381"/>
      <c r="U254" s="381"/>
      <c r="V254" s="381"/>
      <c r="W254" s="381"/>
      <c r="X254" s="381"/>
      <c r="Y254" s="381"/>
      <c r="Z254" s="381"/>
      <c r="AA254" s="381"/>
      <c r="AB254" s="381"/>
      <c r="AC254" s="381"/>
      <c r="AD254" s="381"/>
      <c r="AE254" s="381"/>
      <c r="AF254" s="381"/>
    </row>
    <row r="255" spans="1:32" ht="122.45" customHeight="1" thickBot="1" x14ac:dyDescent="0.35">
      <c r="A255" s="381"/>
      <c r="B255" s="381"/>
      <c r="C255" s="381"/>
      <c r="D255" s="823"/>
      <c r="E255" s="381"/>
      <c r="F255" s="486"/>
      <c r="G255" s="381"/>
      <c r="H255" s="381"/>
      <c r="I255" s="381"/>
      <c r="J255" s="381"/>
      <c r="K255" s="381"/>
      <c r="L255" s="381"/>
      <c r="M255" s="626"/>
      <c r="N255" s="381"/>
      <c r="O255" s="381"/>
      <c r="P255" s="381"/>
      <c r="Q255" s="381"/>
      <c r="R255" s="381"/>
      <c r="S255" s="381"/>
      <c r="T255" s="381"/>
      <c r="U255" s="381"/>
      <c r="V255" s="381"/>
      <c r="W255" s="381"/>
      <c r="X255" s="381"/>
      <c r="Y255" s="381"/>
      <c r="Z255" s="381"/>
      <c r="AA255" s="381"/>
      <c r="AB255" s="381"/>
      <c r="AC255" s="381"/>
      <c r="AD255" s="381"/>
      <c r="AE255" s="381"/>
      <c r="AF255" s="381"/>
    </row>
    <row r="256" spans="1:32" ht="122.45" customHeight="1" thickBot="1" x14ac:dyDescent="0.35">
      <c r="A256" s="381"/>
      <c r="B256" s="381"/>
      <c r="C256" s="381"/>
      <c r="D256" s="823"/>
      <c r="E256" s="381"/>
      <c r="F256" s="486"/>
      <c r="G256" s="381"/>
      <c r="H256" s="381"/>
      <c r="I256" s="381"/>
      <c r="J256" s="381"/>
      <c r="K256" s="381"/>
      <c r="L256" s="381"/>
      <c r="M256" s="626"/>
      <c r="N256" s="381"/>
      <c r="O256" s="381"/>
      <c r="P256" s="381"/>
      <c r="Q256" s="381"/>
      <c r="R256" s="381"/>
      <c r="S256" s="381"/>
      <c r="T256" s="381"/>
      <c r="U256" s="381"/>
      <c r="V256" s="381"/>
      <c r="W256" s="381"/>
      <c r="X256" s="381"/>
      <c r="Y256" s="381"/>
      <c r="Z256" s="381"/>
      <c r="AA256" s="381"/>
      <c r="AB256" s="381"/>
      <c r="AC256" s="381"/>
      <c r="AD256" s="381"/>
      <c r="AE256" s="381"/>
      <c r="AF256" s="381"/>
    </row>
    <row r="257" spans="1:32" ht="122.45" customHeight="1" thickBot="1" x14ac:dyDescent="0.35">
      <c r="A257" s="381"/>
      <c r="B257" s="381"/>
      <c r="C257" s="381"/>
      <c r="D257" s="823"/>
      <c r="E257" s="381"/>
      <c r="F257" s="486"/>
      <c r="G257" s="381"/>
      <c r="H257" s="381"/>
      <c r="I257" s="381"/>
      <c r="J257" s="381"/>
      <c r="K257" s="381"/>
      <c r="L257" s="381"/>
      <c r="M257" s="626"/>
      <c r="N257" s="381"/>
      <c r="O257" s="381"/>
      <c r="P257" s="381"/>
      <c r="Q257" s="381"/>
      <c r="R257" s="381"/>
      <c r="S257" s="381"/>
      <c r="T257" s="381"/>
      <c r="U257" s="381"/>
      <c r="V257" s="381"/>
      <c r="W257" s="381"/>
      <c r="X257" s="381"/>
      <c r="Y257" s="381"/>
      <c r="Z257" s="381"/>
      <c r="AA257" s="381"/>
      <c r="AB257" s="381"/>
      <c r="AC257" s="381"/>
      <c r="AD257" s="381"/>
      <c r="AE257" s="381"/>
      <c r="AF257" s="381"/>
    </row>
    <row r="258" spans="1:32" ht="122.45" customHeight="1" thickBot="1" x14ac:dyDescent="0.35">
      <c r="A258" s="381"/>
      <c r="B258" s="381"/>
      <c r="C258" s="381"/>
      <c r="D258" s="823"/>
      <c r="E258" s="381"/>
      <c r="F258" s="486"/>
      <c r="G258" s="381"/>
      <c r="H258" s="381"/>
      <c r="I258" s="381"/>
      <c r="J258" s="381"/>
      <c r="K258" s="381"/>
      <c r="L258" s="381"/>
      <c r="M258" s="626"/>
      <c r="N258" s="381"/>
      <c r="O258" s="381"/>
      <c r="P258" s="381"/>
      <c r="Q258" s="381"/>
      <c r="R258" s="381"/>
      <c r="S258" s="381"/>
      <c r="T258" s="381"/>
      <c r="U258" s="381"/>
      <c r="V258" s="381"/>
      <c r="W258" s="381"/>
      <c r="X258" s="381"/>
      <c r="Y258" s="381"/>
      <c r="Z258" s="381"/>
      <c r="AA258" s="381"/>
      <c r="AB258" s="381"/>
      <c r="AC258" s="381"/>
      <c r="AD258" s="381"/>
      <c r="AE258" s="381"/>
      <c r="AF258" s="381"/>
    </row>
    <row r="259" spans="1:32" ht="122.45" customHeight="1" thickBot="1" x14ac:dyDescent="0.35">
      <c r="A259" s="381"/>
      <c r="B259" s="381"/>
      <c r="C259" s="381"/>
      <c r="D259" s="823"/>
      <c r="E259" s="381"/>
      <c r="F259" s="486"/>
      <c r="G259" s="381"/>
      <c r="H259" s="381"/>
      <c r="I259" s="381"/>
      <c r="J259" s="381"/>
      <c r="K259" s="381"/>
      <c r="L259" s="381"/>
      <c r="M259" s="626"/>
      <c r="N259" s="381"/>
      <c r="O259" s="381"/>
      <c r="P259" s="381"/>
      <c r="Q259" s="381"/>
      <c r="R259" s="381"/>
      <c r="S259" s="381"/>
      <c r="T259" s="381"/>
      <c r="U259" s="381"/>
      <c r="V259" s="381"/>
      <c r="W259" s="381"/>
      <c r="X259" s="381"/>
      <c r="Y259" s="381"/>
      <c r="Z259" s="381"/>
      <c r="AA259" s="381"/>
      <c r="AB259" s="381"/>
      <c r="AC259" s="381"/>
      <c r="AD259" s="381"/>
      <c r="AE259" s="381"/>
      <c r="AF259" s="381"/>
    </row>
    <row r="260" spans="1:32" ht="122.45" customHeight="1" thickBot="1" x14ac:dyDescent="0.35">
      <c r="A260" s="381"/>
      <c r="B260" s="381"/>
      <c r="C260" s="381"/>
      <c r="D260" s="823"/>
      <c r="E260" s="381"/>
      <c r="F260" s="486"/>
      <c r="G260" s="381"/>
      <c r="H260" s="381"/>
      <c r="I260" s="381"/>
      <c r="J260" s="381"/>
      <c r="K260" s="381"/>
      <c r="L260" s="381"/>
      <c r="M260" s="626"/>
      <c r="N260" s="381"/>
      <c r="O260" s="381"/>
      <c r="P260" s="381"/>
      <c r="Q260" s="381"/>
      <c r="R260" s="381"/>
      <c r="S260" s="381"/>
      <c r="T260" s="381"/>
      <c r="U260" s="381"/>
      <c r="V260" s="381"/>
      <c r="W260" s="381"/>
      <c r="X260" s="381"/>
      <c r="Y260" s="381"/>
      <c r="Z260" s="381"/>
      <c r="AA260" s="381"/>
      <c r="AB260" s="381"/>
      <c r="AC260" s="381"/>
      <c r="AD260" s="381"/>
      <c r="AE260" s="381"/>
      <c r="AF260" s="381"/>
    </row>
    <row r="261" spans="1:32" ht="122.45" customHeight="1" thickBot="1" x14ac:dyDescent="0.35">
      <c r="A261" s="381"/>
      <c r="B261" s="381"/>
      <c r="C261" s="381"/>
      <c r="D261" s="823"/>
      <c r="E261" s="381"/>
      <c r="F261" s="486"/>
      <c r="G261" s="381"/>
      <c r="H261" s="381"/>
      <c r="I261" s="381"/>
      <c r="J261" s="381"/>
      <c r="K261" s="381"/>
      <c r="L261" s="381"/>
      <c r="M261" s="626"/>
      <c r="N261" s="381"/>
      <c r="O261" s="381"/>
      <c r="P261" s="381"/>
      <c r="Q261" s="381"/>
      <c r="R261" s="381"/>
      <c r="S261" s="381"/>
      <c r="T261" s="381"/>
      <c r="U261" s="381"/>
      <c r="V261" s="381"/>
      <c r="W261" s="381"/>
      <c r="X261" s="381"/>
      <c r="Y261" s="381"/>
      <c r="Z261" s="381"/>
      <c r="AA261" s="381"/>
      <c r="AB261" s="381"/>
      <c r="AC261" s="381"/>
      <c r="AD261" s="381"/>
      <c r="AE261" s="381"/>
      <c r="AF261" s="381"/>
    </row>
    <row r="262" spans="1:32" ht="122.45" customHeight="1" thickBot="1" x14ac:dyDescent="0.35">
      <c r="A262" s="381"/>
      <c r="B262" s="381"/>
      <c r="C262" s="381"/>
      <c r="D262" s="823"/>
      <c r="E262" s="381"/>
      <c r="F262" s="486"/>
      <c r="G262" s="381"/>
      <c r="H262" s="381"/>
      <c r="I262" s="381"/>
      <c r="J262" s="381"/>
      <c r="K262" s="381"/>
      <c r="L262" s="381"/>
      <c r="M262" s="626"/>
      <c r="N262" s="381"/>
      <c r="O262" s="381"/>
      <c r="P262" s="381"/>
      <c r="Q262" s="381"/>
      <c r="R262" s="381"/>
      <c r="S262" s="381"/>
      <c r="T262" s="381"/>
      <c r="U262" s="381"/>
      <c r="V262" s="381"/>
      <c r="W262" s="381"/>
      <c r="X262" s="381"/>
      <c r="Y262" s="381"/>
      <c r="Z262" s="381"/>
      <c r="AA262" s="381"/>
      <c r="AB262" s="381"/>
      <c r="AC262" s="381"/>
      <c r="AD262" s="381"/>
      <c r="AE262" s="381"/>
      <c r="AF262" s="381"/>
    </row>
    <row r="263" spans="1:32" ht="122.45" customHeight="1" thickBot="1" x14ac:dyDescent="0.35">
      <c r="A263" s="381"/>
      <c r="B263" s="381"/>
      <c r="C263" s="381"/>
      <c r="D263" s="823"/>
      <c r="E263" s="381"/>
      <c r="F263" s="486"/>
      <c r="G263" s="381"/>
      <c r="H263" s="381"/>
      <c r="I263" s="381"/>
      <c r="J263" s="381"/>
      <c r="K263" s="381"/>
      <c r="L263" s="381"/>
      <c r="M263" s="626"/>
      <c r="N263" s="381"/>
      <c r="O263" s="381"/>
      <c r="P263" s="381"/>
      <c r="Q263" s="381"/>
      <c r="R263" s="381"/>
      <c r="S263" s="381"/>
      <c r="T263" s="381"/>
      <c r="U263" s="381"/>
      <c r="V263" s="381"/>
      <c r="W263" s="381"/>
      <c r="X263" s="381"/>
      <c r="Y263" s="381"/>
      <c r="Z263" s="381"/>
      <c r="AA263" s="381"/>
      <c r="AB263" s="381"/>
      <c r="AC263" s="381"/>
      <c r="AD263" s="381"/>
      <c r="AE263" s="381"/>
      <c r="AF263" s="381"/>
    </row>
    <row r="264" spans="1:32" ht="122.45" customHeight="1" thickBot="1" x14ac:dyDescent="0.35">
      <c r="A264" s="381"/>
      <c r="B264" s="381"/>
      <c r="C264" s="381"/>
      <c r="D264" s="823"/>
      <c r="E264" s="381"/>
      <c r="F264" s="486"/>
      <c r="G264" s="381"/>
      <c r="H264" s="381"/>
      <c r="I264" s="381"/>
      <c r="J264" s="381"/>
      <c r="K264" s="381"/>
      <c r="L264" s="381"/>
      <c r="M264" s="626"/>
      <c r="N264" s="381"/>
      <c r="O264" s="381"/>
      <c r="P264" s="381"/>
      <c r="Q264" s="381"/>
      <c r="R264" s="381"/>
      <c r="S264" s="381"/>
      <c r="T264" s="381"/>
      <c r="U264" s="381"/>
      <c r="V264" s="381"/>
      <c r="W264" s="381"/>
      <c r="X264" s="381"/>
      <c r="Y264" s="381"/>
      <c r="Z264" s="381"/>
      <c r="AA264" s="381"/>
      <c r="AB264" s="381"/>
      <c r="AC264" s="381"/>
      <c r="AD264" s="381"/>
      <c r="AE264" s="381"/>
      <c r="AF264" s="381"/>
    </row>
    <row r="265" spans="1:32" ht="122.45" customHeight="1" thickBot="1" x14ac:dyDescent="0.35">
      <c r="A265" s="381"/>
      <c r="B265" s="381"/>
      <c r="C265" s="381"/>
      <c r="D265" s="823"/>
      <c r="E265" s="381"/>
      <c r="F265" s="486"/>
      <c r="G265" s="381"/>
      <c r="H265" s="381"/>
      <c r="I265" s="381"/>
      <c r="J265" s="381"/>
      <c r="K265" s="381"/>
      <c r="L265" s="381"/>
      <c r="M265" s="626"/>
      <c r="N265" s="381"/>
      <c r="O265" s="381"/>
      <c r="P265" s="381"/>
      <c r="Q265" s="381"/>
      <c r="R265" s="381"/>
      <c r="S265" s="381"/>
      <c r="T265" s="381"/>
      <c r="U265" s="381"/>
      <c r="V265" s="381"/>
      <c r="W265" s="381"/>
      <c r="X265" s="381"/>
      <c r="Y265" s="381"/>
      <c r="Z265" s="381"/>
      <c r="AA265" s="381"/>
      <c r="AB265" s="381"/>
      <c r="AC265" s="381"/>
      <c r="AD265" s="381"/>
      <c r="AE265" s="381"/>
      <c r="AF265" s="381"/>
    </row>
    <row r="266" spans="1:32" ht="122.45" customHeight="1" thickBot="1" x14ac:dyDescent="0.35">
      <c r="A266" s="381"/>
      <c r="B266" s="381"/>
      <c r="C266" s="381"/>
      <c r="D266" s="823"/>
      <c r="E266" s="381"/>
      <c r="F266" s="486"/>
      <c r="G266" s="381"/>
      <c r="H266" s="381"/>
      <c r="I266" s="381"/>
      <c r="J266" s="381"/>
      <c r="K266" s="381"/>
      <c r="L266" s="381"/>
      <c r="M266" s="626"/>
      <c r="N266" s="381"/>
      <c r="O266" s="381"/>
      <c r="P266" s="381"/>
      <c r="Q266" s="381"/>
      <c r="R266" s="381"/>
      <c r="S266" s="381"/>
      <c r="T266" s="381"/>
      <c r="U266" s="381"/>
      <c r="V266" s="381"/>
      <c r="W266" s="381"/>
      <c r="X266" s="381"/>
      <c r="Y266" s="381"/>
      <c r="Z266" s="381"/>
      <c r="AA266" s="381"/>
      <c r="AB266" s="381"/>
      <c r="AC266" s="381"/>
      <c r="AD266" s="381"/>
      <c r="AE266" s="381"/>
      <c r="AF266" s="381"/>
    </row>
    <row r="267" spans="1:32" ht="122.45" customHeight="1" thickBot="1" x14ac:dyDescent="0.35">
      <c r="A267" s="381"/>
      <c r="B267" s="381"/>
      <c r="C267" s="381"/>
      <c r="D267" s="823"/>
      <c r="E267" s="381"/>
      <c r="F267" s="486"/>
      <c r="G267" s="381"/>
      <c r="H267" s="381"/>
      <c r="I267" s="381"/>
      <c r="J267" s="381"/>
      <c r="K267" s="381"/>
      <c r="L267" s="381"/>
      <c r="M267" s="626"/>
      <c r="N267" s="381"/>
      <c r="O267" s="381"/>
      <c r="P267" s="381"/>
      <c r="Q267" s="381"/>
      <c r="R267" s="381"/>
      <c r="S267" s="381"/>
      <c r="T267" s="381"/>
      <c r="U267" s="381"/>
      <c r="V267" s="381"/>
      <c r="W267" s="381"/>
      <c r="X267" s="381"/>
      <c r="Y267" s="381"/>
      <c r="Z267" s="381"/>
      <c r="AA267" s="381"/>
      <c r="AB267" s="381"/>
      <c r="AC267" s="381"/>
      <c r="AD267" s="381"/>
      <c r="AE267" s="381"/>
      <c r="AF267" s="381"/>
    </row>
    <row r="268" spans="1:32" ht="122.45" customHeight="1" thickBot="1" x14ac:dyDescent="0.35">
      <c r="A268" s="381"/>
      <c r="B268" s="381"/>
      <c r="C268" s="381"/>
      <c r="D268" s="823"/>
      <c r="E268" s="381"/>
      <c r="F268" s="486"/>
      <c r="G268" s="381"/>
      <c r="H268" s="381"/>
      <c r="I268" s="381"/>
      <c r="J268" s="381"/>
      <c r="K268" s="381"/>
      <c r="L268" s="381"/>
      <c r="M268" s="626"/>
      <c r="N268" s="381"/>
      <c r="O268" s="381"/>
      <c r="P268" s="381"/>
      <c r="Q268" s="381"/>
      <c r="R268" s="381"/>
      <c r="S268" s="381"/>
      <c r="T268" s="381"/>
      <c r="U268" s="381"/>
      <c r="V268" s="381"/>
      <c r="W268" s="381"/>
      <c r="X268" s="381"/>
      <c r="Y268" s="381"/>
      <c r="Z268" s="381"/>
      <c r="AA268" s="381"/>
      <c r="AB268" s="381"/>
      <c r="AC268" s="381"/>
      <c r="AD268" s="381"/>
      <c r="AE268" s="381"/>
      <c r="AF268" s="381"/>
    </row>
    <row r="269" spans="1:32" ht="122.45" customHeight="1" thickBot="1" x14ac:dyDescent="0.35">
      <c r="A269" s="381"/>
      <c r="B269" s="381"/>
      <c r="C269" s="381"/>
      <c r="D269" s="823"/>
      <c r="E269" s="381"/>
      <c r="F269" s="486"/>
      <c r="G269" s="381"/>
      <c r="H269" s="381"/>
      <c r="I269" s="381"/>
      <c r="J269" s="381"/>
      <c r="K269" s="381"/>
      <c r="L269" s="381"/>
      <c r="M269" s="626"/>
      <c r="N269" s="381"/>
      <c r="O269" s="381"/>
      <c r="P269" s="381"/>
      <c r="Q269" s="381"/>
      <c r="R269" s="381"/>
      <c r="S269" s="381"/>
      <c r="T269" s="381"/>
      <c r="U269" s="381"/>
      <c r="V269" s="381"/>
      <c r="W269" s="381"/>
      <c r="X269" s="381"/>
      <c r="Y269" s="381"/>
      <c r="Z269" s="381"/>
      <c r="AA269" s="381"/>
      <c r="AB269" s="381"/>
      <c r="AC269" s="381"/>
      <c r="AD269" s="381"/>
      <c r="AE269" s="381"/>
      <c r="AF269" s="381"/>
    </row>
    <row r="270" spans="1:32" ht="122.45" customHeight="1" thickBot="1" x14ac:dyDescent="0.35">
      <c r="A270" s="381"/>
      <c r="B270" s="381"/>
      <c r="C270" s="381"/>
      <c r="D270" s="823"/>
      <c r="E270" s="381"/>
      <c r="F270" s="486"/>
      <c r="G270" s="381"/>
      <c r="H270" s="381"/>
      <c r="I270" s="381"/>
      <c r="J270" s="381"/>
      <c r="K270" s="381"/>
      <c r="L270" s="381"/>
      <c r="M270" s="626"/>
      <c r="N270" s="381"/>
      <c r="O270" s="381"/>
      <c r="P270" s="381"/>
      <c r="Q270" s="381"/>
      <c r="R270" s="381"/>
      <c r="S270" s="381"/>
      <c r="T270" s="381"/>
      <c r="U270" s="381"/>
      <c r="V270" s="381"/>
      <c r="W270" s="381"/>
      <c r="X270" s="381"/>
      <c r="Y270" s="381"/>
      <c r="Z270" s="381"/>
      <c r="AA270" s="381"/>
      <c r="AB270" s="381"/>
      <c r="AC270" s="381"/>
      <c r="AD270" s="381"/>
      <c r="AE270" s="381"/>
      <c r="AF270" s="381"/>
    </row>
    <row r="271" spans="1:32" ht="122.45" customHeight="1" thickBot="1" x14ac:dyDescent="0.35">
      <c r="A271" s="381"/>
      <c r="B271" s="381"/>
      <c r="C271" s="381"/>
      <c r="D271" s="823"/>
      <c r="E271" s="381"/>
      <c r="F271" s="486"/>
      <c r="G271" s="381"/>
      <c r="H271" s="381"/>
      <c r="I271" s="381"/>
      <c r="J271" s="381"/>
      <c r="K271" s="381"/>
      <c r="L271" s="381"/>
      <c r="M271" s="626"/>
      <c r="N271" s="381"/>
      <c r="O271" s="381"/>
      <c r="P271" s="381"/>
      <c r="Q271" s="381"/>
      <c r="R271" s="381"/>
      <c r="S271" s="381"/>
      <c r="T271" s="381"/>
      <c r="U271" s="381"/>
      <c r="V271" s="381"/>
      <c r="W271" s="381"/>
      <c r="X271" s="381"/>
      <c r="Y271" s="381"/>
      <c r="Z271" s="381"/>
      <c r="AA271" s="381"/>
      <c r="AB271" s="381"/>
      <c r="AC271" s="381"/>
      <c r="AD271" s="381"/>
      <c r="AE271" s="381"/>
      <c r="AF271" s="381"/>
    </row>
    <row r="272" spans="1:32" ht="122.45" customHeight="1" thickBot="1" x14ac:dyDescent="0.35">
      <c r="A272" s="381"/>
      <c r="B272" s="381"/>
      <c r="C272" s="381"/>
      <c r="D272" s="823"/>
      <c r="E272" s="381"/>
      <c r="F272" s="486"/>
      <c r="G272" s="381"/>
      <c r="H272" s="381"/>
      <c r="I272" s="381"/>
      <c r="J272" s="381"/>
      <c r="K272" s="381"/>
      <c r="L272" s="381"/>
      <c r="M272" s="626"/>
      <c r="N272" s="381"/>
      <c r="O272" s="381"/>
      <c r="P272" s="381"/>
      <c r="Q272" s="381"/>
      <c r="R272" s="381"/>
      <c r="S272" s="381"/>
      <c r="T272" s="381"/>
      <c r="U272" s="381"/>
      <c r="V272" s="381"/>
      <c r="W272" s="381"/>
      <c r="X272" s="381"/>
      <c r="Y272" s="381"/>
      <c r="Z272" s="381"/>
      <c r="AA272" s="381"/>
      <c r="AB272" s="381"/>
      <c r="AC272" s="381"/>
      <c r="AD272" s="381"/>
      <c r="AE272" s="381"/>
      <c r="AF272" s="381"/>
    </row>
    <row r="273" spans="1:32" ht="122.45" customHeight="1" thickBot="1" x14ac:dyDescent="0.35">
      <c r="A273" s="381"/>
      <c r="B273" s="381"/>
      <c r="C273" s="381"/>
      <c r="D273" s="823"/>
      <c r="E273" s="381"/>
      <c r="F273" s="486"/>
      <c r="G273" s="381"/>
      <c r="H273" s="381"/>
      <c r="I273" s="381"/>
      <c r="J273" s="381"/>
      <c r="K273" s="381"/>
      <c r="L273" s="381"/>
      <c r="M273" s="626"/>
      <c r="N273" s="381"/>
      <c r="O273" s="381"/>
      <c r="P273" s="381"/>
      <c r="Q273" s="381"/>
      <c r="R273" s="381"/>
      <c r="S273" s="381"/>
      <c r="T273" s="381"/>
      <c r="U273" s="381"/>
      <c r="V273" s="381"/>
      <c r="W273" s="381"/>
      <c r="X273" s="381"/>
      <c r="Y273" s="381"/>
      <c r="Z273" s="381"/>
      <c r="AA273" s="381"/>
      <c r="AB273" s="381"/>
      <c r="AC273" s="381"/>
      <c r="AD273" s="381"/>
      <c r="AE273" s="381"/>
      <c r="AF273" s="381"/>
    </row>
    <row r="274" spans="1:32" ht="122.45" customHeight="1" thickBot="1" x14ac:dyDescent="0.35">
      <c r="A274" s="381"/>
      <c r="B274" s="381"/>
      <c r="C274" s="381"/>
      <c r="D274" s="823"/>
      <c r="E274" s="381"/>
      <c r="F274" s="486"/>
      <c r="G274" s="381"/>
      <c r="H274" s="381"/>
      <c r="I274" s="381"/>
      <c r="J274" s="381"/>
      <c r="K274" s="381"/>
      <c r="L274" s="381"/>
      <c r="M274" s="626"/>
      <c r="N274" s="381"/>
      <c r="O274" s="381"/>
      <c r="P274" s="381"/>
      <c r="Q274" s="381"/>
      <c r="R274" s="381"/>
      <c r="S274" s="381"/>
      <c r="T274" s="381"/>
      <c r="U274" s="381"/>
      <c r="V274" s="381"/>
      <c r="W274" s="381"/>
      <c r="X274" s="381"/>
      <c r="Y274" s="381"/>
      <c r="Z274" s="381"/>
      <c r="AA274" s="381"/>
      <c r="AB274" s="381"/>
      <c r="AC274" s="381"/>
      <c r="AD274" s="381"/>
      <c r="AE274" s="381"/>
      <c r="AF274" s="381"/>
    </row>
    <row r="275" spans="1:32" ht="122.45" customHeight="1" thickBot="1" x14ac:dyDescent="0.35">
      <c r="A275" s="381"/>
      <c r="B275" s="381"/>
      <c r="C275" s="381"/>
      <c r="D275" s="823"/>
      <c r="E275" s="381"/>
      <c r="F275" s="486"/>
      <c r="G275" s="381"/>
      <c r="H275" s="381"/>
      <c r="I275" s="381"/>
      <c r="J275" s="381"/>
      <c r="K275" s="381"/>
      <c r="L275" s="381"/>
      <c r="M275" s="626"/>
      <c r="N275" s="381"/>
      <c r="O275" s="381"/>
      <c r="P275" s="381"/>
      <c r="Q275" s="381"/>
      <c r="R275" s="381"/>
      <c r="S275" s="381"/>
      <c r="T275" s="381"/>
      <c r="U275" s="381"/>
      <c r="V275" s="381"/>
      <c r="W275" s="381"/>
      <c r="X275" s="381"/>
      <c r="Y275" s="381"/>
      <c r="Z275" s="381"/>
      <c r="AA275" s="381"/>
      <c r="AB275" s="381"/>
      <c r="AC275" s="381"/>
      <c r="AD275" s="381"/>
      <c r="AE275" s="381"/>
      <c r="AF275" s="381"/>
    </row>
    <row r="276" spans="1:32" ht="122.45" customHeight="1" thickBot="1" x14ac:dyDescent="0.35">
      <c r="A276" s="381"/>
      <c r="B276" s="381"/>
      <c r="C276" s="381"/>
      <c r="D276" s="823"/>
      <c r="E276" s="381"/>
      <c r="F276" s="486"/>
      <c r="G276" s="381"/>
      <c r="H276" s="381"/>
      <c r="I276" s="381"/>
      <c r="J276" s="381"/>
      <c r="K276" s="381"/>
      <c r="L276" s="381"/>
      <c r="M276" s="626"/>
      <c r="N276" s="381"/>
      <c r="O276" s="381"/>
      <c r="P276" s="381"/>
      <c r="Q276" s="381"/>
      <c r="R276" s="381"/>
      <c r="S276" s="381"/>
      <c r="T276" s="381"/>
      <c r="U276" s="381"/>
      <c r="V276" s="381"/>
      <c r="W276" s="381"/>
      <c r="X276" s="381"/>
      <c r="Y276" s="381"/>
      <c r="Z276" s="381"/>
      <c r="AA276" s="381"/>
      <c r="AB276" s="381"/>
      <c r="AC276" s="381"/>
      <c r="AD276" s="381"/>
      <c r="AE276" s="381"/>
      <c r="AF276" s="381"/>
    </row>
    <row r="277" spans="1:32" ht="122.45" customHeight="1" thickBot="1" x14ac:dyDescent="0.35">
      <c r="A277" s="381"/>
      <c r="B277" s="381"/>
      <c r="C277" s="381"/>
      <c r="D277" s="823"/>
      <c r="E277" s="381"/>
      <c r="F277" s="486"/>
      <c r="G277" s="381"/>
      <c r="H277" s="381"/>
      <c r="I277" s="381"/>
      <c r="J277" s="381"/>
      <c r="K277" s="381"/>
      <c r="L277" s="381"/>
      <c r="M277" s="626"/>
      <c r="N277" s="381"/>
      <c r="O277" s="381"/>
      <c r="P277" s="381"/>
      <c r="Q277" s="381"/>
      <c r="R277" s="381"/>
      <c r="S277" s="381"/>
      <c r="T277" s="381"/>
      <c r="U277" s="381"/>
      <c r="V277" s="381"/>
      <c r="W277" s="381"/>
      <c r="X277" s="381"/>
      <c r="Y277" s="381"/>
      <c r="Z277" s="381"/>
      <c r="AA277" s="381"/>
      <c r="AB277" s="381"/>
      <c r="AC277" s="381"/>
      <c r="AD277" s="381"/>
      <c r="AE277" s="381"/>
      <c r="AF277" s="381"/>
    </row>
    <row r="278" spans="1:32" ht="122.45" customHeight="1" thickBot="1" x14ac:dyDescent="0.35">
      <c r="A278" s="381"/>
      <c r="B278" s="381"/>
      <c r="C278" s="381"/>
      <c r="D278" s="823"/>
      <c r="E278" s="381"/>
      <c r="F278" s="486"/>
      <c r="G278" s="381"/>
      <c r="H278" s="381"/>
      <c r="I278" s="381"/>
      <c r="J278" s="381"/>
      <c r="K278" s="381"/>
      <c r="L278" s="381"/>
      <c r="M278" s="626"/>
      <c r="N278" s="381"/>
      <c r="O278" s="381"/>
      <c r="P278" s="381"/>
      <c r="Q278" s="381"/>
      <c r="R278" s="381"/>
      <c r="S278" s="381"/>
      <c r="T278" s="381"/>
      <c r="U278" s="381"/>
      <c r="V278" s="381"/>
      <c r="W278" s="381"/>
      <c r="X278" s="381"/>
      <c r="Y278" s="381"/>
      <c r="Z278" s="381"/>
      <c r="AA278" s="381"/>
      <c r="AB278" s="381"/>
      <c r="AC278" s="381"/>
      <c r="AD278" s="381"/>
      <c r="AE278" s="381"/>
      <c r="AF278" s="381"/>
    </row>
    <row r="279" spans="1:32" ht="122.45" customHeight="1" thickBot="1" x14ac:dyDescent="0.35">
      <c r="A279" s="381"/>
      <c r="B279" s="381"/>
      <c r="C279" s="381"/>
      <c r="D279" s="823"/>
      <c r="E279" s="381"/>
      <c r="F279" s="486"/>
      <c r="G279" s="381"/>
      <c r="H279" s="381"/>
      <c r="I279" s="381"/>
      <c r="J279" s="381"/>
      <c r="K279" s="381"/>
      <c r="L279" s="381"/>
      <c r="M279" s="626"/>
      <c r="N279" s="381"/>
      <c r="O279" s="381"/>
      <c r="P279" s="381"/>
      <c r="Q279" s="381"/>
      <c r="R279" s="381"/>
      <c r="S279" s="381"/>
      <c r="T279" s="381"/>
      <c r="U279" s="381"/>
      <c r="V279" s="381"/>
      <c r="W279" s="381"/>
      <c r="X279" s="381"/>
      <c r="Y279" s="381"/>
      <c r="Z279" s="381"/>
      <c r="AA279" s="381"/>
      <c r="AB279" s="381"/>
      <c r="AC279" s="381"/>
      <c r="AD279" s="381"/>
      <c r="AE279" s="381"/>
      <c r="AF279" s="381"/>
    </row>
    <row r="280" spans="1:32" ht="122.45" customHeight="1" thickBot="1" x14ac:dyDescent="0.35">
      <c r="A280" s="381"/>
      <c r="B280" s="381"/>
      <c r="C280" s="381"/>
      <c r="D280" s="823"/>
      <c r="E280" s="381"/>
      <c r="F280" s="486"/>
      <c r="G280" s="381"/>
      <c r="H280" s="381"/>
      <c r="I280" s="381"/>
      <c r="J280" s="381"/>
      <c r="K280" s="381"/>
      <c r="L280" s="381"/>
      <c r="M280" s="626"/>
      <c r="N280" s="381"/>
      <c r="O280" s="381"/>
      <c r="P280" s="381"/>
      <c r="Q280" s="381"/>
      <c r="R280" s="381"/>
      <c r="S280" s="381"/>
      <c r="T280" s="381"/>
      <c r="U280" s="381"/>
      <c r="V280" s="381"/>
      <c r="W280" s="381"/>
      <c r="X280" s="381"/>
      <c r="Y280" s="381"/>
      <c r="Z280" s="381"/>
      <c r="AA280" s="381"/>
      <c r="AB280" s="381"/>
      <c r="AC280" s="381"/>
      <c r="AD280" s="381"/>
      <c r="AE280" s="381"/>
      <c r="AF280" s="381"/>
    </row>
    <row r="281" spans="1:32" ht="122.45" customHeight="1" thickBot="1" x14ac:dyDescent="0.35">
      <c r="A281" s="381"/>
      <c r="B281" s="381"/>
      <c r="C281" s="381"/>
      <c r="D281" s="823"/>
      <c r="E281" s="381"/>
      <c r="F281" s="486"/>
      <c r="G281" s="381"/>
      <c r="H281" s="381"/>
      <c r="I281" s="381"/>
      <c r="J281" s="381"/>
      <c r="K281" s="381"/>
      <c r="L281" s="381"/>
      <c r="M281" s="626"/>
      <c r="N281" s="381"/>
      <c r="O281" s="381"/>
      <c r="P281" s="381"/>
      <c r="Q281" s="381"/>
      <c r="R281" s="381"/>
      <c r="S281" s="381"/>
      <c r="T281" s="381"/>
      <c r="U281" s="381"/>
      <c r="V281" s="381"/>
      <c r="W281" s="381"/>
      <c r="X281" s="381"/>
      <c r="Y281" s="381"/>
      <c r="Z281" s="381"/>
      <c r="AA281" s="381"/>
      <c r="AB281" s="381"/>
      <c r="AC281" s="381"/>
      <c r="AD281" s="381"/>
      <c r="AE281" s="381"/>
      <c r="AF281" s="381"/>
    </row>
    <row r="282" spans="1:32" ht="122.45" customHeight="1" thickBot="1" x14ac:dyDescent="0.35">
      <c r="A282" s="381"/>
      <c r="B282" s="381"/>
      <c r="C282" s="381"/>
      <c r="D282" s="823"/>
      <c r="E282" s="381"/>
      <c r="F282" s="486"/>
      <c r="G282" s="381"/>
      <c r="H282" s="381"/>
      <c r="I282" s="381"/>
      <c r="J282" s="381"/>
      <c r="K282" s="381"/>
      <c r="L282" s="381"/>
      <c r="M282" s="626"/>
      <c r="N282" s="381"/>
      <c r="O282" s="381"/>
      <c r="P282" s="381"/>
      <c r="Q282" s="381"/>
      <c r="R282" s="381"/>
      <c r="S282" s="381"/>
      <c r="T282" s="381"/>
      <c r="U282" s="381"/>
      <c r="V282" s="381"/>
      <c r="W282" s="381"/>
      <c r="X282" s="381"/>
      <c r="Y282" s="381"/>
      <c r="Z282" s="381"/>
      <c r="AA282" s="381"/>
      <c r="AB282" s="381"/>
      <c r="AC282" s="381"/>
      <c r="AD282" s="381"/>
      <c r="AE282" s="381"/>
      <c r="AF282" s="381"/>
    </row>
    <row r="283" spans="1:32" ht="122.45" customHeight="1" thickBot="1" x14ac:dyDescent="0.35">
      <c r="A283" s="381"/>
      <c r="B283" s="381"/>
      <c r="C283" s="381"/>
      <c r="D283" s="823"/>
      <c r="E283" s="381"/>
      <c r="F283" s="486"/>
      <c r="G283" s="381"/>
      <c r="H283" s="381"/>
      <c r="I283" s="381"/>
      <c r="J283" s="381"/>
      <c r="K283" s="381"/>
      <c r="L283" s="381"/>
      <c r="M283" s="626"/>
      <c r="N283" s="381"/>
      <c r="O283" s="381"/>
      <c r="P283" s="381"/>
      <c r="Q283" s="381"/>
      <c r="R283" s="381"/>
      <c r="S283" s="381"/>
      <c r="T283" s="381"/>
      <c r="U283" s="381"/>
      <c r="V283" s="381"/>
      <c r="W283" s="381"/>
      <c r="X283" s="381"/>
      <c r="Y283" s="381"/>
      <c r="Z283" s="381"/>
      <c r="AA283" s="381"/>
      <c r="AB283" s="381"/>
      <c r="AC283" s="381"/>
      <c r="AD283" s="381"/>
      <c r="AE283" s="381"/>
      <c r="AF283" s="381"/>
    </row>
    <row r="284" spans="1:32" ht="122.45" customHeight="1" thickBot="1" x14ac:dyDescent="0.35">
      <c r="A284" s="381"/>
      <c r="B284" s="381"/>
      <c r="C284" s="381"/>
      <c r="D284" s="823"/>
      <c r="E284" s="381"/>
      <c r="F284" s="486"/>
      <c r="G284" s="381"/>
      <c r="H284" s="381"/>
      <c r="I284" s="381"/>
      <c r="J284" s="381"/>
      <c r="K284" s="381"/>
      <c r="L284" s="381"/>
      <c r="M284" s="626"/>
      <c r="N284" s="381"/>
      <c r="O284" s="381"/>
      <c r="P284" s="381"/>
      <c r="Q284" s="381"/>
      <c r="R284" s="381"/>
      <c r="S284" s="381"/>
      <c r="T284" s="381"/>
      <c r="U284" s="381"/>
      <c r="V284" s="381"/>
      <c r="W284" s="381"/>
      <c r="X284" s="381"/>
      <c r="Y284" s="381"/>
      <c r="Z284" s="381"/>
      <c r="AA284" s="381"/>
      <c r="AB284" s="381"/>
      <c r="AC284" s="381"/>
      <c r="AD284" s="381"/>
      <c r="AE284" s="381"/>
      <c r="AF284" s="381"/>
    </row>
    <row r="285" spans="1:32" ht="122.45" customHeight="1" thickBot="1" x14ac:dyDescent="0.35">
      <c r="A285" s="381"/>
      <c r="B285" s="381"/>
      <c r="C285" s="381"/>
      <c r="D285" s="823"/>
      <c r="E285" s="381"/>
      <c r="F285" s="486"/>
      <c r="G285" s="381"/>
      <c r="H285" s="381"/>
      <c r="I285" s="381"/>
      <c r="J285" s="381"/>
      <c r="K285" s="381"/>
      <c r="L285" s="381"/>
      <c r="M285" s="626"/>
      <c r="N285" s="381"/>
      <c r="O285" s="381"/>
      <c r="P285" s="381"/>
      <c r="Q285" s="381"/>
      <c r="R285" s="381"/>
      <c r="S285" s="381"/>
      <c r="T285" s="381"/>
      <c r="U285" s="381"/>
      <c r="V285" s="381"/>
      <c r="W285" s="381"/>
      <c r="X285" s="381"/>
      <c r="Y285" s="381"/>
      <c r="Z285" s="381"/>
      <c r="AA285" s="381"/>
      <c r="AB285" s="381"/>
      <c r="AC285" s="381"/>
      <c r="AD285" s="381"/>
      <c r="AE285" s="381"/>
      <c r="AF285" s="381"/>
    </row>
    <row r="286" spans="1:32" ht="122.45" customHeight="1" thickBot="1" x14ac:dyDescent="0.35">
      <c r="A286" s="381"/>
      <c r="B286" s="381"/>
      <c r="C286" s="381"/>
      <c r="D286" s="823"/>
      <c r="E286" s="381"/>
      <c r="F286" s="486"/>
      <c r="G286" s="381"/>
      <c r="H286" s="381"/>
      <c r="I286" s="381"/>
      <c r="J286" s="381"/>
      <c r="K286" s="381"/>
      <c r="L286" s="381"/>
      <c r="M286" s="626"/>
      <c r="N286" s="381"/>
      <c r="O286" s="381"/>
      <c r="P286" s="381"/>
      <c r="Q286" s="381"/>
      <c r="R286" s="381"/>
      <c r="S286" s="381"/>
      <c r="T286" s="381"/>
      <c r="U286" s="381"/>
      <c r="V286" s="381"/>
      <c r="W286" s="381"/>
      <c r="X286" s="381"/>
      <c r="Y286" s="381"/>
      <c r="Z286" s="381"/>
      <c r="AA286" s="381"/>
      <c r="AB286" s="381"/>
      <c r="AC286" s="381"/>
      <c r="AD286" s="381"/>
      <c r="AE286" s="381"/>
      <c r="AF286" s="381"/>
    </row>
    <row r="287" spans="1:32" ht="122.45" customHeight="1" thickBot="1" x14ac:dyDescent="0.35">
      <c r="A287" s="381"/>
      <c r="B287" s="381"/>
      <c r="C287" s="381"/>
      <c r="D287" s="823"/>
      <c r="E287" s="381"/>
      <c r="F287" s="486"/>
      <c r="G287" s="381"/>
      <c r="H287" s="381"/>
      <c r="I287" s="381"/>
      <c r="J287" s="381"/>
      <c r="K287" s="381"/>
      <c r="L287" s="381"/>
      <c r="M287" s="626"/>
      <c r="N287" s="381"/>
      <c r="O287" s="381"/>
      <c r="P287" s="381"/>
      <c r="Q287" s="381"/>
      <c r="R287" s="381"/>
      <c r="S287" s="381"/>
      <c r="T287" s="381"/>
      <c r="U287" s="381"/>
      <c r="V287" s="381"/>
      <c r="W287" s="381"/>
      <c r="X287" s="381"/>
      <c r="Y287" s="381"/>
      <c r="Z287" s="381"/>
      <c r="AA287" s="381"/>
      <c r="AB287" s="381"/>
      <c r="AC287" s="381"/>
      <c r="AD287" s="381"/>
      <c r="AE287" s="381"/>
      <c r="AF287" s="381"/>
    </row>
    <row r="288" spans="1:32" ht="122.45" customHeight="1" thickBot="1" x14ac:dyDescent="0.35">
      <c r="A288" s="381"/>
      <c r="B288" s="381"/>
      <c r="C288" s="381"/>
      <c r="D288" s="823"/>
      <c r="E288" s="381"/>
      <c r="F288" s="486"/>
      <c r="G288" s="381"/>
      <c r="H288" s="381"/>
      <c r="I288" s="381"/>
      <c r="J288" s="381"/>
      <c r="K288" s="381"/>
      <c r="L288" s="381"/>
      <c r="M288" s="626"/>
      <c r="N288" s="381"/>
      <c r="O288" s="381"/>
      <c r="P288" s="381"/>
      <c r="Q288" s="381"/>
      <c r="R288" s="381"/>
      <c r="S288" s="381"/>
      <c r="T288" s="381"/>
      <c r="U288" s="381"/>
      <c r="V288" s="381"/>
      <c r="W288" s="381"/>
      <c r="X288" s="381"/>
      <c r="Y288" s="381"/>
      <c r="Z288" s="381"/>
      <c r="AA288" s="381"/>
      <c r="AB288" s="381"/>
      <c r="AC288" s="381"/>
      <c r="AD288" s="381"/>
      <c r="AE288" s="381"/>
      <c r="AF288" s="381"/>
    </row>
    <row r="289" spans="1:32" ht="122.45" customHeight="1" thickBot="1" x14ac:dyDescent="0.35">
      <c r="A289" s="381"/>
      <c r="B289" s="381"/>
      <c r="C289" s="381"/>
      <c r="D289" s="823"/>
      <c r="E289" s="381"/>
      <c r="F289" s="486"/>
      <c r="G289" s="381"/>
      <c r="H289" s="381"/>
      <c r="I289" s="381"/>
      <c r="J289" s="381"/>
      <c r="K289" s="381"/>
      <c r="L289" s="381"/>
      <c r="M289" s="626"/>
      <c r="N289" s="381"/>
      <c r="O289" s="381"/>
      <c r="P289" s="381"/>
      <c r="Q289" s="381"/>
      <c r="R289" s="381"/>
      <c r="S289" s="381"/>
      <c r="T289" s="381"/>
      <c r="U289" s="381"/>
      <c r="V289" s="381"/>
      <c r="W289" s="381"/>
      <c r="X289" s="381"/>
      <c r="Y289" s="381"/>
      <c r="Z289" s="381"/>
      <c r="AA289" s="381"/>
      <c r="AB289" s="381"/>
      <c r="AC289" s="381"/>
      <c r="AD289" s="381"/>
      <c r="AE289" s="381"/>
      <c r="AF289" s="381"/>
    </row>
    <row r="290" spans="1:32" ht="122.45" customHeight="1" thickBot="1" x14ac:dyDescent="0.35">
      <c r="A290" s="381"/>
      <c r="B290" s="381"/>
      <c r="C290" s="381"/>
      <c r="D290" s="823"/>
      <c r="E290" s="381"/>
      <c r="F290" s="486"/>
      <c r="G290" s="381"/>
      <c r="H290" s="381"/>
      <c r="I290" s="381"/>
      <c r="J290" s="381"/>
      <c r="K290" s="381"/>
      <c r="L290" s="381"/>
      <c r="M290" s="626"/>
      <c r="N290" s="381"/>
      <c r="O290" s="381"/>
      <c r="P290" s="381"/>
      <c r="Q290" s="381"/>
      <c r="R290" s="381"/>
      <c r="S290" s="381"/>
      <c r="T290" s="381"/>
      <c r="U290" s="381"/>
      <c r="V290" s="381"/>
      <c r="W290" s="381"/>
      <c r="X290" s="381"/>
      <c r="Y290" s="381"/>
      <c r="Z290" s="381"/>
      <c r="AA290" s="381"/>
      <c r="AB290" s="381"/>
      <c r="AC290" s="381"/>
      <c r="AD290" s="381"/>
      <c r="AE290" s="381"/>
      <c r="AF290" s="381"/>
    </row>
    <row r="291" spans="1:32" ht="122.45" customHeight="1" thickBot="1" x14ac:dyDescent="0.35">
      <c r="A291" s="381"/>
      <c r="B291" s="381"/>
      <c r="C291" s="381"/>
      <c r="D291" s="823"/>
      <c r="E291" s="381"/>
      <c r="F291" s="486"/>
      <c r="G291" s="381"/>
      <c r="H291" s="381"/>
      <c r="I291" s="381"/>
      <c r="J291" s="381"/>
      <c r="K291" s="381"/>
      <c r="L291" s="381"/>
      <c r="M291" s="626"/>
      <c r="N291" s="381"/>
      <c r="O291" s="381"/>
      <c r="P291" s="381"/>
      <c r="Q291" s="381"/>
      <c r="R291" s="381"/>
      <c r="S291" s="381"/>
      <c r="T291" s="381"/>
      <c r="U291" s="381"/>
      <c r="V291" s="381"/>
      <c r="W291" s="381"/>
      <c r="X291" s="381"/>
      <c r="Y291" s="381"/>
      <c r="Z291" s="381"/>
      <c r="AA291" s="381"/>
      <c r="AB291" s="381"/>
      <c r="AC291" s="381"/>
      <c r="AD291" s="381"/>
      <c r="AE291" s="381"/>
      <c r="AF291" s="381"/>
    </row>
    <row r="292" spans="1:32" ht="122.45" customHeight="1" thickBot="1" x14ac:dyDescent="0.35">
      <c r="A292" s="381"/>
      <c r="B292" s="381"/>
      <c r="C292" s="381"/>
      <c r="D292" s="823"/>
      <c r="E292" s="381"/>
      <c r="F292" s="486"/>
      <c r="G292" s="381"/>
      <c r="H292" s="381"/>
      <c r="I292" s="381"/>
      <c r="J292" s="381"/>
      <c r="K292" s="381"/>
      <c r="L292" s="381"/>
      <c r="M292" s="626"/>
      <c r="N292" s="381"/>
      <c r="O292" s="381"/>
      <c r="P292" s="381"/>
      <c r="Q292" s="381"/>
      <c r="R292" s="381"/>
      <c r="S292" s="381"/>
      <c r="T292" s="381"/>
      <c r="U292" s="381"/>
      <c r="V292" s="381"/>
      <c r="W292" s="381"/>
      <c r="X292" s="381"/>
      <c r="Y292" s="381"/>
      <c r="Z292" s="381"/>
      <c r="AA292" s="381"/>
      <c r="AB292" s="381"/>
      <c r="AC292" s="381"/>
      <c r="AD292" s="381"/>
      <c r="AE292" s="381"/>
      <c r="AF292" s="381"/>
    </row>
    <row r="293" spans="1:32" ht="122.45" customHeight="1" thickBot="1" x14ac:dyDescent="0.35">
      <c r="A293" s="381"/>
      <c r="B293" s="381"/>
      <c r="C293" s="381"/>
      <c r="D293" s="823"/>
      <c r="E293" s="381"/>
      <c r="F293" s="486"/>
      <c r="G293" s="381"/>
      <c r="H293" s="381"/>
      <c r="I293" s="381"/>
      <c r="J293" s="381"/>
      <c r="K293" s="381"/>
      <c r="L293" s="381"/>
      <c r="M293" s="626"/>
      <c r="N293" s="381"/>
      <c r="O293" s="381"/>
      <c r="P293" s="381"/>
      <c r="Q293" s="381"/>
      <c r="R293" s="381"/>
      <c r="S293" s="381"/>
      <c r="T293" s="381"/>
      <c r="U293" s="381"/>
      <c r="V293" s="381"/>
      <c r="W293" s="381"/>
      <c r="X293" s="381"/>
      <c r="Y293" s="381"/>
      <c r="Z293" s="381"/>
      <c r="AA293" s="381"/>
      <c r="AB293" s="381"/>
      <c r="AC293" s="381"/>
      <c r="AD293" s="381"/>
      <c r="AE293" s="381"/>
      <c r="AF293" s="381"/>
    </row>
    <row r="294" spans="1:32" ht="122.45" customHeight="1" thickBot="1" x14ac:dyDescent="0.35">
      <c r="A294" s="381"/>
      <c r="B294" s="381"/>
      <c r="C294" s="381"/>
      <c r="D294" s="823"/>
      <c r="E294" s="381"/>
      <c r="F294" s="486"/>
      <c r="G294" s="381"/>
      <c r="H294" s="381"/>
      <c r="I294" s="381"/>
      <c r="J294" s="381"/>
      <c r="K294" s="381"/>
      <c r="L294" s="381"/>
      <c r="M294" s="626"/>
      <c r="N294" s="381"/>
      <c r="O294" s="381"/>
      <c r="P294" s="381"/>
      <c r="Q294" s="381"/>
      <c r="R294" s="381"/>
      <c r="S294" s="381"/>
      <c r="T294" s="381"/>
      <c r="U294" s="381"/>
      <c r="V294" s="381"/>
      <c r="W294" s="381"/>
      <c r="X294" s="381"/>
      <c r="Y294" s="381"/>
      <c r="Z294" s="381"/>
      <c r="AA294" s="381"/>
      <c r="AB294" s="381"/>
      <c r="AC294" s="381"/>
      <c r="AD294" s="381"/>
      <c r="AE294" s="381"/>
      <c r="AF294" s="381"/>
    </row>
    <row r="295" spans="1:32" ht="122.45" customHeight="1" thickBot="1" x14ac:dyDescent="0.35">
      <c r="A295" s="381"/>
      <c r="B295" s="381"/>
      <c r="C295" s="381"/>
      <c r="D295" s="823"/>
      <c r="E295" s="381"/>
      <c r="F295" s="486"/>
      <c r="G295" s="381"/>
      <c r="H295" s="381"/>
      <c r="I295" s="381"/>
      <c r="J295" s="381"/>
      <c r="K295" s="381"/>
      <c r="L295" s="381"/>
      <c r="M295" s="626"/>
      <c r="N295" s="381"/>
      <c r="O295" s="381"/>
      <c r="P295" s="381"/>
      <c r="Q295" s="381"/>
      <c r="R295" s="381"/>
      <c r="S295" s="381"/>
      <c r="T295" s="381"/>
      <c r="U295" s="381"/>
      <c r="V295" s="381"/>
      <c r="W295" s="381"/>
      <c r="X295" s="381"/>
      <c r="Y295" s="381"/>
      <c r="Z295" s="381"/>
      <c r="AA295" s="381"/>
      <c r="AB295" s="381"/>
      <c r="AC295" s="381"/>
      <c r="AD295" s="381"/>
      <c r="AE295" s="381"/>
      <c r="AF295" s="381"/>
    </row>
    <row r="296" spans="1:32" ht="122.45" customHeight="1" thickBot="1" x14ac:dyDescent="0.35">
      <c r="A296" s="381"/>
      <c r="B296" s="381"/>
      <c r="C296" s="381"/>
      <c r="D296" s="823"/>
      <c r="E296" s="381"/>
      <c r="F296" s="486"/>
      <c r="G296" s="381"/>
      <c r="H296" s="381"/>
      <c r="I296" s="381"/>
      <c r="J296" s="381"/>
      <c r="K296" s="381"/>
      <c r="L296" s="381"/>
      <c r="M296" s="626"/>
      <c r="N296" s="381"/>
      <c r="O296" s="381"/>
      <c r="P296" s="381"/>
      <c r="Q296" s="381"/>
      <c r="R296" s="381"/>
      <c r="S296" s="381"/>
      <c r="T296" s="381"/>
      <c r="U296" s="381"/>
      <c r="V296" s="381"/>
      <c r="W296" s="381"/>
      <c r="X296" s="381"/>
      <c r="Y296" s="381"/>
      <c r="Z296" s="381"/>
      <c r="AA296" s="381"/>
      <c r="AB296" s="381"/>
      <c r="AC296" s="381"/>
      <c r="AD296" s="381"/>
      <c r="AE296" s="381"/>
      <c r="AF296" s="381"/>
    </row>
    <row r="297" spans="1:32" ht="122.45" customHeight="1" thickBot="1" x14ac:dyDescent="0.35">
      <c r="A297" s="381"/>
      <c r="B297" s="381"/>
      <c r="C297" s="381"/>
      <c r="D297" s="823"/>
      <c r="E297" s="381"/>
      <c r="F297" s="486"/>
      <c r="G297" s="381"/>
      <c r="H297" s="381"/>
      <c r="I297" s="381"/>
      <c r="J297" s="381"/>
      <c r="K297" s="381"/>
      <c r="L297" s="381"/>
      <c r="M297" s="626"/>
      <c r="N297" s="381"/>
      <c r="O297" s="381"/>
      <c r="P297" s="381"/>
      <c r="Q297" s="381"/>
      <c r="R297" s="381"/>
      <c r="S297" s="381"/>
      <c r="T297" s="381"/>
      <c r="U297" s="381"/>
      <c r="V297" s="381"/>
      <c r="W297" s="381"/>
      <c r="X297" s="381"/>
      <c r="Y297" s="381"/>
      <c r="Z297" s="381"/>
      <c r="AA297" s="381"/>
      <c r="AB297" s="381"/>
      <c r="AC297" s="381"/>
      <c r="AD297" s="381"/>
      <c r="AE297" s="381"/>
      <c r="AF297" s="381"/>
    </row>
    <row r="298" spans="1:32" ht="122.45" customHeight="1" thickBot="1" x14ac:dyDescent="0.35">
      <c r="A298" s="381"/>
      <c r="B298" s="381"/>
      <c r="C298" s="381"/>
      <c r="D298" s="823"/>
      <c r="E298" s="381"/>
      <c r="F298" s="486"/>
      <c r="G298" s="381"/>
      <c r="H298" s="381"/>
      <c r="I298" s="381"/>
      <c r="J298" s="381"/>
      <c r="K298" s="381"/>
      <c r="L298" s="381"/>
      <c r="M298" s="626"/>
      <c r="N298" s="381"/>
      <c r="O298" s="381"/>
      <c r="P298" s="381"/>
      <c r="Q298" s="381"/>
      <c r="R298" s="381"/>
      <c r="S298" s="381"/>
      <c r="T298" s="381"/>
      <c r="U298" s="381"/>
      <c r="V298" s="381"/>
      <c r="W298" s="381"/>
      <c r="X298" s="381"/>
      <c r="Y298" s="381"/>
      <c r="Z298" s="381"/>
      <c r="AA298" s="381"/>
      <c r="AB298" s="381"/>
      <c r="AC298" s="381"/>
      <c r="AD298" s="381"/>
      <c r="AE298" s="381"/>
      <c r="AF298" s="381"/>
    </row>
    <row r="299" spans="1:32" ht="122.45" customHeight="1" thickBot="1" x14ac:dyDescent="0.35">
      <c r="A299" s="381"/>
      <c r="B299" s="381"/>
      <c r="C299" s="381"/>
      <c r="D299" s="823"/>
      <c r="E299" s="381"/>
      <c r="F299" s="486"/>
      <c r="G299" s="381"/>
      <c r="H299" s="381"/>
      <c r="I299" s="381"/>
      <c r="J299" s="381"/>
      <c r="K299" s="381"/>
      <c r="L299" s="381"/>
      <c r="M299" s="626"/>
      <c r="N299" s="381"/>
      <c r="O299" s="381"/>
      <c r="P299" s="381"/>
      <c r="Q299" s="381"/>
      <c r="R299" s="381"/>
      <c r="S299" s="381"/>
      <c r="T299" s="381"/>
      <c r="U299" s="381"/>
      <c r="V299" s="381"/>
      <c r="W299" s="381"/>
      <c r="X299" s="381"/>
      <c r="Y299" s="381"/>
      <c r="Z299" s="381"/>
      <c r="AA299" s="381"/>
      <c r="AB299" s="381"/>
      <c r="AC299" s="381"/>
      <c r="AD299" s="381"/>
      <c r="AE299" s="381"/>
      <c r="AF299" s="381"/>
    </row>
    <row r="300" spans="1:32" ht="122.45" customHeight="1" thickBot="1" x14ac:dyDescent="0.35">
      <c r="A300" s="381"/>
      <c r="B300" s="381"/>
      <c r="C300" s="381"/>
      <c r="D300" s="823"/>
      <c r="E300" s="381"/>
      <c r="F300" s="486"/>
      <c r="G300" s="381"/>
      <c r="H300" s="381"/>
      <c r="I300" s="381"/>
      <c r="J300" s="381"/>
      <c r="K300" s="381"/>
      <c r="L300" s="381"/>
      <c r="M300" s="626"/>
      <c r="N300" s="381"/>
      <c r="O300" s="381"/>
      <c r="P300" s="381"/>
      <c r="Q300" s="381"/>
      <c r="R300" s="381"/>
      <c r="S300" s="381"/>
      <c r="T300" s="381"/>
      <c r="U300" s="381"/>
      <c r="V300" s="381"/>
      <c r="W300" s="381"/>
      <c r="X300" s="381"/>
      <c r="Y300" s="381"/>
      <c r="Z300" s="381"/>
      <c r="AA300" s="381"/>
      <c r="AB300" s="381"/>
      <c r="AC300" s="381"/>
      <c r="AD300" s="381"/>
      <c r="AE300" s="381"/>
      <c r="AF300" s="381"/>
    </row>
    <row r="301" spans="1:32" ht="122.45" customHeight="1" thickBot="1" x14ac:dyDescent="0.35">
      <c r="A301" s="381"/>
      <c r="B301" s="381"/>
      <c r="C301" s="381"/>
      <c r="D301" s="823"/>
      <c r="E301" s="381"/>
      <c r="F301" s="486"/>
      <c r="G301" s="381"/>
      <c r="H301" s="381"/>
      <c r="I301" s="381"/>
      <c r="J301" s="381"/>
      <c r="K301" s="381"/>
      <c r="L301" s="381"/>
      <c r="M301" s="626"/>
      <c r="N301" s="381"/>
      <c r="O301" s="381"/>
      <c r="P301" s="381"/>
      <c r="Q301" s="381"/>
      <c r="R301" s="381"/>
      <c r="S301" s="381"/>
      <c r="T301" s="381"/>
      <c r="U301" s="381"/>
      <c r="V301" s="381"/>
      <c r="W301" s="381"/>
      <c r="X301" s="381"/>
      <c r="Y301" s="381"/>
      <c r="Z301" s="381"/>
      <c r="AA301" s="381"/>
      <c r="AB301" s="381"/>
      <c r="AC301" s="381"/>
      <c r="AD301" s="381"/>
      <c r="AE301" s="381"/>
      <c r="AF301" s="381"/>
    </row>
    <row r="302" spans="1:32" ht="122.45" customHeight="1" thickBot="1" x14ac:dyDescent="0.35">
      <c r="A302" s="381"/>
      <c r="B302" s="381"/>
      <c r="C302" s="381"/>
      <c r="D302" s="823"/>
      <c r="E302" s="381"/>
      <c r="F302" s="486"/>
      <c r="G302" s="381"/>
      <c r="H302" s="381"/>
      <c r="I302" s="381"/>
      <c r="J302" s="381"/>
      <c r="K302" s="381"/>
      <c r="L302" s="381"/>
      <c r="M302" s="626"/>
      <c r="N302" s="381"/>
      <c r="O302" s="381"/>
      <c r="P302" s="381"/>
      <c r="Q302" s="381"/>
      <c r="R302" s="381"/>
      <c r="S302" s="381"/>
      <c r="T302" s="381"/>
      <c r="U302" s="381"/>
      <c r="V302" s="381"/>
      <c r="W302" s="381"/>
      <c r="X302" s="381"/>
      <c r="Y302" s="381"/>
      <c r="Z302" s="381"/>
      <c r="AA302" s="381"/>
      <c r="AB302" s="381"/>
      <c r="AC302" s="381"/>
      <c r="AD302" s="381"/>
      <c r="AE302" s="381"/>
      <c r="AF302" s="381"/>
    </row>
    <row r="303" spans="1:32" ht="122.45" customHeight="1" thickBot="1" x14ac:dyDescent="0.35">
      <c r="A303" s="381"/>
      <c r="B303" s="381"/>
      <c r="C303" s="381"/>
      <c r="D303" s="823"/>
      <c r="E303" s="381"/>
      <c r="F303" s="486"/>
      <c r="G303" s="381"/>
      <c r="H303" s="381"/>
      <c r="I303" s="381"/>
      <c r="J303" s="381"/>
      <c r="K303" s="381"/>
      <c r="L303" s="381"/>
      <c r="M303" s="626"/>
      <c r="N303" s="381"/>
      <c r="O303" s="381"/>
      <c r="P303" s="381"/>
      <c r="Q303" s="381"/>
      <c r="R303" s="381"/>
      <c r="S303" s="381"/>
      <c r="T303" s="381"/>
      <c r="U303" s="381"/>
      <c r="V303" s="381"/>
      <c r="W303" s="381"/>
      <c r="X303" s="381"/>
      <c r="Y303" s="381"/>
      <c r="Z303" s="381"/>
      <c r="AA303" s="381"/>
      <c r="AB303" s="381"/>
      <c r="AC303" s="381"/>
      <c r="AD303" s="381"/>
      <c r="AE303" s="381"/>
      <c r="AF303" s="381"/>
    </row>
    <row r="304" spans="1:32" ht="122.45" customHeight="1" thickBot="1" x14ac:dyDescent="0.35">
      <c r="A304" s="381"/>
      <c r="B304" s="381"/>
      <c r="C304" s="381"/>
      <c r="D304" s="823"/>
      <c r="E304" s="381"/>
      <c r="F304" s="486"/>
      <c r="G304" s="381"/>
      <c r="H304" s="381"/>
      <c r="I304" s="381"/>
      <c r="J304" s="381"/>
      <c r="K304" s="381"/>
      <c r="L304" s="381"/>
      <c r="M304" s="626"/>
      <c r="N304" s="381"/>
      <c r="O304" s="381"/>
      <c r="P304" s="381"/>
      <c r="Q304" s="381"/>
      <c r="R304" s="381"/>
      <c r="S304" s="381"/>
      <c r="T304" s="381"/>
      <c r="U304" s="381"/>
      <c r="V304" s="381"/>
      <c r="W304" s="381"/>
      <c r="X304" s="381"/>
      <c r="Y304" s="381"/>
      <c r="Z304" s="381"/>
      <c r="AA304" s="381"/>
      <c r="AB304" s="381"/>
      <c r="AC304" s="381"/>
      <c r="AD304" s="381"/>
      <c r="AE304" s="381"/>
      <c r="AF304" s="381"/>
    </row>
    <row r="305" spans="1:32" ht="122.45" customHeight="1" thickBot="1" x14ac:dyDescent="0.35">
      <c r="A305" s="381"/>
      <c r="B305" s="381"/>
      <c r="C305" s="381"/>
      <c r="D305" s="823"/>
      <c r="E305" s="381"/>
      <c r="F305" s="486"/>
      <c r="G305" s="381"/>
      <c r="H305" s="381"/>
      <c r="I305" s="381"/>
      <c r="J305" s="381"/>
      <c r="K305" s="381"/>
      <c r="L305" s="381"/>
      <c r="M305" s="626"/>
      <c r="N305" s="381"/>
      <c r="O305" s="381"/>
      <c r="P305" s="381"/>
      <c r="Q305" s="381"/>
      <c r="R305" s="381"/>
      <c r="S305" s="381"/>
      <c r="T305" s="381"/>
      <c r="U305" s="381"/>
      <c r="V305" s="381"/>
      <c r="W305" s="381"/>
      <c r="X305" s="381"/>
      <c r="Y305" s="381"/>
      <c r="Z305" s="381"/>
      <c r="AA305" s="381"/>
      <c r="AB305" s="381"/>
      <c r="AC305" s="381"/>
      <c r="AD305" s="381"/>
      <c r="AE305" s="381"/>
      <c r="AF305" s="381"/>
    </row>
    <row r="306" spans="1:32" ht="122.45" customHeight="1" thickBot="1" x14ac:dyDescent="0.35">
      <c r="A306" s="381"/>
      <c r="B306" s="381"/>
      <c r="C306" s="381"/>
      <c r="D306" s="823"/>
      <c r="E306" s="381"/>
      <c r="F306" s="486"/>
      <c r="G306" s="381"/>
      <c r="H306" s="381"/>
      <c r="I306" s="381"/>
      <c r="J306" s="381"/>
      <c r="K306" s="381"/>
      <c r="L306" s="381"/>
      <c r="M306" s="626"/>
      <c r="N306" s="381"/>
      <c r="O306" s="381"/>
      <c r="P306" s="381"/>
      <c r="Q306" s="381"/>
      <c r="R306" s="381"/>
      <c r="S306" s="381"/>
      <c r="T306" s="381"/>
      <c r="U306" s="381"/>
      <c r="V306" s="381"/>
      <c r="W306" s="381"/>
      <c r="X306" s="381"/>
      <c r="Y306" s="381"/>
      <c r="Z306" s="381"/>
      <c r="AA306" s="381"/>
      <c r="AB306" s="381"/>
      <c r="AC306" s="381"/>
      <c r="AD306" s="381"/>
      <c r="AE306" s="381"/>
      <c r="AF306" s="381"/>
    </row>
    <row r="307" spans="1:32" ht="122.45" customHeight="1" thickBot="1" x14ac:dyDescent="0.35">
      <c r="A307" s="381"/>
      <c r="B307" s="381"/>
      <c r="C307" s="381"/>
      <c r="D307" s="823"/>
      <c r="E307" s="381"/>
      <c r="F307" s="486"/>
      <c r="G307" s="381"/>
      <c r="H307" s="381"/>
      <c r="I307" s="381"/>
      <c r="J307" s="381"/>
      <c r="K307" s="381"/>
      <c r="L307" s="381"/>
      <c r="M307" s="626"/>
      <c r="N307" s="381"/>
      <c r="O307" s="381"/>
      <c r="P307" s="381"/>
      <c r="Q307" s="381"/>
      <c r="R307" s="381"/>
      <c r="S307" s="381"/>
      <c r="T307" s="381"/>
      <c r="U307" s="381"/>
      <c r="V307" s="381"/>
      <c r="W307" s="381"/>
      <c r="X307" s="381"/>
      <c r="Y307" s="381"/>
      <c r="Z307" s="381"/>
      <c r="AA307" s="381"/>
      <c r="AB307" s="381"/>
      <c r="AC307" s="381"/>
      <c r="AD307" s="381"/>
      <c r="AE307" s="381"/>
      <c r="AF307" s="381"/>
    </row>
    <row r="308" spans="1:32" ht="122.45" customHeight="1" thickBot="1" x14ac:dyDescent="0.35">
      <c r="A308" s="381"/>
      <c r="B308" s="381"/>
      <c r="C308" s="381"/>
      <c r="D308" s="823"/>
      <c r="E308" s="381"/>
      <c r="F308" s="486"/>
      <c r="G308" s="381"/>
      <c r="H308" s="381"/>
      <c r="I308" s="381"/>
      <c r="J308" s="381"/>
      <c r="K308" s="381"/>
      <c r="L308" s="381"/>
      <c r="M308" s="626"/>
      <c r="N308" s="381"/>
      <c r="O308" s="381"/>
      <c r="P308" s="381"/>
      <c r="Q308" s="381"/>
      <c r="R308" s="381"/>
      <c r="S308" s="381"/>
      <c r="T308" s="381"/>
      <c r="U308" s="381"/>
      <c r="V308" s="381"/>
      <c r="W308" s="381"/>
      <c r="X308" s="381"/>
      <c r="Y308" s="381"/>
      <c r="Z308" s="381"/>
      <c r="AA308" s="381"/>
      <c r="AB308" s="381"/>
      <c r="AC308" s="381"/>
      <c r="AD308" s="381"/>
      <c r="AE308" s="381"/>
      <c r="AF308" s="381"/>
    </row>
    <row r="309" spans="1:32" ht="122.45" customHeight="1" thickBot="1" x14ac:dyDescent="0.35">
      <c r="A309" s="381"/>
      <c r="B309" s="381"/>
      <c r="C309" s="381"/>
      <c r="D309" s="823"/>
      <c r="E309" s="381"/>
      <c r="F309" s="486"/>
      <c r="G309" s="381"/>
      <c r="H309" s="381"/>
      <c r="I309" s="381"/>
      <c r="J309" s="381"/>
      <c r="K309" s="381"/>
      <c r="L309" s="381"/>
      <c r="M309" s="626"/>
      <c r="N309" s="381"/>
      <c r="O309" s="381"/>
      <c r="P309" s="381"/>
      <c r="Q309" s="381"/>
      <c r="R309" s="381"/>
      <c r="S309" s="381"/>
      <c r="T309" s="381"/>
      <c r="U309" s="381"/>
      <c r="V309" s="381"/>
      <c r="W309" s="381"/>
      <c r="X309" s="381"/>
      <c r="Y309" s="381"/>
      <c r="Z309" s="381"/>
      <c r="AA309" s="381"/>
      <c r="AB309" s="381"/>
      <c r="AC309" s="381"/>
      <c r="AD309" s="381"/>
      <c r="AE309" s="381"/>
      <c r="AF309" s="381"/>
    </row>
    <row r="310" spans="1:32" ht="122.45" customHeight="1" thickBot="1" x14ac:dyDescent="0.35">
      <c r="A310" s="381"/>
      <c r="B310" s="381"/>
      <c r="C310" s="381"/>
      <c r="D310" s="823"/>
      <c r="E310" s="381"/>
      <c r="F310" s="486"/>
      <c r="G310" s="381"/>
      <c r="H310" s="381"/>
      <c r="I310" s="381"/>
      <c r="J310" s="381"/>
      <c r="K310" s="381"/>
      <c r="L310" s="381"/>
      <c r="M310" s="626"/>
      <c r="N310" s="381"/>
      <c r="O310" s="381"/>
      <c r="P310" s="381"/>
      <c r="Q310" s="381"/>
      <c r="R310" s="381"/>
      <c r="S310" s="381"/>
      <c r="T310" s="381"/>
      <c r="U310" s="381"/>
      <c r="V310" s="381"/>
      <c r="W310" s="381"/>
      <c r="X310" s="381"/>
      <c r="Y310" s="381"/>
      <c r="Z310" s="381"/>
      <c r="AA310" s="381"/>
      <c r="AB310" s="381"/>
      <c r="AC310" s="381"/>
      <c r="AD310" s="381"/>
      <c r="AE310" s="381"/>
      <c r="AF310" s="381"/>
    </row>
    <row r="311" spans="1:32" ht="122.45" customHeight="1" thickBot="1" x14ac:dyDescent="0.35">
      <c r="A311" s="381"/>
      <c r="B311" s="381"/>
      <c r="C311" s="381"/>
      <c r="D311" s="823"/>
      <c r="E311" s="381"/>
      <c r="F311" s="486"/>
      <c r="G311" s="381"/>
      <c r="H311" s="381"/>
      <c r="I311" s="381"/>
      <c r="J311" s="381"/>
      <c r="K311" s="381"/>
      <c r="L311" s="381"/>
      <c r="M311" s="626"/>
      <c r="N311" s="381"/>
      <c r="O311" s="381"/>
      <c r="P311" s="381"/>
      <c r="Q311" s="381"/>
      <c r="R311" s="381"/>
      <c r="S311" s="381"/>
      <c r="T311" s="381"/>
      <c r="U311" s="381"/>
      <c r="V311" s="381"/>
      <c r="W311" s="381"/>
      <c r="X311" s="381"/>
      <c r="Y311" s="381"/>
      <c r="Z311" s="381"/>
      <c r="AA311" s="381"/>
      <c r="AB311" s="381"/>
      <c r="AC311" s="381"/>
      <c r="AD311" s="381"/>
      <c r="AE311" s="381"/>
      <c r="AF311" s="381"/>
    </row>
    <row r="312" spans="1:32" ht="122.45" customHeight="1" thickBot="1" x14ac:dyDescent="0.35">
      <c r="A312" s="381"/>
      <c r="B312" s="381"/>
      <c r="C312" s="381"/>
      <c r="D312" s="823"/>
      <c r="E312" s="381"/>
      <c r="F312" s="486"/>
      <c r="G312" s="381"/>
      <c r="H312" s="381"/>
      <c r="I312" s="381"/>
      <c r="J312" s="381"/>
      <c r="K312" s="381"/>
      <c r="L312" s="381"/>
      <c r="M312" s="626"/>
      <c r="N312" s="381"/>
      <c r="O312" s="381"/>
      <c r="P312" s="381"/>
      <c r="Q312" s="381"/>
      <c r="R312" s="381"/>
      <c r="S312" s="381"/>
      <c r="T312" s="381"/>
      <c r="U312" s="381"/>
      <c r="V312" s="381"/>
      <c r="W312" s="381"/>
      <c r="X312" s="381"/>
      <c r="Y312" s="381"/>
      <c r="Z312" s="381"/>
      <c r="AA312" s="381"/>
      <c r="AB312" s="381"/>
      <c r="AC312" s="381"/>
      <c r="AD312" s="381"/>
      <c r="AE312" s="381"/>
      <c r="AF312" s="381"/>
    </row>
    <row r="313" spans="1:32" ht="122.45" customHeight="1" thickBot="1" x14ac:dyDescent="0.35">
      <c r="A313" s="381"/>
      <c r="B313" s="381"/>
      <c r="C313" s="381"/>
      <c r="D313" s="823"/>
      <c r="E313" s="381"/>
      <c r="F313" s="486"/>
      <c r="G313" s="381"/>
      <c r="H313" s="381"/>
      <c r="I313" s="381"/>
      <c r="J313" s="381"/>
      <c r="K313" s="381"/>
      <c r="L313" s="381"/>
      <c r="M313" s="626"/>
      <c r="N313" s="381"/>
      <c r="O313" s="381"/>
      <c r="P313" s="381"/>
      <c r="Q313" s="381"/>
      <c r="R313" s="381"/>
      <c r="S313" s="381"/>
      <c r="T313" s="381"/>
      <c r="U313" s="381"/>
      <c r="V313" s="381"/>
      <c r="W313" s="381"/>
      <c r="X313" s="381"/>
      <c r="Y313" s="381"/>
      <c r="Z313" s="381"/>
      <c r="AA313" s="381"/>
      <c r="AB313" s="381"/>
      <c r="AC313" s="381"/>
      <c r="AD313" s="381"/>
      <c r="AE313" s="381"/>
      <c r="AF313" s="381"/>
    </row>
    <row r="314" spans="1:32" ht="122.45" customHeight="1" thickBot="1" x14ac:dyDescent="0.35">
      <c r="A314" s="381"/>
      <c r="B314" s="381"/>
      <c r="C314" s="381"/>
      <c r="D314" s="823"/>
      <c r="E314" s="381"/>
      <c r="F314" s="486"/>
      <c r="G314" s="381"/>
      <c r="H314" s="381"/>
      <c r="I314" s="381"/>
      <c r="J314" s="381"/>
      <c r="K314" s="381"/>
      <c r="L314" s="381"/>
      <c r="M314" s="626"/>
      <c r="N314" s="381"/>
      <c r="O314" s="381"/>
      <c r="P314" s="381"/>
      <c r="Q314" s="381"/>
      <c r="R314" s="381"/>
      <c r="S314" s="381"/>
      <c r="T314" s="381"/>
      <c r="U314" s="381"/>
      <c r="V314" s="381"/>
      <c r="W314" s="381"/>
      <c r="X314" s="381"/>
      <c r="Y314" s="381"/>
      <c r="Z314" s="381"/>
      <c r="AA314" s="381"/>
      <c r="AB314" s="381"/>
      <c r="AC314" s="381"/>
      <c r="AD314" s="381"/>
      <c r="AE314" s="381"/>
      <c r="AF314" s="381"/>
    </row>
    <row r="315" spans="1:32" ht="122.45" customHeight="1" thickBot="1" x14ac:dyDescent="0.35">
      <c r="A315" s="381"/>
      <c r="B315" s="381"/>
      <c r="C315" s="381"/>
      <c r="D315" s="823"/>
      <c r="E315" s="381"/>
      <c r="F315" s="486"/>
      <c r="G315" s="381"/>
      <c r="H315" s="381"/>
      <c r="I315" s="381"/>
      <c r="J315" s="381"/>
      <c r="K315" s="381"/>
      <c r="L315" s="381"/>
      <c r="M315" s="626"/>
      <c r="N315" s="381"/>
      <c r="O315" s="381"/>
      <c r="P315" s="381"/>
      <c r="Q315" s="381"/>
      <c r="R315" s="381"/>
      <c r="S315" s="381"/>
      <c r="T315" s="381"/>
      <c r="U315" s="381"/>
      <c r="V315" s="381"/>
      <c r="W315" s="381"/>
      <c r="X315" s="381"/>
      <c r="Y315" s="381"/>
      <c r="Z315" s="381"/>
      <c r="AA315" s="381"/>
      <c r="AB315" s="381"/>
      <c r="AC315" s="381"/>
      <c r="AD315" s="381"/>
      <c r="AE315" s="381"/>
      <c r="AF315" s="381"/>
    </row>
    <row r="316" spans="1:32" ht="122.45" customHeight="1" thickBot="1" x14ac:dyDescent="0.35">
      <c r="A316" s="381"/>
      <c r="B316" s="381"/>
      <c r="C316" s="381"/>
      <c r="D316" s="823"/>
      <c r="E316" s="381"/>
      <c r="F316" s="486"/>
      <c r="G316" s="381"/>
      <c r="H316" s="381"/>
      <c r="I316" s="381"/>
      <c r="J316" s="381"/>
      <c r="K316" s="381"/>
      <c r="L316" s="381"/>
      <c r="M316" s="626"/>
      <c r="N316" s="381"/>
      <c r="O316" s="381"/>
      <c r="P316" s="381"/>
      <c r="Q316" s="381"/>
      <c r="R316" s="381"/>
      <c r="S316" s="381"/>
      <c r="T316" s="381"/>
      <c r="U316" s="381"/>
      <c r="V316" s="381"/>
      <c r="W316" s="381"/>
      <c r="X316" s="381"/>
      <c r="Y316" s="381"/>
      <c r="Z316" s="381"/>
      <c r="AA316" s="381"/>
      <c r="AB316" s="381"/>
      <c r="AC316" s="381"/>
      <c r="AD316" s="381"/>
      <c r="AE316" s="381"/>
      <c r="AF316" s="381"/>
    </row>
    <row r="317" spans="1:32" ht="122.45" customHeight="1" thickBot="1" x14ac:dyDescent="0.35">
      <c r="A317" s="381"/>
      <c r="B317" s="381"/>
      <c r="C317" s="381"/>
      <c r="D317" s="823"/>
      <c r="E317" s="381"/>
      <c r="F317" s="486"/>
      <c r="G317" s="381"/>
      <c r="H317" s="381"/>
      <c r="I317" s="381"/>
      <c r="J317" s="381"/>
      <c r="K317" s="381"/>
      <c r="L317" s="381"/>
      <c r="M317" s="626"/>
      <c r="N317" s="381"/>
      <c r="O317" s="381"/>
      <c r="P317" s="381"/>
      <c r="Q317" s="381"/>
      <c r="R317" s="381"/>
      <c r="S317" s="381"/>
      <c r="T317" s="381"/>
      <c r="U317" s="381"/>
      <c r="V317" s="381"/>
      <c r="W317" s="381"/>
      <c r="X317" s="381"/>
      <c r="Y317" s="381"/>
      <c r="Z317" s="381"/>
      <c r="AA317" s="381"/>
      <c r="AB317" s="381"/>
      <c r="AC317" s="381"/>
      <c r="AD317" s="381"/>
      <c r="AE317" s="381"/>
      <c r="AF317" s="381"/>
    </row>
    <row r="318" spans="1:32" ht="122.45" customHeight="1" thickBot="1" x14ac:dyDescent="0.35">
      <c r="A318" s="381"/>
      <c r="B318" s="381"/>
      <c r="C318" s="381"/>
      <c r="D318" s="823"/>
      <c r="E318" s="381"/>
      <c r="F318" s="486"/>
      <c r="G318" s="381"/>
      <c r="H318" s="381"/>
      <c r="I318" s="381"/>
      <c r="J318" s="381"/>
      <c r="K318" s="381"/>
      <c r="L318" s="381"/>
      <c r="M318" s="626"/>
      <c r="N318" s="381"/>
      <c r="O318" s="381"/>
      <c r="P318" s="381"/>
      <c r="Q318" s="381"/>
      <c r="R318" s="381"/>
      <c r="S318" s="381"/>
      <c r="T318" s="381"/>
      <c r="U318" s="381"/>
      <c r="V318" s="381"/>
      <c r="W318" s="381"/>
      <c r="X318" s="381"/>
      <c r="Y318" s="381"/>
      <c r="Z318" s="381"/>
      <c r="AA318" s="381"/>
      <c r="AB318" s="381"/>
      <c r="AC318" s="381"/>
      <c r="AD318" s="381"/>
      <c r="AE318" s="381"/>
      <c r="AF318" s="381"/>
    </row>
    <row r="319" spans="1:32" ht="122.45" customHeight="1" thickBot="1" x14ac:dyDescent="0.35">
      <c r="A319" s="381"/>
      <c r="B319" s="381"/>
      <c r="C319" s="381"/>
      <c r="D319" s="823"/>
      <c r="E319" s="381"/>
      <c r="F319" s="486"/>
      <c r="G319" s="381"/>
      <c r="H319" s="381"/>
      <c r="I319" s="381"/>
      <c r="J319" s="381"/>
      <c r="K319" s="381"/>
      <c r="L319" s="381"/>
      <c r="M319" s="626"/>
      <c r="N319" s="381"/>
      <c r="O319" s="381"/>
      <c r="P319" s="381"/>
      <c r="Q319" s="381"/>
      <c r="R319" s="381"/>
      <c r="S319" s="381"/>
      <c r="T319" s="381"/>
      <c r="U319" s="381"/>
      <c r="V319" s="381"/>
      <c r="W319" s="381"/>
      <c r="X319" s="381"/>
      <c r="Y319" s="381"/>
      <c r="Z319" s="381"/>
      <c r="AA319" s="381"/>
      <c r="AB319" s="381"/>
      <c r="AC319" s="381"/>
      <c r="AD319" s="381"/>
      <c r="AE319" s="381"/>
      <c r="AF319" s="381"/>
    </row>
    <row r="320" spans="1:32" ht="122.45" customHeight="1" thickBot="1" x14ac:dyDescent="0.35">
      <c r="A320" s="381"/>
      <c r="B320" s="381"/>
      <c r="C320" s="381"/>
      <c r="D320" s="823"/>
      <c r="E320" s="381"/>
      <c r="F320" s="486"/>
      <c r="G320" s="381"/>
      <c r="H320" s="381"/>
      <c r="I320" s="381"/>
      <c r="J320" s="381"/>
      <c r="K320" s="381"/>
      <c r="L320" s="381"/>
      <c r="M320" s="626"/>
      <c r="N320" s="381"/>
      <c r="O320" s="381"/>
      <c r="P320" s="381"/>
      <c r="Q320" s="381"/>
      <c r="R320" s="381"/>
      <c r="S320" s="381"/>
      <c r="T320" s="381"/>
      <c r="U320" s="381"/>
      <c r="V320" s="381"/>
      <c r="W320" s="381"/>
      <c r="X320" s="381"/>
      <c r="Y320" s="381"/>
      <c r="Z320" s="381"/>
      <c r="AA320" s="381"/>
      <c r="AB320" s="381"/>
      <c r="AC320" s="381"/>
      <c r="AD320" s="381"/>
      <c r="AE320" s="381"/>
      <c r="AF320" s="381"/>
    </row>
    <row r="321" spans="1:32" ht="122.45" customHeight="1" thickBot="1" x14ac:dyDescent="0.35">
      <c r="A321" s="381"/>
      <c r="B321" s="381"/>
      <c r="C321" s="381"/>
      <c r="D321" s="823"/>
      <c r="E321" s="381"/>
      <c r="F321" s="486"/>
      <c r="G321" s="381"/>
      <c r="H321" s="381"/>
      <c r="I321" s="381"/>
      <c r="J321" s="381"/>
      <c r="K321" s="381"/>
      <c r="L321" s="381"/>
      <c r="M321" s="626"/>
      <c r="N321" s="381"/>
      <c r="O321" s="381"/>
      <c r="P321" s="381"/>
      <c r="Q321" s="381"/>
      <c r="R321" s="381"/>
      <c r="S321" s="381"/>
      <c r="T321" s="381"/>
      <c r="U321" s="381"/>
      <c r="V321" s="381"/>
      <c r="W321" s="381"/>
      <c r="X321" s="381"/>
      <c r="Y321" s="381"/>
      <c r="Z321" s="381"/>
      <c r="AA321" s="381"/>
      <c r="AB321" s="381"/>
      <c r="AC321" s="381"/>
      <c r="AD321" s="381"/>
      <c r="AE321" s="381"/>
      <c r="AF321" s="381"/>
    </row>
    <row r="322" spans="1:32" ht="122.45" customHeight="1" thickBot="1" x14ac:dyDescent="0.35">
      <c r="A322" s="381"/>
      <c r="B322" s="381"/>
      <c r="C322" s="381"/>
      <c r="D322" s="823"/>
      <c r="E322" s="381"/>
      <c r="F322" s="486"/>
      <c r="G322" s="381"/>
      <c r="H322" s="381"/>
      <c r="I322" s="381"/>
      <c r="J322" s="381"/>
      <c r="K322" s="381"/>
      <c r="L322" s="381"/>
      <c r="M322" s="626"/>
      <c r="N322" s="381"/>
      <c r="O322" s="381"/>
      <c r="P322" s="381"/>
      <c r="Q322" s="381"/>
      <c r="R322" s="381"/>
      <c r="S322" s="381"/>
      <c r="T322" s="381"/>
      <c r="U322" s="381"/>
      <c r="V322" s="381"/>
      <c r="W322" s="381"/>
      <c r="X322" s="381"/>
      <c r="Y322" s="381"/>
      <c r="Z322" s="381"/>
      <c r="AA322" s="381"/>
      <c r="AB322" s="381"/>
      <c r="AC322" s="381"/>
      <c r="AD322" s="381"/>
      <c r="AE322" s="381"/>
      <c r="AF322" s="381"/>
    </row>
    <row r="323" spans="1:32" ht="122.45" customHeight="1" thickBot="1" x14ac:dyDescent="0.35">
      <c r="A323" s="381"/>
      <c r="B323" s="381"/>
      <c r="C323" s="381"/>
      <c r="D323" s="823"/>
      <c r="E323" s="381"/>
      <c r="F323" s="486"/>
      <c r="G323" s="381"/>
      <c r="H323" s="381"/>
      <c r="I323" s="381"/>
      <c r="J323" s="381"/>
      <c r="K323" s="381"/>
      <c r="L323" s="381"/>
      <c r="M323" s="626"/>
      <c r="N323" s="381"/>
      <c r="O323" s="381"/>
      <c r="P323" s="381"/>
      <c r="Q323" s="381"/>
      <c r="R323" s="381"/>
      <c r="S323" s="381"/>
      <c r="T323" s="381"/>
      <c r="U323" s="381"/>
      <c r="V323" s="381"/>
      <c r="W323" s="381"/>
      <c r="X323" s="381"/>
      <c r="Y323" s="381"/>
      <c r="Z323" s="381"/>
      <c r="AA323" s="381"/>
      <c r="AB323" s="381"/>
      <c r="AC323" s="381"/>
      <c r="AD323" s="381"/>
      <c r="AE323" s="381"/>
      <c r="AF323" s="381"/>
    </row>
    <row r="324" spans="1:32" ht="122.45" customHeight="1" thickBot="1" x14ac:dyDescent="0.35">
      <c r="A324" s="381"/>
      <c r="B324" s="381"/>
      <c r="C324" s="381"/>
      <c r="D324" s="823"/>
      <c r="E324" s="381"/>
      <c r="F324" s="486"/>
      <c r="G324" s="381"/>
      <c r="H324" s="381"/>
      <c r="I324" s="381"/>
      <c r="J324" s="381"/>
      <c r="K324" s="381"/>
      <c r="L324" s="381"/>
      <c r="M324" s="626"/>
      <c r="N324" s="381"/>
      <c r="O324" s="381"/>
      <c r="P324" s="381"/>
      <c r="Q324" s="381"/>
      <c r="R324" s="381"/>
      <c r="S324" s="381"/>
      <c r="T324" s="381"/>
      <c r="U324" s="381"/>
      <c r="V324" s="381"/>
      <c r="W324" s="381"/>
      <c r="X324" s="381"/>
      <c r="Y324" s="381"/>
      <c r="Z324" s="381"/>
      <c r="AA324" s="381"/>
      <c r="AB324" s="381"/>
      <c r="AC324" s="381"/>
      <c r="AD324" s="381"/>
      <c r="AE324" s="381"/>
      <c r="AF324" s="381"/>
    </row>
    <row r="325" spans="1:32" ht="122.45" customHeight="1" thickBot="1" x14ac:dyDescent="0.35">
      <c r="A325" s="381"/>
      <c r="B325" s="381"/>
      <c r="C325" s="381"/>
      <c r="D325" s="823"/>
      <c r="E325" s="381"/>
      <c r="F325" s="486"/>
      <c r="G325" s="381"/>
      <c r="H325" s="381"/>
      <c r="I325" s="381"/>
      <c r="J325" s="381"/>
      <c r="K325" s="381"/>
      <c r="L325" s="381"/>
      <c r="M325" s="626"/>
      <c r="N325" s="381"/>
      <c r="O325" s="381"/>
      <c r="P325" s="381"/>
      <c r="Q325" s="381"/>
      <c r="R325" s="381"/>
      <c r="S325" s="381"/>
      <c r="T325" s="381"/>
      <c r="U325" s="381"/>
      <c r="V325" s="381"/>
      <c r="W325" s="381"/>
      <c r="X325" s="381"/>
      <c r="Y325" s="381"/>
      <c r="Z325" s="381"/>
      <c r="AA325" s="381"/>
      <c r="AB325" s="381"/>
      <c r="AC325" s="381"/>
      <c r="AD325" s="381"/>
      <c r="AE325" s="381"/>
      <c r="AF325" s="381"/>
    </row>
    <row r="326" spans="1:32" ht="122.45" customHeight="1" thickBot="1" x14ac:dyDescent="0.35">
      <c r="A326" s="381"/>
      <c r="B326" s="381"/>
      <c r="C326" s="381"/>
      <c r="D326" s="823"/>
      <c r="E326" s="381"/>
      <c r="F326" s="486"/>
      <c r="G326" s="381"/>
      <c r="H326" s="381"/>
      <c r="I326" s="381"/>
      <c r="J326" s="381"/>
      <c r="K326" s="381"/>
      <c r="L326" s="381"/>
      <c r="M326" s="626"/>
      <c r="N326" s="381"/>
      <c r="O326" s="381"/>
      <c r="P326" s="381"/>
      <c r="Q326" s="381"/>
      <c r="R326" s="381"/>
      <c r="S326" s="381"/>
      <c r="T326" s="381"/>
      <c r="U326" s="381"/>
      <c r="V326" s="381"/>
      <c r="W326" s="381"/>
      <c r="X326" s="381"/>
      <c r="Y326" s="381"/>
      <c r="Z326" s="381"/>
      <c r="AA326" s="381"/>
      <c r="AB326" s="381"/>
      <c r="AC326" s="381"/>
      <c r="AD326" s="381"/>
      <c r="AE326" s="381"/>
      <c r="AF326" s="381"/>
    </row>
    <row r="327" spans="1:32" ht="122.45" customHeight="1" thickBot="1" x14ac:dyDescent="0.35">
      <c r="A327" s="381"/>
      <c r="B327" s="381"/>
      <c r="C327" s="381"/>
      <c r="D327" s="823"/>
      <c r="E327" s="381"/>
      <c r="F327" s="486"/>
      <c r="G327" s="381"/>
      <c r="H327" s="381"/>
      <c r="I327" s="381"/>
      <c r="J327" s="381"/>
      <c r="K327" s="381"/>
      <c r="L327" s="381"/>
      <c r="M327" s="626"/>
      <c r="N327" s="381"/>
      <c r="O327" s="381"/>
      <c r="P327" s="381"/>
      <c r="Q327" s="381"/>
      <c r="R327" s="381"/>
      <c r="S327" s="381"/>
      <c r="T327" s="381"/>
      <c r="U327" s="381"/>
      <c r="V327" s="381"/>
      <c r="W327" s="381"/>
      <c r="X327" s="381"/>
      <c r="Y327" s="381"/>
      <c r="Z327" s="381"/>
      <c r="AA327" s="381"/>
      <c r="AB327" s="381"/>
      <c r="AC327" s="381"/>
      <c r="AD327" s="381"/>
      <c r="AE327" s="381"/>
      <c r="AF327" s="381"/>
    </row>
    <row r="328" spans="1:32" ht="122.45" customHeight="1" thickBot="1" x14ac:dyDescent="0.35">
      <c r="A328" s="381"/>
      <c r="B328" s="381"/>
      <c r="C328" s="381"/>
      <c r="D328" s="823"/>
      <c r="E328" s="381"/>
      <c r="F328" s="486"/>
      <c r="G328" s="381"/>
      <c r="H328" s="381"/>
      <c r="I328" s="381"/>
      <c r="J328" s="381"/>
      <c r="K328" s="381"/>
      <c r="L328" s="381"/>
      <c r="M328" s="626"/>
      <c r="N328" s="381"/>
      <c r="O328" s="381"/>
      <c r="P328" s="381"/>
      <c r="Q328" s="381"/>
      <c r="R328" s="381"/>
      <c r="S328" s="381"/>
      <c r="T328" s="381"/>
      <c r="U328" s="381"/>
      <c r="V328" s="381"/>
      <c r="W328" s="381"/>
      <c r="X328" s="381"/>
      <c r="Y328" s="381"/>
      <c r="Z328" s="381"/>
      <c r="AA328" s="381"/>
      <c r="AB328" s="381"/>
      <c r="AC328" s="381"/>
      <c r="AD328" s="381"/>
      <c r="AE328" s="381"/>
      <c r="AF328" s="381"/>
    </row>
    <row r="329" spans="1:32" ht="122.45" customHeight="1" thickBot="1" x14ac:dyDescent="0.35">
      <c r="A329" s="381"/>
      <c r="B329" s="381"/>
      <c r="C329" s="381"/>
      <c r="D329" s="823"/>
      <c r="E329" s="381"/>
      <c r="F329" s="486"/>
      <c r="G329" s="381"/>
      <c r="H329" s="381"/>
      <c r="I329" s="381"/>
      <c r="J329" s="381"/>
      <c r="K329" s="381"/>
      <c r="L329" s="381"/>
      <c r="M329" s="626"/>
      <c r="N329" s="381"/>
      <c r="O329" s="381"/>
      <c r="P329" s="381"/>
      <c r="Q329" s="381"/>
      <c r="R329" s="381"/>
      <c r="S329" s="381"/>
      <c r="T329" s="381"/>
      <c r="U329" s="381"/>
      <c r="V329" s="381"/>
      <c r="W329" s="381"/>
      <c r="X329" s="381"/>
      <c r="Y329" s="381"/>
      <c r="Z329" s="381"/>
      <c r="AA329" s="381"/>
      <c r="AB329" s="381"/>
      <c r="AC329" s="381"/>
      <c r="AD329" s="381"/>
      <c r="AE329" s="381"/>
      <c r="AF329" s="381"/>
    </row>
    <row r="330" spans="1:32" ht="122.45" customHeight="1" thickBot="1" x14ac:dyDescent="0.35">
      <c r="A330" s="381"/>
      <c r="B330" s="381"/>
      <c r="C330" s="381"/>
      <c r="D330" s="823"/>
      <c r="E330" s="381"/>
      <c r="F330" s="486"/>
      <c r="G330" s="381"/>
      <c r="H330" s="381"/>
      <c r="I330" s="381"/>
      <c r="J330" s="381"/>
      <c r="K330" s="381"/>
      <c r="L330" s="381"/>
      <c r="M330" s="626"/>
      <c r="N330" s="381"/>
      <c r="O330" s="381"/>
      <c r="P330" s="381"/>
      <c r="Q330" s="381"/>
      <c r="R330" s="381"/>
      <c r="S330" s="381"/>
      <c r="T330" s="381"/>
      <c r="U330" s="381"/>
      <c r="V330" s="381"/>
      <c r="W330" s="381"/>
      <c r="X330" s="381"/>
      <c r="Y330" s="381"/>
      <c r="Z330" s="381"/>
      <c r="AA330" s="381"/>
      <c r="AB330" s="381"/>
      <c r="AC330" s="381"/>
      <c r="AD330" s="381"/>
      <c r="AE330" s="381"/>
      <c r="AF330" s="381"/>
    </row>
    <row r="331" spans="1:32" ht="122.45" customHeight="1" thickBot="1" x14ac:dyDescent="0.35">
      <c r="A331" s="381"/>
      <c r="B331" s="381"/>
      <c r="C331" s="381"/>
      <c r="D331" s="823"/>
      <c r="E331" s="381"/>
      <c r="F331" s="486"/>
      <c r="G331" s="381"/>
      <c r="H331" s="381"/>
      <c r="I331" s="381"/>
      <c r="J331" s="381"/>
      <c r="K331" s="381"/>
      <c r="L331" s="381"/>
      <c r="M331" s="626"/>
      <c r="N331" s="381"/>
      <c r="O331" s="381"/>
      <c r="P331" s="381"/>
      <c r="Q331" s="381"/>
      <c r="R331" s="381"/>
      <c r="S331" s="381"/>
      <c r="T331" s="381"/>
      <c r="U331" s="381"/>
      <c r="V331" s="381"/>
      <c r="W331" s="381"/>
      <c r="X331" s="381"/>
      <c r="Y331" s="381"/>
      <c r="Z331" s="381"/>
      <c r="AA331" s="381"/>
      <c r="AB331" s="381"/>
      <c r="AC331" s="381"/>
      <c r="AD331" s="381"/>
      <c r="AE331" s="381"/>
      <c r="AF331" s="381"/>
    </row>
    <row r="332" spans="1:32" ht="122.45" customHeight="1" thickBot="1" x14ac:dyDescent="0.35">
      <c r="A332" s="381"/>
      <c r="B332" s="381"/>
      <c r="C332" s="381"/>
      <c r="D332" s="823"/>
      <c r="E332" s="381"/>
      <c r="F332" s="486"/>
      <c r="G332" s="381"/>
      <c r="H332" s="381"/>
      <c r="I332" s="381"/>
      <c r="J332" s="381"/>
      <c r="K332" s="381"/>
      <c r="L332" s="381"/>
      <c r="M332" s="626"/>
      <c r="N332" s="381"/>
      <c r="O332" s="381"/>
      <c r="P332" s="381"/>
      <c r="Q332" s="381"/>
      <c r="R332" s="381"/>
      <c r="S332" s="381"/>
      <c r="T332" s="381"/>
      <c r="U332" s="381"/>
      <c r="V332" s="381"/>
      <c r="W332" s="381"/>
      <c r="X332" s="381"/>
      <c r="Y332" s="381"/>
      <c r="Z332" s="381"/>
      <c r="AA332" s="381"/>
      <c r="AB332" s="381"/>
      <c r="AC332" s="381"/>
      <c r="AD332" s="381"/>
      <c r="AE332" s="381"/>
      <c r="AF332" s="381"/>
    </row>
    <row r="333" spans="1:32" ht="122.45" customHeight="1" thickBot="1" x14ac:dyDescent="0.35">
      <c r="A333" s="381"/>
      <c r="B333" s="381"/>
      <c r="C333" s="381"/>
      <c r="D333" s="823"/>
      <c r="E333" s="381"/>
      <c r="F333" s="486"/>
      <c r="G333" s="381"/>
      <c r="H333" s="381"/>
      <c r="I333" s="381"/>
      <c r="J333" s="381"/>
      <c r="K333" s="381"/>
      <c r="L333" s="381"/>
      <c r="M333" s="626"/>
      <c r="N333" s="381"/>
      <c r="O333" s="381"/>
      <c r="P333" s="381"/>
      <c r="Q333" s="381"/>
      <c r="R333" s="381"/>
      <c r="S333" s="381"/>
      <c r="T333" s="381"/>
      <c r="U333" s="381"/>
      <c r="V333" s="381"/>
      <c r="W333" s="381"/>
      <c r="X333" s="381"/>
      <c r="Y333" s="381"/>
      <c r="Z333" s="381"/>
      <c r="AA333" s="381"/>
      <c r="AB333" s="381"/>
      <c r="AC333" s="381"/>
      <c r="AD333" s="381"/>
      <c r="AE333" s="381"/>
      <c r="AF333" s="381"/>
    </row>
    <row r="334" spans="1:32" ht="122.45" customHeight="1" thickBot="1" x14ac:dyDescent="0.35">
      <c r="A334" s="381"/>
      <c r="B334" s="381"/>
      <c r="C334" s="381"/>
      <c r="D334" s="823"/>
      <c r="E334" s="381"/>
      <c r="F334" s="486"/>
      <c r="G334" s="381"/>
      <c r="H334" s="381"/>
      <c r="I334" s="381"/>
      <c r="J334" s="381"/>
      <c r="K334" s="381"/>
      <c r="L334" s="381"/>
      <c r="M334" s="626"/>
      <c r="N334" s="381"/>
      <c r="O334" s="381"/>
      <c r="P334" s="381"/>
      <c r="Q334" s="381"/>
      <c r="R334" s="381"/>
      <c r="S334" s="381"/>
      <c r="T334" s="381"/>
      <c r="U334" s="381"/>
      <c r="V334" s="381"/>
      <c r="W334" s="381"/>
      <c r="X334" s="381"/>
      <c r="Y334" s="381"/>
      <c r="Z334" s="381"/>
      <c r="AA334" s="381"/>
      <c r="AB334" s="381"/>
      <c r="AC334" s="381"/>
      <c r="AD334" s="381"/>
      <c r="AE334" s="381"/>
      <c r="AF334" s="381"/>
    </row>
    <row r="335" spans="1:32" ht="122.45" customHeight="1" thickBot="1" x14ac:dyDescent="0.35">
      <c r="A335" s="381"/>
      <c r="B335" s="381"/>
      <c r="C335" s="381"/>
      <c r="D335" s="823"/>
      <c r="E335" s="381"/>
      <c r="F335" s="486"/>
      <c r="G335" s="381"/>
      <c r="H335" s="381"/>
      <c r="I335" s="381"/>
      <c r="J335" s="381"/>
      <c r="K335" s="381"/>
      <c r="L335" s="381"/>
      <c r="M335" s="626"/>
      <c r="N335" s="381"/>
      <c r="O335" s="381"/>
      <c r="P335" s="381"/>
      <c r="Q335" s="381"/>
      <c r="R335" s="381"/>
      <c r="S335" s="381"/>
      <c r="T335" s="381"/>
      <c r="U335" s="381"/>
      <c r="V335" s="381"/>
      <c r="W335" s="381"/>
      <c r="X335" s="381"/>
      <c r="Y335" s="381"/>
      <c r="Z335" s="381"/>
      <c r="AA335" s="381"/>
      <c r="AB335" s="381"/>
      <c r="AC335" s="381"/>
      <c r="AD335" s="381"/>
      <c r="AE335" s="381"/>
      <c r="AF335" s="381"/>
    </row>
    <row r="336" spans="1:32" ht="122.45" customHeight="1" thickBot="1" x14ac:dyDescent="0.35">
      <c r="A336" s="381"/>
      <c r="B336" s="381"/>
      <c r="C336" s="381"/>
      <c r="D336" s="823"/>
      <c r="E336" s="381"/>
      <c r="F336" s="486"/>
      <c r="G336" s="381"/>
      <c r="H336" s="381"/>
      <c r="I336" s="381"/>
      <c r="J336" s="381"/>
      <c r="K336" s="381"/>
      <c r="L336" s="381"/>
      <c r="M336" s="626"/>
      <c r="N336" s="381"/>
      <c r="O336" s="381"/>
      <c r="P336" s="381"/>
      <c r="Q336" s="381"/>
      <c r="R336" s="381"/>
      <c r="S336" s="381"/>
      <c r="T336" s="381"/>
      <c r="U336" s="381"/>
      <c r="V336" s="381"/>
      <c r="W336" s="381"/>
      <c r="X336" s="381"/>
      <c r="Y336" s="381"/>
      <c r="Z336" s="381"/>
      <c r="AA336" s="381"/>
      <c r="AB336" s="381"/>
      <c r="AC336" s="381"/>
      <c r="AD336" s="381"/>
      <c r="AE336" s="381"/>
      <c r="AF336" s="381"/>
    </row>
    <row r="337" spans="1:32" ht="122.45" customHeight="1" thickBot="1" x14ac:dyDescent="0.35">
      <c r="A337" s="381"/>
      <c r="B337" s="381"/>
      <c r="C337" s="381"/>
      <c r="D337" s="823"/>
      <c r="E337" s="381"/>
      <c r="F337" s="486"/>
      <c r="G337" s="381"/>
      <c r="H337" s="381"/>
      <c r="I337" s="381"/>
      <c r="J337" s="381"/>
      <c r="K337" s="381"/>
      <c r="L337" s="381"/>
      <c r="M337" s="626"/>
      <c r="N337" s="381"/>
      <c r="O337" s="381"/>
      <c r="P337" s="381"/>
      <c r="Q337" s="381"/>
      <c r="R337" s="381"/>
      <c r="S337" s="381"/>
      <c r="T337" s="381"/>
      <c r="U337" s="381"/>
      <c r="V337" s="381"/>
      <c r="W337" s="381"/>
      <c r="X337" s="381"/>
      <c r="Y337" s="381"/>
      <c r="Z337" s="381"/>
      <c r="AA337" s="381"/>
      <c r="AB337" s="381"/>
      <c r="AC337" s="381"/>
      <c r="AD337" s="381"/>
      <c r="AE337" s="381"/>
      <c r="AF337" s="381"/>
    </row>
    <row r="338" spans="1:32" ht="122.45" customHeight="1" thickBot="1" x14ac:dyDescent="0.35">
      <c r="A338" s="381"/>
      <c r="B338" s="381"/>
      <c r="C338" s="381"/>
      <c r="D338" s="823"/>
      <c r="E338" s="381"/>
      <c r="F338" s="486"/>
      <c r="G338" s="381"/>
      <c r="H338" s="381"/>
      <c r="I338" s="381"/>
      <c r="J338" s="381"/>
      <c r="K338" s="381"/>
      <c r="L338" s="381"/>
      <c r="M338" s="626"/>
      <c r="N338" s="381"/>
      <c r="O338" s="381"/>
      <c r="P338" s="381"/>
      <c r="Q338" s="381"/>
      <c r="R338" s="381"/>
      <c r="S338" s="381"/>
      <c r="T338" s="381"/>
      <c r="U338" s="381"/>
      <c r="V338" s="381"/>
      <c r="W338" s="381"/>
      <c r="X338" s="381"/>
      <c r="Y338" s="381"/>
      <c r="Z338" s="381"/>
      <c r="AA338" s="381"/>
      <c r="AB338" s="381"/>
      <c r="AC338" s="381"/>
      <c r="AD338" s="381"/>
      <c r="AE338" s="381"/>
      <c r="AF338" s="381"/>
    </row>
    <row r="339" spans="1:32" ht="122.45" customHeight="1" thickBot="1" x14ac:dyDescent="0.35">
      <c r="A339" s="381"/>
      <c r="B339" s="381"/>
      <c r="C339" s="381"/>
      <c r="D339" s="823"/>
      <c r="E339" s="381"/>
      <c r="F339" s="486"/>
      <c r="G339" s="381"/>
      <c r="H339" s="381"/>
      <c r="I339" s="381"/>
      <c r="J339" s="381"/>
      <c r="K339" s="381"/>
      <c r="L339" s="381"/>
      <c r="M339" s="626"/>
      <c r="N339" s="381"/>
      <c r="O339" s="381"/>
      <c r="P339" s="381"/>
      <c r="Q339" s="381"/>
      <c r="R339" s="381"/>
      <c r="S339" s="381"/>
      <c r="T339" s="381"/>
      <c r="U339" s="381"/>
      <c r="V339" s="381"/>
      <c r="W339" s="381"/>
      <c r="X339" s="381"/>
      <c r="Y339" s="381"/>
      <c r="Z339" s="381"/>
      <c r="AA339" s="381"/>
      <c r="AB339" s="381"/>
      <c r="AC339" s="381"/>
      <c r="AD339" s="381"/>
      <c r="AE339" s="381"/>
      <c r="AF339" s="381"/>
    </row>
    <row r="340" spans="1:32" ht="122.45" customHeight="1" thickBot="1" x14ac:dyDescent="0.35">
      <c r="A340" s="381"/>
      <c r="B340" s="381"/>
      <c r="C340" s="381"/>
      <c r="D340" s="823"/>
      <c r="E340" s="381"/>
      <c r="F340" s="486"/>
      <c r="G340" s="381"/>
      <c r="H340" s="381"/>
      <c r="I340" s="381"/>
      <c r="J340" s="381"/>
      <c r="K340" s="381"/>
      <c r="L340" s="381"/>
      <c r="M340" s="626"/>
      <c r="N340" s="381"/>
      <c r="O340" s="381"/>
      <c r="P340" s="381"/>
      <c r="Q340" s="381"/>
      <c r="R340" s="381"/>
      <c r="S340" s="381"/>
      <c r="T340" s="381"/>
      <c r="U340" s="381"/>
      <c r="V340" s="381"/>
      <c r="W340" s="381"/>
      <c r="X340" s="381"/>
      <c r="Y340" s="381"/>
      <c r="Z340" s="381"/>
      <c r="AA340" s="381"/>
      <c r="AB340" s="381"/>
      <c r="AC340" s="381"/>
      <c r="AD340" s="381"/>
      <c r="AE340" s="381"/>
      <c r="AF340" s="381"/>
    </row>
    <row r="341" spans="1:32" ht="122.45" customHeight="1" thickBot="1" x14ac:dyDescent="0.35">
      <c r="A341" s="381"/>
      <c r="B341" s="381"/>
      <c r="C341" s="381"/>
      <c r="D341" s="823"/>
      <c r="E341" s="381"/>
      <c r="F341" s="486"/>
      <c r="G341" s="381"/>
      <c r="H341" s="381"/>
      <c r="I341" s="381"/>
      <c r="J341" s="381"/>
      <c r="K341" s="381"/>
      <c r="L341" s="381"/>
      <c r="M341" s="626"/>
      <c r="N341" s="381"/>
      <c r="O341" s="381"/>
      <c r="P341" s="381"/>
      <c r="Q341" s="381"/>
      <c r="R341" s="381"/>
      <c r="S341" s="381"/>
      <c r="T341" s="381"/>
      <c r="U341" s="381"/>
      <c r="V341" s="381"/>
      <c r="W341" s="381"/>
      <c r="X341" s="381"/>
      <c r="Y341" s="381"/>
      <c r="Z341" s="381"/>
      <c r="AA341" s="381"/>
      <c r="AB341" s="381"/>
      <c r="AC341" s="381"/>
      <c r="AD341" s="381"/>
      <c r="AE341" s="381"/>
      <c r="AF341" s="381"/>
    </row>
    <row r="342" spans="1:32" ht="122.45" customHeight="1" thickBot="1" x14ac:dyDescent="0.35">
      <c r="A342" s="381"/>
      <c r="B342" s="381"/>
      <c r="C342" s="381"/>
      <c r="D342" s="823"/>
      <c r="E342" s="381"/>
      <c r="F342" s="486"/>
      <c r="G342" s="381"/>
      <c r="H342" s="381"/>
      <c r="I342" s="381"/>
      <c r="J342" s="381"/>
      <c r="K342" s="381"/>
      <c r="L342" s="381"/>
      <c r="M342" s="626"/>
      <c r="N342" s="381"/>
      <c r="O342" s="381"/>
      <c r="P342" s="381"/>
      <c r="Q342" s="381"/>
      <c r="R342" s="381"/>
      <c r="S342" s="381"/>
      <c r="T342" s="381"/>
      <c r="U342" s="381"/>
      <c r="V342" s="381"/>
      <c r="W342" s="381"/>
      <c r="X342" s="381"/>
      <c r="Y342" s="381"/>
      <c r="Z342" s="381"/>
      <c r="AA342" s="381"/>
      <c r="AB342" s="381"/>
      <c r="AC342" s="381"/>
      <c r="AD342" s="381"/>
      <c r="AE342" s="381"/>
      <c r="AF342" s="381"/>
    </row>
    <row r="343" spans="1:32" ht="122.45" customHeight="1" thickBot="1" x14ac:dyDescent="0.35">
      <c r="A343" s="381"/>
      <c r="B343" s="381"/>
      <c r="C343" s="381"/>
      <c r="D343" s="823"/>
      <c r="E343" s="381"/>
      <c r="F343" s="486"/>
      <c r="G343" s="381"/>
      <c r="H343" s="381"/>
      <c r="I343" s="381"/>
      <c r="J343" s="381"/>
      <c r="K343" s="381"/>
      <c r="L343" s="381"/>
      <c r="M343" s="626"/>
      <c r="N343" s="381"/>
      <c r="O343" s="381"/>
      <c r="P343" s="381"/>
      <c r="Q343" s="381"/>
      <c r="R343" s="381"/>
      <c r="S343" s="381"/>
      <c r="T343" s="381"/>
      <c r="U343" s="381"/>
      <c r="V343" s="381"/>
      <c r="W343" s="381"/>
      <c r="X343" s="381"/>
      <c r="Y343" s="381"/>
      <c r="Z343" s="381"/>
      <c r="AA343" s="381"/>
      <c r="AB343" s="381"/>
      <c r="AC343" s="381"/>
      <c r="AD343" s="381"/>
      <c r="AE343" s="381"/>
      <c r="AF343" s="381"/>
    </row>
    <row r="344" spans="1:32" ht="122.45" customHeight="1" thickBot="1" x14ac:dyDescent="0.35">
      <c r="A344" s="381"/>
      <c r="B344" s="381"/>
      <c r="C344" s="381"/>
      <c r="D344" s="823"/>
      <c r="E344" s="381"/>
      <c r="F344" s="486"/>
      <c r="G344" s="381"/>
      <c r="H344" s="381"/>
      <c r="I344" s="381"/>
      <c r="J344" s="381"/>
      <c r="K344" s="381"/>
      <c r="L344" s="381"/>
      <c r="M344" s="626"/>
      <c r="N344" s="381"/>
      <c r="O344" s="381"/>
      <c r="P344" s="381"/>
      <c r="Q344" s="381"/>
      <c r="R344" s="381"/>
      <c r="S344" s="381"/>
      <c r="T344" s="381"/>
      <c r="U344" s="381"/>
      <c r="V344" s="381"/>
      <c r="W344" s="381"/>
      <c r="X344" s="381"/>
      <c r="Y344" s="381"/>
      <c r="Z344" s="381"/>
      <c r="AA344" s="381"/>
      <c r="AB344" s="381"/>
      <c r="AC344" s="381"/>
      <c r="AD344" s="381"/>
      <c r="AE344" s="381"/>
      <c r="AF344" s="381"/>
    </row>
    <row r="345" spans="1:32" ht="122.45" customHeight="1" thickBot="1" x14ac:dyDescent="0.35">
      <c r="A345" s="381"/>
      <c r="B345" s="381"/>
      <c r="C345" s="381"/>
      <c r="D345" s="823"/>
      <c r="E345" s="381"/>
      <c r="F345" s="486"/>
      <c r="G345" s="381"/>
      <c r="H345" s="381"/>
      <c r="I345" s="381"/>
      <c r="J345" s="381"/>
      <c r="K345" s="381"/>
      <c r="L345" s="381"/>
      <c r="M345" s="626"/>
      <c r="N345" s="381"/>
      <c r="O345" s="381"/>
      <c r="P345" s="381"/>
      <c r="Q345" s="381"/>
      <c r="R345" s="381"/>
      <c r="S345" s="381"/>
      <c r="T345" s="381"/>
      <c r="U345" s="381"/>
      <c r="V345" s="381"/>
      <c r="W345" s="381"/>
      <c r="X345" s="381"/>
      <c r="Y345" s="381"/>
      <c r="Z345" s="381"/>
      <c r="AA345" s="381"/>
      <c r="AB345" s="381"/>
      <c r="AC345" s="381"/>
      <c r="AD345" s="381"/>
      <c r="AE345" s="381"/>
      <c r="AF345" s="381"/>
    </row>
    <row r="346" spans="1:32" ht="122.45" customHeight="1" thickBot="1" x14ac:dyDescent="0.35">
      <c r="A346" s="381"/>
      <c r="B346" s="381"/>
      <c r="C346" s="381"/>
      <c r="D346" s="823"/>
      <c r="E346" s="381"/>
      <c r="F346" s="486"/>
      <c r="G346" s="381"/>
      <c r="H346" s="381"/>
      <c r="I346" s="381"/>
      <c r="J346" s="381"/>
      <c r="K346" s="381"/>
      <c r="L346" s="381"/>
      <c r="M346" s="626"/>
      <c r="N346" s="381"/>
      <c r="O346" s="381"/>
      <c r="P346" s="381"/>
      <c r="Q346" s="381"/>
      <c r="R346" s="381"/>
      <c r="S346" s="381"/>
      <c r="T346" s="381"/>
      <c r="U346" s="381"/>
      <c r="V346" s="381"/>
      <c r="W346" s="381"/>
      <c r="X346" s="381"/>
      <c r="Y346" s="381"/>
      <c r="Z346" s="381"/>
      <c r="AA346" s="381"/>
      <c r="AB346" s="381"/>
      <c r="AC346" s="381"/>
      <c r="AD346" s="381"/>
      <c r="AE346" s="381"/>
      <c r="AF346" s="381"/>
    </row>
    <row r="347" spans="1:32" ht="122.45" customHeight="1" thickBot="1" x14ac:dyDescent="0.35">
      <c r="A347" s="381"/>
      <c r="B347" s="381"/>
      <c r="C347" s="381"/>
      <c r="D347" s="823"/>
      <c r="E347" s="381"/>
      <c r="F347" s="486"/>
      <c r="G347" s="381"/>
      <c r="H347" s="381"/>
      <c r="I347" s="381"/>
      <c r="J347" s="381"/>
      <c r="K347" s="381"/>
      <c r="L347" s="381"/>
      <c r="M347" s="626"/>
      <c r="N347" s="381"/>
      <c r="O347" s="381"/>
      <c r="P347" s="381"/>
      <c r="Q347" s="381"/>
      <c r="R347" s="381"/>
      <c r="S347" s="381"/>
      <c r="T347" s="381"/>
      <c r="U347" s="381"/>
      <c r="V347" s="381"/>
      <c r="W347" s="381"/>
      <c r="X347" s="381"/>
      <c r="Y347" s="381"/>
      <c r="Z347" s="381"/>
      <c r="AA347" s="381"/>
      <c r="AB347" s="381"/>
      <c r="AC347" s="381"/>
      <c r="AD347" s="381"/>
      <c r="AE347" s="381"/>
      <c r="AF347" s="381"/>
    </row>
    <row r="348" spans="1:32" ht="122.45" customHeight="1" thickBot="1" x14ac:dyDescent="0.35">
      <c r="A348" s="381"/>
      <c r="B348" s="381"/>
      <c r="C348" s="381"/>
      <c r="D348" s="823"/>
      <c r="E348" s="381"/>
      <c r="F348" s="486"/>
      <c r="G348" s="381"/>
      <c r="H348" s="381"/>
      <c r="I348" s="381"/>
      <c r="J348" s="381"/>
      <c r="K348" s="381"/>
      <c r="L348" s="381"/>
      <c r="M348" s="626"/>
      <c r="N348" s="381"/>
      <c r="O348" s="381"/>
      <c r="P348" s="381"/>
      <c r="Q348" s="381"/>
      <c r="R348" s="381"/>
      <c r="S348" s="381"/>
      <c r="T348" s="381"/>
      <c r="U348" s="381"/>
      <c r="V348" s="381"/>
      <c r="W348" s="381"/>
      <c r="X348" s="381"/>
      <c r="Y348" s="381"/>
      <c r="Z348" s="381"/>
      <c r="AA348" s="381"/>
      <c r="AB348" s="381"/>
      <c r="AC348" s="381"/>
      <c r="AD348" s="381"/>
      <c r="AE348" s="381"/>
      <c r="AF348" s="381"/>
    </row>
    <row r="349" spans="1:32" ht="122.45" customHeight="1" thickBot="1" x14ac:dyDescent="0.35">
      <c r="A349" s="381"/>
      <c r="B349" s="381"/>
      <c r="C349" s="381"/>
      <c r="D349" s="823"/>
      <c r="E349" s="381"/>
      <c r="F349" s="486"/>
      <c r="G349" s="381"/>
      <c r="H349" s="381"/>
      <c r="I349" s="381"/>
      <c r="J349" s="381"/>
      <c r="K349" s="381"/>
      <c r="L349" s="381"/>
      <c r="M349" s="626"/>
      <c r="N349" s="381"/>
      <c r="O349" s="381"/>
      <c r="P349" s="381"/>
      <c r="Q349" s="381"/>
      <c r="R349" s="381"/>
      <c r="S349" s="381"/>
      <c r="T349" s="381"/>
      <c r="U349" s="381"/>
      <c r="V349" s="381"/>
      <c r="W349" s="381"/>
      <c r="X349" s="381"/>
      <c r="Y349" s="381"/>
      <c r="Z349" s="381"/>
      <c r="AA349" s="381"/>
      <c r="AB349" s="381"/>
      <c r="AC349" s="381"/>
      <c r="AD349" s="381"/>
      <c r="AE349" s="381"/>
      <c r="AF349" s="381"/>
    </row>
    <row r="350" spans="1:32" ht="122.45" customHeight="1" thickBot="1" x14ac:dyDescent="0.35">
      <c r="A350" s="381"/>
      <c r="B350" s="381"/>
      <c r="C350" s="381"/>
      <c r="D350" s="823"/>
      <c r="E350" s="381"/>
      <c r="F350" s="486"/>
      <c r="G350" s="381"/>
      <c r="H350" s="381"/>
      <c r="I350" s="381"/>
      <c r="J350" s="381"/>
      <c r="K350" s="381"/>
      <c r="L350" s="381"/>
      <c r="M350" s="626"/>
      <c r="N350" s="381"/>
      <c r="O350" s="381"/>
      <c r="P350" s="381"/>
      <c r="Q350" s="381"/>
      <c r="R350" s="381"/>
      <c r="S350" s="381"/>
      <c r="T350" s="381"/>
      <c r="U350" s="381"/>
      <c r="V350" s="381"/>
      <c r="W350" s="381"/>
      <c r="X350" s="381"/>
      <c r="Y350" s="381"/>
      <c r="Z350" s="381"/>
      <c r="AA350" s="381"/>
      <c r="AB350" s="381"/>
      <c r="AC350" s="381"/>
      <c r="AD350" s="381"/>
      <c r="AE350" s="381"/>
      <c r="AF350" s="381"/>
    </row>
    <row r="351" spans="1:32" ht="122.45" customHeight="1" thickBot="1" x14ac:dyDescent="0.35">
      <c r="A351" s="381"/>
      <c r="B351" s="381"/>
      <c r="C351" s="381"/>
      <c r="D351" s="823"/>
      <c r="E351" s="381"/>
      <c r="F351" s="486"/>
      <c r="G351" s="381"/>
      <c r="H351" s="381"/>
      <c r="I351" s="381"/>
      <c r="J351" s="381"/>
      <c r="K351" s="381"/>
      <c r="L351" s="381"/>
      <c r="M351" s="626"/>
      <c r="N351" s="381"/>
      <c r="O351" s="381"/>
      <c r="P351" s="381"/>
      <c r="Q351" s="381"/>
      <c r="R351" s="381"/>
      <c r="S351" s="381"/>
      <c r="T351" s="381"/>
      <c r="U351" s="381"/>
      <c r="V351" s="381"/>
      <c r="W351" s="381"/>
      <c r="X351" s="381"/>
      <c r="Y351" s="381"/>
      <c r="Z351" s="381"/>
      <c r="AA351" s="381"/>
      <c r="AB351" s="381"/>
      <c r="AC351" s="381"/>
      <c r="AD351" s="381"/>
      <c r="AE351" s="381"/>
      <c r="AF351" s="381"/>
    </row>
    <row r="352" spans="1:32" ht="122.45" customHeight="1" thickBot="1" x14ac:dyDescent="0.35">
      <c r="A352" s="381"/>
      <c r="B352" s="381"/>
      <c r="C352" s="381"/>
      <c r="D352" s="823"/>
      <c r="E352" s="381"/>
      <c r="F352" s="486"/>
      <c r="G352" s="381"/>
      <c r="H352" s="381"/>
      <c r="I352" s="381"/>
      <c r="J352" s="381"/>
      <c r="K352" s="381"/>
      <c r="L352" s="381"/>
      <c r="M352" s="626"/>
      <c r="N352" s="381"/>
      <c r="O352" s="381"/>
      <c r="P352" s="381"/>
      <c r="Q352" s="381"/>
      <c r="R352" s="381"/>
      <c r="S352" s="381"/>
      <c r="T352" s="381"/>
      <c r="U352" s="381"/>
      <c r="V352" s="381"/>
      <c r="W352" s="381"/>
      <c r="X352" s="381"/>
      <c r="Y352" s="381"/>
      <c r="Z352" s="381"/>
      <c r="AA352" s="381"/>
      <c r="AB352" s="381"/>
      <c r="AC352" s="381"/>
      <c r="AD352" s="381"/>
      <c r="AE352" s="381"/>
      <c r="AF352" s="381"/>
    </row>
    <row r="353" spans="1:32" ht="122.45" customHeight="1" thickBot="1" x14ac:dyDescent="0.35">
      <c r="A353" s="381"/>
      <c r="B353" s="381"/>
      <c r="C353" s="381"/>
      <c r="D353" s="823"/>
      <c r="E353" s="381"/>
      <c r="F353" s="486"/>
      <c r="G353" s="381"/>
      <c r="H353" s="381"/>
      <c r="I353" s="381"/>
      <c r="J353" s="381"/>
      <c r="K353" s="381"/>
      <c r="L353" s="381"/>
      <c r="M353" s="626"/>
      <c r="N353" s="381"/>
      <c r="O353" s="381"/>
      <c r="P353" s="381"/>
      <c r="Q353" s="381"/>
      <c r="R353" s="381"/>
      <c r="S353" s="381"/>
      <c r="T353" s="381"/>
      <c r="U353" s="381"/>
      <c r="V353" s="381"/>
      <c r="W353" s="381"/>
      <c r="X353" s="381"/>
      <c r="Y353" s="381"/>
      <c r="Z353" s="381"/>
      <c r="AA353" s="381"/>
      <c r="AB353" s="381"/>
      <c r="AC353" s="381"/>
      <c r="AD353" s="381"/>
      <c r="AE353" s="381"/>
      <c r="AF353" s="381"/>
    </row>
    <row r="354" spans="1:32" ht="122.45" customHeight="1" thickBot="1" x14ac:dyDescent="0.35">
      <c r="A354" s="381"/>
      <c r="B354" s="381"/>
      <c r="C354" s="381"/>
      <c r="D354" s="823"/>
      <c r="E354" s="381"/>
      <c r="F354" s="486"/>
      <c r="G354" s="381"/>
      <c r="H354" s="381"/>
      <c r="I354" s="381"/>
      <c r="J354" s="381"/>
      <c r="K354" s="381"/>
      <c r="L354" s="381"/>
      <c r="M354" s="626"/>
      <c r="N354" s="381"/>
      <c r="O354" s="381"/>
      <c r="P354" s="381"/>
      <c r="Q354" s="381"/>
      <c r="R354" s="381"/>
      <c r="S354" s="381"/>
      <c r="T354" s="381"/>
      <c r="U354" s="381"/>
      <c r="V354" s="381"/>
      <c r="W354" s="381"/>
      <c r="X354" s="381"/>
      <c r="Y354" s="381"/>
      <c r="Z354" s="381"/>
      <c r="AA354" s="381"/>
      <c r="AB354" s="381"/>
      <c r="AC354" s="381"/>
      <c r="AD354" s="381"/>
      <c r="AE354" s="381"/>
      <c r="AF354" s="381"/>
    </row>
    <row r="355" spans="1:32" ht="122.45" customHeight="1" thickBot="1" x14ac:dyDescent="0.35">
      <c r="A355" s="381"/>
      <c r="B355" s="381"/>
      <c r="C355" s="381"/>
      <c r="D355" s="823"/>
      <c r="E355" s="381"/>
      <c r="F355" s="486"/>
      <c r="G355" s="381"/>
      <c r="H355" s="381"/>
      <c r="I355" s="381"/>
      <c r="J355" s="381"/>
      <c r="K355" s="381"/>
      <c r="L355" s="381"/>
      <c r="M355" s="626"/>
      <c r="N355" s="381"/>
      <c r="O355" s="381"/>
      <c r="P355" s="381"/>
      <c r="Q355" s="381"/>
      <c r="R355" s="381"/>
      <c r="S355" s="381"/>
      <c r="T355" s="381"/>
      <c r="U355" s="381"/>
      <c r="V355" s="381"/>
      <c r="W355" s="381"/>
      <c r="X355" s="381"/>
      <c r="Y355" s="381"/>
      <c r="Z355" s="381"/>
      <c r="AA355" s="381"/>
      <c r="AB355" s="381"/>
      <c r="AC355" s="381"/>
      <c r="AD355" s="381"/>
      <c r="AE355" s="381"/>
      <c r="AF355" s="381"/>
    </row>
    <row r="356" spans="1:32" ht="122.45" customHeight="1" thickBot="1" x14ac:dyDescent="0.35">
      <c r="A356" s="381"/>
      <c r="B356" s="381"/>
      <c r="C356" s="381"/>
      <c r="D356" s="823"/>
      <c r="E356" s="381"/>
      <c r="F356" s="486"/>
      <c r="G356" s="381"/>
      <c r="H356" s="381"/>
      <c r="I356" s="381"/>
      <c r="J356" s="381"/>
      <c r="K356" s="381"/>
      <c r="L356" s="381"/>
      <c r="M356" s="626"/>
      <c r="N356" s="381"/>
      <c r="O356" s="381"/>
      <c r="P356" s="381"/>
      <c r="Q356" s="381"/>
      <c r="R356" s="381"/>
      <c r="S356" s="381"/>
      <c r="T356" s="381"/>
      <c r="U356" s="381"/>
      <c r="V356" s="381"/>
      <c r="W356" s="381"/>
      <c r="X356" s="381"/>
      <c r="Y356" s="381"/>
      <c r="Z356" s="381"/>
      <c r="AA356" s="381"/>
      <c r="AB356" s="381"/>
      <c r="AC356" s="381"/>
      <c r="AD356" s="381"/>
      <c r="AE356" s="381"/>
      <c r="AF356" s="381"/>
    </row>
    <row r="357" spans="1:32" ht="122.45" customHeight="1" thickBot="1" x14ac:dyDescent="0.35">
      <c r="A357" s="381"/>
      <c r="B357" s="381"/>
      <c r="C357" s="381"/>
      <c r="D357" s="823"/>
      <c r="E357" s="381"/>
      <c r="F357" s="486"/>
      <c r="G357" s="381"/>
      <c r="H357" s="381"/>
      <c r="I357" s="381"/>
      <c r="J357" s="381"/>
      <c r="K357" s="381"/>
      <c r="L357" s="381"/>
      <c r="M357" s="626"/>
      <c r="N357" s="381"/>
      <c r="O357" s="381"/>
      <c r="P357" s="381"/>
      <c r="Q357" s="381"/>
      <c r="R357" s="381"/>
      <c r="S357" s="381"/>
      <c r="T357" s="381"/>
      <c r="U357" s="381"/>
      <c r="V357" s="381"/>
      <c r="W357" s="381"/>
      <c r="X357" s="381"/>
      <c r="Y357" s="381"/>
      <c r="Z357" s="381"/>
      <c r="AA357" s="381"/>
      <c r="AB357" s="381"/>
      <c r="AC357" s="381"/>
      <c r="AD357" s="381"/>
      <c r="AE357" s="381"/>
      <c r="AF357" s="381"/>
    </row>
    <row r="358" spans="1:32" ht="122.45" customHeight="1" thickBot="1" x14ac:dyDescent="0.35">
      <c r="A358" s="381"/>
      <c r="B358" s="381"/>
      <c r="C358" s="381"/>
      <c r="D358" s="823"/>
      <c r="E358" s="381"/>
      <c r="F358" s="486"/>
      <c r="G358" s="381"/>
      <c r="H358" s="381"/>
      <c r="I358" s="381"/>
      <c r="J358" s="381"/>
      <c r="K358" s="381"/>
      <c r="L358" s="381"/>
      <c r="M358" s="626"/>
      <c r="N358" s="381"/>
      <c r="O358" s="381"/>
      <c r="P358" s="381"/>
      <c r="Q358" s="381"/>
      <c r="R358" s="381"/>
      <c r="S358" s="381"/>
      <c r="T358" s="381"/>
      <c r="U358" s="381"/>
      <c r="V358" s="381"/>
      <c r="W358" s="381"/>
      <c r="X358" s="381"/>
      <c r="Y358" s="381"/>
      <c r="Z358" s="381"/>
      <c r="AA358" s="381"/>
      <c r="AB358" s="381"/>
      <c r="AC358" s="381"/>
      <c r="AD358" s="381"/>
      <c r="AE358" s="381"/>
      <c r="AF358" s="381"/>
    </row>
    <row r="359" spans="1:32" ht="122.45" customHeight="1" thickBot="1" x14ac:dyDescent="0.35">
      <c r="A359" s="381"/>
      <c r="B359" s="381"/>
      <c r="C359" s="381"/>
      <c r="D359" s="823"/>
      <c r="E359" s="381"/>
      <c r="F359" s="486"/>
      <c r="G359" s="381"/>
      <c r="H359" s="381"/>
      <c r="I359" s="381"/>
      <c r="J359" s="381"/>
      <c r="K359" s="381"/>
      <c r="L359" s="381"/>
      <c r="M359" s="626"/>
      <c r="N359" s="381"/>
      <c r="O359" s="381"/>
      <c r="P359" s="381"/>
      <c r="Q359" s="381"/>
      <c r="R359" s="381"/>
      <c r="S359" s="381"/>
      <c r="T359" s="381"/>
      <c r="U359" s="381"/>
      <c r="V359" s="381"/>
      <c r="W359" s="381"/>
      <c r="X359" s="381"/>
      <c r="Y359" s="381"/>
      <c r="Z359" s="381"/>
      <c r="AA359" s="381"/>
      <c r="AB359" s="381"/>
      <c r="AC359" s="381"/>
      <c r="AD359" s="381"/>
      <c r="AE359" s="381"/>
      <c r="AF359" s="381"/>
    </row>
    <row r="360" spans="1:32" ht="122.45" customHeight="1" thickBot="1" x14ac:dyDescent="0.35">
      <c r="A360" s="381"/>
      <c r="B360" s="381"/>
      <c r="C360" s="381"/>
      <c r="D360" s="823"/>
      <c r="E360" s="381"/>
      <c r="F360" s="486"/>
      <c r="G360" s="381"/>
      <c r="H360" s="381"/>
      <c r="I360" s="381"/>
      <c r="J360" s="381"/>
      <c r="K360" s="381"/>
      <c r="L360" s="381"/>
      <c r="M360" s="626"/>
      <c r="N360" s="381"/>
      <c r="O360" s="381"/>
      <c r="P360" s="381"/>
      <c r="Q360" s="381"/>
      <c r="R360" s="381"/>
      <c r="S360" s="381"/>
      <c r="T360" s="381"/>
      <c r="U360" s="381"/>
      <c r="V360" s="381"/>
      <c r="W360" s="381"/>
      <c r="X360" s="381"/>
      <c r="Y360" s="381"/>
      <c r="Z360" s="381"/>
      <c r="AA360" s="381"/>
      <c r="AB360" s="381"/>
      <c r="AC360" s="381"/>
      <c r="AD360" s="381"/>
      <c r="AE360" s="381"/>
      <c r="AF360" s="381"/>
    </row>
    <row r="361" spans="1:32" ht="122.45" customHeight="1" thickBot="1" x14ac:dyDescent="0.35">
      <c r="A361" s="381"/>
      <c r="B361" s="381"/>
      <c r="C361" s="381"/>
      <c r="D361" s="823"/>
      <c r="E361" s="381"/>
      <c r="F361" s="486"/>
      <c r="G361" s="381"/>
      <c r="H361" s="381"/>
      <c r="I361" s="381"/>
      <c r="J361" s="381"/>
      <c r="K361" s="381"/>
      <c r="L361" s="381"/>
      <c r="M361" s="626"/>
      <c r="N361" s="381"/>
      <c r="O361" s="381"/>
      <c r="P361" s="381"/>
      <c r="Q361" s="381"/>
      <c r="R361" s="381"/>
      <c r="S361" s="381"/>
      <c r="T361" s="381"/>
      <c r="U361" s="381"/>
      <c r="V361" s="381"/>
      <c r="W361" s="381"/>
      <c r="X361" s="381"/>
      <c r="Y361" s="381"/>
      <c r="Z361" s="381"/>
      <c r="AA361" s="381"/>
      <c r="AB361" s="381"/>
      <c r="AC361" s="381"/>
      <c r="AD361" s="381"/>
      <c r="AE361" s="381"/>
      <c r="AF361" s="381"/>
    </row>
    <row r="362" spans="1:32" ht="122.45" customHeight="1" thickBot="1" x14ac:dyDescent="0.35">
      <c r="A362" s="381"/>
      <c r="B362" s="381"/>
      <c r="C362" s="381"/>
      <c r="D362" s="823"/>
      <c r="E362" s="381"/>
      <c r="F362" s="486"/>
      <c r="G362" s="381"/>
      <c r="H362" s="381"/>
      <c r="I362" s="381"/>
      <c r="J362" s="381"/>
      <c r="K362" s="381"/>
      <c r="L362" s="381"/>
      <c r="M362" s="626"/>
      <c r="N362" s="381"/>
      <c r="O362" s="381"/>
      <c r="P362" s="381"/>
      <c r="Q362" s="381"/>
      <c r="R362" s="381"/>
      <c r="S362" s="381"/>
      <c r="T362" s="381"/>
      <c r="U362" s="381"/>
      <c r="V362" s="381"/>
      <c r="W362" s="381"/>
      <c r="X362" s="381"/>
      <c r="Y362" s="381"/>
      <c r="Z362" s="381"/>
      <c r="AA362" s="381"/>
      <c r="AB362" s="381"/>
      <c r="AC362" s="381"/>
      <c r="AD362" s="381"/>
      <c r="AE362" s="381"/>
      <c r="AF362" s="381"/>
    </row>
    <row r="363" spans="1:32" ht="122.45" customHeight="1" thickBot="1" x14ac:dyDescent="0.35">
      <c r="A363" s="381"/>
      <c r="B363" s="381"/>
      <c r="C363" s="381"/>
      <c r="D363" s="823"/>
      <c r="E363" s="381"/>
      <c r="F363" s="486"/>
      <c r="G363" s="381"/>
      <c r="H363" s="381"/>
      <c r="I363" s="381"/>
      <c r="J363" s="381"/>
      <c r="K363" s="381"/>
      <c r="L363" s="381"/>
      <c r="M363" s="626"/>
      <c r="N363" s="381"/>
      <c r="O363" s="381"/>
      <c r="P363" s="381"/>
      <c r="Q363" s="381"/>
      <c r="R363" s="381"/>
      <c r="S363" s="381"/>
      <c r="T363" s="381"/>
      <c r="U363" s="381"/>
      <c r="V363" s="381"/>
      <c r="W363" s="381"/>
      <c r="X363" s="381"/>
      <c r="Y363" s="381"/>
      <c r="Z363" s="381"/>
      <c r="AA363" s="381"/>
      <c r="AB363" s="381"/>
      <c r="AC363" s="381"/>
      <c r="AD363" s="381"/>
      <c r="AE363" s="381"/>
      <c r="AF363" s="381"/>
    </row>
    <row r="364" spans="1:32" ht="122.45" customHeight="1" thickBot="1" x14ac:dyDescent="0.35">
      <c r="A364" s="381"/>
      <c r="B364" s="381"/>
      <c r="C364" s="381"/>
      <c r="D364" s="823"/>
      <c r="E364" s="381"/>
      <c r="F364" s="486"/>
      <c r="G364" s="381"/>
      <c r="H364" s="381"/>
      <c r="I364" s="381"/>
      <c r="J364" s="381"/>
      <c r="K364" s="381"/>
      <c r="L364" s="381"/>
      <c r="M364" s="626"/>
      <c r="N364" s="381"/>
      <c r="O364" s="381"/>
      <c r="P364" s="381"/>
      <c r="Q364" s="381"/>
      <c r="R364" s="381"/>
      <c r="S364" s="381"/>
      <c r="T364" s="381"/>
      <c r="U364" s="381"/>
      <c r="V364" s="381"/>
      <c r="W364" s="381"/>
      <c r="X364" s="381"/>
      <c r="Y364" s="381"/>
      <c r="Z364" s="381"/>
      <c r="AA364" s="381"/>
      <c r="AB364" s="381"/>
      <c r="AC364" s="381"/>
      <c r="AD364" s="381"/>
      <c r="AE364" s="381"/>
      <c r="AF364" s="381"/>
    </row>
    <row r="365" spans="1:32" ht="122.45" customHeight="1" thickBot="1" x14ac:dyDescent="0.35">
      <c r="A365" s="381"/>
      <c r="B365" s="381"/>
      <c r="C365" s="381"/>
      <c r="D365" s="823"/>
      <c r="E365" s="381"/>
      <c r="F365" s="486"/>
      <c r="G365" s="381"/>
      <c r="H365" s="381"/>
      <c r="I365" s="381"/>
      <c r="J365" s="381"/>
      <c r="K365" s="381"/>
      <c r="L365" s="381"/>
      <c r="M365" s="626"/>
      <c r="N365" s="381"/>
      <c r="O365" s="381"/>
      <c r="P365" s="381"/>
      <c r="Q365" s="381"/>
      <c r="R365" s="381"/>
      <c r="S365" s="381"/>
      <c r="T365" s="381"/>
      <c r="U365" s="381"/>
      <c r="V365" s="381"/>
      <c r="W365" s="381"/>
      <c r="X365" s="381"/>
      <c r="Y365" s="381"/>
      <c r="Z365" s="381"/>
      <c r="AA365" s="381"/>
      <c r="AB365" s="381"/>
      <c r="AC365" s="381"/>
      <c r="AD365" s="381"/>
      <c r="AE365" s="381"/>
      <c r="AF365" s="381"/>
    </row>
    <row r="366" spans="1:32" ht="122.45" customHeight="1" thickBot="1" x14ac:dyDescent="0.35">
      <c r="A366" s="381"/>
      <c r="B366" s="381"/>
      <c r="C366" s="381"/>
      <c r="D366" s="823"/>
      <c r="E366" s="381"/>
      <c r="F366" s="486"/>
      <c r="G366" s="381"/>
      <c r="H366" s="381"/>
      <c r="I366" s="381"/>
      <c r="J366" s="381"/>
      <c r="K366" s="381"/>
      <c r="L366" s="381"/>
      <c r="M366" s="626"/>
      <c r="N366" s="381"/>
      <c r="O366" s="381"/>
      <c r="P366" s="381"/>
      <c r="Q366" s="381"/>
      <c r="R366" s="381"/>
      <c r="S366" s="381"/>
      <c r="T366" s="381"/>
      <c r="U366" s="381"/>
      <c r="V366" s="381"/>
      <c r="W366" s="381"/>
      <c r="X366" s="381"/>
      <c r="Y366" s="381"/>
      <c r="Z366" s="381"/>
      <c r="AA366" s="381"/>
      <c r="AB366" s="381"/>
      <c r="AC366" s="381"/>
      <c r="AD366" s="381"/>
      <c r="AE366" s="381"/>
      <c r="AF366" s="381"/>
    </row>
    <row r="367" spans="1:32" ht="122.45" customHeight="1" thickBot="1" x14ac:dyDescent="0.35">
      <c r="A367" s="381"/>
      <c r="B367" s="381"/>
      <c r="C367" s="381"/>
      <c r="D367" s="823"/>
      <c r="E367" s="381"/>
      <c r="F367" s="486"/>
      <c r="G367" s="381"/>
      <c r="H367" s="381"/>
      <c r="I367" s="381"/>
      <c r="J367" s="381"/>
      <c r="K367" s="381"/>
      <c r="L367" s="381"/>
      <c r="M367" s="626"/>
      <c r="N367" s="381"/>
      <c r="O367" s="381"/>
      <c r="P367" s="381"/>
      <c r="Q367" s="381"/>
      <c r="R367" s="381"/>
      <c r="S367" s="381"/>
      <c r="T367" s="381"/>
      <c r="U367" s="381"/>
      <c r="V367" s="381"/>
      <c r="W367" s="381"/>
      <c r="X367" s="381"/>
      <c r="Y367" s="381"/>
      <c r="Z367" s="381"/>
      <c r="AA367" s="381"/>
      <c r="AB367" s="381"/>
      <c r="AC367" s="381"/>
      <c r="AD367" s="381"/>
      <c r="AE367" s="381"/>
      <c r="AF367" s="381"/>
    </row>
    <row r="368" spans="1:32" ht="122.45" customHeight="1" thickBot="1" x14ac:dyDescent="0.35">
      <c r="A368" s="381"/>
      <c r="B368" s="381"/>
      <c r="C368" s="381"/>
      <c r="D368" s="823"/>
      <c r="E368" s="381"/>
      <c r="F368" s="486"/>
      <c r="G368" s="381"/>
      <c r="H368" s="381"/>
      <c r="I368" s="381"/>
      <c r="J368" s="381"/>
      <c r="K368" s="381"/>
      <c r="L368" s="381"/>
      <c r="M368" s="626"/>
      <c r="N368" s="381"/>
      <c r="O368" s="381"/>
      <c r="P368" s="381"/>
      <c r="Q368" s="381"/>
      <c r="R368" s="381"/>
      <c r="S368" s="381"/>
      <c r="T368" s="381"/>
      <c r="U368" s="381"/>
      <c r="V368" s="381"/>
      <c r="W368" s="381"/>
      <c r="X368" s="381"/>
      <c r="Y368" s="381"/>
      <c r="Z368" s="381"/>
      <c r="AA368" s="381"/>
      <c r="AB368" s="381"/>
      <c r="AC368" s="381"/>
      <c r="AD368" s="381"/>
      <c r="AE368" s="381"/>
      <c r="AF368" s="381"/>
    </row>
    <row r="369" spans="1:32" ht="122.45" customHeight="1" thickBot="1" x14ac:dyDescent="0.35">
      <c r="A369" s="381"/>
      <c r="B369" s="381"/>
      <c r="C369" s="381"/>
      <c r="D369" s="823"/>
      <c r="E369" s="381"/>
      <c r="F369" s="486"/>
      <c r="G369" s="381"/>
      <c r="H369" s="381"/>
      <c r="I369" s="381"/>
      <c r="J369" s="381"/>
      <c r="K369" s="381"/>
      <c r="L369" s="381"/>
      <c r="M369" s="626"/>
      <c r="N369" s="381"/>
      <c r="O369" s="381"/>
      <c r="P369" s="381"/>
      <c r="Q369" s="381"/>
      <c r="R369" s="381"/>
      <c r="S369" s="381"/>
      <c r="T369" s="381"/>
      <c r="U369" s="381"/>
      <c r="V369" s="381"/>
      <c r="W369" s="381"/>
      <c r="X369" s="381"/>
      <c r="Y369" s="381"/>
      <c r="Z369" s="381"/>
      <c r="AA369" s="381"/>
      <c r="AB369" s="381"/>
      <c r="AC369" s="381"/>
      <c r="AD369" s="381"/>
      <c r="AE369" s="381"/>
      <c r="AF369" s="381"/>
    </row>
    <row r="370" spans="1:32" ht="122.45" customHeight="1" thickBot="1" x14ac:dyDescent="0.35">
      <c r="A370" s="381"/>
      <c r="B370" s="381"/>
      <c r="C370" s="381"/>
      <c r="D370" s="823"/>
      <c r="E370" s="381"/>
      <c r="F370" s="486"/>
      <c r="G370" s="381"/>
      <c r="H370" s="381"/>
      <c r="I370" s="381"/>
      <c r="J370" s="381"/>
      <c r="K370" s="381"/>
      <c r="L370" s="381"/>
      <c r="M370" s="626"/>
      <c r="N370" s="381"/>
      <c r="O370" s="381"/>
      <c r="P370" s="381"/>
      <c r="Q370" s="381"/>
      <c r="R370" s="381"/>
      <c r="S370" s="381"/>
      <c r="T370" s="381"/>
      <c r="U370" s="381"/>
      <c r="V370" s="381"/>
      <c r="W370" s="381"/>
      <c r="X370" s="381"/>
      <c r="Y370" s="381"/>
      <c r="Z370" s="381"/>
      <c r="AA370" s="381"/>
      <c r="AB370" s="381"/>
      <c r="AC370" s="381"/>
      <c r="AD370" s="381"/>
      <c r="AE370" s="381"/>
      <c r="AF370" s="381"/>
    </row>
    <row r="371" spans="1:32" ht="122.45" customHeight="1" thickBot="1" x14ac:dyDescent="0.35">
      <c r="A371" s="381"/>
      <c r="B371" s="381"/>
      <c r="C371" s="381"/>
      <c r="D371" s="823"/>
      <c r="E371" s="381"/>
      <c r="F371" s="486"/>
      <c r="G371" s="381"/>
      <c r="H371" s="381"/>
      <c r="I371" s="381"/>
      <c r="J371" s="381"/>
      <c r="K371" s="381"/>
      <c r="L371" s="381"/>
      <c r="M371" s="626"/>
      <c r="N371" s="381"/>
      <c r="O371" s="381"/>
      <c r="P371" s="381"/>
      <c r="Q371" s="381"/>
      <c r="R371" s="381"/>
      <c r="S371" s="381"/>
      <c r="T371" s="381"/>
      <c r="U371" s="381"/>
      <c r="V371" s="381"/>
      <c r="W371" s="381"/>
      <c r="X371" s="381"/>
      <c r="Y371" s="381"/>
      <c r="Z371" s="381"/>
      <c r="AA371" s="381"/>
      <c r="AB371" s="381"/>
      <c r="AC371" s="381"/>
      <c r="AD371" s="381"/>
      <c r="AE371" s="381"/>
      <c r="AF371" s="381"/>
    </row>
    <row r="372" spans="1:32" ht="122.45" customHeight="1" thickBot="1" x14ac:dyDescent="0.35">
      <c r="A372" s="381"/>
      <c r="B372" s="381"/>
      <c r="C372" s="381"/>
      <c r="D372" s="823"/>
      <c r="E372" s="381"/>
      <c r="F372" s="486"/>
      <c r="G372" s="381"/>
      <c r="H372" s="381"/>
      <c r="I372" s="381"/>
      <c r="J372" s="381"/>
      <c r="K372" s="381"/>
      <c r="L372" s="381"/>
      <c r="M372" s="626"/>
      <c r="N372" s="381"/>
      <c r="O372" s="381"/>
      <c r="P372" s="381"/>
      <c r="Q372" s="381"/>
      <c r="R372" s="381"/>
      <c r="S372" s="381"/>
      <c r="T372" s="381"/>
      <c r="U372" s="381"/>
      <c r="V372" s="381"/>
      <c r="W372" s="381"/>
      <c r="X372" s="381"/>
      <c r="Y372" s="381"/>
      <c r="Z372" s="381"/>
      <c r="AA372" s="381"/>
      <c r="AB372" s="381"/>
      <c r="AC372" s="381"/>
      <c r="AD372" s="381"/>
      <c r="AE372" s="381"/>
      <c r="AF372" s="381"/>
    </row>
    <row r="373" spans="1:32" ht="122.45" customHeight="1" thickBot="1" x14ac:dyDescent="0.35">
      <c r="A373" s="381"/>
      <c r="B373" s="381"/>
      <c r="C373" s="381"/>
      <c r="D373" s="823"/>
      <c r="E373" s="381"/>
      <c r="F373" s="486"/>
      <c r="G373" s="381"/>
      <c r="H373" s="381"/>
      <c r="I373" s="381"/>
      <c r="J373" s="381"/>
      <c r="K373" s="381"/>
      <c r="L373" s="381"/>
      <c r="M373" s="626"/>
      <c r="N373" s="381"/>
      <c r="O373" s="381"/>
      <c r="P373" s="381"/>
      <c r="Q373" s="381"/>
      <c r="R373" s="381"/>
      <c r="S373" s="381"/>
      <c r="T373" s="381"/>
      <c r="U373" s="381"/>
      <c r="V373" s="381"/>
      <c r="W373" s="381"/>
      <c r="X373" s="381"/>
      <c r="Y373" s="381"/>
      <c r="Z373" s="381"/>
      <c r="AA373" s="381"/>
      <c r="AB373" s="381"/>
      <c r="AC373" s="381"/>
      <c r="AD373" s="381"/>
      <c r="AE373" s="381"/>
      <c r="AF373" s="381"/>
    </row>
    <row r="374" spans="1:32" ht="122.45" customHeight="1" thickBot="1" x14ac:dyDescent="0.35">
      <c r="A374" s="381"/>
      <c r="B374" s="381"/>
      <c r="C374" s="381"/>
      <c r="D374" s="823"/>
      <c r="E374" s="381"/>
      <c r="F374" s="486"/>
      <c r="G374" s="381"/>
      <c r="H374" s="381"/>
      <c r="I374" s="381"/>
      <c r="J374" s="381"/>
      <c r="K374" s="381"/>
      <c r="L374" s="381"/>
      <c r="M374" s="626"/>
      <c r="N374" s="381"/>
      <c r="O374" s="381"/>
      <c r="P374" s="381"/>
      <c r="Q374" s="381"/>
      <c r="R374" s="381"/>
      <c r="S374" s="381"/>
      <c r="T374" s="381"/>
      <c r="U374" s="381"/>
      <c r="V374" s="381"/>
      <c r="W374" s="381"/>
      <c r="X374" s="381"/>
      <c r="Y374" s="381"/>
      <c r="Z374" s="381"/>
      <c r="AA374" s="381"/>
      <c r="AB374" s="381"/>
      <c r="AC374" s="381"/>
      <c r="AD374" s="381"/>
      <c r="AE374" s="381"/>
      <c r="AF374" s="381"/>
    </row>
    <row r="375" spans="1:32" ht="122.45" customHeight="1" thickBot="1" x14ac:dyDescent="0.35">
      <c r="A375" s="381"/>
      <c r="B375" s="381"/>
      <c r="C375" s="381"/>
      <c r="D375" s="823"/>
      <c r="E375" s="381"/>
      <c r="F375" s="486"/>
      <c r="G375" s="381"/>
      <c r="H375" s="381"/>
      <c r="I375" s="381"/>
      <c r="J375" s="381"/>
      <c r="K375" s="381"/>
      <c r="L375" s="381"/>
      <c r="M375" s="626"/>
      <c r="N375" s="381"/>
      <c r="O375" s="381"/>
      <c r="P375" s="381"/>
      <c r="Q375" s="381"/>
      <c r="R375" s="381"/>
      <c r="S375" s="381"/>
      <c r="T375" s="381"/>
      <c r="U375" s="381"/>
      <c r="V375" s="381"/>
      <c r="W375" s="381"/>
      <c r="X375" s="381"/>
      <c r="Y375" s="381"/>
      <c r="Z375" s="381"/>
      <c r="AA375" s="381"/>
      <c r="AB375" s="381"/>
      <c r="AC375" s="381"/>
      <c r="AD375" s="381"/>
      <c r="AE375" s="381"/>
      <c r="AF375" s="381"/>
    </row>
    <row r="376" spans="1:32" ht="122.45" customHeight="1" thickBot="1" x14ac:dyDescent="0.35">
      <c r="A376" s="381"/>
      <c r="B376" s="381"/>
      <c r="C376" s="381"/>
      <c r="D376" s="823"/>
      <c r="E376" s="381"/>
      <c r="F376" s="486"/>
      <c r="G376" s="381"/>
      <c r="H376" s="381"/>
      <c r="I376" s="381"/>
      <c r="J376" s="381"/>
      <c r="K376" s="381"/>
      <c r="L376" s="381"/>
      <c r="M376" s="626"/>
      <c r="N376" s="381"/>
      <c r="O376" s="381"/>
      <c r="P376" s="381"/>
      <c r="Q376" s="381"/>
      <c r="R376" s="381"/>
      <c r="S376" s="381"/>
      <c r="T376" s="381"/>
      <c r="U376" s="381"/>
      <c r="V376" s="381"/>
      <c r="W376" s="381"/>
      <c r="X376" s="381"/>
      <c r="Y376" s="381"/>
      <c r="Z376" s="381"/>
      <c r="AA376" s="381"/>
      <c r="AB376" s="381"/>
      <c r="AC376" s="381"/>
      <c r="AD376" s="381"/>
      <c r="AE376" s="381"/>
      <c r="AF376" s="381"/>
    </row>
    <row r="377" spans="1:32" ht="122.45" customHeight="1" thickBot="1" x14ac:dyDescent="0.35">
      <c r="A377" s="381"/>
      <c r="B377" s="381"/>
      <c r="C377" s="381"/>
      <c r="D377" s="823"/>
      <c r="E377" s="381"/>
      <c r="F377" s="486"/>
      <c r="G377" s="381"/>
      <c r="H377" s="381"/>
      <c r="I377" s="381"/>
      <c r="J377" s="381"/>
      <c r="K377" s="381"/>
      <c r="L377" s="381"/>
      <c r="M377" s="626"/>
      <c r="N377" s="381"/>
      <c r="O377" s="381"/>
      <c r="P377" s="381"/>
      <c r="Q377" s="381"/>
      <c r="R377" s="381"/>
      <c r="S377" s="381"/>
      <c r="T377" s="381"/>
      <c r="U377" s="381"/>
      <c r="V377" s="381"/>
      <c r="W377" s="381"/>
      <c r="X377" s="381"/>
      <c r="Y377" s="381"/>
      <c r="Z377" s="381"/>
      <c r="AA377" s="381"/>
      <c r="AB377" s="381"/>
      <c r="AC377" s="381"/>
      <c r="AD377" s="381"/>
      <c r="AE377" s="381"/>
      <c r="AF377" s="381"/>
    </row>
    <row r="378" spans="1:32" ht="122.45" customHeight="1" thickBot="1" x14ac:dyDescent="0.35">
      <c r="A378" s="381"/>
      <c r="B378" s="381"/>
      <c r="C378" s="381"/>
      <c r="D378" s="823"/>
      <c r="E378" s="381"/>
      <c r="F378" s="486"/>
      <c r="G378" s="381"/>
      <c r="H378" s="381"/>
      <c r="I378" s="381"/>
      <c r="J378" s="381"/>
      <c r="K378" s="381"/>
      <c r="L378" s="381"/>
      <c r="M378" s="626"/>
      <c r="N378" s="381"/>
      <c r="O378" s="381"/>
      <c r="P378" s="381"/>
      <c r="Q378" s="381"/>
      <c r="R378" s="381"/>
      <c r="S378" s="381"/>
      <c r="T378" s="381"/>
      <c r="U378" s="381"/>
      <c r="V378" s="381"/>
      <c r="W378" s="381"/>
      <c r="X378" s="381"/>
      <c r="Y378" s="381"/>
      <c r="Z378" s="381"/>
      <c r="AA378" s="381"/>
      <c r="AB378" s="381"/>
      <c r="AC378" s="381"/>
      <c r="AD378" s="381"/>
      <c r="AE378" s="381"/>
      <c r="AF378" s="381"/>
    </row>
    <row r="379" spans="1:32" ht="122.45" customHeight="1" thickBot="1" x14ac:dyDescent="0.35">
      <c r="A379" s="381"/>
      <c r="B379" s="381"/>
      <c r="C379" s="381"/>
      <c r="D379" s="823"/>
      <c r="E379" s="381"/>
      <c r="F379" s="486"/>
      <c r="G379" s="381"/>
      <c r="H379" s="381"/>
      <c r="I379" s="381"/>
      <c r="J379" s="381"/>
      <c r="K379" s="381"/>
      <c r="L379" s="381"/>
      <c r="M379" s="626"/>
      <c r="N379" s="381"/>
      <c r="O379" s="381"/>
      <c r="P379" s="381"/>
      <c r="Q379" s="381"/>
      <c r="R379" s="381"/>
      <c r="S379" s="381"/>
      <c r="T379" s="381"/>
      <c r="U379" s="381"/>
      <c r="V379" s="381"/>
      <c r="W379" s="381"/>
      <c r="X379" s="381"/>
      <c r="Y379" s="381"/>
      <c r="Z379" s="381"/>
      <c r="AA379" s="381"/>
      <c r="AB379" s="381"/>
      <c r="AC379" s="381"/>
      <c r="AD379" s="381"/>
      <c r="AE379" s="381"/>
      <c r="AF379" s="381"/>
    </row>
    <row r="380" spans="1:32" ht="122.45" customHeight="1" thickBot="1" x14ac:dyDescent="0.35">
      <c r="A380" s="381"/>
      <c r="B380" s="381"/>
      <c r="C380" s="381"/>
      <c r="D380" s="823"/>
      <c r="E380" s="381"/>
      <c r="F380" s="486"/>
      <c r="G380" s="381"/>
      <c r="H380" s="381"/>
      <c r="I380" s="381"/>
      <c r="J380" s="381"/>
      <c r="K380" s="381"/>
      <c r="L380" s="381"/>
      <c r="M380" s="626"/>
      <c r="N380" s="381"/>
      <c r="O380" s="381"/>
      <c r="P380" s="381"/>
      <c r="Q380" s="381"/>
      <c r="R380" s="381"/>
      <c r="S380" s="381"/>
      <c r="T380" s="381"/>
      <c r="U380" s="381"/>
      <c r="V380" s="381"/>
      <c r="W380" s="381"/>
      <c r="X380" s="381"/>
      <c r="Y380" s="381"/>
      <c r="Z380" s="381"/>
      <c r="AA380" s="381"/>
      <c r="AB380" s="381"/>
      <c r="AC380" s="381"/>
      <c r="AD380" s="381"/>
      <c r="AE380" s="381"/>
      <c r="AF380" s="381"/>
    </row>
    <row r="381" spans="1:32" ht="122.45" customHeight="1" thickBot="1" x14ac:dyDescent="0.35">
      <c r="A381" s="381"/>
      <c r="B381" s="381"/>
      <c r="C381" s="381"/>
      <c r="D381" s="823"/>
      <c r="E381" s="381"/>
      <c r="F381" s="486"/>
      <c r="G381" s="381"/>
      <c r="H381" s="381"/>
      <c r="I381" s="381"/>
      <c r="J381" s="381"/>
      <c r="K381" s="381"/>
      <c r="L381" s="381"/>
      <c r="M381" s="626"/>
      <c r="N381" s="381"/>
      <c r="O381" s="381"/>
      <c r="P381" s="381"/>
      <c r="Q381" s="381"/>
      <c r="R381" s="381"/>
      <c r="S381" s="381"/>
      <c r="T381" s="381"/>
      <c r="U381" s="381"/>
      <c r="V381" s="381"/>
      <c r="W381" s="381"/>
      <c r="X381" s="381"/>
      <c r="Y381" s="381"/>
      <c r="Z381" s="381"/>
      <c r="AA381" s="381"/>
      <c r="AB381" s="381"/>
      <c r="AC381" s="381"/>
      <c r="AD381" s="381"/>
      <c r="AE381" s="381"/>
      <c r="AF381" s="381"/>
    </row>
    <row r="382" spans="1:32" ht="122.45" customHeight="1" thickBot="1" x14ac:dyDescent="0.35">
      <c r="A382" s="381"/>
      <c r="B382" s="381"/>
      <c r="C382" s="381"/>
      <c r="D382" s="823"/>
      <c r="E382" s="381"/>
      <c r="F382" s="486"/>
      <c r="G382" s="381"/>
      <c r="H382" s="381"/>
      <c r="I382" s="381"/>
      <c r="J382" s="381"/>
      <c r="K382" s="381"/>
      <c r="L382" s="381"/>
      <c r="M382" s="626"/>
      <c r="N382" s="381"/>
      <c r="O382" s="381"/>
      <c r="P382" s="381"/>
      <c r="Q382" s="381"/>
      <c r="R382" s="381"/>
      <c r="S382" s="381"/>
      <c r="T382" s="381"/>
      <c r="U382" s="381"/>
      <c r="V382" s="381"/>
      <c r="W382" s="381"/>
      <c r="X382" s="381"/>
      <c r="Y382" s="381"/>
      <c r="Z382" s="381"/>
      <c r="AA382" s="381"/>
      <c r="AB382" s="381"/>
      <c r="AC382" s="381"/>
      <c r="AD382" s="381"/>
      <c r="AE382" s="381"/>
      <c r="AF382" s="381"/>
    </row>
    <row r="383" spans="1:32" ht="122.45" customHeight="1" thickBot="1" x14ac:dyDescent="0.35">
      <c r="A383" s="381"/>
      <c r="B383" s="381"/>
      <c r="C383" s="381"/>
      <c r="D383" s="823"/>
      <c r="E383" s="381"/>
      <c r="F383" s="486"/>
      <c r="G383" s="381"/>
      <c r="H383" s="381"/>
      <c r="I383" s="381"/>
      <c r="J383" s="381"/>
      <c r="K383" s="381"/>
      <c r="L383" s="381"/>
      <c r="M383" s="626"/>
      <c r="N383" s="381"/>
      <c r="O383" s="381"/>
      <c r="P383" s="381"/>
      <c r="Q383" s="381"/>
      <c r="R383" s="381"/>
      <c r="S383" s="381"/>
      <c r="T383" s="381"/>
      <c r="U383" s="381"/>
      <c r="V383" s="381"/>
      <c r="W383" s="381"/>
      <c r="X383" s="381"/>
      <c r="Y383" s="381"/>
      <c r="Z383" s="381"/>
      <c r="AA383" s="381"/>
      <c r="AB383" s="381"/>
      <c r="AC383" s="381"/>
      <c r="AD383" s="381"/>
      <c r="AE383" s="381"/>
      <c r="AF383" s="381"/>
    </row>
    <row r="384" spans="1:32" ht="122.45" customHeight="1" thickBot="1" x14ac:dyDescent="0.35">
      <c r="A384" s="381"/>
      <c r="B384" s="381"/>
      <c r="C384" s="381"/>
      <c r="D384" s="823"/>
      <c r="E384" s="381"/>
      <c r="F384" s="486"/>
      <c r="G384" s="381"/>
      <c r="H384" s="381"/>
      <c r="I384" s="381"/>
      <c r="J384" s="381"/>
      <c r="K384" s="381"/>
      <c r="L384" s="381"/>
      <c r="M384" s="626"/>
      <c r="N384" s="381"/>
      <c r="O384" s="381"/>
      <c r="P384" s="381"/>
      <c r="Q384" s="381"/>
      <c r="R384" s="381"/>
      <c r="S384" s="381"/>
      <c r="T384" s="381"/>
      <c r="U384" s="381"/>
      <c r="V384" s="381"/>
      <c r="W384" s="381"/>
      <c r="X384" s="381"/>
      <c r="Y384" s="381"/>
      <c r="Z384" s="381"/>
      <c r="AA384" s="381"/>
      <c r="AB384" s="381"/>
      <c r="AC384" s="381"/>
      <c r="AD384" s="381"/>
      <c r="AE384" s="381"/>
      <c r="AF384" s="381"/>
    </row>
    <row r="385" spans="1:32" ht="122.45" customHeight="1" thickBot="1" x14ac:dyDescent="0.35">
      <c r="A385" s="381"/>
      <c r="B385" s="381"/>
      <c r="C385" s="381"/>
      <c r="D385" s="823"/>
      <c r="E385" s="381"/>
      <c r="F385" s="486"/>
      <c r="G385" s="381"/>
      <c r="H385" s="381"/>
      <c r="I385" s="381"/>
      <c r="J385" s="381"/>
      <c r="K385" s="381"/>
      <c r="L385" s="381"/>
      <c r="M385" s="626"/>
      <c r="N385" s="381"/>
      <c r="O385" s="381"/>
      <c r="P385" s="381"/>
      <c r="Q385" s="381"/>
      <c r="R385" s="381"/>
      <c r="S385" s="381"/>
      <c r="T385" s="381"/>
      <c r="U385" s="381"/>
      <c r="V385" s="381"/>
      <c r="W385" s="381"/>
      <c r="X385" s="381"/>
      <c r="Y385" s="381"/>
      <c r="Z385" s="381"/>
      <c r="AA385" s="381"/>
      <c r="AB385" s="381"/>
      <c r="AC385" s="381"/>
      <c r="AD385" s="381"/>
      <c r="AE385" s="381"/>
      <c r="AF385" s="381"/>
    </row>
    <row r="386" spans="1:32" ht="122.45" customHeight="1" thickBot="1" x14ac:dyDescent="0.35">
      <c r="A386" s="381"/>
      <c r="B386" s="381"/>
      <c r="C386" s="381"/>
      <c r="D386" s="823"/>
      <c r="E386" s="381"/>
      <c r="F386" s="486"/>
      <c r="G386" s="381"/>
      <c r="H386" s="381"/>
      <c r="I386" s="381"/>
      <c r="J386" s="381"/>
      <c r="K386" s="381"/>
      <c r="L386" s="381"/>
      <c r="M386" s="626"/>
      <c r="N386" s="381"/>
      <c r="O386" s="381"/>
      <c r="P386" s="381"/>
      <c r="Q386" s="381"/>
      <c r="R386" s="381"/>
      <c r="S386" s="381"/>
      <c r="T386" s="381"/>
      <c r="U386" s="381"/>
      <c r="V386" s="381"/>
      <c r="W386" s="381"/>
      <c r="X386" s="381"/>
      <c r="Y386" s="381"/>
      <c r="Z386" s="381"/>
      <c r="AA386" s="381"/>
      <c r="AB386" s="381"/>
      <c r="AC386" s="381"/>
      <c r="AD386" s="381"/>
      <c r="AE386" s="381"/>
      <c r="AF386" s="381"/>
    </row>
    <row r="387" spans="1:32" ht="122.45" customHeight="1" thickBot="1" x14ac:dyDescent="0.35">
      <c r="A387" s="381"/>
      <c r="B387" s="381"/>
      <c r="C387" s="381"/>
      <c r="D387" s="823"/>
      <c r="E387" s="381"/>
      <c r="F387" s="486"/>
      <c r="G387" s="381"/>
      <c r="H387" s="381"/>
      <c r="I387" s="381"/>
      <c r="J387" s="381"/>
      <c r="K387" s="381"/>
      <c r="L387" s="381"/>
      <c r="M387" s="626"/>
      <c r="N387" s="381"/>
      <c r="O387" s="381"/>
      <c r="P387" s="381"/>
      <c r="Q387" s="381"/>
      <c r="R387" s="381"/>
      <c r="S387" s="381"/>
      <c r="T387" s="381"/>
      <c r="U387" s="381"/>
      <c r="V387" s="381"/>
      <c r="W387" s="381"/>
      <c r="X387" s="381"/>
      <c r="Y387" s="381"/>
      <c r="Z387" s="381"/>
      <c r="AA387" s="381"/>
      <c r="AB387" s="381"/>
      <c r="AC387" s="381"/>
      <c r="AD387" s="381"/>
      <c r="AE387" s="381"/>
      <c r="AF387" s="381"/>
    </row>
    <row r="388" spans="1:32" ht="122.45" customHeight="1" thickBot="1" x14ac:dyDescent="0.35">
      <c r="A388" s="381"/>
      <c r="B388" s="381"/>
      <c r="C388" s="381"/>
      <c r="D388" s="823"/>
      <c r="E388" s="381"/>
      <c r="F388" s="486"/>
      <c r="G388" s="381"/>
      <c r="H388" s="381"/>
      <c r="I388" s="381"/>
      <c r="J388" s="381"/>
      <c r="K388" s="381"/>
      <c r="L388" s="381"/>
      <c r="M388" s="626"/>
      <c r="N388" s="381"/>
      <c r="O388" s="381"/>
      <c r="P388" s="381"/>
      <c r="Q388" s="381"/>
      <c r="R388" s="381"/>
      <c r="S388" s="381"/>
      <c r="T388" s="381"/>
      <c r="U388" s="381"/>
      <c r="V388" s="381"/>
      <c r="W388" s="381"/>
      <c r="X388" s="381"/>
      <c r="Y388" s="381"/>
      <c r="Z388" s="381"/>
      <c r="AA388" s="381"/>
      <c r="AB388" s="381"/>
      <c r="AC388" s="381"/>
      <c r="AD388" s="381"/>
      <c r="AE388" s="381"/>
      <c r="AF388" s="381"/>
    </row>
    <row r="389" spans="1:32" ht="122.45" customHeight="1" thickBot="1" x14ac:dyDescent="0.35">
      <c r="A389" s="381"/>
      <c r="B389" s="381"/>
      <c r="C389" s="381"/>
      <c r="D389" s="823"/>
      <c r="E389" s="381"/>
      <c r="F389" s="486"/>
      <c r="G389" s="381"/>
      <c r="H389" s="381"/>
      <c r="I389" s="381"/>
      <c r="J389" s="381"/>
      <c r="K389" s="381"/>
      <c r="L389" s="381"/>
      <c r="M389" s="626"/>
      <c r="N389" s="381"/>
      <c r="O389" s="381"/>
      <c r="P389" s="381"/>
      <c r="Q389" s="381"/>
      <c r="R389" s="381"/>
      <c r="S389" s="381"/>
      <c r="T389" s="381"/>
      <c r="U389" s="381"/>
      <c r="V389" s="381"/>
      <c r="W389" s="381"/>
      <c r="X389" s="381"/>
      <c r="Y389" s="381"/>
      <c r="Z389" s="381"/>
      <c r="AA389" s="381"/>
      <c r="AB389" s="381"/>
      <c r="AC389" s="381"/>
      <c r="AD389" s="381"/>
      <c r="AE389" s="381"/>
      <c r="AF389" s="381"/>
    </row>
    <row r="390" spans="1:32" ht="122.45" customHeight="1" thickBot="1" x14ac:dyDescent="0.35">
      <c r="A390" s="381"/>
      <c r="B390" s="381"/>
      <c r="C390" s="381"/>
      <c r="D390" s="823"/>
      <c r="E390" s="381"/>
      <c r="F390" s="486"/>
      <c r="G390" s="381"/>
      <c r="H390" s="381"/>
      <c r="I390" s="381"/>
      <c r="J390" s="381"/>
      <c r="K390" s="381"/>
      <c r="L390" s="381"/>
      <c r="M390" s="626"/>
      <c r="N390" s="381"/>
      <c r="O390" s="381"/>
      <c r="P390" s="381"/>
      <c r="Q390" s="381"/>
      <c r="R390" s="381"/>
      <c r="S390" s="381"/>
      <c r="T390" s="381"/>
      <c r="U390" s="381"/>
      <c r="V390" s="381"/>
      <c r="W390" s="381"/>
      <c r="X390" s="381"/>
      <c r="Y390" s="381"/>
      <c r="Z390" s="381"/>
      <c r="AA390" s="381"/>
      <c r="AB390" s="381"/>
      <c r="AC390" s="381"/>
      <c r="AD390" s="381"/>
      <c r="AE390" s="381"/>
      <c r="AF390" s="381"/>
    </row>
    <row r="391" spans="1:32" ht="122.45" customHeight="1" thickBot="1" x14ac:dyDescent="0.35">
      <c r="A391" s="381"/>
      <c r="B391" s="381"/>
      <c r="C391" s="381"/>
      <c r="D391" s="823"/>
      <c r="E391" s="381"/>
      <c r="F391" s="486"/>
      <c r="G391" s="381"/>
      <c r="H391" s="381"/>
      <c r="I391" s="381"/>
      <c r="J391" s="381"/>
      <c r="K391" s="381"/>
      <c r="L391" s="381"/>
      <c r="M391" s="626"/>
      <c r="N391" s="381"/>
      <c r="O391" s="381"/>
      <c r="P391" s="381"/>
      <c r="Q391" s="381"/>
      <c r="R391" s="381"/>
      <c r="S391" s="381"/>
      <c r="T391" s="381"/>
      <c r="U391" s="381"/>
      <c r="V391" s="381"/>
      <c r="W391" s="381"/>
      <c r="X391" s="381"/>
      <c r="Y391" s="381"/>
      <c r="Z391" s="381"/>
      <c r="AA391" s="381"/>
      <c r="AB391" s="381"/>
      <c r="AC391" s="381"/>
      <c r="AD391" s="381"/>
      <c r="AE391" s="381"/>
      <c r="AF391" s="381"/>
    </row>
    <row r="392" spans="1:32" ht="122.45" customHeight="1" thickBot="1" x14ac:dyDescent="0.35">
      <c r="A392" s="381"/>
      <c r="B392" s="381"/>
      <c r="C392" s="381"/>
      <c r="D392" s="823"/>
      <c r="E392" s="381"/>
      <c r="F392" s="486"/>
      <c r="G392" s="381"/>
      <c r="H392" s="381"/>
      <c r="I392" s="381"/>
      <c r="J392" s="381"/>
      <c r="K392" s="381"/>
      <c r="L392" s="381"/>
      <c r="M392" s="626"/>
      <c r="N392" s="381"/>
      <c r="O392" s="381"/>
      <c r="P392" s="381"/>
      <c r="Q392" s="381"/>
      <c r="R392" s="381"/>
      <c r="S392" s="381"/>
      <c r="T392" s="381"/>
      <c r="U392" s="381"/>
      <c r="V392" s="381"/>
      <c r="W392" s="381"/>
      <c r="X392" s="381"/>
      <c r="Y392" s="381"/>
      <c r="Z392" s="381"/>
      <c r="AA392" s="381"/>
      <c r="AB392" s="381"/>
      <c r="AC392" s="381"/>
      <c r="AD392" s="381"/>
      <c r="AE392" s="381"/>
      <c r="AF392" s="381"/>
    </row>
    <row r="393" spans="1:32" ht="122.45" customHeight="1" thickBot="1" x14ac:dyDescent="0.35">
      <c r="A393" s="381"/>
      <c r="B393" s="381"/>
      <c r="C393" s="381"/>
      <c r="D393" s="823"/>
      <c r="E393" s="381"/>
      <c r="F393" s="486"/>
      <c r="G393" s="381"/>
      <c r="H393" s="381"/>
      <c r="I393" s="381"/>
      <c r="J393" s="381"/>
      <c r="K393" s="381"/>
      <c r="L393" s="381"/>
      <c r="M393" s="626"/>
      <c r="N393" s="381"/>
      <c r="O393" s="381"/>
      <c r="P393" s="381"/>
      <c r="Q393" s="381"/>
      <c r="R393" s="381"/>
      <c r="S393" s="381"/>
      <c r="T393" s="381"/>
      <c r="U393" s="381"/>
      <c r="V393" s="381"/>
      <c r="W393" s="381"/>
      <c r="X393" s="381"/>
      <c r="Y393" s="381"/>
      <c r="Z393" s="381"/>
      <c r="AA393" s="381"/>
      <c r="AB393" s="381"/>
      <c r="AC393" s="381"/>
      <c r="AD393" s="381"/>
      <c r="AE393" s="381"/>
      <c r="AF393" s="381"/>
    </row>
    <row r="394" spans="1:32" ht="122.45" customHeight="1" thickBot="1" x14ac:dyDescent="0.35">
      <c r="A394" s="381"/>
      <c r="B394" s="381"/>
      <c r="C394" s="381"/>
      <c r="D394" s="823"/>
      <c r="E394" s="381"/>
      <c r="F394" s="486"/>
      <c r="G394" s="381"/>
      <c r="H394" s="381"/>
      <c r="I394" s="381"/>
      <c r="J394" s="381"/>
      <c r="K394" s="381"/>
      <c r="L394" s="381"/>
      <c r="M394" s="626"/>
      <c r="N394" s="381"/>
      <c r="O394" s="381"/>
      <c r="P394" s="381"/>
      <c r="Q394" s="381"/>
      <c r="R394" s="381"/>
      <c r="S394" s="381"/>
      <c r="T394" s="381"/>
      <c r="U394" s="381"/>
      <c r="V394" s="381"/>
      <c r="W394" s="381"/>
      <c r="X394" s="381"/>
      <c r="Y394" s="381"/>
      <c r="Z394" s="381"/>
      <c r="AA394" s="381"/>
      <c r="AB394" s="381"/>
      <c r="AC394" s="381"/>
      <c r="AD394" s="381"/>
      <c r="AE394" s="381"/>
      <c r="AF394" s="381"/>
    </row>
    <row r="395" spans="1:32" ht="122.45" customHeight="1" thickBot="1" x14ac:dyDescent="0.35">
      <c r="A395" s="381"/>
      <c r="B395" s="381"/>
      <c r="C395" s="381"/>
      <c r="D395" s="823"/>
      <c r="E395" s="381"/>
      <c r="F395" s="486"/>
      <c r="G395" s="381"/>
      <c r="H395" s="381"/>
      <c r="I395" s="381"/>
      <c r="J395" s="381"/>
      <c r="K395" s="381"/>
      <c r="L395" s="381"/>
      <c r="M395" s="626"/>
      <c r="N395" s="381"/>
      <c r="O395" s="381"/>
      <c r="P395" s="381"/>
      <c r="Q395" s="381"/>
      <c r="R395" s="381"/>
      <c r="S395" s="381"/>
      <c r="T395" s="381"/>
      <c r="U395" s="381"/>
      <c r="V395" s="381"/>
      <c r="W395" s="381"/>
      <c r="X395" s="381"/>
      <c r="Y395" s="381"/>
      <c r="Z395" s="381"/>
      <c r="AA395" s="381"/>
      <c r="AB395" s="381"/>
      <c r="AC395" s="381"/>
      <c r="AD395" s="381"/>
      <c r="AE395" s="381"/>
      <c r="AF395" s="381"/>
    </row>
    <row r="396" spans="1:32" ht="122.45" customHeight="1" thickBot="1" x14ac:dyDescent="0.35">
      <c r="A396" s="381"/>
      <c r="B396" s="381"/>
      <c r="C396" s="381"/>
      <c r="D396" s="823"/>
      <c r="E396" s="381"/>
      <c r="F396" s="486"/>
      <c r="G396" s="381"/>
      <c r="H396" s="381"/>
      <c r="I396" s="381"/>
      <c r="J396" s="381"/>
      <c r="K396" s="381"/>
      <c r="L396" s="381"/>
      <c r="M396" s="626"/>
      <c r="N396" s="381"/>
      <c r="O396" s="381"/>
      <c r="P396" s="381"/>
      <c r="Q396" s="381"/>
      <c r="R396" s="381"/>
      <c r="S396" s="381"/>
      <c r="T396" s="381"/>
      <c r="U396" s="381"/>
      <c r="V396" s="381"/>
      <c r="W396" s="381"/>
      <c r="X396" s="381"/>
      <c r="Y396" s="381"/>
      <c r="Z396" s="381"/>
      <c r="AA396" s="381"/>
      <c r="AB396" s="381"/>
      <c r="AC396" s="381"/>
      <c r="AD396" s="381"/>
      <c r="AE396" s="381"/>
      <c r="AF396" s="381"/>
    </row>
    <row r="397" spans="1:32" ht="122.45" customHeight="1" thickBot="1" x14ac:dyDescent="0.35">
      <c r="A397" s="381"/>
      <c r="B397" s="381"/>
      <c r="C397" s="381"/>
      <c r="D397" s="823"/>
      <c r="E397" s="381"/>
      <c r="F397" s="486"/>
      <c r="G397" s="381"/>
      <c r="H397" s="381"/>
      <c r="I397" s="381"/>
      <c r="J397" s="381"/>
      <c r="K397" s="381"/>
      <c r="L397" s="381"/>
      <c r="M397" s="626"/>
      <c r="N397" s="381"/>
      <c r="O397" s="381"/>
      <c r="P397" s="381"/>
      <c r="Q397" s="381"/>
      <c r="R397" s="381"/>
      <c r="S397" s="381"/>
      <c r="T397" s="381"/>
      <c r="U397" s="381"/>
      <c r="V397" s="381"/>
      <c r="W397" s="381"/>
      <c r="X397" s="381"/>
      <c r="Y397" s="381"/>
      <c r="Z397" s="381"/>
      <c r="AA397" s="381"/>
      <c r="AB397" s="381"/>
      <c r="AC397" s="381"/>
      <c r="AD397" s="381"/>
      <c r="AE397" s="381"/>
      <c r="AF397" s="381"/>
    </row>
    <row r="398" spans="1:32" ht="122.45" customHeight="1" thickBot="1" x14ac:dyDescent="0.35">
      <c r="A398" s="381"/>
      <c r="B398" s="381"/>
      <c r="C398" s="381"/>
      <c r="D398" s="823"/>
      <c r="E398" s="381"/>
      <c r="F398" s="486"/>
      <c r="G398" s="381"/>
      <c r="H398" s="381"/>
      <c r="I398" s="381"/>
      <c r="J398" s="381"/>
      <c r="K398" s="381"/>
      <c r="L398" s="381"/>
      <c r="M398" s="626"/>
      <c r="N398" s="381"/>
      <c r="O398" s="381"/>
      <c r="P398" s="381"/>
      <c r="Q398" s="381"/>
      <c r="R398" s="381"/>
      <c r="S398" s="381"/>
      <c r="T398" s="381"/>
      <c r="U398" s="381"/>
      <c r="V398" s="381"/>
      <c r="W398" s="381"/>
      <c r="X398" s="381"/>
      <c r="Y398" s="381"/>
      <c r="Z398" s="381"/>
      <c r="AA398" s="381"/>
      <c r="AB398" s="381"/>
      <c r="AC398" s="381"/>
      <c r="AD398" s="381"/>
      <c r="AE398" s="381"/>
      <c r="AF398" s="381"/>
    </row>
    <row r="399" spans="1:32" ht="122.45" customHeight="1" thickBot="1" x14ac:dyDescent="0.35">
      <c r="A399" s="381"/>
      <c r="B399" s="381"/>
      <c r="C399" s="381"/>
      <c r="D399" s="823"/>
      <c r="E399" s="381"/>
      <c r="F399" s="486"/>
      <c r="G399" s="381"/>
      <c r="H399" s="381"/>
      <c r="I399" s="381"/>
      <c r="J399" s="381"/>
      <c r="K399" s="381"/>
      <c r="L399" s="381"/>
      <c r="M399" s="626"/>
      <c r="N399" s="381"/>
      <c r="O399" s="381"/>
      <c r="P399" s="381"/>
      <c r="Q399" s="381"/>
      <c r="R399" s="381"/>
      <c r="S399" s="381"/>
      <c r="T399" s="381"/>
      <c r="U399" s="381"/>
      <c r="V399" s="381"/>
      <c r="W399" s="381"/>
      <c r="X399" s="381"/>
      <c r="Y399" s="381"/>
      <c r="Z399" s="381"/>
      <c r="AA399" s="381"/>
      <c r="AB399" s="381"/>
      <c r="AC399" s="381"/>
      <c r="AD399" s="381"/>
      <c r="AE399" s="381"/>
      <c r="AF399" s="381"/>
    </row>
    <row r="400" spans="1:32" ht="122.45" customHeight="1" thickBot="1" x14ac:dyDescent="0.35">
      <c r="A400" s="381"/>
      <c r="B400" s="381"/>
      <c r="C400" s="381"/>
      <c r="D400" s="823"/>
      <c r="E400" s="381"/>
      <c r="F400" s="486"/>
      <c r="G400" s="381"/>
      <c r="H400" s="381"/>
      <c r="I400" s="381"/>
      <c r="J400" s="381"/>
      <c r="K400" s="381"/>
      <c r="L400" s="381"/>
      <c r="M400" s="626"/>
      <c r="N400" s="381"/>
      <c r="O400" s="381"/>
      <c r="P400" s="381"/>
      <c r="Q400" s="381"/>
      <c r="R400" s="381"/>
      <c r="S400" s="381"/>
      <c r="T400" s="381"/>
      <c r="U400" s="381"/>
      <c r="V400" s="381"/>
      <c r="W400" s="381"/>
      <c r="X400" s="381"/>
      <c r="Y400" s="381"/>
      <c r="Z400" s="381"/>
      <c r="AA400" s="381"/>
      <c r="AB400" s="381"/>
      <c r="AC400" s="381"/>
      <c r="AD400" s="381"/>
      <c r="AE400" s="381"/>
      <c r="AF400" s="381"/>
    </row>
    <row r="401" spans="1:32" ht="122.45" customHeight="1" thickBot="1" x14ac:dyDescent="0.35">
      <c r="A401" s="381"/>
      <c r="B401" s="381"/>
      <c r="C401" s="381"/>
      <c r="D401" s="823"/>
      <c r="E401" s="381"/>
      <c r="F401" s="486"/>
      <c r="G401" s="381"/>
      <c r="H401" s="381"/>
      <c r="I401" s="381"/>
      <c r="J401" s="381"/>
      <c r="K401" s="381"/>
      <c r="L401" s="381"/>
      <c r="M401" s="626"/>
      <c r="N401" s="381"/>
      <c r="O401" s="381"/>
      <c r="P401" s="381"/>
      <c r="Q401" s="381"/>
      <c r="R401" s="381"/>
      <c r="S401" s="381"/>
      <c r="T401" s="381"/>
      <c r="U401" s="381"/>
      <c r="V401" s="381"/>
      <c r="W401" s="381"/>
      <c r="X401" s="381"/>
      <c r="Y401" s="381"/>
      <c r="Z401" s="381"/>
      <c r="AA401" s="381"/>
      <c r="AB401" s="381"/>
      <c r="AC401" s="381"/>
      <c r="AD401" s="381"/>
      <c r="AE401" s="381"/>
      <c r="AF401" s="381"/>
    </row>
    <row r="402" spans="1:32" ht="122.45" customHeight="1" thickBot="1" x14ac:dyDescent="0.35">
      <c r="A402" s="381"/>
      <c r="B402" s="381"/>
      <c r="C402" s="381"/>
      <c r="D402" s="823"/>
      <c r="E402" s="381"/>
      <c r="F402" s="486"/>
      <c r="G402" s="381"/>
      <c r="H402" s="381"/>
      <c r="I402" s="381"/>
      <c r="J402" s="381"/>
      <c r="K402" s="381"/>
      <c r="L402" s="381"/>
      <c r="M402" s="626"/>
      <c r="N402" s="381"/>
      <c r="O402" s="381"/>
      <c r="P402" s="381"/>
      <c r="Q402" s="381"/>
      <c r="R402" s="381"/>
      <c r="S402" s="381"/>
      <c r="T402" s="381"/>
      <c r="U402" s="381"/>
      <c r="V402" s="381"/>
      <c r="W402" s="381"/>
      <c r="X402" s="381"/>
      <c r="Y402" s="381"/>
      <c r="Z402" s="381"/>
      <c r="AA402" s="381"/>
      <c r="AB402" s="381"/>
      <c r="AC402" s="381"/>
      <c r="AD402" s="381"/>
      <c r="AE402" s="381"/>
      <c r="AF402" s="381"/>
    </row>
    <row r="403" spans="1:32" ht="122.45" customHeight="1" thickBot="1" x14ac:dyDescent="0.35">
      <c r="A403" s="381"/>
      <c r="B403" s="381"/>
      <c r="C403" s="381"/>
      <c r="D403" s="823"/>
      <c r="E403" s="381"/>
      <c r="F403" s="486"/>
      <c r="G403" s="381"/>
      <c r="H403" s="381"/>
      <c r="I403" s="381"/>
      <c r="J403" s="381"/>
      <c r="K403" s="381"/>
      <c r="L403" s="381"/>
      <c r="M403" s="626"/>
      <c r="N403" s="381"/>
      <c r="O403" s="381"/>
      <c r="P403" s="381"/>
      <c r="Q403" s="381"/>
      <c r="R403" s="381"/>
      <c r="S403" s="381"/>
      <c r="T403" s="381"/>
      <c r="U403" s="381"/>
      <c r="V403" s="381"/>
      <c r="W403" s="381"/>
      <c r="X403" s="381"/>
      <c r="Y403" s="381"/>
      <c r="Z403" s="381"/>
      <c r="AA403" s="381"/>
      <c r="AB403" s="381"/>
      <c r="AC403" s="381"/>
      <c r="AD403" s="381"/>
      <c r="AE403" s="381"/>
      <c r="AF403" s="381"/>
    </row>
    <row r="404" spans="1:32" ht="122.45" customHeight="1" thickBot="1" x14ac:dyDescent="0.35">
      <c r="A404" s="381"/>
      <c r="B404" s="381"/>
      <c r="C404" s="381"/>
      <c r="D404" s="823"/>
      <c r="E404" s="381"/>
      <c r="F404" s="486"/>
      <c r="G404" s="381"/>
      <c r="H404" s="381"/>
      <c r="I404" s="381"/>
      <c r="J404" s="381"/>
      <c r="K404" s="381"/>
      <c r="L404" s="381"/>
      <c r="M404" s="626"/>
      <c r="N404" s="381"/>
      <c r="O404" s="381"/>
      <c r="P404" s="381"/>
      <c r="Q404" s="381"/>
      <c r="R404" s="381"/>
      <c r="S404" s="381"/>
      <c r="T404" s="381"/>
      <c r="U404" s="381"/>
      <c r="V404" s="381"/>
      <c r="W404" s="381"/>
      <c r="X404" s="381"/>
      <c r="Y404" s="381"/>
      <c r="Z404" s="381"/>
      <c r="AA404" s="381"/>
      <c r="AB404" s="381"/>
      <c r="AC404" s="381"/>
      <c r="AD404" s="381"/>
      <c r="AE404" s="381"/>
      <c r="AF404" s="381"/>
    </row>
    <row r="405" spans="1:32" ht="122.45" customHeight="1" thickBot="1" x14ac:dyDescent="0.35">
      <c r="A405" s="381"/>
      <c r="B405" s="381"/>
      <c r="C405" s="381"/>
      <c r="D405" s="823"/>
      <c r="E405" s="381"/>
      <c r="F405" s="486"/>
      <c r="G405" s="381"/>
      <c r="H405" s="381"/>
      <c r="I405" s="381"/>
      <c r="J405" s="381"/>
      <c r="K405" s="381"/>
      <c r="L405" s="381"/>
      <c r="M405" s="626"/>
      <c r="N405" s="381"/>
      <c r="O405" s="381"/>
      <c r="P405" s="381"/>
      <c r="Q405" s="381"/>
      <c r="R405" s="381"/>
      <c r="S405" s="381"/>
      <c r="T405" s="381"/>
      <c r="U405" s="381"/>
      <c r="V405" s="381"/>
      <c r="W405" s="381"/>
      <c r="X405" s="381"/>
      <c r="Y405" s="381"/>
      <c r="Z405" s="381"/>
      <c r="AA405" s="381"/>
      <c r="AB405" s="381"/>
      <c r="AC405" s="381"/>
      <c r="AD405" s="381"/>
      <c r="AE405" s="381"/>
      <c r="AF405" s="381"/>
    </row>
  </sheetData>
  <autoFilter ref="A2:AM205" xr:uid="{00000000-0009-0000-0000-000001000000}"/>
  <mergeCells count="47">
    <mergeCell ref="B2:C2"/>
    <mergeCell ref="B3:C3"/>
    <mergeCell ref="B4:C4"/>
    <mergeCell ref="B5:C5"/>
    <mergeCell ref="B12:C12"/>
    <mergeCell ref="B15:C15"/>
    <mergeCell ref="B21:C21"/>
    <mergeCell ref="B29:C29"/>
    <mergeCell ref="B34:C34"/>
    <mergeCell ref="B39:C39"/>
    <mergeCell ref="B43:C43"/>
    <mergeCell ref="B49:C49"/>
    <mergeCell ref="B52:C52"/>
    <mergeCell ref="B56:C56"/>
    <mergeCell ref="B60:C60"/>
    <mergeCell ref="B68:C68"/>
    <mergeCell ref="B73:C73"/>
    <mergeCell ref="B77:C77"/>
    <mergeCell ref="B85:C85"/>
    <mergeCell ref="B91:C91"/>
    <mergeCell ref="B92:C92"/>
    <mergeCell ref="B101:C101"/>
    <mergeCell ref="B106:C106"/>
    <mergeCell ref="B119:C119"/>
    <mergeCell ref="B120:C120"/>
    <mergeCell ref="B122:C122"/>
    <mergeCell ref="B124:C124"/>
    <mergeCell ref="B126:C126"/>
    <mergeCell ref="B130:C130"/>
    <mergeCell ref="B131:C131"/>
    <mergeCell ref="B140:C140"/>
    <mergeCell ref="B145:C145"/>
    <mergeCell ref="B148:C148"/>
    <mergeCell ref="B154:C154"/>
    <mergeCell ref="B160:C160"/>
    <mergeCell ref="B187:C187"/>
    <mergeCell ref="B192:C192"/>
    <mergeCell ref="B193:C193"/>
    <mergeCell ref="B198:C198"/>
    <mergeCell ref="B203:C203"/>
    <mergeCell ref="B182:C182"/>
    <mergeCell ref="B184:C184"/>
    <mergeCell ref="B164:C164"/>
    <mergeCell ref="B165:C165"/>
    <mergeCell ref="B170:C170"/>
    <mergeCell ref="B173:C173"/>
    <mergeCell ref="B176:C176"/>
  </mergeCells>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B1000"/>
  <sheetViews>
    <sheetView topLeftCell="B1" zoomScale="28" zoomScaleNormal="28" workbookViewId="0">
      <pane xSplit="2" ySplit="5" topLeftCell="D105" activePane="bottomRight" state="frozen"/>
      <selection pane="topRight" activeCell="D1" sqref="D1"/>
      <selection pane="bottomLeft" activeCell="B6" sqref="B6"/>
      <selection pane="bottomRight" activeCell="D115" sqref="D115"/>
    </sheetView>
  </sheetViews>
  <sheetFormatPr baseColWidth="10" defaultColWidth="14.42578125" defaultRowHeight="15" customHeight="1" x14ac:dyDescent="0.3"/>
  <cols>
    <col min="1" max="1" width="10.7109375" style="190" hidden="1" customWidth="1"/>
    <col min="2" max="2" width="63.42578125" style="190" customWidth="1"/>
    <col min="3" max="3" width="88.7109375" style="190" customWidth="1"/>
    <col min="4" max="4" width="49.7109375" style="190" customWidth="1"/>
    <col min="5" max="5" width="28" style="256" hidden="1" customWidth="1"/>
    <col min="6" max="6" width="32.7109375" style="190" customWidth="1"/>
    <col min="7" max="7" width="33.28515625" style="190" customWidth="1"/>
    <col min="8" max="8" width="31.28515625" style="190" customWidth="1"/>
    <col min="9" max="9" width="33.28515625" style="190" customWidth="1"/>
    <col min="10" max="10" width="34.7109375" style="190" customWidth="1"/>
    <col min="11" max="11" width="38.7109375" style="190" hidden="1" customWidth="1"/>
    <col min="12" max="12" width="34.42578125" style="190" hidden="1" customWidth="1"/>
    <col min="13" max="13" width="32.85546875" style="190" customWidth="1"/>
    <col min="14" max="14" width="36.5703125" style="190" customWidth="1"/>
    <col min="15" max="15" width="33.28515625" style="190" customWidth="1"/>
    <col min="16" max="17" width="36.5703125" style="190" hidden="1" customWidth="1"/>
    <col min="18" max="18" width="28.140625" style="190" customWidth="1"/>
    <col min="19" max="19" width="31.28515625" style="190" customWidth="1"/>
    <col min="20" max="20" width="33.5703125" style="190" customWidth="1"/>
    <col min="21" max="21" width="36.85546875" style="190" customWidth="1"/>
    <col min="22" max="23" width="35.28515625" style="190" hidden="1" customWidth="1"/>
    <col min="24" max="24" width="30.7109375" style="190" customWidth="1"/>
    <col min="25" max="25" width="37.85546875" style="190" customWidth="1"/>
    <col min="26" max="27" width="33.7109375" style="190" customWidth="1"/>
    <col min="28" max="28" width="39.85546875" style="190" hidden="1" customWidth="1"/>
    <col min="29" max="29" width="77.5703125" style="190" customWidth="1"/>
    <col min="30" max="30" width="55.85546875" style="190" customWidth="1"/>
    <col min="31" max="31" width="73.28515625" style="190" customWidth="1"/>
    <col min="32" max="32" width="46.5703125" style="190" customWidth="1"/>
    <col min="33" max="33" width="24.7109375" style="190" customWidth="1"/>
    <col min="34" max="34" width="10.7109375" style="190" customWidth="1"/>
    <col min="35" max="35" width="38.5703125" style="190" customWidth="1"/>
    <col min="36" max="40" width="10.7109375" style="190" customWidth="1"/>
    <col min="41" max="16384" width="14.42578125" style="190"/>
  </cols>
  <sheetData>
    <row r="1" spans="1:54" ht="19.5" thickBot="1" x14ac:dyDescent="0.35">
      <c r="A1" s="187"/>
      <c r="B1" s="188"/>
      <c r="C1" s="188"/>
      <c r="D1" s="188"/>
      <c r="E1" s="189"/>
      <c r="F1" s="188"/>
      <c r="G1" s="188"/>
      <c r="H1" s="188"/>
      <c r="I1" s="188"/>
      <c r="J1" s="188"/>
      <c r="K1" s="188"/>
      <c r="L1" s="188"/>
      <c r="M1" s="188"/>
      <c r="N1" s="188"/>
      <c r="O1" s="188"/>
      <c r="P1" s="188"/>
      <c r="Q1" s="188"/>
      <c r="R1" s="188"/>
      <c r="S1" s="188"/>
      <c r="T1" s="188"/>
      <c r="U1" s="188"/>
      <c r="V1" s="188"/>
      <c r="W1" s="188"/>
      <c r="X1" s="188"/>
      <c r="Y1" s="188"/>
      <c r="Z1" s="188"/>
      <c r="AA1" s="188"/>
      <c r="AB1" s="188"/>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row>
    <row r="2" spans="1:54" ht="180" customHeight="1" thickBot="1" x14ac:dyDescent="0.35">
      <c r="A2" s="191"/>
      <c r="B2" s="1322" t="s">
        <v>0</v>
      </c>
      <c r="C2" s="1323"/>
      <c r="D2" s="192" t="s">
        <v>1</v>
      </c>
      <c r="E2" s="193" t="s">
        <v>2</v>
      </c>
      <c r="F2" s="194" t="s">
        <v>3</v>
      </c>
      <c r="G2" s="194" t="s">
        <v>4</v>
      </c>
      <c r="H2" s="644" t="s">
        <v>5</v>
      </c>
      <c r="I2" s="195" t="s">
        <v>6</v>
      </c>
      <c r="J2" s="57" t="s">
        <v>7</v>
      </c>
      <c r="K2" s="645" t="s">
        <v>8</v>
      </c>
      <c r="L2" s="648" t="s">
        <v>9</v>
      </c>
      <c r="M2" s="196" t="s">
        <v>10</v>
      </c>
      <c r="N2" s="375" t="s">
        <v>11</v>
      </c>
      <c r="O2" s="375" t="s">
        <v>12</v>
      </c>
      <c r="P2" s="375" t="s">
        <v>13</v>
      </c>
      <c r="Q2" s="375" t="s">
        <v>14</v>
      </c>
      <c r="R2" s="375" t="s">
        <v>15</v>
      </c>
      <c r="S2" s="375" t="s">
        <v>16</v>
      </c>
      <c r="T2" s="197" t="s">
        <v>17</v>
      </c>
      <c r="U2" s="649" t="s">
        <v>18</v>
      </c>
      <c r="V2" s="646" t="s">
        <v>19</v>
      </c>
      <c r="W2" s="650" t="s">
        <v>20</v>
      </c>
      <c r="X2" s="197" t="s">
        <v>458</v>
      </c>
      <c r="Y2" s="649" t="s">
        <v>875</v>
      </c>
      <c r="Z2" s="647" t="s">
        <v>23</v>
      </c>
      <c r="AA2" s="789" t="s">
        <v>24</v>
      </c>
      <c r="AB2" s="198" t="s">
        <v>876</v>
      </c>
      <c r="AC2" s="377" t="s">
        <v>26</v>
      </c>
      <c r="AD2" s="378" t="s">
        <v>877</v>
      </c>
      <c r="AE2" s="363" t="s">
        <v>28</v>
      </c>
      <c r="AF2" s="376" t="s">
        <v>25</v>
      </c>
      <c r="AG2" s="187"/>
      <c r="AH2" s="187"/>
      <c r="AI2" s="187"/>
      <c r="AJ2" s="187"/>
      <c r="AK2" s="187"/>
      <c r="AL2" s="187"/>
      <c r="AM2" s="187"/>
      <c r="AN2" s="187"/>
      <c r="AO2" s="187"/>
      <c r="AP2" s="187"/>
      <c r="AQ2" s="187"/>
      <c r="AR2" s="187"/>
      <c r="AS2" s="187"/>
      <c r="AT2" s="187"/>
      <c r="AU2" s="187"/>
      <c r="AV2" s="187"/>
      <c r="AW2" s="187"/>
      <c r="AX2" s="187"/>
      <c r="AY2" s="187"/>
      <c r="AZ2" s="187"/>
      <c r="BA2" s="187"/>
      <c r="BB2" s="187"/>
    </row>
    <row r="3" spans="1:54" s="266" customFormat="1" ht="93" customHeight="1" thickBot="1" x14ac:dyDescent="0.6">
      <c r="A3" s="257"/>
      <c r="B3" s="1324" t="s">
        <v>878</v>
      </c>
      <c r="C3" s="1325"/>
      <c r="D3" s="258"/>
      <c r="E3" s="259">
        <v>0.15</v>
      </c>
      <c r="F3" s="260"/>
      <c r="G3" s="261"/>
      <c r="H3" s="261"/>
      <c r="I3" s="652">
        <f>+(I4+I15+I33+I45+I67+I100+I124)/7</f>
        <v>0.25743535350812591</v>
      </c>
      <c r="J3" s="652">
        <f>+(J4+J15+J33+J45+J67+J100+J124)/7</f>
        <v>0.33540613081500453</v>
      </c>
      <c r="K3" s="653">
        <f>+(K4+K15+K33+K45+K67+K100+K124)/7</f>
        <v>0.19244539710966052</v>
      </c>
      <c r="L3" s="653">
        <f>+(L4+L15+L33+L45+L67+L100+L124)/7</f>
        <v>0.32082908983191682</v>
      </c>
      <c r="M3" s="262"/>
      <c r="N3" s="262"/>
      <c r="O3" s="262"/>
      <c r="P3" s="262"/>
      <c r="Q3" s="262"/>
      <c r="R3" s="262"/>
      <c r="S3" s="262"/>
      <c r="T3" s="654">
        <f>+(T4+T15+T33+T45+T67+T100+T124)/7</f>
        <v>0.97179365079365077</v>
      </c>
      <c r="U3" s="654">
        <f>+(U4+U15+U33+U45+U67+U100+U124)/7</f>
        <v>0.34213119063906233</v>
      </c>
      <c r="V3" s="655">
        <f>F4+F15+F33+F45+F67+F100+F124</f>
        <v>0.557975</v>
      </c>
      <c r="W3" s="655">
        <f>H4+H15+H33+H45+H67+H100+H124</f>
        <v>0.28223680364302473</v>
      </c>
      <c r="X3" s="654">
        <f>+(X4+X15+X33+X45+X67+X100+X124)/7</f>
        <v>0.23822719251375898</v>
      </c>
      <c r="Y3" s="654">
        <f>+(Y4+Y15+Y33+Y45+Y67+Y100+Y124)/7</f>
        <v>0.33753168969468023</v>
      </c>
      <c r="Z3" s="655">
        <f>+(Z4+Z15+Z33+Z45+Z67+Z100+Z124)/7</f>
        <v>0.20423570426118634</v>
      </c>
      <c r="AA3" s="1007">
        <f>+(AA4*E4)+(AA15*E15)+(AA33*E33)+(AA45*E45)+(AA67*E67)+(AA100*E100)+(AA124*E124)</f>
        <v>0.31478839985626073</v>
      </c>
      <c r="AB3" s="263"/>
      <c r="AC3" s="264"/>
      <c r="AD3" s="265"/>
      <c r="AE3" s="265"/>
      <c r="AF3" s="265"/>
      <c r="AG3" s="265"/>
      <c r="AH3" s="187"/>
      <c r="AI3" s="187"/>
      <c r="AJ3" s="187"/>
      <c r="AK3" s="187"/>
      <c r="AL3" s="187"/>
      <c r="AM3" s="187"/>
      <c r="AN3" s="187"/>
      <c r="AO3" s="187"/>
      <c r="AP3" s="187"/>
      <c r="AQ3" s="187"/>
      <c r="AR3" s="187"/>
      <c r="AS3" s="187"/>
      <c r="AT3" s="187"/>
      <c r="AU3" s="187"/>
      <c r="AV3" s="187"/>
      <c r="AW3" s="187"/>
      <c r="AX3" s="187"/>
      <c r="AY3" s="187"/>
      <c r="AZ3" s="187"/>
      <c r="BA3" s="187"/>
      <c r="BB3" s="187"/>
    </row>
    <row r="4" spans="1:54" ht="78" customHeight="1" thickBot="1" x14ac:dyDescent="0.35">
      <c r="A4" s="191"/>
      <c r="B4" s="1321" t="s">
        <v>879</v>
      </c>
      <c r="C4" s="1326"/>
      <c r="D4" s="199"/>
      <c r="E4" s="201">
        <v>0.1</v>
      </c>
      <c r="F4" s="202">
        <f>+E4*V4</f>
        <v>9.64E-2</v>
      </c>
      <c r="G4" s="203"/>
      <c r="H4" s="202">
        <f>+E4*W4</f>
        <v>3.5250000000000004E-2</v>
      </c>
      <c r="I4" s="204">
        <f>+(I5+I11)/2</f>
        <v>0.32500000000000001</v>
      </c>
      <c r="J4" s="204">
        <f>+(J5+J11)/2</f>
        <v>0.28333333333333333</v>
      </c>
      <c r="K4" s="205">
        <f>+(K5+K11)/2</f>
        <v>0.33750000000000002</v>
      </c>
      <c r="L4" s="205">
        <f>+(L5+L11)/2</f>
        <v>0.31874999999999998</v>
      </c>
      <c r="M4" s="206"/>
      <c r="N4" s="206"/>
      <c r="O4" s="206"/>
      <c r="P4" s="206"/>
      <c r="Q4" s="206"/>
      <c r="R4" s="206"/>
      <c r="S4" s="206"/>
      <c r="T4" s="204">
        <f>+(T5+T11)/2</f>
        <v>0.98</v>
      </c>
      <c r="U4" s="204">
        <f>+(U5+U11)/2</f>
        <v>0.3208333333333333</v>
      </c>
      <c r="V4" s="205">
        <f>+V5+V11</f>
        <v>0.96399999999999997</v>
      </c>
      <c r="W4" s="205">
        <f>+W5+W11</f>
        <v>0.35250000000000004</v>
      </c>
      <c r="X4" s="204">
        <f>(X5+X11)/2</f>
        <v>0.37</v>
      </c>
      <c r="Y4" s="204">
        <f>(Y5+Y11)/2</f>
        <v>0.45624999999999993</v>
      </c>
      <c r="Z4" s="205">
        <f>+Z5+Z11</f>
        <v>0.32100000000000001</v>
      </c>
      <c r="AA4" s="205">
        <f>+(AA5*E5)+(AA11*E11)</f>
        <v>0.42225000000000001</v>
      </c>
      <c r="AB4" s="207"/>
      <c r="AC4" s="200"/>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row>
    <row r="5" spans="1:54" ht="39" customHeight="1" thickBot="1" x14ac:dyDescent="0.35">
      <c r="A5" s="191"/>
      <c r="B5" s="1317" t="s">
        <v>880</v>
      </c>
      <c r="C5" s="1326"/>
      <c r="D5" s="208"/>
      <c r="E5" s="209">
        <v>0.4</v>
      </c>
      <c r="F5" s="210"/>
      <c r="G5" s="211"/>
      <c r="H5" s="211"/>
      <c r="I5" s="212">
        <f>+AVERAGE(I6:I10)</f>
        <v>0.4</v>
      </c>
      <c r="J5" s="212">
        <f>+AVERAGE(J6:J10)</f>
        <v>0.3</v>
      </c>
      <c r="K5" s="212">
        <f>+K6+K7+K8+K9+K10</f>
        <v>0.42499999999999999</v>
      </c>
      <c r="L5" s="212">
        <f>+L6+L7+L8+L9+L10</f>
        <v>0.36249999999999999</v>
      </c>
      <c r="M5" s="213"/>
      <c r="N5" s="213"/>
      <c r="O5" s="213"/>
      <c r="P5" s="213"/>
      <c r="Q5" s="213"/>
      <c r="R5" s="213"/>
      <c r="S5" s="213"/>
      <c r="T5" s="235">
        <f>+AVERAGE(T6:T10)</f>
        <v>1</v>
      </c>
      <c r="U5" s="235">
        <f>+AVERAGE(U6:U10)</f>
        <v>7.4999999999999997E-2</v>
      </c>
      <c r="V5" s="235">
        <f>+(V6+V7+V8+V9+V10)*E5</f>
        <v>0.4</v>
      </c>
      <c r="W5" s="235">
        <f>+(W6+W7+W8+W9+W10)*E5</f>
        <v>2.2500000000000003E-2</v>
      </c>
      <c r="X5" s="212">
        <f>+AVERAGE(X6:X10)</f>
        <v>0.5</v>
      </c>
      <c r="Y5" s="212">
        <f>+AVERAGE(Y6:Y10)</f>
        <v>0.52249999999999996</v>
      </c>
      <c r="Z5" s="212">
        <f>+(Z6+Z7+Z8+Z9+Z10)*E5</f>
        <v>0.18000000000000002</v>
      </c>
      <c r="AA5" s="212">
        <f>+(AA6+AA7+AA8+AA9+AA10)</f>
        <v>0.47812500000000002</v>
      </c>
      <c r="AB5" s="215"/>
      <c r="AC5" s="491"/>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row>
    <row r="6" spans="1:54" ht="76.900000000000006" customHeight="1" thickBot="1" x14ac:dyDescent="0.35">
      <c r="A6" s="191"/>
      <c r="B6" s="1088" t="s">
        <v>881</v>
      </c>
      <c r="C6" s="1174" t="s">
        <v>882</v>
      </c>
      <c r="D6" s="208" t="s">
        <v>883</v>
      </c>
      <c r="E6" s="1269">
        <v>0.05</v>
      </c>
      <c r="F6" s="217">
        <v>1</v>
      </c>
      <c r="G6" s="213">
        <v>0.5</v>
      </c>
      <c r="H6" s="294"/>
      <c r="I6" s="218">
        <f>+G6/F6</f>
        <v>0.5</v>
      </c>
      <c r="J6" s="218">
        <f>+H6/F6</f>
        <v>0</v>
      </c>
      <c r="K6" s="218">
        <f>+(G6/F6)*E6</f>
        <v>2.5000000000000001E-2</v>
      </c>
      <c r="L6" s="218">
        <f>+(H6/F6)*E6</f>
        <v>0</v>
      </c>
      <c r="M6" s="213">
        <v>1</v>
      </c>
      <c r="N6" s="656"/>
      <c r="O6" s="656"/>
      <c r="P6" s="213"/>
      <c r="Q6" s="213"/>
      <c r="R6" s="213">
        <f>+N6+O6+P6+Q6</f>
        <v>0</v>
      </c>
      <c r="S6" s="213">
        <f>+R6+M6</f>
        <v>1</v>
      </c>
      <c r="T6" s="218">
        <v>1</v>
      </c>
      <c r="U6" s="218"/>
      <c r="V6" s="220">
        <f>+T6*E6</f>
        <v>0.05</v>
      </c>
      <c r="W6" s="220">
        <f>+U6*E6</f>
        <v>0</v>
      </c>
      <c r="X6" s="218">
        <f>+M6/F6</f>
        <v>1</v>
      </c>
      <c r="Y6" s="218">
        <f>+S6/F6</f>
        <v>1</v>
      </c>
      <c r="Z6" s="218">
        <f>+X6*E6</f>
        <v>0.05</v>
      </c>
      <c r="AA6" s="218">
        <f>+Y6*E6</f>
        <v>0.05</v>
      </c>
      <c r="AB6" s="774" t="s">
        <v>36</v>
      </c>
      <c r="AC6" s="752" t="s">
        <v>884</v>
      </c>
      <c r="AD6" s="752" t="s">
        <v>884</v>
      </c>
      <c r="AE6" s="753" t="s">
        <v>885</v>
      </c>
      <c r="AF6" s="187"/>
      <c r="AG6" s="187"/>
      <c r="AH6" s="187"/>
      <c r="AI6" s="187"/>
      <c r="AJ6" s="187"/>
      <c r="AK6" s="187"/>
      <c r="AL6" s="187"/>
      <c r="AM6" s="187"/>
      <c r="AN6" s="187"/>
      <c r="AO6" s="187"/>
      <c r="AP6" s="187"/>
      <c r="AQ6" s="187"/>
      <c r="AR6" s="187"/>
      <c r="AS6" s="187"/>
      <c r="AT6" s="187"/>
      <c r="AU6" s="187"/>
      <c r="AV6" s="187"/>
      <c r="AW6" s="187"/>
      <c r="AX6" s="187"/>
      <c r="AY6" s="187"/>
      <c r="AZ6" s="187"/>
      <c r="BA6" s="187"/>
      <c r="BB6" s="187"/>
    </row>
    <row r="7" spans="1:54" ht="89.45" customHeight="1" thickBot="1" x14ac:dyDescent="0.35">
      <c r="A7" s="191"/>
      <c r="B7" s="1088" t="s">
        <v>886</v>
      </c>
      <c r="C7" s="1174" t="s">
        <v>887</v>
      </c>
      <c r="D7" s="208" t="s">
        <v>883</v>
      </c>
      <c r="E7" s="1269">
        <v>0.25</v>
      </c>
      <c r="F7" s="217">
        <v>4</v>
      </c>
      <c r="G7" s="213">
        <v>2</v>
      </c>
      <c r="H7" s="213">
        <v>2</v>
      </c>
      <c r="I7" s="218">
        <f>+G7/F7</f>
        <v>0.5</v>
      </c>
      <c r="J7" s="218">
        <f t="shared" ref="J7:J14" si="0">+H7/F7</f>
        <v>0.5</v>
      </c>
      <c r="K7" s="218">
        <f>+(G7/F7)*E7</f>
        <v>0.125</v>
      </c>
      <c r="L7" s="218">
        <f t="shared" ref="L7:L14" si="1">+(H7/F7)*E7</f>
        <v>0.125</v>
      </c>
      <c r="M7" s="213">
        <v>2</v>
      </c>
      <c r="N7" s="656">
        <v>0</v>
      </c>
      <c r="O7" s="656">
        <v>0.2</v>
      </c>
      <c r="P7" s="213"/>
      <c r="Q7" s="213"/>
      <c r="R7" s="213">
        <f t="shared" ref="R7:R10" si="2">+N7+O7+P7+Q7</f>
        <v>0.2</v>
      </c>
      <c r="S7" s="213">
        <f t="shared" ref="S7:S10" si="3">+R7+M7</f>
        <v>2.2000000000000002</v>
      </c>
      <c r="T7" s="218">
        <f>+(M7/G7)</f>
        <v>1</v>
      </c>
      <c r="U7" s="218">
        <f t="shared" ref="U7:U14" si="4">+R7/H7</f>
        <v>0.1</v>
      </c>
      <c r="V7" s="220">
        <f>+T7*E7</f>
        <v>0.25</v>
      </c>
      <c r="W7" s="220">
        <f t="shared" ref="W7:W14" si="5">+U7*E7</f>
        <v>2.5000000000000001E-2</v>
      </c>
      <c r="X7" s="218">
        <f>+M7/F7</f>
        <v>0.5</v>
      </c>
      <c r="Y7" s="218">
        <f t="shared" ref="Y7:Y14" si="6">+S7/F7</f>
        <v>0.55000000000000004</v>
      </c>
      <c r="Z7" s="218">
        <f>+X7*E7</f>
        <v>0.125</v>
      </c>
      <c r="AA7" s="218">
        <f>+Y7*E7</f>
        <v>0.13750000000000001</v>
      </c>
      <c r="AB7" s="222" t="s">
        <v>43</v>
      </c>
      <c r="AC7" s="757" t="s">
        <v>44</v>
      </c>
      <c r="AD7" s="757" t="s">
        <v>888</v>
      </c>
      <c r="AE7" s="753" t="s">
        <v>885</v>
      </c>
      <c r="AF7" s="187"/>
      <c r="AG7" s="187"/>
      <c r="AH7" s="187"/>
      <c r="AI7" s="187"/>
      <c r="AJ7" s="187"/>
      <c r="AK7" s="187"/>
      <c r="AL7" s="187"/>
      <c r="AM7" s="187"/>
      <c r="AN7" s="187"/>
      <c r="AO7" s="187"/>
      <c r="AP7" s="187"/>
      <c r="AQ7" s="187"/>
      <c r="AR7" s="187"/>
      <c r="AS7" s="187"/>
      <c r="AT7" s="187"/>
      <c r="AU7" s="187"/>
      <c r="AV7" s="187"/>
      <c r="AW7" s="187"/>
      <c r="AX7" s="187"/>
      <c r="AY7" s="187"/>
      <c r="AZ7" s="187"/>
      <c r="BA7" s="187"/>
      <c r="BB7" s="187"/>
    </row>
    <row r="8" spans="1:54" ht="93.6" customHeight="1" thickBot="1" x14ac:dyDescent="0.35">
      <c r="A8" s="191"/>
      <c r="B8" s="1088" t="s">
        <v>889</v>
      </c>
      <c r="C8" s="1174" t="s">
        <v>890</v>
      </c>
      <c r="D8" s="224" t="s">
        <v>883</v>
      </c>
      <c r="E8" s="1269">
        <v>0.25</v>
      </c>
      <c r="F8" s="217">
        <v>8</v>
      </c>
      <c r="G8" s="213">
        <v>2</v>
      </c>
      <c r="H8" s="213">
        <v>4</v>
      </c>
      <c r="I8" s="218">
        <f>+G8/F8</f>
        <v>0.25</v>
      </c>
      <c r="J8" s="218">
        <f t="shared" si="0"/>
        <v>0.5</v>
      </c>
      <c r="K8" s="218">
        <f>+(G8/F8)*E8</f>
        <v>6.25E-2</v>
      </c>
      <c r="L8" s="218">
        <f>+(H8/F8)*E8</f>
        <v>0.125</v>
      </c>
      <c r="M8" s="213">
        <v>2</v>
      </c>
      <c r="N8" s="656">
        <v>0</v>
      </c>
      <c r="O8" s="656">
        <v>0.5</v>
      </c>
      <c r="P8" s="213"/>
      <c r="Q8" s="213"/>
      <c r="R8" s="213">
        <f t="shared" si="2"/>
        <v>0.5</v>
      </c>
      <c r="S8" s="213">
        <f t="shared" si="3"/>
        <v>2.5</v>
      </c>
      <c r="T8" s="218">
        <f>+(M8/G8)</f>
        <v>1</v>
      </c>
      <c r="U8" s="218">
        <f t="shared" si="4"/>
        <v>0.125</v>
      </c>
      <c r="V8" s="220">
        <f>+T8*E8</f>
        <v>0.25</v>
      </c>
      <c r="W8" s="220">
        <f t="shared" si="5"/>
        <v>3.125E-2</v>
      </c>
      <c r="X8" s="218">
        <f>+M8/F8</f>
        <v>0.25</v>
      </c>
      <c r="Y8" s="218">
        <f t="shared" si="6"/>
        <v>0.3125</v>
      </c>
      <c r="Z8" s="218">
        <f>+X8*E8</f>
        <v>6.25E-2</v>
      </c>
      <c r="AA8" s="218">
        <f>+Y8*E8</f>
        <v>7.8125E-2</v>
      </c>
      <c r="AB8" s="222" t="s">
        <v>43</v>
      </c>
      <c r="AC8" s="784" t="s">
        <v>44</v>
      </c>
      <c r="AD8" s="757" t="s">
        <v>888</v>
      </c>
      <c r="AE8" s="753" t="s">
        <v>885</v>
      </c>
      <c r="AF8" s="187"/>
      <c r="AG8" s="187"/>
      <c r="AH8" s="187"/>
      <c r="AI8" s="187"/>
      <c r="AJ8" s="187"/>
      <c r="AK8" s="187"/>
      <c r="AL8" s="187"/>
      <c r="AM8" s="187"/>
      <c r="AN8" s="187"/>
      <c r="AO8" s="187"/>
      <c r="AP8" s="187"/>
      <c r="AQ8" s="187"/>
      <c r="AR8" s="187"/>
      <c r="AS8" s="187"/>
      <c r="AT8" s="187"/>
      <c r="AU8" s="187"/>
      <c r="AV8" s="187"/>
      <c r="AW8" s="187"/>
      <c r="AX8" s="187"/>
      <c r="AY8" s="187"/>
      <c r="AZ8" s="187"/>
      <c r="BA8" s="187"/>
      <c r="BB8" s="187"/>
    </row>
    <row r="9" spans="1:54" ht="75.599999999999994" customHeight="1" thickBot="1" x14ac:dyDescent="0.35">
      <c r="A9" s="191"/>
      <c r="B9" s="1170" t="s">
        <v>891</v>
      </c>
      <c r="C9" s="1176" t="s">
        <v>892</v>
      </c>
      <c r="D9" s="226" t="s">
        <v>883</v>
      </c>
      <c r="E9" s="1269">
        <v>0.4</v>
      </c>
      <c r="F9" s="217">
        <v>4</v>
      </c>
      <c r="G9" s="213">
        <v>2</v>
      </c>
      <c r="H9" s="720">
        <v>1</v>
      </c>
      <c r="I9" s="218">
        <f>+G9/F9</f>
        <v>0.5</v>
      </c>
      <c r="J9" s="218">
        <f t="shared" si="0"/>
        <v>0.25</v>
      </c>
      <c r="K9" s="301">
        <f>+(G9/F9)*E9</f>
        <v>0.2</v>
      </c>
      <c r="L9" s="218">
        <f t="shared" si="1"/>
        <v>0.1</v>
      </c>
      <c r="M9" s="213">
        <v>2</v>
      </c>
      <c r="N9" s="656">
        <v>0</v>
      </c>
      <c r="O9" s="213">
        <v>0</v>
      </c>
      <c r="P9" s="213"/>
      <c r="Q9" s="213"/>
      <c r="R9" s="213">
        <f t="shared" si="2"/>
        <v>0</v>
      </c>
      <c r="S9" s="213">
        <f t="shared" si="3"/>
        <v>2</v>
      </c>
      <c r="T9" s="218">
        <f>+(M9/G9)</f>
        <v>1</v>
      </c>
      <c r="U9" s="218"/>
      <c r="V9" s="220">
        <f>+T9*E9</f>
        <v>0.4</v>
      </c>
      <c r="W9" s="220">
        <f t="shared" si="5"/>
        <v>0</v>
      </c>
      <c r="X9" s="218">
        <f>+M9/F9</f>
        <v>0.5</v>
      </c>
      <c r="Y9" s="218">
        <f t="shared" si="6"/>
        <v>0.5</v>
      </c>
      <c r="Z9" s="218">
        <f>+X9*E9</f>
        <v>0.2</v>
      </c>
      <c r="AA9" s="218">
        <f>+Y9*E9</f>
        <v>0.2</v>
      </c>
      <c r="AB9" s="717" t="s">
        <v>43</v>
      </c>
      <c r="AC9" s="752" t="s">
        <v>893</v>
      </c>
      <c r="AD9" s="757" t="s">
        <v>888</v>
      </c>
      <c r="AE9" s="752" t="s">
        <v>894</v>
      </c>
      <c r="AF9" s="187"/>
      <c r="AG9" s="187"/>
      <c r="AH9" s="187"/>
      <c r="AI9" s="187"/>
      <c r="AJ9" s="187"/>
      <c r="AK9" s="187"/>
      <c r="AL9" s="187"/>
      <c r="AM9" s="187"/>
      <c r="AN9" s="187"/>
      <c r="AO9" s="187"/>
      <c r="AP9" s="187"/>
      <c r="AQ9" s="187"/>
      <c r="AR9" s="187"/>
      <c r="AS9" s="187"/>
      <c r="AT9" s="187"/>
      <c r="AU9" s="187"/>
      <c r="AV9" s="187"/>
      <c r="AW9" s="187"/>
      <c r="AX9" s="187"/>
      <c r="AY9" s="187"/>
      <c r="AZ9" s="187"/>
      <c r="BA9" s="187"/>
      <c r="BB9" s="187"/>
    </row>
    <row r="10" spans="1:54" ht="121.15" customHeight="1" thickBot="1" x14ac:dyDescent="0.35">
      <c r="A10" s="191"/>
      <c r="B10" s="1088" t="s">
        <v>895</v>
      </c>
      <c r="C10" s="1174" t="s">
        <v>896</v>
      </c>
      <c r="D10" s="227" t="s">
        <v>883</v>
      </c>
      <c r="E10" s="1269">
        <v>0.05</v>
      </c>
      <c r="F10" s="217">
        <v>4</v>
      </c>
      <c r="G10" s="213">
        <v>1</v>
      </c>
      <c r="H10" s="213">
        <v>1</v>
      </c>
      <c r="I10" s="218">
        <f>+G10/F10</f>
        <v>0.25</v>
      </c>
      <c r="J10" s="218">
        <f t="shared" si="0"/>
        <v>0.25</v>
      </c>
      <c r="K10" s="218">
        <f>+(G10/F10)*E10</f>
        <v>1.2500000000000001E-2</v>
      </c>
      <c r="L10" s="218">
        <f t="shared" si="1"/>
        <v>1.2500000000000001E-2</v>
      </c>
      <c r="M10" s="213">
        <v>1</v>
      </c>
      <c r="N10" s="656">
        <v>0</v>
      </c>
      <c r="O10" s="656">
        <v>0</v>
      </c>
      <c r="P10" s="213"/>
      <c r="Q10" s="213"/>
      <c r="R10" s="213">
        <f t="shared" si="2"/>
        <v>0</v>
      </c>
      <c r="S10" s="213">
        <f t="shared" si="3"/>
        <v>1</v>
      </c>
      <c r="T10" s="218">
        <f>+(M10/G10)</f>
        <v>1</v>
      </c>
      <c r="U10" s="218">
        <f t="shared" si="4"/>
        <v>0</v>
      </c>
      <c r="V10" s="220">
        <f>+T10*E10</f>
        <v>0.05</v>
      </c>
      <c r="W10" s="220">
        <f t="shared" si="5"/>
        <v>0</v>
      </c>
      <c r="X10" s="218">
        <f>+M10/F10</f>
        <v>0.25</v>
      </c>
      <c r="Y10" s="218">
        <f t="shared" si="6"/>
        <v>0.25</v>
      </c>
      <c r="Z10" s="218">
        <f>+X10*E10</f>
        <v>1.2500000000000001E-2</v>
      </c>
      <c r="AA10" s="218">
        <f>+Y10*E10</f>
        <v>1.2500000000000001E-2</v>
      </c>
      <c r="AB10" s="222" t="s">
        <v>43</v>
      </c>
      <c r="AC10" s="725"/>
      <c r="AD10" s="757" t="s">
        <v>888</v>
      </c>
      <c r="AE10" s="753" t="s">
        <v>885</v>
      </c>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row>
    <row r="11" spans="1:54" ht="28.5" customHeight="1" thickBot="1" x14ac:dyDescent="0.35">
      <c r="A11" s="191"/>
      <c r="B11" s="1317" t="s">
        <v>897</v>
      </c>
      <c r="C11" s="1318"/>
      <c r="D11" s="227"/>
      <c r="E11" s="209">
        <v>0.6</v>
      </c>
      <c r="F11" s="210"/>
      <c r="G11" s="211"/>
      <c r="H11" s="211"/>
      <c r="I11" s="212">
        <f>+AVERAGE(I12:I14)</f>
        <v>0.25</v>
      </c>
      <c r="J11" s="212">
        <f>+AVERAGE(J12:J14)</f>
        <v>0.26666666666666666</v>
      </c>
      <c r="K11" s="212">
        <f>+K12+K13+K14</f>
        <v>0.25</v>
      </c>
      <c r="L11" s="212">
        <f>+L12+L13+L14</f>
        <v>0.27500000000000002</v>
      </c>
      <c r="M11" s="213"/>
      <c r="N11" s="213"/>
      <c r="O11" s="213"/>
      <c r="P11" s="213"/>
      <c r="Q11" s="213"/>
      <c r="R11" s="213"/>
      <c r="S11" s="213"/>
      <c r="T11" s="235">
        <f>+AVERAGE(T12:T14)</f>
        <v>0.96</v>
      </c>
      <c r="U11" s="235">
        <f>+AVERAGE(U12:U14)</f>
        <v>0.56666666666666665</v>
      </c>
      <c r="V11" s="235">
        <f>+(V12+V13+V14)*E11</f>
        <v>0.56399999999999995</v>
      </c>
      <c r="W11" s="235">
        <f>+(W12+W13+W14)*E11</f>
        <v>0.33</v>
      </c>
      <c r="X11" s="212">
        <f>+AVERAGE(X12:X14)</f>
        <v>0.24</v>
      </c>
      <c r="Y11" s="212">
        <f>+AVERAGE(Y12:Y14)</f>
        <v>0.38999999999999996</v>
      </c>
      <c r="Z11" s="212">
        <f>+(Z12+Z13+Z14)*E11</f>
        <v>0.14099999999999999</v>
      </c>
      <c r="AA11" s="212">
        <f>+(AA12+AA13+AA14)</f>
        <v>0.38500000000000001</v>
      </c>
      <c r="AB11" s="215"/>
      <c r="AC11" s="491"/>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row>
    <row r="12" spans="1:54" ht="49.15" customHeight="1" thickBot="1" x14ac:dyDescent="0.35">
      <c r="A12" s="191"/>
      <c r="B12" s="1075" t="s">
        <v>898</v>
      </c>
      <c r="C12" s="1076" t="s">
        <v>899</v>
      </c>
      <c r="D12" s="227" t="s">
        <v>883</v>
      </c>
      <c r="E12" s="1269">
        <v>0.25</v>
      </c>
      <c r="F12" s="217">
        <v>4</v>
      </c>
      <c r="G12" s="213">
        <v>1</v>
      </c>
      <c r="H12" s="213">
        <v>1</v>
      </c>
      <c r="I12" s="218">
        <f>+G12/F12</f>
        <v>0.25</v>
      </c>
      <c r="J12" s="218">
        <f t="shared" si="0"/>
        <v>0.25</v>
      </c>
      <c r="K12" s="218">
        <f>+(G12/F12)*E12</f>
        <v>6.25E-2</v>
      </c>
      <c r="L12" s="218">
        <f t="shared" si="1"/>
        <v>6.25E-2</v>
      </c>
      <c r="M12" s="213">
        <v>1</v>
      </c>
      <c r="N12" s="656">
        <v>0.1</v>
      </c>
      <c r="O12" s="656">
        <v>0.9</v>
      </c>
      <c r="P12" s="213"/>
      <c r="Q12" s="213"/>
      <c r="R12" s="213">
        <f t="shared" ref="R12:R14" si="7">+N12+O12+P12+Q12</f>
        <v>1</v>
      </c>
      <c r="S12" s="213">
        <f t="shared" ref="S12:S14" si="8">+R12+M12</f>
        <v>2</v>
      </c>
      <c r="T12" s="218">
        <f>+(M12/G12)</f>
        <v>1</v>
      </c>
      <c r="U12" s="218">
        <f t="shared" si="4"/>
        <v>1</v>
      </c>
      <c r="V12" s="220">
        <f>+T12*E12</f>
        <v>0.25</v>
      </c>
      <c r="W12" s="220">
        <f t="shared" si="5"/>
        <v>0.25</v>
      </c>
      <c r="X12" s="218">
        <f>+M12/F12</f>
        <v>0.25</v>
      </c>
      <c r="Y12" s="218">
        <f t="shared" si="6"/>
        <v>0.5</v>
      </c>
      <c r="Z12" s="218">
        <f>+X12*E12</f>
        <v>6.25E-2</v>
      </c>
      <c r="AA12" s="218">
        <f>+Y12*E12</f>
        <v>0.125</v>
      </c>
      <c r="AB12" s="222" t="s">
        <v>43</v>
      </c>
      <c r="AC12" s="757" t="s">
        <v>44</v>
      </c>
      <c r="AD12" s="757" t="s">
        <v>888</v>
      </c>
      <c r="AE12" s="753" t="s">
        <v>885</v>
      </c>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row>
    <row r="13" spans="1:54" ht="57.6" customHeight="1" thickBot="1" x14ac:dyDescent="0.35">
      <c r="A13" s="191"/>
      <c r="B13" s="1075" t="s">
        <v>900</v>
      </c>
      <c r="C13" s="1076" t="s">
        <v>901</v>
      </c>
      <c r="D13" s="227" t="s">
        <v>883</v>
      </c>
      <c r="E13" s="1269">
        <v>0.5</v>
      </c>
      <c r="F13" s="217">
        <v>100</v>
      </c>
      <c r="G13" s="213">
        <v>25</v>
      </c>
      <c r="H13" s="213">
        <v>30</v>
      </c>
      <c r="I13" s="218">
        <f>+G13/F13</f>
        <v>0.25</v>
      </c>
      <c r="J13" s="218">
        <f t="shared" si="0"/>
        <v>0.3</v>
      </c>
      <c r="K13" s="218">
        <f>+(G13/F13)*E13</f>
        <v>0.125</v>
      </c>
      <c r="L13" s="218">
        <f t="shared" si="1"/>
        <v>0.15</v>
      </c>
      <c r="M13" s="213">
        <v>22</v>
      </c>
      <c r="N13" s="656">
        <v>0</v>
      </c>
      <c r="O13" s="656">
        <v>15</v>
      </c>
      <c r="P13" s="213"/>
      <c r="Q13" s="213"/>
      <c r="R13" s="213">
        <f t="shared" si="7"/>
        <v>15</v>
      </c>
      <c r="S13" s="213">
        <f t="shared" si="8"/>
        <v>37</v>
      </c>
      <c r="T13" s="218">
        <f>+(M13/G13)</f>
        <v>0.88</v>
      </c>
      <c r="U13" s="218">
        <f t="shared" si="4"/>
        <v>0.5</v>
      </c>
      <c r="V13" s="220">
        <f>+T13*E13</f>
        <v>0.44</v>
      </c>
      <c r="W13" s="220">
        <f t="shared" si="5"/>
        <v>0.25</v>
      </c>
      <c r="X13" s="218">
        <f>+M13/F13</f>
        <v>0.22</v>
      </c>
      <c r="Y13" s="218">
        <f t="shared" si="6"/>
        <v>0.37</v>
      </c>
      <c r="Z13" s="218">
        <f>+X13*E13</f>
        <v>0.11</v>
      </c>
      <c r="AA13" s="218">
        <f>+Y13*E13</f>
        <v>0.185</v>
      </c>
      <c r="AB13" s="222" t="s">
        <v>43</v>
      </c>
      <c r="AC13" s="757" t="s">
        <v>44</v>
      </c>
      <c r="AD13" s="757" t="s">
        <v>888</v>
      </c>
      <c r="AE13" s="753" t="s">
        <v>885</v>
      </c>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row>
    <row r="14" spans="1:54" ht="72.599999999999994" customHeight="1" thickBot="1" x14ac:dyDescent="0.35">
      <c r="A14" s="191"/>
      <c r="B14" s="1075" t="s">
        <v>902</v>
      </c>
      <c r="C14" s="1076" t="s">
        <v>903</v>
      </c>
      <c r="D14" s="227" t="s">
        <v>883</v>
      </c>
      <c r="E14" s="1269">
        <v>0.25</v>
      </c>
      <c r="F14" s="217">
        <v>4</v>
      </c>
      <c r="G14" s="213">
        <v>1</v>
      </c>
      <c r="H14" s="213">
        <v>1</v>
      </c>
      <c r="I14" s="218">
        <f>+G14/F14</f>
        <v>0.25</v>
      </c>
      <c r="J14" s="218">
        <f t="shared" si="0"/>
        <v>0.25</v>
      </c>
      <c r="K14" s="218">
        <f>+(G14/F14)*E14</f>
        <v>6.25E-2</v>
      </c>
      <c r="L14" s="218">
        <f t="shared" si="1"/>
        <v>6.25E-2</v>
      </c>
      <c r="M14" s="213">
        <v>1</v>
      </c>
      <c r="N14" s="656">
        <v>0.1</v>
      </c>
      <c r="O14" s="656">
        <v>0.1</v>
      </c>
      <c r="P14" s="213"/>
      <c r="Q14" s="213"/>
      <c r="R14" s="213">
        <f t="shared" si="7"/>
        <v>0.2</v>
      </c>
      <c r="S14" s="213">
        <f t="shared" si="8"/>
        <v>1.2</v>
      </c>
      <c r="T14" s="218">
        <f>+(M14/G14)</f>
        <v>1</v>
      </c>
      <c r="U14" s="218">
        <f t="shared" si="4"/>
        <v>0.2</v>
      </c>
      <c r="V14" s="220">
        <f>+T14*E14</f>
        <v>0.25</v>
      </c>
      <c r="W14" s="220">
        <f t="shared" si="5"/>
        <v>0.05</v>
      </c>
      <c r="X14" s="218">
        <f>+M14/F14</f>
        <v>0.25</v>
      </c>
      <c r="Y14" s="218">
        <f t="shared" si="6"/>
        <v>0.3</v>
      </c>
      <c r="Z14" s="218">
        <f>+X14*E14</f>
        <v>6.25E-2</v>
      </c>
      <c r="AA14" s="218">
        <f>+Y14*E14</f>
        <v>7.4999999999999997E-2</v>
      </c>
      <c r="AB14" s="222" t="s">
        <v>43</v>
      </c>
      <c r="AC14" s="757" t="s">
        <v>44</v>
      </c>
      <c r="AD14" s="757" t="s">
        <v>888</v>
      </c>
      <c r="AE14" s="753" t="s">
        <v>885</v>
      </c>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row>
    <row r="15" spans="1:54" ht="93" customHeight="1" thickBot="1" x14ac:dyDescent="0.35">
      <c r="A15" s="191"/>
      <c r="B15" s="1321" t="s">
        <v>904</v>
      </c>
      <c r="C15" s="1326"/>
      <c r="D15" s="227"/>
      <c r="E15" s="201">
        <v>0.15</v>
      </c>
      <c r="F15" s="202">
        <f>+E15*V15</f>
        <v>9.7499999999999989E-2</v>
      </c>
      <c r="G15" s="206"/>
      <c r="H15" s="202">
        <f>+E15*W15</f>
        <v>8.2949999999999982E-2</v>
      </c>
      <c r="I15" s="204">
        <f>+(I16+I21+I24+I28)/4</f>
        <v>0.28770833333333334</v>
      </c>
      <c r="J15" s="204">
        <f>+(J16+J21+J24+J28)/4</f>
        <v>0.34704861111111107</v>
      </c>
      <c r="K15" s="205">
        <f>+(K16+K21+K24+K28)/4</f>
        <v>0.20433333333333331</v>
      </c>
      <c r="L15" s="205">
        <f>+(L16+L21+L24+L28)/4</f>
        <v>0.33291666666666664</v>
      </c>
      <c r="M15" s="206"/>
      <c r="N15" s="206"/>
      <c r="O15" s="206"/>
      <c r="P15" s="206"/>
      <c r="Q15" s="206"/>
      <c r="R15" s="206"/>
      <c r="S15" s="206"/>
      <c r="T15" s="204">
        <f>+(T16+T21+T24+T28)/4</f>
        <v>1</v>
      </c>
      <c r="U15" s="204">
        <f>+(U16+U21+U24+U28)/4</f>
        <v>0.54458333333333331</v>
      </c>
      <c r="V15" s="205">
        <f>+V16+V21+V24+V28</f>
        <v>0.64999999999999991</v>
      </c>
      <c r="W15" s="205">
        <f>+W16+W21+W24+W28</f>
        <v>0.55299999999999994</v>
      </c>
      <c r="X15" s="204">
        <f>(X16+X21+X24+X28)/4</f>
        <v>0.23097916666666671</v>
      </c>
      <c r="Y15" s="204">
        <f>(Y16+Y21+Y24+Y28)/4</f>
        <v>0.46802194656488555</v>
      </c>
      <c r="Z15" s="205">
        <f>+Z16+Z21+Z24+Z28</f>
        <v>0.373</v>
      </c>
      <c r="AA15" s="205">
        <f>+(AA16*E16)+(AA21*E21)+(AA24*E24)+(AA28*E28)</f>
        <v>0.57243702290076337</v>
      </c>
      <c r="AB15" s="228"/>
      <c r="AC15" s="725"/>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row>
    <row r="16" spans="1:54" ht="72" customHeight="1" thickBot="1" x14ac:dyDescent="0.35">
      <c r="A16" s="191"/>
      <c r="B16" s="1317" t="s">
        <v>905</v>
      </c>
      <c r="C16" s="1318"/>
      <c r="D16" s="227"/>
      <c r="E16" s="209">
        <v>0.25</v>
      </c>
      <c r="F16" s="229"/>
      <c r="G16" s="213"/>
      <c r="H16" s="213"/>
      <c r="I16" s="212">
        <f>+AVERAGE(I17:I20)</f>
        <v>0.25</v>
      </c>
      <c r="J16" s="212">
        <f>+AVERAGE(J17:J20)</f>
        <v>0.21875</v>
      </c>
      <c r="K16" s="212">
        <f>+K17+K18+K19+K20</f>
        <v>0.25</v>
      </c>
      <c r="L16" s="212">
        <f>+L17+L18+L19+L20</f>
        <v>0.22500000000000001</v>
      </c>
      <c r="M16" s="211"/>
      <c r="N16" s="211"/>
      <c r="O16" s="211"/>
      <c r="P16" s="211"/>
      <c r="Q16" s="211"/>
      <c r="R16" s="211"/>
      <c r="S16" s="211"/>
      <c r="T16" s="235">
        <f>+AVERAGE(T17:T20)</f>
        <v>1</v>
      </c>
      <c r="U16" s="235">
        <f>+AVERAGE(U17:U20)</f>
        <v>0.745</v>
      </c>
      <c r="V16" s="235">
        <f>+(V17+V18+V19+V20)*E16</f>
        <v>0.25</v>
      </c>
      <c r="W16" s="235">
        <f>+(W17+W18+W19+W20)*E16</f>
        <v>0.17199999999999999</v>
      </c>
      <c r="X16" s="212">
        <f>+AVERAGE(X17:X20)</f>
        <v>0.4375</v>
      </c>
      <c r="Y16" s="212">
        <f>+AVERAGE(Y17:Y20)</f>
        <v>0.71250000000000002</v>
      </c>
      <c r="Z16" s="212">
        <f>+(Z17+Z18+Z19+Z20)*E16</f>
        <v>0.17500000000000002</v>
      </c>
      <c r="AA16" s="212">
        <f>+(AA17+AA18+AA19+AA20)</f>
        <v>0.88500000000000001</v>
      </c>
      <c r="AB16" s="215"/>
      <c r="AC16" s="200"/>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row>
    <row r="17" spans="1:54" ht="49.9" customHeight="1" thickBot="1" x14ac:dyDescent="0.35">
      <c r="A17" s="191"/>
      <c r="B17" s="1075" t="s">
        <v>906</v>
      </c>
      <c r="C17" s="1076" t="s">
        <v>907</v>
      </c>
      <c r="D17" s="227" t="s">
        <v>883</v>
      </c>
      <c r="E17" s="1269">
        <v>0.1</v>
      </c>
      <c r="F17" s="217">
        <v>4</v>
      </c>
      <c r="G17" s="213">
        <v>1</v>
      </c>
      <c r="H17" s="213">
        <v>1</v>
      </c>
      <c r="I17" s="218">
        <f>+G17/F17</f>
        <v>0.25</v>
      </c>
      <c r="J17" s="218">
        <f t="shared" ref="J17:J20" si="9">+H17/F17</f>
        <v>0.25</v>
      </c>
      <c r="K17" s="218">
        <f>+(G17/F17)*E17</f>
        <v>2.5000000000000001E-2</v>
      </c>
      <c r="L17" s="218">
        <f t="shared" ref="L17:L20" si="10">+(H17/F17)*E17</f>
        <v>2.5000000000000001E-2</v>
      </c>
      <c r="M17" s="213">
        <v>1</v>
      </c>
      <c r="N17" s="656">
        <v>0</v>
      </c>
      <c r="O17" s="656">
        <v>0.7</v>
      </c>
      <c r="P17" s="213"/>
      <c r="Q17" s="213"/>
      <c r="R17" s="213">
        <f t="shared" ref="R17:R32" si="11">+N17+O17+P17+Q17</f>
        <v>0.7</v>
      </c>
      <c r="S17" s="213">
        <f t="shared" ref="S17:S32" si="12">+R17+M17</f>
        <v>1.7</v>
      </c>
      <c r="T17" s="218">
        <f>+(M17/G17)</f>
        <v>1</v>
      </c>
      <c r="U17" s="218">
        <f t="shared" ref="U17:U20" si="13">+R17/H17</f>
        <v>0.7</v>
      </c>
      <c r="V17" s="218">
        <f>+T17*E17</f>
        <v>0.1</v>
      </c>
      <c r="W17" s="218">
        <f t="shared" ref="W17:W20" si="14">+U17*E17</f>
        <v>6.9999999999999993E-2</v>
      </c>
      <c r="X17" s="218">
        <f>+M17/F17</f>
        <v>0.25</v>
      </c>
      <c r="Y17" s="218">
        <f t="shared" ref="Y17:Y18" si="15">+S17/F17</f>
        <v>0.42499999999999999</v>
      </c>
      <c r="Z17" s="218">
        <f>+X17*E17</f>
        <v>2.5000000000000001E-2</v>
      </c>
      <c r="AA17" s="218">
        <f>+Y17*E17</f>
        <v>4.2500000000000003E-2</v>
      </c>
      <c r="AB17" s="222" t="s">
        <v>43</v>
      </c>
      <c r="AC17" s="757" t="s">
        <v>44</v>
      </c>
      <c r="AD17" s="784" t="s">
        <v>888</v>
      </c>
      <c r="AE17" s="753" t="s">
        <v>885</v>
      </c>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row>
    <row r="18" spans="1:54" ht="70.900000000000006" customHeight="1" thickBot="1" x14ac:dyDescent="0.35">
      <c r="A18" s="230"/>
      <c r="B18" s="1075" t="s">
        <v>908</v>
      </c>
      <c r="C18" s="1076" t="s">
        <v>909</v>
      </c>
      <c r="D18" s="227" t="s">
        <v>883</v>
      </c>
      <c r="E18" s="1269">
        <v>0.1</v>
      </c>
      <c r="F18" s="217">
        <v>4</v>
      </c>
      <c r="G18" s="213">
        <v>1</v>
      </c>
      <c r="H18" s="213">
        <v>1</v>
      </c>
      <c r="I18" s="218">
        <f>+G18/F18</f>
        <v>0.25</v>
      </c>
      <c r="J18" s="218">
        <f t="shared" si="9"/>
        <v>0.25</v>
      </c>
      <c r="K18" s="218">
        <f>+(G18/F18)*E18</f>
        <v>2.5000000000000001E-2</v>
      </c>
      <c r="L18" s="218">
        <f t="shared" si="10"/>
        <v>2.5000000000000001E-2</v>
      </c>
      <c r="M18" s="213">
        <v>1</v>
      </c>
      <c r="N18" s="656">
        <v>0.1</v>
      </c>
      <c r="O18" s="656">
        <v>0.6</v>
      </c>
      <c r="P18" s="213"/>
      <c r="Q18" s="213"/>
      <c r="R18" s="213">
        <f t="shared" si="11"/>
        <v>0.7</v>
      </c>
      <c r="S18" s="213">
        <f t="shared" si="12"/>
        <v>1.7</v>
      </c>
      <c r="T18" s="218">
        <f>+(M18/G18)</f>
        <v>1</v>
      </c>
      <c r="U18" s="218">
        <f t="shared" si="13"/>
        <v>0.7</v>
      </c>
      <c r="V18" s="218">
        <f>+T18*E18</f>
        <v>0.1</v>
      </c>
      <c r="W18" s="218">
        <f t="shared" si="14"/>
        <v>6.9999999999999993E-2</v>
      </c>
      <c r="X18" s="218">
        <f>+M18/F18</f>
        <v>0.25</v>
      </c>
      <c r="Y18" s="218">
        <f t="shared" si="15"/>
        <v>0.42499999999999999</v>
      </c>
      <c r="Z18" s="218">
        <f>+X18*E18</f>
        <v>2.5000000000000001E-2</v>
      </c>
      <c r="AA18" s="218">
        <f>+Y18*E18</f>
        <v>4.2500000000000003E-2</v>
      </c>
      <c r="AB18" s="222" t="s">
        <v>43</v>
      </c>
      <c r="AC18" s="784" t="s">
        <v>44</v>
      </c>
      <c r="AD18" s="784" t="s">
        <v>888</v>
      </c>
      <c r="AE18" s="753" t="s">
        <v>885</v>
      </c>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row>
    <row r="19" spans="1:54" ht="70.150000000000006" customHeight="1" thickBot="1" x14ac:dyDescent="0.35">
      <c r="A19" s="191"/>
      <c r="B19" s="1088" t="s">
        <v>910</v>
      </c>
      <c r="C19" s="1177" t="s">
        <v>911</v>
      </c>
      <c r="D19" s="227" t="s">
        <v>883</v>
      </c>
      <c r="E19" s="1269">
        <v>0.6</v>
      </c>
      <c r="F19" s="217">
        <v>400</v>
      </c>
      <c r="G19" s="213">
        <v>100</v>
      </c>
      <c r="H19" s="720">
        <v>100</v>
      </c>
      <c r="I19" s="218">
        <f>+G19/F19</f>
        <v>0.25</v>
      </c>
      <c r="J19" s="218">
        <f t="shared" si="9"/>
        <v>0.25</v>
      </c>
      <c r="K19" s="218">
        <f>+(G19/F19)*E19</f>
        <v>0.15</v>
      </c>
      <c r="L19" s="218">
        <f t="shared" si="10"/>
        <v>0.15</v>
      </c>
      <c r="M19" s="213">
        <v>630</v>
      </c>
      <c r="N19" s="656">
        <v>0</v>
      </c>
      <c r="O19" s="656">
        <v>58</v>
      </c>
      <c r="P19" s="213"/>
      <c r="Q19" s="213"/>
      <c r="R19" s="213">
        <f t="shared" si="11"/>
        <v>58</v>
      </c>
      <c r="S19" s="213">
        <f t="shared" si="12"/>
        <v>688</v>
      </c>
      <c r="T19" s="218">
        <v>1</v>
      </c>
      <c r="U19" s="218">
        <f t="shared" si="13"/>
        <v>0.57999999999999996</v>
      </c>
      <c r="V19" s="218">
        <f>+T19*E19</f>
        <v>0.6</v>
      </c>
      <c r="W19" s="218">
        <f t="shared" si="14"/>
        <v>0.34799999999999998</v>
      </c>
      <c r="X19" s="218">
        <v>1</v>
      </c>
      <c r="Y19" s="218">
        <v>1</v>
      </c>
      <c r="Z19" s="218">
        <f>+X19*E19</f>
        <v>0.6</v>
      </c>
      <c r="AA19" s="218">
        <f>+Y19*E19</f>
        <v>0.6</v>
      </c>
      <c r="AB19" s="782" t="s">
        <v>71</v>
      </c>
      <c r="AC19" s="752" t="s">
        <v>912</v>
      </c>
      <c r="AD19" s="784" t="s">
        <v>888</v>
      </c>
      <c r="AE19" s="753" t="s">
        <v>36</v>
      </c>
      <c r="AF19" s="187"/>
      <c r="AG19" s="187"/>
      <c r="AH19" s="187"/>
      <c r="AI19" s="187"/>
      <c r="AJ19" s="187"/>
      <c r="AK19" s="187"/>
      <c r="AL19" s="187"/>
      <c r="AM19" s="187"/>
      <c r="AN19" s="187"/>
      <c r="AO19" s="187"/>
      <c r="AP19" s="187"/>
      <c r="AQ19" s="187"/>
      <c r="AR19" s="187"/>
      <c r="AS19" s="187"/>
      <c r="AT19" s="187"/>
      <c r="AU19" s="187"/>
      <c r="AV19" s="187"/>
      <c r="AW19" s="187"/>
      <c r="AX19" s="187"/>
      <c r="AY19" s="187"/>
      <c r="AZ19" s="187"/>
      <c r="BA19" s="187"/>
      <c r="BB19" s="187"/>
    </row>
    <row r="20" spans="1:54" ht="45" customHeight="1" thickBot="1" x14ac:dyDescent="0.35">
      <c r="A20" s="191"/>
      <c r="B20" s="1075" t="s">
        <v>913</v>
      </c>
      <c r="C20" s="1076" t="s">
        <v>914</v>
      </c>
      <c r="D20" s="227" t="s">
        <v>883</v>
      </c>
      <c r="E20" s="1269">
        <v>0.2</v>
      </c>
      <c r="F20" s="217">
        <v>4</v>
      </c>
      <c r="G20" s="213">
        <v>1</v>
      </c>
      <c r="H20" s="213">
        <v>0.5</v>
      </c>
      <c r="I20" s="218">
        <f>+G20/F20</f>
        <v>0.25</v>
      </c>
      <c r="J20" s="218">
        <f t="shared" si="9"/>
        <v>0.125</v>
      </c>
      <c r="K20" s="218">
        <f>+(G20/F20)*E20</f>
        <v>0.05</v>
      </c>
      <c r="L20" s="218">
        <f t="shared" si="10"/>
        <v>2.5000000000000001E-2</v>
      </c>
      <c r="M20" s="213">
        <v>1</v>
      </c>
      <c r="N20" s="656">
        <v>0</v>
      </c>
      <c r="O20" s="656">
        <v>0.5</v>
      </c>
      <c r="P20" s="213"/>
      <c r="Q20" s="213"/>
      <c r="R20" s="213">
        <f t="shared" si="11"/>
        <v>0.5</v>
      </c>
      <c r="S20" s="213">
        <f t="shared" si="12"/>
        <v>1.5</v>
      </c>
      <c r="T20" s="218">
        <f>+(M20/G20)</f>
        <v>1</v>
      </c>
      <c r="U20" s="218">
        <f t="shared" si="13"/>
        <v>1</v>
      </c>
      <c r="V20" s="218">
        <f>+T20*E20</f>
        <v>0.2</v>
      </c>
      <c r="W20" s="218">
        <f t="shared" si="14"/>
        <v>0.2</v>
      </c>
      <c r="X20" s="218">
        <f>+M20/F20</f>
        <v>0.25</v>
      </c>
      <c r="Y20" s="218">
        <v>1</v>
      </c>
      <c r="Z20" s="218">
        <f>+X20*E20</f>
        <v>0.05</v>
      </c>
      <c r="AA20" s="218">
        <f>+Y20*E20</f>
        <v>0.2</v>
      </c>
      <c r="AB20" s="222" t="s">
        <v>43</v>
      </c>
      <c r="AC20" s="752" t="s">
        <v>912</v>
      </c>
      <c r="AD20" s="784" t="s">
        <v>888</v>
      </c>
      <c r="AE20" s="753" t="s">
        <v>36</v>
      </c>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row>
    <row r="21" spans="1:54" ht="42.75" customHeight="1" thickBot="1" x14ac:dyDescent="0.35">
      <c r="A21" s="191"/>
      <c r="B21" s="1317" t="s">
        <v>915</v>
      </c>
      <c r="C21" s="1318"/>
      <c r="D21" s="227"/>
      <c r="E21" s="209">
        <v>0.1</v>
      </c>
      <c r="F21" s="217"/>
      <c r="G21" s="213"/>
      <c r="H21" s="213"/>
      <c r="I21" s="212">
        <f>+AVERAGE(I22:I23)</f>
        <v>0.13416666666666666</v>
      </c>
      <c r="J21" s="212">
        <f>+AVERAGE(J22:J23)</f>
        <v>0.15833333333333333</v>
      </c>
      <c r="K21" s="212">
        <f>+K22+K23</f>
        <v>0.15733333333333333</v>
      </c>
      <c r="L21" s="212">
        <f>+L22+L23</f>
        <v>0.17666666666666667</v>
      </c>
      <c r="M21" s="213"/>
      <c r="N21" s="213"/>
      <c r="O21" s="213"/>
      <c r="P21" s="213"/>
      <c r="Q21" s="213"/>
      <c r="R21" s="213"/>
      <c r="S21" s="213"/>
      <c r="T21" s="235">
        <f>+AVERAGE(T22:T23)</f>
        <v>1</v>
      </c>
      <c r="U21" s="235">
        <f>+AVERAGE(U22:U23)</f>
        <v>0.48333333333333334</v>
      </c>
      <c r="V21" s="235">
        <f>+(V22+V23)*E21</f>
        <v>0.1</v>
      </c>
      <c r="W21" s="235">
        <f>+(W22+W23)*E21</f>
        <v>4.8000000000000001E-2</v>
      </c>
      <c r="X21" s="212">
        <f>+AVERAGE(X22:X23)</f>
        <v>0.22916666666666669</v>
      </c>
      <c r="Y21" s="212">
        <f>+AVERAGE(Y22:Y23)</f>
        <v>0.40858778625954201</v>
      </c>
      <c r="Z21" s="212">
        <f>+(Z22+Z23)*E21</f>
        <v>2.7000000000000003E-2</v>
      </c>
      <c r="AA21" s="212">
        <f>+(AA22+AA23)</f>
        <v>0.43687022900763361</v>
      </c>
      <c r="AB21" s="215"/>
      <c r="AC21" s="200"/>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row>
    <row r="22" spans="1:54" ht="60" customHeight="1" thickBot="1" x14ac:dyDescent="0.35">
      <c r="A22" s="191"/>
      <c r="B22" s="1088" t="s">
        <v>916</v>
      </c>
      <c r="C22" s="1177" t="s">
        <v>917</v>
      </c>
      <c r="D22" s="232" t="s">
        <v>918</v>
      </c>
      <c r="E22" s="1270">
        <v>0.6</v>
      </c>
      <c r="F22" s="217">
        <v>60</v>
      </c>
      <c r="G22" s="213">
        <v>15</v>
      </c>
      <c r="H22" s="213">
        <v>15</v>
      </c>
      <c r="I22" s="218">
        <f>+G22/F22</f>
        <v>0.25</v>
      </c>
      <c r="J22" s="218">
        <f t="shared" ref="J22:J23" si="16">+H22/F22</f>
        <v>0.25</v>
      </c>
      <c r="K22" s="218">
        <f>+(G22/F22)*E22</f>
        <v>0.15</v>
      </c>
      <c r="L22" s="218">
        <f t="shared" ref="L22:L23" si="17">+(H22/F22)*E22</f>
        <v>0.15</v>
      </c>
      <c r="M22" s="213">
        <v>26</v>
      </c>
      <c r="N22" s="656">
        <v>4</v>
      </c>
      <c r="O22" s="656">
        <v>3</v>
      </c>
      <c r="P22" s="213"/>
      <c r="Q22" s="213"/>
      <c r="R22" s="213">
        <f t="shared" si="11"/>
        <v>7</v>
      </c>
      <c r="S22" s="213">
        <f t="shared" si="12"/>
        <v>33</v>
      </c>
      <c r="T22" s="218">
        <v>1</v>
      </c>
      <c r="U22" s="218">
        <f t="shared" ref="U22:U23" si="18">+R22/H22</f>
        <v>0.46666666666666667</v>
      </c>
      <c r="V22" s="218">
        <f>+T22*E22</f>
        <v>0.6</v>
      </c>
      <c r="W22" s="218">
        <f t="shared" ref="W22:W23" si="19">+U22*E22</f>
        <v>0.27999999999999997</v>
      </c>
      <c r="X22" s="218">
        <f>+M22/F22</f>
        <v>0.43333333333333335</v>
      </c>
      <c r="Y22" s="218">
        <f t="shared" ref="Y22" si="20">+S22/F22</f>
        <v>0.55000000000000004</v>
      </c>
      <c r="Z22" s="218">
        <f>+X22*E22</f>
        <v>0.26</v>
      </c>
      <c r="AA22" s="218">
        <f>+Y22*E22</f>
        <v>0.33</v>
      </c>
      <c r="AB22" s="231" t="s">
        <v>71</v>
      </c>
      <c r="AC22" s="784" t="s">
        <v>44</v>
      </c>
      <c r="AD22" s="753" t="s">
        <v>888</v>
      </c>
      <c r="AE22" s="753" t="s">
        <v>885</v>
      </c>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row>
    <row r="23" spans="1:54" ht="73.150000000000006" customHeight="1" thickBot="1" x14ac:dyDescent="0.35">
      <c r="A23" s="191"/>
      <c r="B23" s="1088" t="s">
        <v>919</v>
      </c>
      <c r="C23" s="1177" t="s">
        <v>920</v>
      </c>
      <c r="D23" s="232" t="s">
        <v>918</v>
      </c>
      <c r="E23" s="1270">
        <v>0.4</v>
      </c>
      <c r="F23" s="217">
        <v>1200</v>
      </c>
      <c r="G23" s="213">
        <v>22</v>
      </c>
      <c r="H23" s="213">
        <v>80</v>
      </c>
      <c r="I23" s="218">
        <f>+G23/F23</f>
        <v>1.8333333333333333E-2</v>
      </c>
      <c r="J23" s="218">
        <f t="shared" si="16"/>
        <v>6.6666666666666666E-2</v>
      </c>
      <c r="K23" s="218">
        <f>+(G23/F23)*E23</f>
        <v>7.3333333333333341E-3</v>
      </c>
      <c r="L23" s="218">
        <f t="shared" si="17"/>
        <v>2.6666666666666668E-2</v>
      </c>
      <c r="M23" s="213">
        <v>30</v>
      </c>
      <c r="N23" s="656">
        <v>25</v>
      </c>
      <c r="O23" s="656">
        <v>15</v>
      </c>
      <c r="P23" s="213"/>
      <c r="Q23" s="213"/>
      <c r="R23" s="213">
        <f t="shared" si="11"/>
        <v>40</v>
      </c>
      <c r="S23" s="213">
        <f t="shared" si="12"/>
        <v>70</v>
      </c>
      <c r="T23" s="218">
        <v>1</v>
      </c>
      <c r="U23" s="218">
        <f t="shared" si="18"/>
        <v>0.5</v>
      </c>
      <c r="V23" s="218">
        <f>+T23*E23</f>
        <v>0.4</v>
      </c>
      <c r="W23" s="218">
        <f t="shared" si="19"/>
        <v>0.2</v>
      </c>
      <c r="X23" s="218">
        <f>+M23/F23</f>
        <v>2.5000000000000001E-2</v>
      </c>
      <c r="Y23" s="218">
        <f>+S23/262</f>
        <v>0.26717557251908397</v>
      </c>
      <c r="Z23" s="218">
        <f>+X23*E23</f>
        <v>1.0000000000000002E-2</v>
      </c>
      <c r="AA23" s="218">
        <f>+Y23*E23</f>
        <v>0.1068702290076336</v>
      </c>
      <c r="AB23" s="222" t="s">
        <v>43</v>
      </c>
      <c r="AC23" s="785" t="s">
        <v>921</v>
      </c>
      <c r="AD23" s="753" t="s">
        <v>888</v>
      </c>
      <c r="AE23" s="753" t="s">
        <v>885</v>
      </c>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row>
    <row r="24" spans="1:54" ht="102.6" customHeight="1" thickBot="1" x14ac:dyDescent="0.35">
      <c r="A24" s="191"/>
      <c r="B24" s="1317" t="s">
        <v>922</v>
      </c>
      <c r="C24" s="1318"/>
      <c r="D24" s="227"/>
      <c r="E24" s="209">
        <v>0.3</v>
      </c>
      <c r="F24" s="229"/>
      <c r="G24" s="206"/>
      <c r="H24" s="206"/>
      <c r="I24" s="212">
        <f>+AVERAGE(I25:I27)</f>
        <v>0.16666666666666666</v>
      </c>
      <c r="J24" s="212">
        <f>+AVERAGE(J25:J27)</f>
        <v>0.41111111111111115</v>
      </c>
      <c r="K24" s="212">
        <f>+K25+K26+K27</f>
        <v>4.9999999999999996E-2</v>
      </c>
      <c r="L24" s="212">
        <f>+L25+L26+L27</f>
        <v>0.43999999999999995</v>
      </c>
      <c r="M24" s="211"/>
      <c r="N24" s="211"/>
      <c r="O24" s="211"/>
      <c r="P24" s="211"/>
      <c r="Q24" s="211"/>
      <c r="R24" s="213"/>
      <c r="S24" s="213"/>
      <c r="T24" s="235">
        <f>+AVERAGE(T25:T27)</f>
        <v>1</v>
      </c>
      <c r="U24" s="235">
        <f>+AVERAGE(U25:U27)</f>
        <v>0.6</v>
      </c>
      <c r="V24" s="235">
        <f>+(V25+V26+V27)*E24</f>
        <v>0.09</v>
      </c>
      <c r="W24" s="235">
        <f>+(W25+W26+W27)*E24</f>
        <v>0.10199999999999999</v>
      </c>
      <c r="X24" s="212">
        <f>+AVERAGE(X25:X29)*0.33</f>
        <v>0.10725000000000001</v>
      </c>
      <c r="Y24" s="212">
        <f>+(Y25*0.33)+(Y26*0.33)+(Y27*0.33)</f>
        <v>0.45100000000000001</v>
      </c>
      <c r="Z24" s="212">
        <f>+(Z25+Z26+Z27)*E24</f>
        <v>4.4999999999999998E-2</v>
      </c>
      <c r="AA24" s="212">
        <f>+(AA25+AA26+AA27)</f>
        <v>0.29000000000000004</v>
      </c>
      <c r="AB24" s="783"/>
      <c r="AC24" s="200"/>
      <c r="AD24" s="200"/>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row>
    <row r="25" spans="1:54" ht="99" customHeight="1" thickBot="1" x14ac:dyDescent="0.35">
      <c r="A25" s="191"/>
      <c r="B25" s="1137" t="s">
        <v>923</v>
      </c>
      <c r="C25" s="1178" t="s">
        <v>924</v>
      </c>
      <c r="D25" s="232" t="s">
        <v>925</v>
      </c>
      <c r="E25" s="1270">
        <v>0.3</v>
      </c>
      <c r="F25" s="217">
        <v>60</v>
      </c>
      <c r="G25" s="213">
        <v>10</v>
      </c>
      <c r="H25" s="213">
        <v>20</v>
      </c>
      <c r="I25" s="218">
        <f>+G25/F25</f>
        <v>0.16666666666666666</v>
      </c>
      <c r="J25" s="218">
        <f t="shared" ref="J25:J27" si="21">+H25/F25</f>
        <v>0.33333333333333331</v>
      </c>
      <c r="K25" s="218">
        <f>+(G25/F25)*E25</f>
        <v>4.9999999999999996E-2</v>
      </c>
      <c r="L25" s="218">
        <f t="shared" ref="L25:L27" si="22">+(H25/F25)*E25</f>
        <v>9.9999999999999992E-2</v>
      </c>
      <c r="M25" s="213">
        <v>30</v>
      </c>
      <c r="N25" s="656">
        <v>14</v>
      </c>
      <c r="O25" s="213">
        <v>2</v>
      </c>
      <c r="P25" s="213"/>
      <c r="Q25" s="213"/>
      <c r="R25" s="213">
        <f t="shared" si="11"/>
        <v>16</v>
      </c>
      <c r="S25" s="213">
        <f t="shared" si="12"/>
        <v>46</v>
      </c>
      <c r="T25" s="218">
        <v>1</v>
      </c>
      <c r="U25" s="218">
        <f t="shared" ref="U25:U26" si="23">+R25/H25</f>
        <v>0.8</v>
      </c>
      <c r="V25" s="218">
        <f>+T25*E25</f>
        <v>0.3</v>
      </c>
      <c r="W25" s="218">
        <f t="shared" ref="W25:W27" si="24">+U25*E25</f>
        <v>0.24</v>
      </c>
      <c r="X25" s="218">
        <f>+M25/F25</f>
        <v>0.5</v>
      </c>
      <c r="Y25" s="218">
        <f t="shared" ref="Y25:Y27" si="25">+S25/F25</f>
        <v>0.76666666666666672</v>
      </c>
      <c r="Z25" s="218">
        <f>+X25*E25</f>
        <v>0.15</v>
      </c>
      <c r="AA25" s="218">
        <f>+Y25*E25</f>
        <v>0.23</v>
      </c>
      <c r="AB25" s="222" t="s">
        <v>43</v>
      </c>
      <c r="AC25" s="725"/>
      <c r="AD25" s="784" t="s">
        <v>888</v>
      </c>
      <c r="AE25" s="1113" t="s">
        <v>885</v>
      </c>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row>
    <row r="26" spans="1:54" ht="116.45" customHeight="1" thickBot="1" x14ac:dyDescent="0.35">
      <c r="A26" s="191"/>
      <c r="B26" s="1075" t="s">
        <v>926</v>
      </c>
      <c r="C26" s="1076" t="s">
        <v>927</v>
      </c>
      <c r="D26" s="227" t="s">
        <v>928</v>
      </c>
      <c r="E26" s="1269">
        <v>0.6</v>
      </c>
      <c r="F26" s="217">
        <v>2</v>
      </c>
      <c r="G26" s="213">
        <v>0</v>
      </c>
      <c r="H26" s="213">
        <v>1</v>
      </c>
      <c r="I26" s="218"/>
      <c r="J26" s="218">
        <f t="shared" si="21"/>
        <v>0.5</v>
      </c>
      <c r="K26" s="218"/>
      <c r="L26" s="218">
        <f t="shared" si="22"/>
        <v>0.3</v>
      </c>
      <c r="M26" s="213"/>
      <c r="N26" s="656">
        <v>0</v>
      </c>
      <c r="O26" s="213">
        <v>0</v>
      </c>
      <c r="P26" s="213"/>
      <c r="Q26" s="213"/>
      <c r="R26" s="213">
        <f t="shared" si="11"/>
        <v>0</v>
      </c>
      <c r="S26" s="213">
        <f t="shared" si="12"/>
        <v>0</v>
      </c>
      <c r="T26" s="218"/>
      <c r="U26" s="218">
        <f t="shared" si="23"/>
        <v>0</v>
      </c>
      <c r="V26" s="218"/>
      <c r="W26" s="218">
        <f t="shared" si="24"/>
        <v>0</v>
      </c>
      <c r="X26" s="218"/>
      <c r="Y26" s="218">
        <v>0</v>
      </c>
      <c r="Z26" s="218"/>
      <c r="AA26" s="218"/>
      <c r="AB26" s="222" t="s">
        <v>43</v>
      </c>
      <c r="AC26" s="752" t="s">
        <v>929</v>
      </c>
      <c r="AD26" s="784" t="s">
        <v>888</v>
      </c>
      <c r="AE26" s="1113" t="s">
        <v>885</v>
      </c>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row>
    <row r="27" spans="1:54" ht="108" customHeight="1" thickBot="1" x14ac:dyDescent="0.35">
      <c r="A27" s="191"/>
      <c r="B27" s="1075" t="s">
        <v>930</v>
      </c>
      <c r="C27" s="1076" t="s">
        <v>931</v>
      </c>
      <c r="D27" s="227" t="s">
        <v>932</v>
      </c>
      <c r="E27" s="1269">
        <v>0.1</v>
      </c>
      <c r="F27" s="217">
        <v>5</v>
      </c>
      <c r="G27" s="213">
        <v>0</v>
      </c>
      <c r="H27" s="213">
        <v>2</v>
      </c>
      <c r="I27" s="218"/>
      <c r="J27" s="218">
        <f t="shared" si="21"/>
        <v>0.4</v>
      </c>
      <c r="K27" s="218"/>
      <c r="L27" s="218">
        <f t="shared" si="22"/>
        <v>4.0000000000000008E-2</v>
      </c>
      <c r="M27" s="213"/>
      <c r="N27" s="656">
        <v>0</v>
      </c>
      <c r="O27" s="656">
        <v>3</v>
      </c>
      <c r="P27" s="213"/>
      <c r="Q27" s="213"/>
      <c r="R27" s="213">
        <f t="shared" si="11"/>
        <v>3</v>
      </c>
      <c r="S27" s="213">
        <f t="shared" si="12"/>
        <v>3</v>
      </c>
      <c r="T27" s="218"/>
      <c r="U27" s="218">
        <v>1</v>
      </c>
      <c r="V27" s="218"/>
      <c r="W27" s="218">
        <f t="shared" si="24"/>
        <v>0.1</v>
      </c>
      <c r="X27" s="218"/>
      <c r="Y27" s="218">
        <f t="shared" si="25"/>
        <v>0.6</v>
      </c>
      <c r="Z27" s="218"/>
      <c r="AA27" s="218">
        <f>+Y27*E27</f>
        <v>0.06</v>
      </c>
      <c r="AB27" s="222" t="s">
        <v>43</v>
      </c>
      <c r="AC27" s="752" t="s">
        <v>929</v>
      </c>
      <c r="AD27" s="187"/>
      <c r="AE27" s="1113" t="s">
        <v>885</v>
      </c>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row>
    <row r="28" spans="1:54" ht="94.9" customHeight="1" thickBot="1" x14ac:dyDescent="0.35">
      <c r="A28" s="191"/>
      <c r="B28" s="1317" t="s">
        <v>933</v>
      </c>
      <c r="C28" s="1318"/>
      <c r="D28" s="227"/>
      <c r="E28" s="209">
        <v>0.35</v>
      </c>
      <c r="F28" s="229"/>
      <c r="G28" s="206"/>
      <c r="H28" s="206"/>
      <c r="I28" s="212">
        <f>+AVERAGE(I29:I32)</f>
        <v>0.6</v>
      </c>
      <c r="J28" s="212">
        <f>+AVERAGE(J29:J32)</f>
        <v>0.6</v>
      </c>
      <c r="K28" s="212">
        <f>+K29+K30+K31+K32</f>
        <v>0.36</v>
      </c>
      <c r="L28" s="212">
        <f>+L29+L30+L31+L32</f>
        <v>0.49</v>
      </c>
      <c r="M28" s="211"/>
      <c r="N28" s="211"/>
      <c r="O28" s="211"/>
      <c r="P28" s="211"/>
      <c r="Q28" s="211"/>
      <c r="R28" s="213"/>
      <c r="S28" s="213"/>
      <c r="T28" s="235">
        <f>+AVERAGE(T29:T32)</f>
        <v>1</v>
      </c>
      <c r="U28" s="235">
        <f>+AVERAGE(U29:U32)</f>
        <v>0.35</v>
      </c>
      <c r="V28" s="235">
        <f>+(V29+V30+V31+V32)*E28</f>
        <v>0.21</v>
      </c>
      <c r="W28" s="235">
        <f>+(W29+W30+W31+W32)*E28</f>
        <v>0.23099999999999996</v>
      </c>
      <c r="X28" s="212">
        <f>+AVERAGE(X29:X32)*0.25</f>
        <v>0.15</v>
      </c>
      <c r="Y28" s="212">
        <f>+AVERAGE(Y29:Y32)</f>
        <v>0.3</v>
      </c>
      <c r="Z28" s="212">
        <f>+(Z29+Z30+Z31+Z32)*E28</f>
        <v>0.126</v>
      </c>
      <c r="AA28" s="212">
        <f>+(AA29+AA30+AA31+AA32)</f>
        <v>0.63</v>
      </c>
      <c r="AB28" s="783"/>
      <c r="AC28" s="752" t="s">
        <v>934</v>
      </c>
      <c r="AD28" s="491"/>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row>
    <row r="29" spans="1:54" ht="80.45" customHeight="1" thickBot="1" x14ac:dyDescent="0.35">
      <c r="A29" s="191"/>
      <c r="B29" s="1075" t="s">
        <v>935</v>
      </c>
      <c r="C29" s="1076" t="s">
        <v>936</v>
      </c>
      <c r="D29" s="227" t="s">
        <v>716</v>
      </c>
      <c r="E29" s="1269">
        <v>0.15</v>
      </c>
      <c r="F29" s="217">
        <v>1</v>
      </c>
      <c r="H29" s="213">
        <v>0.5</v>
      </c>
      <c r="I29" s="218"/>
      <c r="J29" s="218">
        <f t="shared" ref="J29:J32" si="26">+H29/F29</f>
        <v>0.5</v>
      </c>
      <c r="K29" s="218"/>
      <c r="L29" s="218">
        <f t="shared" ref="L29:L32" si="27">+(H29/F29)*E29</f>
        <v>7.4999999999999997E-2</v>
      </c>
      <c r="M29" s="213"/>
      <c r="N29" s="656"/>
      <c r="O29" s="656">
        <v>0.1</v>
      </c>
      <c r="P29" s="213"/>
      <c r="Q29" s="213"/>
      <c r="R29" s="213">
        <f t="shared" si="11"/>
        <v>0.1</v>
      </c>
      <c r="S29" s="213">
        <f t="shared" si="12"/>
        <v>0.1</v>
      </c>
      <c r="T29" s="218"/>
      <c r="U29" s="218">
        <f t="shared" ref="U29:U30" si="28">+R29/H29</f>
        <v>0.2</v>
      </c>
      <c r="V29" s="218"/>
      <c r="W29" s="218">
        <f t="shared" ref="W29:W32" si="29">+U29*E29</f>
        <v>0.03</v>
      </c>
      <c r="X29" s="218"/>
      <c r="Y29" s="218">
        <f t="shared" ref="Y29:Y32" si="30">+S29/F29</f>
        <v>0.1</v>
      </c>
      <c r="Z29" s="218"/>
      <c r="AA29" s="218">
        <f>+Y29*E29</f>
        <v>1.4999999999999999E-2</v>
      </c>
      <c r="AB29" s="222" t="s">
        <v>43</v>
      </c>
      <c r="AC29" s="1112" t="s">
        <v>44</v>
      </c>
      <c r="AD29" s="1113" t="s">
        <v>888</v>
      </c>
      <c r="AE29" s="1113" t="s">
        <v>885</v>
      </c>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row>
    <row r="30" spans="1:54" ht="56.45" customHeight="1" thickBot="1" x14ac:dyDescent="0.35">
      <c r="A30" s="191"/>
      <c r="B30" s="1075" t="s">
        <v>937</v>
      </c>
      <c r="C30" s="1076" t="s">
        <v>938</v>
      </c>
      <c r="D30" s="227" t="s">
        <v>716</v>
      </c>
      <c r="E30" s="1269">
        <v>0.15</v>
      </c>
      <c r="F30" s="217">
        <v>1</v>
      </c>
      <c r="G30" s="213">
        <v>0</v>
      </c>
      <c r="H30" s="213">
        <v>0.5</v>
      </c>
      <c r="I30" s="218"/>
      <c r="J30" s="218">
        <f t="shared" si="26"/>
        <v>0.5</v>
      </c>
      <c r="K30" s="218"/>
      <c r="L30" s="218">
        <f t="shared" si="27"/>
        <v>7.4999999999999997E-2</v>
      </c>
      <c r="M30" s="213"/>
      <c r="N30" s="656"/>
      <c r="O30" s="656">
        <v>0.1</v>
      </c>
      <c r="P30" s="213"/>
      <c r="Q30" s="213"/>
      <c r="R30" s="213">
        <f t="shared" si="11"/>
        <v>0.1</v>
      </c>
      <c r="S30" s="213">
        <f t="shared" si="12"/>
        <v>0.1</v>
      </c>
      <c r="T30" s="218"/>
      <c r="U30" s="218">
        <f t="shared" si="28"/>
        <v>0.2</v>
      </c>
      <c r="V30" s="218"/>
      <c r="W30" s="218">
        <f t="shared" si="29"/>
        <v>0.03</v>
      </c>
      <c r="X30" s="218"/>
      <c r="Y30" s="218">
        <f t="shared" si="30"/>
        <v>0.1</v>
      </c>
      <c r="Z30" s="218"/>
      <c r="AA30" s="218">
        <f>+Y30*E30</f>
        <v>1.4999999999999999E-2</v>
      </c>
      <c r="AB30" s="222" t="s">
        <v>43</v>
      </c>
      <c r="AC30" s="784" t="s">
        <v>44</v>
      </c>
      <c r="AD30" s="753" t="s">
        <v>888</v>
      </c>
      <c r="AE30" s="1113" t="s">
        <v>885</v>
      </c>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row>
    <row r="31" spans="1:54" ht="148.15" customHeight="1" thickBot="1" x14ac:dyDescent="0.35">
      <c r="A31" s="191"/>
      <c r="B31" s="1137" t="s">
        <v>939</v>
      </c>
      <c r="C31" s="1178" t="s">
        <v>940</v>
      </c>
      <c r="D31" s="227" t="s">
        <v>883</v>
      </c>
      <c r="E31" s="1269">
        <v>0.6</v>
      </c>
      <c r="F31" s="217">
        <v>1</v>
      </c>
      <c r="G31" s="213">
        <v>0.6</v>
      </c>
      <c r="H31" s="213">
        <v>0.4</v>
      </c>
      <c r="I31" s="218">
        <f>+G31/F31</f>
        <v>0.6</v>
      </c>
      <c r="J31" s="218">
        <f t="shared" si="26"/>
        <v>0.4</v>
      </c>
      <c r="K31" s="218">
        <f>+(G31/F31)*E31</f>
        <v>0.36</v>
      </c>
      <c r="L31" s="218">
        <f t="shared" si="27"/>
        <v>0.24</v>
      </c>
      <c r="M31" s="213">
        <v>0.6</v>
      </c>
      <c r="N31" s="656">
        <v>0.4</v>
      </c>
      <c r="O31" s="656">
        <v>0.1</v>
      </c>
      <c r="P31" s="213"/>
      <c r="Q31" s="213"/>
      <c r="R31" s="213">
        <f t="shared" si="11"/>
        <v>0.5</v>
      </c>
      <c r="S31" s="213">
        <f t="shared" si="12"/>
        <v>1.1000000000000001</v>
      </c>
      <c r="T31" s="218">
        <f>+(M31/G31)</f>
        <v>1</v>
      </c>
      <c r="U31" s="218">
        <v>1</v>
      </c>
      <c r="V31" s="218">
        <f>+T31*E31</f>
        <v>0.6</v>
      </c>
      <c r="W31" s="218">
        <f t="shared" si="29"/>
        <v>0.6</v>
      </c>
      <c r="X31" s="218">
        <f>+M31/F31</f>
        <v>0.6</v>
      </c>
      <c r="Y31" s="218">
        <v>1</v>
      </c>
      <c r="Z31" s="218">
        <f>+X31*E31</f>
        <v>0.36</v>
      </c>
      <c r="AA31" s="218">
        <f>+Y31*E31</f>
        <v>0.6</v>
      </c>
      <c r="AB31" s="717" t="s">
        <v>43</v>
      </c>
      <c r="AC31" s="752" t="s">
        <v>941</v>
      </c>
      <c r="AD31" s="753" t="s">
        <v>36</v>
      </c>
      <c r="AE31" s="1113" t="s">
        <v>942</v>
      </c>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row>
    <row r="32" spans="1:54" ht="81.599999999999994" customHeight="1" thickBot="1" x14ac:dyDescent="0.35">
      <c r="A32" s="191"/>
      <c r="B32" s="1075" t="s">
        <v>943</v>
      </c>
      <c r="C32" s="1076" t="s">
        <v>944</v>
      </c>
      <c r="D32" s="227" t="s">
        <v>883</v>
      </c>
      <c r="E32" s="1269">
        <v>0.1</v>
      </c>
      <c r="F32" s="217">
        <v>1</v>
      </c>
      <c r="G32" s="213"/>
      <c r="H32" s="213">
        <v>1</v>
      </c>
      <c r="I32" s="218"/>
      <c r="J32" s="218">
        <f t="shared" si="26"/>
        <v>1</v>
      </c>
      <c r="K32" s="218"/>
      <c r="L32" s="218">
        <f t="shared" si="27"/>
        <v>0.1</v>
      </c>
      <c r="M32" s="213"/>
      <c r="N32" s="656"/>
      <c r="O32" s="656"/>
      <c r="P32" s="213"/>
      <c r="Q32" s="213"/>
      <c r="R32" s="213">
        <f t="shared" si="11"/>
        <v>0</v>
      </c>
      <c r="S32" s="213">
        <f t="shared" si="12"/>
        <v>0</v>
      </c>
      <c r="T32" s="218"/>
      <c r="U32" s="218">
        <v>0</v>
      </c>
      <c r="V32" s="218"/>
      <c r="W32" s="218">
        <f t="shared" si="29"/>
        <v>0</v>
      </c>
      <c r="X32" s="218"/>
      <c r="Y32" s="218">
        <f t="shared" si="30"/>
        <v>0</v>
      </c>
      <c r="Z32" s="218"/>
      <c r="AA32" s="218">
        <f>+Y32*E32</f>
        <v>0</v>
      </c>
      <c r="AB32" s="717" t="s">
        <v>43</v>
      </c>
      <c r="AC32" s="784" t="s">
        <v>44</v>
      </c>
      <c r="AD32" s="753" t="s">
        <v>888</v>
      </c>
      <c r="AE32" s="753" t="s">
        <v>885</v>
      </c>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row>
    <row r="33" spans="1:54" ht="78" customHeight="1" thickBot="1" x14ac:dyDescent="0.35">
      <c r="A33" s="191"/>
      <c r="B33" s="1321" t="s">
        <v>945</v>
      </c>
      <c r="C33" s="1318"/>
      <c r="D33" s="227"/>
      <c r="E33" s="201">
        <v>0.15</v>
      </c>
      <c r="F33" s="202">
        <f>+E33*V33</f>
        <v>0.09</v>
      </c>
      <c r="G33" s="206"/>
      <c r="H33" s="202">
        <f>+E33*W33</f>
        <v>3.879699248120301E-2</v>
      </c>
      <c r="I33" s="204">
        <f>+(I34+I40+I43)/3</f>
        <v>0.36472934472934471</v>
      </c>
      <c r="J33" s="204">
        <f>+(J34+J40+J43)/3</f>
        <v>0.15683760683760684</v>
      </c>
      <c r="K33" s="205">
        <f>+(K34+K40+K43)/3</f>
        <v>0.25547008547008548</v>
      </c>
      <c r="L33" s="205">
        <f>+(L34+L40+L43)/3</f>
        <v>0.16822649572649573</v>
      </c>
      <c r="M33" s="206"/>
      <c r="N33" s="206"/>
      <c r="O33" s="206"/>
      <c r="P33" s="206"/>
      <c r="Q33" s="206"/>
      <c r="R33" s="206"/>
      <c r="S33" s="206"/>
      <c r="T33" s="204">
        <f>+(T34+T40+T43)/3</f>
        <v>0.88888888888888884</v>
      </c>
      <c r="U33" s="204">
        <f>+(U34+U40+U43)/3</f>
        <v>0.38546365914786967</v>
      </c>
      <c r="V33" s="205">
        <f>V34+V40+V43</f>
        <v>0.6</v>
      </c>
      <c r="W33" s="205">
        <f>W34+W40+W43</f>
        <v>0.2586466165413534</v>
      </c>
      <c r="X33" s="204">
        <f>(X34+X40+X43)/3</f>
        <v>0.28650042735042736</v>
      </c>
      <c r="Y33" s="204">
        <f>(Y34+Y40+Y43)/3</f>
        <v>0.37620128205128206</v>
      </c>
      <c r="Z33" s="205">
        <f>Z34+Z40+Z43</f>
        <v>0.23447615384615383</v>
      </c>
      <c r="AA33" s="205">
        <f>(AA34*E34)+(AA40*E40)+(AA43*E43)</f>
        <v>0.29591846153846157</v>
      </c>
      <c r="AB33" s="228"/>
      <c r="AC33" s="787"/>
      <c r="AD33" s="252"/>
      <c r="AE33" s="252"/>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row>
    <row r="34" spans="1:54" ht="123.6" customHeight="1" thickBot="1" x14ac:dyDescent="0.35">
      <c r="A34" s="191"/>
      <c r="B34" s="1317" t="s">
        <v>946</v>
      </c>
      <c r="C34" s="1318"/>
      <c r="D34" s="227"/>
      <c r="E34" s="209">
        <v>0.5</v>
      </c>
      <c r="F34" s="229"/>
      <c r="G34" s="206"/>
      <c r="H34" s="206"/>
      <c r="I34" s="212">
        <f>+AVERAGE(I35:I39)</f>
        <v>8.6111111111111097E-2</v>
      </c>
      <c r="J34" s="212">
        <f>+AVERAGE(J35:J39)</f>
        <v>8.1666666666666665E-2</v>
      </c>
      <c r="K34" s="212">
        <f>+K35+K36+K37+K38+K39</f>
        <v>5.0833333333333328E-2</v>
      </c>
      <c r="L34" s="212">
        <f>+L35+L36+L37+L38+L39</f>
        <v>0.11583333333333333</v>
      </c>
      <c r="M34" s="211"/>
      <c r="N34" s="211"/>
      <c r="O34" s="211"/>
      <c r="P34" s="211"/>
      <c r="Q34" s="211"/>
      <c r="R34" s="211"/>
      <c r="S34" s="211"/>
      <c r="T34" s="235">
        <f>+AVERAGE(T35:T39)</f>
        <v>0.66666666666666663</v>
      </c>
      <c r="U34" s="235">
        <f>+AVERAGE(U35:U39)</f>
        <v>0.33333333333333331</v>
      </c>
      <c r="V34" s="235">
        <f>+(V35+V36+V37+V38+V39)*E34</f>
        <v>0.22499999999999998</v>
      </c>
      <c r="W34" s="235">
        <f>+(W35+W36+W37+W38+W39)*E34</f>
        <v>0.05</v>
      </c>
      <c r="X34" s="212">
        <f>+AVERAGE(X35:X39)</f>
        <v>0.10536666666666666</v>
      </c>
      <c r="Y34" s="1001">
        <f>+AVERAGE(Y35:Y39)</f>
        <v>0.16369999999999998</v>
      </c>
      <c r="Z34" s="212">
        <f>+(Z35+Z36+Z37+Z38+Z39)*E34</f>
        <v>4.5942499999999997E-2</v>
      </c>
      <c r="AA34" s="212">
        <f>+(AA35+AA36+AA37+AA38+AA39)</f>
        <v>0.10938500000000001</v>
      </c>
      <c r="AB34" s="783"/>
      <c r="AC34" s="893" t="s">
        <v>947</v>
      </c>
      <c r="AD34" s="200"/>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row>
    <row r="35" spans="1:54" ht="78" customHeight="1" thickBot="1" x14ac:dyDescent="0.35">
      <c r="A35" s="191"/>
      <c r="B35" s="1170" t="s">
        <v>948</v>
      </c>
      <c r="C35" s="1176" t="s">
        <v>949</v>
      </c>
      <c r="D35" s="232" t="s">
        <v>950</v>
      </c>
      <c r="E35" s="1270">
        <v>0.2</v>
      </c>
      <c r="F35" s="217">
        <v>3</v>
      </c>
      <c r="G35" s="213">
        <v>0</v>
      </c>
      <c r="H35" s="213"/>
      <c r="I35" s="218"/>
      <c r="J35" s="218">
        <f t="shared" ref="J35:J39" si="31">+H35/F35</f>
        <v>0</v>
      </c>
      <c r="K35" s="218"/>
      <c r="L35" s="218">
        <f t="shared" ref="L35:L39" si="32">+(H35/F35)*E35</f>
        <v>0</v>
      </c>
      <c r="M35" s="213"/>
      <c r="N35" s="656"/>
      <c r="O35" s="213"/>
      <c r="P35" s="213"/>
      <c r="Q35" s="213"/>
      <c r="R35" s="213">
        <f t="shared" ref="R35:R39" si="33">+N35+O35+P35+Q35</f>
        <v>0</v>
      </c>
      <c r="S35" s="213">
        <f t="shared" ref="S35:S39" si="34">+R35+M35</f>
        <v>0</v>
      </c>
      <c r="T35" s="218"/>
      <c r="U35" s="218"/>
      <c r="V35" s="218"/>
      <c r="W35" s="218">
        <f t="shared" ref="W35:W39" si="35">+U35*E35</f>
        <v>0</v>
      </c>
      <c r="X35" s="218"/>
      <c r="Y35" s="218"/>
      <c r="Z35" s="218"/>
      <c r="AA35" s="218">
        <v>0</v>
      </c>
      <c r="AB35" s="267" t="s">
        <v>951</v>
      </c>
      <c r="AC35" s="752" t="s">
        <v>952</v>
      </c>
      <c r="AD35" s="187"/>
      <c r="AE35" s="752" t="s">
        <v>953</v>
      </c>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row>
    <row r="36" spans="1:54" ht="95.45" customHeight="1" thickBot="1" x14ac:dyDescent="0.35">
      <c r="A36" s="191"/>
      <c r="B36" s="1170" t="s">
        <v>954</v>
      </c>
      <c r="C36" s="1176" t="s">
        <v>955</v>
      </c>
      <c r="D36" s="232" t="s">
        <v>103</v>
      </c>
      <c r="E36" s="1270">
        <v>0.25</v>
      </c>
      <c r="F36" s="217">
        <v>500</v>
      </c>
      <c r="G36" s="213"/>
      <c r="H36" s="213"/>
      <c r="I36" s="218"/>
      <c r="J36" s="218">
        <f t="shared" si="31"/>
        <v>0</v>
      </c>
      <c r="K36" s="218"/>
      <c r="L36" s="218">
        <f t="shared" si="32"/>
        <v>0</v>
      </c>
      <c r="M36" s="213"/>
      <c r="N36" s="656"/>
      <c r="O36" s="213"/>
      <c r="P36" s="213"/>
      <c r="Q36" s="213"/>
      <c r="R36" s="213">
        <f t="shared" si="33"/>
        <v>0</v>
      </c>
      <c r="S36" s="213">
        <f t="shared" si="34"/>
        <v>0</v>
      </c>
      <c r="T36" s="218"/>
      <c r="U36" s="218"/>
      <c r="V36" s="218"/>
      <c r="W36" s="218">
        <f t="shared" si="35"/>
        <v>0</v>
      </c>
      <c r="X36" s="218"/>
      <c r="Y36" s="218"/>
      <c r="Z36" s="218"/>
      <c r="AA36" s="218">
        <v>0</v>
      </c>
      <c r="AB36" s="267" t="s">
        <v>956</v>
      </c>
      <c r="AC36" s="752" t="s">
        <v>957</v>
      </c>
      <c r="AD36" s="187"/>
      <c r="AE36" s="752" t="s">
        <v>953</v>
      </c>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row>
    <row r="37" spans="1:54" ht="64.900000000000006" customHeight="1" thickBot="1" x14ac:dyDescent="0.35">
      <c r="A37" s="191"/>
      <c r="B37" s="1088" t="s">
        <v>958</v>
      </c>
      <c r="C37" s="1177" t="s">
        <v>959</v>
      </c>
      <c r="D37" s="227" t="s">
        <v>883</v>
      </c>
      <c r="E37" s="1269">
        <v>0.1</v>
      </c>
      <c r="F37" s="217">
        <v>4</v>
      </c>
      <c r="G37" s="213">
        <v>0.3</v>
      </c>
      <c r="H37" s="213">
        <v>0.1</v>
      </c>
      <c r="I37" s="218">
        <f>+G37/F37</f>
        <v>7.4999999999999997E-2</v>
      </c>
      <c r="J37" s="218">
        <f t="shared" si="31"/>
        <v>2.5000000000000001E-2</v>
      </c>
      <c r="K37" s="218">
        <f>+(G37/F37)*E37</f>
        <v>7.4999999999999997E-3</v>
      </c>
      <c r="L37" s="218">
        <f t="shared" si="32"/>
        <v>2.5000000000000005E-3</v>
      </c>
      <c r="M37" s="213">
        <v>0.3</v>
      </c>
      <c r="N37" s="656">
        <v>0.1</v>
      </c>
      <c r="O37" s="656">
        <v>0.6</v>
      </c>
      <c r="P37" s="213"/>
      <c r="Q37" s="213"/>
      <c r="R37" s="213">
        <f t="shared" si="33"/>
        <v>0.7</v>
      </c>
      <c r="S37" s="213">
        <f t="shared" si="34"/>
        <v>1</v>
      </c>
      <c r="T37" s="218">
        <f>+(M37/G37)</f>
        <v>1</v>
      </c>
      <c r="U37" s="218">
        <v>1</v>
      </c>
      <c r="V37" s="218">
        <f>+T37*E37</f>
        <v>0.1</v>
      </c>
      <c r="W37" s="218">
        <f t="shared" si="35"/>
        <v>0.1</v>
      </c>
      <c r="X37" s="218">
        <f>+M37/F37</f>
        <v>7.4999999999999997E-2</v>
      </c>
      <c r="Y37" s="218">
        <f>+S37/F37</f>
        <v>0.25</v>
      </c>
      <c r="Z37" s="218">
        <f>+X37*E37</f>
        <v>7.4999999999999997E-3</v>
      </c>
      <c r="AA37" s="218">
        <f>+Y37*E37</f>
        <v>2.5000000000000001E-2</v>
      </c>
      <c r="AB37" s="717" t="s">
        <v>43</v>
      </c>
      <c r="AC37" s="753" t="s">
        <v>44</v>
      </c>
      <c r="AD37" s="753" t="s">
        <v>888</v>
      </c>
      <c r="AE37" s="1309" t="s">
        <v>960</v>
      </c>
      <c r="AF37" s="200"/>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row>
    <row r="38" spans="1:54" ht="78.599999999999994" customHeight="1" thickBot="1" x14ac:dyDescent="0.35">
      <c r="A38" s="191"/>
      <c r="B38" s="1088" t="s">
        <v>961</v>
      </c>
      <c r="C38" s="1177" t="s">
        <v>962</v>
      </c>
      <c r="D38" s="227" t="s">
        <v>883</v>
      </c>
      <c r="E38" s="1269">
        <v>0.1</v>
      </c>
      <c r="F38" s="217">
        <v>3</v>
      </c>
      <c r="G38" s="213">
        <v>0.25</v>
      </c>
      <c r="H38" s="213">
        <v>0.25</v>
      </c>
      <c r="I38" s="218">
        <f>+G38/F38</f>
        <v>8.3333333333333329E-2</v>
      </c>
      <c r="J38" s="218">
        <f t="shared" si="31"/>
        <v>8.3333333333333329E-2</v>
      </c>
      <c r="K38" s="218">
        <f>+(G38/F38)*E38</f>
        <v>8.3333333333333332E-3</v>
      </c>
      <c r="L38" s="218">
        <f t="shared" si="32"/>
        <v>8.3333333333333332E-3</v>
      </c>
      <c r="M38" s="213">
        <v>0</v>
      </c>
      <c r="N38" s="656">
        <v>0</v>
      </c>
      <c r="O38" s="656">
        <v>0</v>
      </c>
      <c r="P38" s="213"/>
      <c r="Q38" s="213"/>
      <c r="R38" s="213">
        <f t="shared" si="33"/>
        <v>0</v>
      </c>
      <c r="S38" s="213">
        <f t="shared" si="34"/>
        <v>0</v>
      </c>
      <c r="T38" s="218">
        <f>+(M38/G38)</f>
        <v>0</v>
      </c>
      <c r="U38" s="218">
        <f t="shared" ref="U38:U39" si="36">+R38/H38</f>
        <v>0</v>
      </c>
      <c r="V38" s="218">
        <f>+T38*E38</f>
        <v>0</v>
      </c>
      <c r="W38" s="218">
        <f t="shared" si="35"/>
        <v>0</v>
      </c>
      <c r="X38" s="218">
        <f>+M38/F38</f>
        <v>0</v>
      </c>
      <c r="Y38" s="218">
        <f t="shared" ref="Y38:Y39" si="37">+S38/F38</f>
        <v>0</v>
      </c>
      <c r="Z38" s="218">
        <f>+X38*E38</f>
        <v>0</v>
      </c>
      <c r="AA38" s="218">
        <f>+Y38*E38</f>
        <v>0</v>
      </c>
      <c r="AB38" s="717" t="s">
        <v>43</v>
      </c>
      <c r="AC38" s="753" t="s">
        <v>44</v>
      </c>
      <c r="AD38" s="753" t="s">
        <v>888</v>
      </c>
      <c r="AE38" s="1310"/>
      <c r="AF38" s="200"/>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row>
    <row r="39" spans="1:54" ht="64.150000000000006" customHeight="1" thickBot="1" x14ac:dyDescent="0.35">
      <c r="A39" s="191"/>
      <c r="B39" s="1088" t="s">
        <v>963</v>
      </c>
      <c r="C39" s="1177" t="s">
        <v>964</v>
      </c>
      <c r="D39" s="227" t="s">
        <v>883</v>
      </c>
      <c r="E39" s="1269">
        <v>0.35</v>
      </c>
      <c r="F39" s="217">
        <v>10000</v>
      </c>
      <c r="G39" s="213">
        <v>1000</v>
      </c>
      <c r="H39" s="213">
        <v>3000</v>
      </c>
      <c r="I39" s="218">
        <f>+G39/F39</f>
        <v>0.1</v>
      </c>
      <c r="J39" s="218">
        <f t="shared" si="31"/>
        <v>0.3</v>
      </c>
      <c r="K39" s="218">
        <f>+(G39/F39)*E39</f>
        <v>3.4999999999999996E-2</v>
      </c>
      <c r="L39" s="218">
        <f t="shared" si="32"/>
        <v>0.105</v>
      </c>
      <c r="M39" s="213">
        <v>2411</v>
      </c>
      <c r="N39" s="656">
        <v>0</v>
      </c>
      <c r="O39" s="656">
        <v>0</v>
      </c>
      <c r="P39" s="213"/>
      <c r="Q39" s="213"/>
      <c r="R39" s="213">
        <f t="shared" si="33"/>
        <v>0</v>
      </c>
      <c r="S39" s="213">
        <f t="shared" si="34"/>
        <v>2411</v>
      </c>
      <c r="T39" s="218">
        <v>1</v>
      </c>
      <c r="U39" s="218">
        <f t="shared" si="36"/>
        <v>0</v>
      </c>
      <c r="V39" s="218">
        <f>+T39*E39</f>
        <v>0.35</v>
      </c>
      <c r="W39" s="218">
        <f t="shared" si="35"/>
        <v>0</v>
      </c>
      <c r="X39" s="218">
        <f>+M39/F39</f>
        <v>0.24110000000000001</v>
      </c>
      <c r="Y39" s="218">
        <f t="shared" si="37"/>
        <v>0.24110000000000001</v>
      </c>
      <c r="Z39" s="218">
        <f>+X39*E39</f>
        <v>8.4385000000000002E-2</v>
      </c>
      <c r="AA39" s="218">
        <f>+Y39*E39</f>
        <v>8.4385000000000002E-2</v>
      </c>
      <c r="AB39" s="717" t="s">
        <v>43</v>
      </c>
      <c r="AC39" s="753" t="s">
        <v>44</v>
      </c>
      <c r="AD39" s="753" t="s">
        <v>888</v>
      </c>
      <c r="AE39" s="1311"/>
      <c r="AF39" s="200"/>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row>
    <row r="40" spans="1:54" ht="68.45" customHeight="1" thickBot="1" x14ac:dyDescent="0.35">
      <c r="A40" s="191"/>
      <c r="B40" s="1317" t="s">
        <v>965</v>
      </c>
      <c r="C40" s="1318"/>
      <c r="D40" s="227"/>
      <c r="E40" s="209">
        <v>0.25</v>
      </c>
      <c r="F40" s="217"/>
      <c r="G40" s="213"/>
      <c r="H40" s="213"/>
      <c r="I40" s="212">
        <f>+AVERAGE(I41:I42)</f>
        <v>0.58499999999999996</v>
      </c>
      <c r="J40" s="212">
        <f>+AVERAGE(J41:J42)</f>
        <v>0.23500000000000001</v>
      </c>
      <c r="K40" s="212">
        <f>+K41+K42</f>
        <v>0.29249999999999998</v>
      </c>
      <c r="L40" s="212">
        <f>+L41+L42</f>
        <v>0.23500000000000001</v>
      </c>
      <c r="M40" s="211"/>
      <c r="N40" s="211"/>
      <c r="O40" s="211"/>
      <c r="P40" s="211"/>
      <c r="Q40" s="211"/>
      <c r="R40" s="211"/>
      <c r="S40" s="211"/>
      <c r="T40" s="235">
        <f>+AVERAGE(T41:T43)</f>
        <v>1</v>
      </c>
      <c r="U40" s="235">
        <f>+AVERAGE(U41:U43)</f>
        <v>0.62305764411027564</v>
      </c>
      <c r="V40" s="235">
        <f>+(V41+V42)*E40</f>
        <v>0.125</v>
      </c>
      <c r="W40" s="235">
        <f>+(W41+W42)*E40</f>
        <v>0.20864661654135339</v>
      </c>
      <c r="X40" s="212">
        <f>+AVERAGE(X41:X42)*0.5</f>
        <v>0.30875000000000002</v>
      </c>
      <c r="Y40" s="212">
        <f>+AVERAGE(Y41:Y42)</f>
        <v>0.48875000000000002</v>
      </c>
      <c r="Z40" s="212">
        <f>+(Z41+Z42)*E40</f>
        <v>7.7187500000000006E-2</v>
      </c>
      <c r="AA40" s="212">
        <f>+(AA41+AA42)</f>
        <v>0.48875000000000002</v>
      </c>
      <c r="AB40" s="234"/>
      <c r="AC40" s="252"/>
      <c r="AD40" s="187"/>
      <c r="AE40" s="252"/>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row>
    <row r="41" spans="1:54" ht="69.599999999999994" customHeight="1" thickBot="1" x14ac:dyDescent="0.35">
      <c r="A41" s="191"/>
      <c r="B41" s="1075" t="s">
        <v>966</v>
      </c>
      <c r="C41" s="1076" t="s">
        <v>967</v>
      </c>
      <c r="D41" s="227" t="s">
        <v>658</v>
      </c>
      <c r="E41" s="1269">
        <v>0.5</v>
      </c>
      <c r="F41" s="217">
        <v>400</v>
      </c>
      <c r="G41" s="213">
        <v>234</v>
      </c>
      <c r="H41" s="213">
        <v>55</v>
      </c>
      <c r="I41" s="218">
        <f>+G41/F41</f>
        <v>0.58499999999999996</v>
      </c>
      <c r="J41" s="218">
        <f t="shared" ref="J41:J42" si="38">+H41/F41</f>
        <v>0.13750000000000001</v>
      </c>
      <c r="K41" s="218">
        <f>+(G41/F41)*E41</f>
        <v>0.29249999999999998</v>
      </c>
      <c r="L41" s="218">
        <f t="shared" ref="L41:L42" si="39">+(H41/F41)*E41</f>
        <v>6.8750000000000006E-2</v>
      </c>
      <c r="M41" s="213">
        <v>247</v>
      </c>
      <c r="N41" s="656">
        <v>55</v>
      </c>
      <c r="O41" s="213">
        <v>0</v>
      </c>
      <c r="P41" s="213"/>
      <c r="Q41" s="213"/>
      <c r="R41" s="213">
        <f t="shared" ref="R41:R42" si="40">+N41+O41+P41+Q41</f>
        <v>55</v>
      </c>
      <c r="S41" s="213">
        <f t="shared" ref="S41:S42" si="41">+R41+M41</f>
        <v>302</v>
      </c>
      <c r="T41" s="218">
        <v>1</v>
      </c>
      <c r="U41" s="218">
        <f t="shared" ref="U41:U42" si="42">+R41/H41</f>
        <v>1</v>
      </c>
      <c r="V41" s="218">
        <f>+T41*E41</f>
        <v>0.5</v>
      </c>
      <c r="W41" s="218">
        <f t="shared" ref="W41:W44" si="43">+U41*E41</f>
        <v>0.5</v>
      </c>
      <c r="X41" s="218">
        <f>+M41/F41</f>
        <v>0.61750000000000005</v>
      </c>
      <c r="Y41" s="218">
        <f t="shared" ref="Y41:Y42" si="44">+S41/F41</f>
        <v>0.755</v>
      </c>
      <c r="Z41" s="218">
        <f>+X41*E41</f>
        <v>0.30875000000000002</v>
      </c>
      <c r="AA41" s="218">
        <f>+Y41*E41</f>
        <v>0.3775</v>
      </c>
      <c r="AB41" s="222" t="s">
        <v>43</v>
      </c>
      <c r="AC41" s="753" t="s">
        <v>44</v>
      </c>
      <c r="AD41" s="753" t="s">
        <v>888</v>
      </c>
      <c r="AE41" s="753" t="s">
        <v>885</v>
      </c>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row>
    <row r="42" spans="1:54" ht="154.9" customHeight="1" thickBot="1" x14ac:dyDescent="0.35">
      <c r="A42" s="191"/>
      <c r="B42" s="1075" t="s">
        <v>968</v>
      </c>
      <c r="C42" s="1076" t="s">
        <v>969</v>
      </c>
      <c r="D42" s="227" t="s">
        <v>658</v>
      </c>
      <c r="E42" s="1269">
        <v>0.5</v>
      </c>
      <c r="F42" s="217">
        <v>400</v>
      </c>
      <c r="G42" s="213">
        <v>0</v>
      </c>
      <c r="H42" s="213">
        <v>133</v>
      </c>
      <c r="I42" s="218"/>
      <c r="J42" s="218">
        <f t="shared" si="38"/>
        <v>0.33250000000000002</v>
      </c>
      <c r="K42" s="218"/>
      <c r="L42" s="218">
        <f t="shared" si="39"/>
        <v>0.16625000000000001</v>
      </c>
      <c r="M42" s="213"/>
      <c r="N42" s="656">
        <v>0</v>
      </c>
      <c r="O42" s="213">
        <v>89</v>
      </c>
      <c r="P42" s="213"/>
      <c r="Q42" s="213"/>
      <c r="R42" s="213">
        <f t="shared" si="40"/>
        <v>89</v>
      </c>
      <c r="S42" s="213">
        <f t="shared" si="41"/>
        <v>89</v>
      </c>
      <c r="T42" s="218"/>
      <c r="U42" s="218">
        <f t="shared" si="42"/>
        <v>0.66917293233082709</v>
      </c>
      <c r="V42" s="218"/>
      <c r="W42" s="218">
        <f t="shared" si="43"/>
        <v>0.33458646616541354</v>
      </c>
      <c r="X42" s="218"/>
      <c r="Y42" s="218">
        <f t="shared" si="44"/>
        <v>0.2225</v>
      </c>
      <c r="Z42" s="218"/>
      <c r="AA42" s="218">
        <f>+Y42*E42</f>
        <v>0.11125</v>
      </c>
      <c r="AB42" s="222" t="s">
        <v>43</v>
      </c>
      <c r="AC42" s="752" t="s">
        <v>970</v>
      </c>
      <c r="AD42" s="753" t="s">
        <v>888</v>
      </c>
      <c r="AE42" s="753" t="s">
        <v>885</v>
      </c>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row>
    <row r="43" spans="1:54" ht="72" customHeight="1" thickBot="1" x14ac:dyDescent="0.35">
      <c r="A43" s="191"/>
      <c r="B43" s="1317" t="s">
        <v>971</v>
      </c>
      <c r="C43" s="1318"/>
      <c r="D43" s="227"/>
      <c r="E43" s="209">
        <v>0.25</v>
      </c>
      <c r="F43" s="217"/>
      <c r="G43" s="213"/>
      <c r="H43" s="213"/>
      <c r="I43" s="212">
        <f>+AVERAGE(I44)</f>
        <v>0.42307692307692307</v>
      </c>
      <c r="J43" s="212">
        <f>+AVERAGE(J44)</f>
        <v>0.15384615384615385</v>
      </c>
      <c r="K43" s="212">
        <f>+K44</f>
        <v>0.42307692307692307</v>
      </c>
      <c r="L43" s="212">
        <f>+L44</f>
        <v>0.15384615384615385</v>
      </c>
      <c r="M43" s="211"/>
      <c r="N43" s="211"/>
      <c r="O43" s="211"/>
      <c r="P43" s="211"/>
      <c r="Q43" s="211"/>
      <c r="R43" s="211"/>
      <c r="S43" s="211"/>
      <c r="T43" s="235">
        <f>+AVERAGE(T44)</f>
        <v>1</v>
      </c>
      <c r="U43" s="235">
        <f>+AVERAGE(U44)</f>
        <v>0.2</v>
      </c>
      <c r="V43" s="235">
        <f>+(V44)*E43</f>
        <v>0.25</v>
      </c>
      <c r="W43" s="235">
        <f>+(W44)*F43</f>
        <v>0</v>
      </c>
      <c r="X43" s="212">
        <f>+AVERAGE(X44)</f>
        <v>0.44538461538461538</v>
      </c>
      <c r="Y43" s="212">
        <f>+AVERAGE(Y44)</f>
        <v>0.47615384615384615</v>
      </c>
      <c r="Z43" s="212">
        <f>+(Z44)*E43</f>
        <v>0.11134615384615384</v>
      </c>
      <c r="AA43" s="212">
        <f>+(AA44)</f>
        <v>0.47615384615384615</v>
      </c>
      <c r="AB43" s="234"/>
      <c r="AC43" s="491"/>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row>
    <row r="44" spans="1:54" ht="82.15" customHeight="1" thickBot="1" x14ac:dyDescent="0.35">
      <c r="A44" s="191"/>
      <c r="B44" s="1075" t="s">
        <v>972</v>
      </c>
      <c r="C44" s="1076" t="s">
        <v>973</v>
      </c>
      <c r="D44" s="227" t="s">
        <v>103</v>
      </c>
      <c r="E44" s="1269">
        <v>1</v>
      </c>
      <c r="F44" s="217">
        <v>1300</v>
      </c>
      <c r="G44" s="213">
        <v>550</v>
      </c>
      <c r="H44" s="213">
        <v>200</v>
      </c>
      <c r="I44" s="218">
        <f>+G44/F44</f>
        <v>0.42307692307692307</v>
      </c>
      <c r="J44" s="218">
        <f>+H44/F44</f>
        <v>0.15384615384615385</v>
      </c>
      <c r="K44" s="218">
        <f>+(G44/F44)*E44</f>
        <v>0.42307692307692307</v>
      </c>
      <c r="L44" s="218">
        <f t="shared" ref="L44" si="45">+(H44/F44)*E44</f>
        <v>0.15384615384615385</v>
      </c>
      <c r="M44" s="213">
        <v>579</v>
      </c>
      <c r="N44" s="656">
        <v>0</v>
      </c>
      <c r="O44" s="213">
        <v>40</v>
      </c>
      <c r="P44" s="213"/>
      <c r="Q44" s="213"/>
      <c r="R44" s="213">
        <f t="shared" ref="R44" si="46">+N44+O44+P44+Q44</f>
        <v>40</v>
      </c>
      <c r="S44" s="213">
        <f t="shared" ref="S44" si="47">+R44+M44</f>
        <v>619</v>
      </c>
      <c r="T44" s="218">
        <v>1</v>
      </c>
      <c r="U44" s="218">
        <f t="shared" ref="U44" si="48">+R44/H44</f>
        <v>0.2</v>
      </c>
      <c r="V44" s="218">
        <f>+T44*E44</f>
        <v>1</v>
      </c>
      <c r="W44" s="218">
        <f t="shared" si="43"/>
        <v>0.2</v>
      </c>
      <c r="X44" s="218">
        <f>+M44/F44</f>
        <v>0.44538461538461538</v>
      </c>
      <c r="Y44" s="218">
        <f t="shared" ref="Y44" si="49">+S44/F44</f>
        <v>0.47615384615384615</v>
      </c>
      <c r="Z44" s="218">
        <f>+X44*E44</f>
        <v>0.44538461538461538</v>
      </c>
      <c r="AA44" s="218">
        <f>+Y44*E44</f>
        <v>0.47615384615384615</v>
      </c>
      <c r="AB44" s="755"/>
      <c r="AC44" s="753" t="s">
        <v>44</v>
      </c>
      <c r="AD44" s="753" t="s">
        <v>888</v>
      </c>
      <c r="AE44" s="753" t="s">
        <v>885</v>
      </c>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row>
    <row r="45" spans="1:54" ht="189" customHeight="1" thickBot="1" x14ac:dyDescent="0.35">
      <c r="A45" s="191"/>
      <c r="B45" s="1321" t="s">
        <v>974</v>
      </c>
      <c r="C45" s="1318"/>
      <c r="D45" s="227"/>
      <c r="E45" s="201">
        <v>0.2</v>
      </c>
      <c r="F45" s="202">
        <f>+E45*V45</f>
        <v>8.5500000000000007E-2</v>
      </c>
      <c r="G45" s="206"/>
      <c r="H45" s="202">
        <f>+E45*W45</f>
        <v>6.1133241758241752E-2</v>
      </c>
      <c r="I45" s="204">
        <f>+(I46+I54+I59+I64)/3</f>
        <v>0.15416666666666667</v>
      </c>
      <c r="J45" s="657">
        <f>+(J46+J54+J59+J64)/4</f>
        <v>0.34593749999999995</v>
      </c>
      <c r="K45" s="205">
        <f>+(K46+K54+K59+K64)/4</f>
        <v>5.2656250000000002E-2</v>
      </c>
      <c r="L45" s="205">
        <f>+(L46+L54+L59+L64)/4</f>
        <v>0.34720833333333334</v>
      </c>
      <c r="M45" s="206"/>
      <c r="N45" s="206"/>
      <c r="O45" s="206"/>
      <c r="P45" s="206"/>
      <c r="Q45" s="206"/>
      <c r="R45" s="206"/>
      <c r="S45" s="206"/>
      <c r="T45" s="204">
        <f>+(T46+T54+T59+T64)/3</f>
        <v>1</v>
      </c>
      <c r="U45" s="657">
        <f>+(U46+U54+U59+U64)/4</f>
        <v>0.25217032967032971</v>
      </c>
      <c r="V45" s="205">
        <f>V46+V54+V59+V64</f>
        <v>0.42749999999999999</v>
      </c>
      <c r="W45" s="205">
        <f>W46+W54+W59+W64</f>
        <v>0.30566620879120876</v>
      </c>
      <c r="X45" s="204">
        <f>(X46+X54+X59+X64)/3</f>
        <v>0.17056250000000003</v>
      </c>
      <c r="Y45" s="1002">
        <f>+X45+((Y46-X46)/4)+((Y54-X54)/4)+((Y59-X59)/4)+((Y64-X64)/4)</f>
        <v>0.22168750000000004</v>
      </c>
      <c r="Z45" s="205">
        <f>Z46+Z54+Z59+Z64</f>
        <v>0.11891499999999999</v>
      </c>
      <c r="AA45" s="205">
        <f>(AA46*E46)+(AA54*E54)+(AA59*E59)+(AA64*E64)</f>
        <v>0.21015375</v>
      </c>
      <c r="AB45" s="755"/>
      <c r="AC45" s="1003" t="s">
        <v>975</v>
      </c>
      <c r="AD45" s="200"/>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row>
    <row r="46" spans="1:54" ht="159" customHeight="1" thickBot="1" x14ac:dyDescent="0.35">
      <c r="A46" s="191"/>
      <c r="B46" s="1317" t="s">
        <v>976</v>
      </c>
      <c r="C46" s="1318"/>
      <c r="D46" s="227"/>
      <c r="E46" s="209">
        <v>0.25</v>
      </c>
      <c r="F46" s="229"/>
      <c r="G46" s="206"/>
      <c r="H46" s="206"/>
      <c r="I46" s="212">
        <f>+AVERAGE(I47:I53)</f>
        <v>0.21249999999999999</v>
      </c>
      <c r="J46" s="212">
        <f>+AVERAGE(J47:J53)</f>
        <v>0.32916666666666666</v>
      </c>
      <c r="K46" s="212">
        <f>+K47+K48+K49+K50+K51+K52+K53</f>
        <v>7.8125E-2</v>
      </c>
      <c r="L46" s="212">
        <f>+L47+L48+L49+L50+L51+L52+L53</f>
        <v>0.27500000000000002</v>
      </c>
      <c r="M46" s="211"/>
      <c r="N46" s="211"/>
      <c r="O46" s="211"/>
      <c r="P46" s="211"/>
      <c r="Q46" s="211"/>
      <c r="R46" s="211"/>
      <c r="S46" s="211"/>
      <c r="T46" s="235">
        <f>+AVERAGE(T47:T53)</f>
        <v>1</v>
      </c>
      <c r="U46" s="235">
        <f>+AVERAGE(U47:U53)</f>
        <v>0.54714285714285715</v>
      </c>
      <c r="V46" s="235">
        <f>+(V47+V48+V49+V50+V51+V52+V53)*E46</f>
        <v>8.7499999999999994E-2</v>
      </c>
      <c r="W46" s="235">
        <f>+(W47+W48+W49+W50+W51+W52+W53)*E46</f>
        <v>0.1475892857142857</v>
      </c>
      <c r="X46" s="212">
        <f>+AVERAGE(X47:X53)</f>
        <v>0.16250000000000001</v>
      </c>
      <c r="Y46" s="212">
        <f>+AVERAGE(Y47:Y53)</f>
        <v>0.27250000000000002</v>
      </c>
      <c r="Z46" s="212">
        <f>+(Z47+Z48+Z49+Z50+Z51+Z52+Z53)*E46</f>
        <v>1.6406250000000001E-2</v>
      </c>
      <c r="AA46" s="212">
        <f>+(AA47+AA48+AA49+AA50+AA51+AA52+AA53)</f>
        <v>0.25624999999999998</v>
      </c>
      <c r="AB46" s="234"/>
      <c r="AC46" s="1003" t="s">
        <v>947</v>
      </c>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row>
    <row r="47" spans="1:54" ht="72" customHeight="1" thickBot="1" x14ac:dyDescent="0.35">
      <c r="A47" s="191"/>
      <c r="B47" s="1075" t="s">
        <v>977</v>
      </c>
      <c r="C47" s="1076" t="s">
        <v>978</v>
      </c>
      <c r="D47" s="232" t="s">
        <v>883</v>
      </c>
      <c r="E47" s="1270">
        <v>0.05</v>
      </c>
      <c r="F47" s="217">
        <v>4</v>
      </c>
      <c r="G47" s="213">
        <v>1</v>
      </c>
      <c r="H47" s="213">
        <v>2</v>
      </c>
      <c r="I47" s="218">
        <f>+G47/F47</f>
        <v>0.25</v>
      </c>
      <c r="J47" s="218">
        <f t="shared" ref="J47:J66" si="50">+H47/F47</f>
        <v>0.5</v>
      </c>
      <c r="K47" s="218">
        <f>+(G47/F47)*E47</f>
        <v>1.2500000000000001E-2</v>
      </c>
      <c r="L47" s="218">
        <f t="shared" ref="L47:L66" si="51">+(H47/F47)*E47</f>
        <v>2.5000000000000001E-2</v>
      </c>
      <c r="M47" s="213">
        <v>0</v>
      </c>
      <c r="N47" s="656">
        <v>0</v>
      </c>
      <c r="O47" s="656">
        <v>0</v>
      </c>
      <c r="P47" s="213"/>
      <c r="Q47" s="213"/>
      <c r="R47" s="213">
        <f t="shared" ref="R47:R53" si="52">+N47+O47+P47+Q47</f>
        <v>0</v>
      </c>
      <c r="S47" s="213">
        <f t="shared" ref="S47:S53" si="53">+R47+M47</f>
        <v>0</v>
      </c>
      <c r="T47" s="218">
        <v>1</v>
      </c>
      <c r="U47" s="218"/>
      <c r="V47" s="218">
        <f>+T47*E47</f>
        <v>0.05</v>
      </c>
      <c r="W47" s="218">
        <f t="shared" ref="W47:W52" si="54">+U47*E47</f>
        <v>0</v>
      </c>
      <c r="X47" s="218">
        <f>+M47/F47</f>
        <v>0</v>
      </c>
      <c r="Y47" s="218">
        <f t="shared" ref="Y47:Y62" si="55">+S47/F47</f>
        <v>0</v>
      </c>
      <c r="Z47" s="218">
        <f t="shared" ref="Z47:Z52" si="56">+X47*E47</f>
        <v>0</v>
      </c>
      <c r="AA47" s="218">
        <f>+Y47*E47</f>
        <v>0</v>
      </c>
      <c r="AB47" s="717" t="s">
        <v>43</v>
      </c>
      <c r="AC47" s="752" t="s">
        <v>941</v>
      </c>
      <c r="AD47" s="753" t="s">
        <v>888</v>
      </c>
      <c r="AE47" s="753" t="s">
        <v>885</v>
      </c>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row>
    <row r="48" spans="1:54" ht="52.15" customHeight="1" thickBot="1" x14ac:dyDescent="0.35">
      <c r="A48" s="191"/>
      <c r="B48" s="1075" t="s">
        <v>979</v>
      </c>
      <c r="C48" s="1076" t="s">
        <v>980</v>
      </c>
      <c r="D48" s="227" t="s">
        <v>883</v>
      </c>
      <c r="E48" s="1269">
        <v>0.1</v>
      </c>
      <c r="F48" s="217">
        <v>4</v>
      </c>
      <c r="G48" s="213">
        <v>1</v>
      </c>
      <c r="H48" s="1179">
        <v>0.5</v>
      </c>
      <c r="I48" s="218">
        <f>+G48/F48</f>
        <v>0.25</v>
      </c>
      <c r="J48" s="218">
        <f t="shared" si="50"/>
        <v>0.125</v>
      </c>
      <c r="K48" s="218">
        <f>+(G48/F48)*E48</f>
        <v>2.5000000000000001E-2</v>
      </c>
      <c r="L48" s="218">
        <f t="shared" si="51"/>
        <v>1.2500000000000001E-2</v>
      </c>
      <c r="M48" s="213">
        <v>1</v>
      </c>
      <c r="N48" s="656">
        <v>0</v>
      </c>
      <c r="O48" s="656">
        <v>0.3</v>
      </c>
      <c r="P48" s="213"/>
      <c r="Q48" s="213"/>
      <c r="R48" s="213">
        <f t="shared" si="52"/>
        <v>0.3</v>
      </c>
      <c r="S48" s="213">
        <f t="shared" si="53"/>
        <v>1.3</v>
      </c>
      <c r="T48" s="218">
        <v>1</v>
      </c>
      <c r="U48" s="218">
        <f t="shared" ref="U48:U52" si="57">+R48/H48</f>
        <v>0.6</v>
      </c>
      <c r="V48" s="218">
        <f>+T48*E48</f>
        <v>0.1</v>
      </c>
      <c r="W48" s="218">
        <f t="shared" si="54"/>
        <v>0.06</v>
      </c>
      <c r="X48" s="218">
        <f>+M48/F48</f>
        <v>0.25</v>
      </c>
      <c r="Y48" s="218">
        <f t="shared" si="55"/>
        <v>0.32500000000000001</v>
      </c>
      <c r="Z48" s="218">
        <f t="shared" si="56"/>
        <v>2.5000000000000001E-2</v>
      </c>
      <c r="AA48" s="218">
        <f>+Y48*E48</f>
        <v>3.2500000000000001E-2</v>
      </c>
      <c r="AB48" s="717" t="s">
        <v>43</v>
      </c>
      <c r="AC48" s="786" t="s">
        <v>44</v>
      </c>
      <c r="AD48" s="753" t="s">
        <v>888</v>
      </c>
      <c r="AE48" s="753" t="s">
        <v>885</v>
      </c>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row>
    <row r="49" spans="1:54" ht="89.45" customHeight="1" thickBot="1" x14ac:dyDescent="0.35">
      <c r="A49" s="191"/>
      <c r="B49" s="1075" t="s">
        <v>981</v>
      </c>
      <c r="C49" s="1076" t="s">
        <v>982</v>
      </c>
      <c r="D49" s="227" t="s">
        <v>883</v>
      </c>
      <c r="E49" s="1269">
        <v>0.1</v>
      </c>
      <c r="F49" s="217">
        <v>4</v>
      </c>
      <c r="G49" s="213">
        <v>1</v>
      </c>
      <c r="H49" s="213">
        <v>1</v>
      </c>
      <c r="I49" s="218">
        <f>+G49/F49</f>
        <v>0.25</v>
      </c>
      <c r="J49" s="218">
        <f t="shared" si="50"/>
        <v>0.25</v>
      </c>
      <c r="K49" s="218">
        <f>+(G49/F49)*E49</f>
        <v>2.5000000000000001E-2</v>
      </c>
      <c r="L49" s="218">
        <f t="shared" si="51"/>
        <v>2.5000000000000001E-2</v>
      </c>
      <c r="M49" s="213">
        <v>1</v>
      </c>
      <c r="N49" s="656">
        <v>0.2</v>
      </c>
      <c r="O49" s="656">
        <v>0.3</v>
      </c>
      <c r="P49" s="213"/>
      <c r="Q49" s="213"/>
      <c r="R49" s="213">
        <f t="shared" si="52"/>
        <v>0.5</v>
      </c>
      <c r="S49" s="213">
        <f t="shared" si="53"/>
        <v>1.5</v>
      </c>
      <c r="T49" s="218">
        <v>1</v>
      </c>
      <c r="U49" s="218">
        <f t="shared" si="57"/>
        <v>0.5</v>
      </c>
      <c r="V49" s="218">
        <f>+T49*E49</f>
        <v>0.1</v>
      </c>
      <c r="W49" s="218">
        <f t="shared" si="54"/>
        <v>0.05</v>
      </c>
      <c r="X49" s="218">
        <f>+M49/F49</f>
        <v>0.25</v>
      </c>
      <c r="Y49" s="218">
        <f t="shared" si="55"/>
        <v>0.375</v>
      </c>
      <c r="Z49" s="218">
        <f t="shared" si="56"/>
        <v>2.5000000000000001E-2</v>
      </c>
      <c r="AA49" s="218">
        <f>+Y49*E49</f>
        <v>3.7500000000000006E-2</v>
      </c>
      <c r="AB49" s="717" t="s">
        <v>43</v>
      </c>
      <c r="AC49" s="753" t="s">
        <v>44</v>
      </c>
      <c r="AD49" s="753" t="s">
        <v>888</v>
      </c>
      <c r="AE49" s="753" t="s">
        <v>885</v>
      </c>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row>
    <row r="50" spans="1:54" ht="82.9" customHeight="1" thickBot="1" x14ac:dyDescent="0.35">
      <c r="A50" s="191"/>
      <c r="B50" s="1137" t="s">
        <v>983</v>
      </c>
      <c r="C50" s="1178" t="s">
        <v>984</v>
      </c>
      <c r="D50" s="232" t="s">
        <v>883</v>
      </c>
      <c r="E50" s="1270">
        <v>0.5</v>
      </c>
      <c r="F50" s="217">
        <v>2000</v>
      </c>
      <c r="G50" s="213">
        <v>0</v>
      </c>
      <c r="H50" s="213">
        <v>700</v>
      </c>
      <c r="I50" s="218"/>
      <c r="J50" s="218">
        <f t="shared" si="50"/>
        <v>0.35</v>
      </c>
      <c r="K50" s="218"/>
      <c r="L50" s="218">
        <f t="shared" si="51"/>
        <v>0.17499999999999999</v>
      </c>
      <c r="M50" s="213"/>
      <c r="N50" s="656">
        <v>620</v>
      </c>
      <c r="O50" s="213">
        <v>0</v>
      </c>
      <c r="P50" s="213"/>
      <c r="Q50" s="213"/>
      <c r="R50" s="213">
        <f t="shared" si="52"/>
        <v>620</v>
      </c>
      <c r="S50" s="213">
        <f t="shared" si="53"/>
        <v>620</v>
      </c>
      <c r="T50" s="218"/>
      <c r="U50" s="218">
        <f t="shared" si="57"/>
        <v>0.88571428571428568</v>
      </c>
      <c r="V50" s="218"/>
      <c r="W50" s="218">
        <f t="shared" si="54"/>
        <v>0.44285714285714284</v>
      </c>
      <c r="X50" s="218"/>
      <c r="Y50" s="218">
        <f t="shared" si="55"/>
        <v>0.31</v>
      </c>
      <c r="Z50" s="218">
        <f t="shared" si="56"/>
        <v>0</v>
      </c>
      <c r="AA50" s="218">
        <f t="shared" ref="AA50:AA53" si="58">+Y50*E50</f>
        <v>0.155</v>
      </c>
      <c r="AB50" s="717" t="s">
        <v>43</v>
      </c>
      <c r="AC50" s="754" t="s">
        <v>941</v>
      </c>
      <c r="AD50" s="753" t="s">
        <v>888</v>
      </c>
      <c r="AE50" s="753" t="s">
        <v>885</v>
      </c>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row>
    <row r="51" spans="1:54" ht="85.9" customHeight="1" thickBot="1" x14ac:dyDescent="0.35">
      <c r="A51" s="191"/>
      <c r="B51" s="1137" t="s">
        <v>985</v>
      </c>
      <c r="C51" s="1178" t="s">
        <v>986</v>
      </c>
      <c r="D51" s="236" t="s">
        <v>987</v>
      </c>
      <c r="E51" s="1269">
        <v>0.05</v>
      </c>
      <c r="F51" s="217">
        <v>4</v>
      </c>
      <c r="G51" s="213">
        <v>1</v>
      </c>
      <c r="H51" s="213">
        <v>2</v>
      </c>
      <c r="I51" s="218">
        <f>+G51/F51</f>
        <v>0.25</v>
      </c>
      <c r="J51" s="218">
        <f t="shared" si="50"/>
        <v>0.5</v>
      </c>
      <c r="K51" s="218">
        <f>+(G51/F51)*E51</f>
        <v>1.2500000000000001E-2</v>
      </c>
      <c r="L51" s="218">
        <f t="shared" si="51"/>
        <v>2.5000000000000001E-2</v>
      </c>
      <c r="M51" s="213">
        <v>1</v>
      </c>
      <c r="N51" s="656">
        <v>0</v>
      </c>
      <c r="O51" s="213">
        <v>1</v>
      </c>
      <c r="P51" s="213"/>
      <c r="Q51" s="213"/>
      <c r="R51" s="213">
        <f t="shared" si="52"/>
        <v>1</v>
      </c>
      <c r="S51" s="213">
        <f t="shared" si="53"/>
        <v>2</v>
      </c>
      <c r="T51" s="218">
        <v>1</v>
      </c>
      <c r="U51" s="218">
        <f t="shared" si="57"/>
        <v>0.5</v>
      </c>
      <c r="V51" s="218">
        <f>+T51*E51</f>
        <v>0.05</v>
      </c>
      <c r="W51" s="218">
        <f t="shared" si="54"/>
        <v>2.5000000000000001E-2</v>
      </c>
      <c r="X51" s="218">
        <f>+M51/F51</f>
        <v>0.25</v>
      </c>
      <c r="Y51" s="218">
        <f t="shared" si="55"/>
        <v>0.5</v>
      </c>
      <c r="Z51" s="218">
        <f t="shared" si="56"/>
        <v>1.2500000000000001E-2</v>
      </c>
      <c r="AA51" s="218">
        <f t="shared" si="58"/>
        <v>2.5000000000000001E-2</v>
      </c>
      <c r="AB51" s="717" t="s">
        <v>43</v>
      </c>
      <c r="AC51" s="753" t="s">
        <v>44</v>
      </c>
      <c r="AD51" s="753" t="s">
        <v>888</v>
      </c>
      <c r="AE51" s="753" t="s">
        <v>988</v>
      </c>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row>
    <row r="52" spans="1:54" ht="112.9" customHeight="1" thickBot="1" x14ac:dyDescent="0.35">
      <c r="A52" s="191"/>
      <c r="B52" s="1137" t="s">
        <v>989</v>
      </c>
      <c r="C52" s="1178" t="s">
        <v>990</v>
      </c>
      <c r="D52" s="227" t="s">
        <v>883</v>
      </c>
      <c r="E52" s="1269">
        <v>0.05</v>
      </c>
      <c r="F52" s="217">
        <v>4</v>
      </c>
      <c r="G52" s="213">
        <v>0.25</v>
      </c>
      <c r="H52" s="213">
        <v>1</v>
      </c>
      <c r="I52" s="218">
        <f>+G52/F52</f>
        <v>6.25E-2</v>
      </c>
      <c r="J52" s="218">
        <f t="shared" si="50"/>
        <v>0.25</v>
      </c>
      <c r="K52" s="218">
        <f>+(G52/F52)*E52</f>
        <v>3.1250000000000002E-3</v>
      </c>
      <c r="L52" s="218">
        <f t="shared" si="51"/>
        <v>1.2500000000000001E-2</v>
      </c>
      <c r="M52" s="213">
        <v>0.25</v>
      </c>
      <c r="N52" s="656">
        <v>0.25</v>
      </c>
      <c r="O52" s="656">
        <v>0</v>
      </c>
      <c r="P52" s="213"/>
      <c r="Q52" s="213"/>
      <c r="R52" s="213">
        <f t="shared" si="52"/>
        <v>0.25</v>
      </c>
      <c r="S52" s="213">
        <f t="shared" si="53"/>
        <v>0.5</v>
      </c>
      <c r="T52" s="218">
        <f>+(M52/G52)</f>
        <v>1</v>
      </c>
      <c r="U52" s="218">
        <f t="shared" si="57"/>
        <v>0.25</v>
      </c>
      <c r="V52" s="218">
        <f>+T52*E52</f>
        <v>0.05</v>
      </c>
      <c r="W52" s="218">
        <f t="shared" si="54"/>
        <v>1.2500000000000001E-2</v>
      </c>
      <c r="X52" s="218">
        <f>+M52/F52</f>
        <v>6.25E-2</v>
      </c>
      <c r="Y52" s="218">
        <f t="shared" si="55"/>
        <v>0.125</v>
      </c>
      <c r="Z52" s="237">
        <f t="shared" si="56"/>
        <v>3.1250000000000002E-3</v>
      </c>
      <c r="AA52" s="237">
        <f t="shared" si="58"/>
        <v>6.2500000000000003E-3</v>
      </c>
      <c r="AB52" s="717" t="s">
        <v>43</v>
      </c>
      <c r="AC52" s="753" t="s">
        <v>44</v>
      </c>
      <c r="AD52" s="753" t="s">
        <v>888</v>
      </c>
      <c r="AE52" s="753" t="s">
        <v>991</v>
      </c>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row>
    <row r="53" spans="1:54" ht="73.900000000000006" customHeight="1" thickBot="1" x14ac:dyDescent="0.35">
      <c r="A53" s="191"/>
      <c r="B53" s="1075" t="s">
        <v>992</v>
      </c>
      <c r="C53" s="1076" t="s">
        <v>993</v>
      </c>
      <c r="D53" s="238" t="s">
        <v>994</v>
      </c>
      <c r="E53" s="1269">
        <v>0.15</v>
      </c>
      <c r="F53" s="217">
        <v>2</v>
      </c>
      <c r="G53" s="213">
        <v>0</v>
      </c>
      <c r="H53" s="213">
        <v>0</v>
      </c>
      <c r="I53" s="218"/>
      <c r="J53" s="218"/>
      <c r="K53" s="218"/>
      <c r="L53" s="218"/>
      <c r="M53" s="213"/>
      <c r="N53" s="656"/>
      <c r="O53" s="656"/>
      <c r="P53" s="213"/>
      <c r="Q53" s="213"/>
      <c r="R53" s="213">
        <f t="shared" si="52"/>
        <v>0</v>
      </c>
      <c r="S53" s="213">
        <f t="shared" si="53"/>
        <v>0</v>
      </c>
      <c r="T53" s="218"/>
      <c r="U53" s="218"/>
      <c r="V53" s="218"/>
      <c r="W53" s="218"/>
      <c r="X53" s="218"/>
      <c r="Y53" s="218"/>
      <c r="Z53" s="218"/>
      <c r="AA53" s="218">
        <f t="shared" si="58"/>
        <v>0</v>
      </c>
      <c r="AB53" s="222" t="s">
        <v>43</v>
      </c>
      <c r="AC53" s="753" t="s">
        <v>44</v>
      </c>
      <c r="AD53" s="753" t="s">
        <v>888</v>
      </c>
      <c r="AE53" s="753" t="s">
        <v>885</v>
      </c>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row>
    <row r="54" spans="1:54" ht="100.5" customHeight="1" thickBot="1" x14ac:dyDescent="0.35">
      <c r="A54" s="191"/>
      <c r="B54" s="1317" t="s">
        <v>995</v>
      </c>
      <c r="C54" s="1318"/>
      <c r="D54" s="239"/>
      <c r="E54" s="209">
        <v>0.35</v>
      </c>
      <c r="F54" s="229"/>
      <c r="G54" s="213"/>
      <c r="H54" s="213"/>
      <c r="I54" s="212">
        <f>+AVERAGE(I55:I58)</f>
        <v>0.125</v>
      </c>
      <c r="J54" s="212">
        <f>+AVERAGE(J55:J58)</f>
        <v>0.26874999999999999</v>
      </c>
      <c r="K54" s="212">
        <f>+K55+K56+K57+K58</f>
        <v>6.25E-2</v>
      </c>
      <c r="L54" s="212">
        <f>+L55+L56+L57+L58</f>
        <v>0.27500000000000002</v>
      </c>
      <c r="M54" s="213"/>
      <c r="N54" s="213"/>
      <c r="O54" s="213"/>
      <c r="P54" s="213"/>
      <c r="Q54" s="213"/>
      <c r="R54" s="213"/>
      <c r="S54" s="213"/>
      <c r="T54" s="235">
        <f>+AVERAGE(T55:T58)</f>
        <v>1</v>
      </c>
      <c r="U54" s="235">
        <f>+AVERAGE(U55:U58)</f>
        <v>8.6538461538461536E-2</v>
      </c>
      <c r="V54" s="235">
        <f>+(V55+V56+V57+V58)*E54</f>
        <v>0.17499999999999999</v>
      </c>
      <c r="W54" s="235">
        <f>+(W55+W56+W57+W58)*E54</f>
        <v>6.057692307692307E-2</v>
      </c>
      <c r="X54" s="212">
        <f>+AVERAGE(X55:X58)*0.25</f>
        <v>8.3687499999999998E-2</v>
      </c>
      <c r="Y54" s="212">
        <f>+AVERAGE(Y55:Y58)</f>
        <v>0.1118125</v>
      </c>
      <c r="Z54" s="212">
        <f>+(Z55+Z56+Z57+Z58)*E54</f>
        <v>5.8581249999999994E-2</v>
      </c>
      <c r="AA54" s="212">
        <f>+(AA55+AA56+AA57+AA58)</f>
        <v>0.22362499999999999</v>
      </c>
      <c r="AB54" s="234"/>
      <c r="AC54" s="491"/>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row>
    <row r="55" spans="1:54" ht="70.900000000000006" customHeight="1" thickBot="1" x14ac:dyDescent="0.35">
      <c r="A55" s="230"/>
      <c r="B55" s="1075" t="s">
        <v>996</v>
      </c>
      <c r="C55" s="1076" t="s">
        <v>997</v>
      </c>
      <c r="D55" s="240" t="s">
        <v>103</v>
      </c>
      <c r="E55" s="1269">
        <v>0.05</v>
      </c>
      <c r="F55" s="217">
        <v>1</v>
      </c>
      <c r="G55" s="213">
        <v>0</v>
      </c>
      <c r="H55" s="213">
        <v>0.3</v>
      </c>
      <c r="I55" s="218"/>
      <c r="J55" s="218">
        <f t="shared" si="50"/>
        <v>0.3</v>
      </c>
      <c r="K55" s="218"/>
      <c r="L55" s="218">
        <f t="shared" si="51"/>
        <v>1.4999999999999999E-2</v>
      </c>
      <c r="M55" s="213"/>
      <c r="N55" s="656">
        <v>0</v>
      </c>
      <c r="O55" s="213">
        <v>0</v>
      </c>
      <c r="P55" s="213"/>
      <c r="Q55" s="213"/>
      <c r="R55" s="213">
        <f t="shared" ref="R55:R58" si="59">+N55+O55+P55+Q55</f>
        <v>0</v>
      </c>
      <c r="S55" s="213">
        <f t="shared" ref="S55:S58" si="60">+R55+M55</f>
        <v>0</v>
      </c>
      <c r="T55" s="218"/>
      <c r="U55" s="218">
        <f t="shared" ref="U55:U58" si="61">+R55/H55</f>
        <v>0</v>
      </c>
      <c r="V55" s="218"/>
      <c r="W55" s="218">
        <f t="shared" ref="W55:W58" si="62">+U55*E55</f>
        <v>0</v>
      </c>
      <c r="X55" s="218"/>
      <c r="Y55" s="218">
        <f t="shared" si="55"/>
        <v>0</v>
      </c>
      <c r="Z55" s="218"/>
      <c r="AA55" s="218">
        <f t="shared" ref="AA55:AA58" si="63">+Y55*E55</f>
        <v>0</v>
      </c>
      <c r="AB55" s="717" t="s">
        <v>43</v>
      </c>
      <c r="AC55" s="753" t="s">
        <v>44</v>
      </c>
      <c r="AD55" s="753" t="s">
        <v>888</v>
      </c>
      <c r="AE55" s="753" t="s">
        <v>885</v>
      </c>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row>
    <row r="56" spans="1:54" ht="58.15" customHeight="1" thickBot="1" x14ac:dyDescent="0.35">
      <c r="A56" s="230"/>
      <c r="B56" s="1075" t="s">
        <v>998</v>
      </c>
      <c r="C56" s="1076" t="s">
        <v>999</v>
      </c>
      <c r="D56" s="241" t="s">
        <v>103</v>
      </c>
      <c r="E56" s="1269">
        <v>0.5</v>
      </c>
      <c r="F56" s="217">
        <v>4000</v>
      </c>
      <c r="G56" s="213">
        <v>500</v>
      </c>
      <c r="H56" s="213">
        <v>1300</v>
      </c>
      <c r="I56" s="218">
        <f>+G56/F56</f>
        <v>0.125</v>
      </c>
      <c r="J56" s="218">
        <f t="shared" si="50"/>
        <v>0.32500000000000001</v>
      </c>
      <c r="K56" s="218">
        <f>+(G56/F56)*E56</f>
        <v>6.25E-2</v>
      </c>
      <c r="L56" s="218">
        <f t="shared" si="51"/>
        <v>0.16250000000000001</v>
      </c>
      <c r="M56" s="213">
        <v>1339</v>
      </c>
      <c r="N56" s="656">
        <v>55</v>
      </c>
      <c r="O56" s="213">
        <v>395</v>
      </c>
      <c r="P56" s="213"/>
      <c r="Q56" s="213"/>
      <c r="R56" s="213">
        <f t="shared" si="59"/>
        <v>450</v>
      </c>
      <c r="S56" s="213">
        <f t="shared" si="60"/>
        <v>1789</v>
      </c>
      <c r="T56" s="218">
        <v>1</v>
      </c>
      <c r="U56" s="218">
        <f t="shared" si="61"/>
        <v>0.34615384615384615</v>
      </c>
      <c r="V56" s="218">
        <f>+T56*E56</f>
        <v>0.5</v>
      </c>
      <c r="W56" s="218">
        <f>+U56*E56</f>
        <v>0.17307692307692307</v>
      </c>
      <c r="X56" s="218">
        <f>+M56/F56</f>
        <v>0.33474999999999999</v>
      </c>
      <c r="Y56" s="218">
        <f>+S56/F56</f>
        <v>0.44724999999999998</v>
      </c>
      <c r="Z56" s="218">
        <f>+X56*E56</f>
        <v>0.167375</v>
      </c>
      <c r="AA56" s="218">
        <f t="shared" si="63"/>
        <v>0.22362499999999999</v>
      </c>
      <c r="AB56" s="222" t="s">
        <v>43</v>
      </c>
      <c r="AC56" s="753" t="s">
        <v>44</v>
      </c>
      <c r="AD56" s="753" t="s">
        <v>888</v>
      </c>
      <c r="AE56" s="753" t="s">
        <v>885</v>
      </c>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row>
    <row r="57" spans="1:54" ht="76.150000000000006" customHeight="1" thickBot="1" x14ac:dyDescent="0.35">
      <c r="A57" s="230"/>
      <c r="B57" s="1075" t="s">
        <v>1000</v>
      </c>
      <c r="C57" s="1076" t="s">
        <v>1001</v>
      </c>
      <c r="D57" s="241" t="s">
        <v>103</v>
      </c>
      <c r="E57" s="1269">
        <v>0.15</v>
      </c>
      <c r="F57" s="217">
        <v>4</v>
      </c>
      <c r="G57" s="213">
        <v>0</v>
      </c>
      <c r="H57" s="213">
        <v>1</v>
      </c>
      <c r="I57" s="218"/>
      <c r="J57" s="218">
        <f t="shared" si="50"/>
        <v>0.25</v>
      </c>
      <c r="K57" s="218"/>
      <c r="L57" s="218">
        <f t="shared" si="51"/>
        <v>3.7499999999999999E-2</v>
      </c>
      <c r="M57" s="213"/>
      <c r="N57" s="656">
        <v>0</v>
      </c>
      <c r="O57" s="213">
        <v>0</v>
      </c>
      <c r="P57" s="213"/>
      <c r="Q57" s="213"/>
      <c r="R57" s="213">
        <f t="shared" si="59"/>
        <v>0</v>
      </c>
      <c r="S57" s="213">
        <f t="shared" si="60"/>
        <v>0</v>
      </c>
      <c r="T57" s="218"/>
      <c r="U57" s="218">
        <f t="shared" si="61"/>
        <v>0</v>
      </c>
      <c r="V57" s="218"/>
      <c r="W57" s="218">
        <f t="shared" si="62"/>
        <v>0</v>
      </c>
      <c r="X57" s="218"/>
      <c r="Y57" s="218">
        <f t="shared" si="55"/>
        <v>0</v>
      </c>
      <c r="Z57" s="218"/>
      <c r="AA57" s="218">
        <f t="shared" si="63"/>
        <v>0</v>
      </c>
      <c r="AB57" s="222" t="s">
        <v>43</v>
      </c>
      <c r="AC57" s="753" t="s">
        <v>44</v>
      </c>
      <c r="AD57" s="753" t="s">
        <v>888</v>
      </c>
      <c r="AE57" s="753" t="s">
        <v>885</v>
      </c>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row>
    <row r="58" spans="1:54" ht="66" customHeight="1" thickBot="1" x14ac:dyDescent="0.35">
      <c r="A58" s="230"/>
      <c r="B58" s="1075" t="s">
        <v>1002</v>
      </c>
      <c r="C58" s="1076" t="s">
        <v>1003</v>
      </c>
      <c r="D58" s="241" t="s">
        <v>103</v>
      </c>
      <c r="E58" s="1269">
        <v>0.3</v>
      </c>
      <c r="F58" s="217">
        <v>100</v>
      </c>
      <c r="G58" s="213">
        <v>0</v>
      </c>
      <c r="H58" s="213">
        <v>20</v>
      </c>
      <c r="I58" s="218"/>
      <c r="J58" s="218">
        <f t="shared" si="50"/>
        <v>0.2</v>
      </c>
      <c r="K58" s="218"/>
      <c r="L58" s="218">
        <f t="shared" si="51"/>
        <v>0.06</v>
      </c>
      <c r="M58" s="213"/>
      <c r="N58" s="656">
        <v>0</v>
      </c>
      <c r="O58" s="213">
        <v>0</v>
      </c>
      <c r="P58" s="213"/>
      <c r="Q58" s="213"/>
      <c r="R58" s="213">
        <f t="shared" si="59"/>
        <v>0</v>
      </c>
      <c r="S58" s="213">
        <f t="shared" si="60"/>
        <v>0</v>
      </c>
      <c r="T58" s="218"/>
      <c r="U58" s="218">
        <f t="shared" si="61"/>
        <v>0</v>
      </c>
      <c r="V58" s="218"/>
      <c r="W58" s="218">
        <f t="shared" si="62"/>
        <v>0</v>
      </c>
      <c r="X58" s="218"/>
      <c r="Y58" s="218">
        <f t="shared" si="55"/>
        <v>0</v>
      </c>
      <c r="Z58" s="218"/>
      <c r="AA58" s="218">
        <f t="shared" si="63"/>
        <v>0</v>
      </c>
      <c r="AB58" s="222" t="s">
        <v>43</v>
      </c>
      <c r="AC58" s="753" t="s">
        <v>44</v>
      </c>
      <c r="AD58" s="753" t="s">
        <v>888</v>
      </c>
      <c r="AE58" s="753" t="s">
        <v>885</v>
      </c>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row>
    <row r="59" spans="1:54" ht="42.75" customHeight="1" thickBot="1" x14ac:dyDescent="0.35">
      <c r="A59" s="230"/>
      <c r="B59" s="1317" t="s">
        <v>1004</v>
      </c>
      <c r="C59" s="1318"/>
      <c r="D59" s="241"/>
      <c r="E59" s="209">
        <v>0.3</v>
      </c>
      <c r="F59" s="229"/>
      <c r="G59" s="213"/>
      <c r="H59" s="213"/>
      <c r="I59" s="212">
        <f>+AVERAGE(I60:I63)</f>
        <v>0.125</v>
      </c>
      <c r="J59" s="212">
        <f>+AVERAGE(J60:J63)</f>
        <v>0.45250000000000001</v>
      </c>
      <c r="K59" s="212">
        <f>+K60+K61+K62+K63</f>
        <v>7.0000000000000007E-2</v>
      </c>
      <c r="L59" s="212">
        <f>+L60+L61+L62+L63</f>
        <v>0.50550000000000006</v>
      </c>
      <c r="M59" s="213"/>
      <c r="N59" s="213"/>
      <c r="O59" s="213"/>
      <c r="P59" s="213"/>
      <c r="Q59" s="213"/>
      <c r="R59" s="213"/>
      <c r="S59" s="213"/>
      <c r="T59" s="235">
        <f>+AVERAGE(T60:T63)</f>
        <v>1</v>
      </c>
      <c r="U59" s="235">
        <f>+AVERAGE(U60:U63)</f>
        <v>0.375</v>
      </c>
      <c r="V59" s="235">
        <f>+(V60+V61+V62+V63)*E59</f>
        <v>0.16500000000000001</v>
      </c>
      <c r="W59" s="235">
        <f>+(W60+W61+W62+W63)*E59</f>
        <v>9.7500000000000003E-2</v>
      </c>
      <c r="X59" s="212">
        <f>+AVERAGE(X60:X63)</f>
        <v>0.26550000000000001</v>
      </c>
      <c r="Y59" s="212">
        <f>+X59+((Y60-X60)*0.25)+(Y61*0.25)+((Y62-X62)*0.25)+(Y63*0.25)</f>
        <v>0.33187500000000003</v>
      </c>
      <c r="Z59" s="212">
        <f>+(Z60+Z61+Z62+Z63)*E59</f>
        <v>4.3927500000000001E-2</v>
      </c>
      <c r="AA59" s="212">
        <f>+(AA60+AA61+AA62+AA63)</f>
        <v>0.22607500000000003</v>
      </c>
      <c r="AB59" s="234"/>
      <c r="AC59" s="200"/>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row>
    <row r="60" spans="1:54" ht="85.15" customHeight="1" thickBot="1" x14ac:dyDescent="0.35">
      <c r="A60" s="191"/>
      <c r="B60" s="1077" t="s">
        <v>1005</v>
      </c>
      <c r="C60" s="1078" t="s">
        <v>1006</v>
      </c>
      <c r="D60" s="242" t="s">
        <v>103</v>
      </c>
      <c r="E60" s="1269">
        <v>0.3</v>
      </c>
      <c r="F60" s="217">
        <v>2000</v>
      </c>
      <c r="G60" s="213">
        <v>300</v>
      </c>
      <c r="H60" s="213">
        <v>120</v>
      </c>
      <c r="I60" s="218">
        <f>+G60/F60</f>
        <v>0.15</v>
      </c>
      <c r="J60" s="218">
        <f t="shared" si="50"/>
        <v>0.06</v>
      </c>
      <c r="K60" s="218">
        <f>+(G60/F60)*E60</f>
        <v>4.4999999999999998E-2</v>
      </c>
      <c r="L60" s="218">
        <f t="shared" si="51"/>
        <v>1.7999999999999999E-2</v>
      </c>
      <c r="M60" s="213">
        <v>547</v>
      </c>
      <c r="N60" s="656">
        <v>0</v>
      </c>
      <c r="O60" s="213">
        <v>531</v>
      </c>
      <c r="P60" s="213"/>
      <c r="Q60" s="213"/>
      <c r="R60" s="213">
        <f t="shared" ref="R60:R63" si="64">+N60+O60+P60+Q60</f>
        <v>531</v>
      </c>
      <c r="S60" s="213">
        <f t="shared" ref="S60:S63" si="65">+R60+M60</f>
        <v>1078</v>
      </c>
      <c r="T60" s="218">
        <v>1</v>
      </c>
      <c r="U60" s="218">
        <v>1</v>
      </c>
      <c r="V60" s="218">
        <f>+T60*E60</f>
        <v>0.3</v>
      </c>
      <c r="W60" s="218">
        <f t="shared" ref="W60:W62" si="66">+U60*E60</f>
        <v>0.3</v>
      </c>
      <c r="X60" s="218">
        <f>+M60/F60</f>
        <v>0.27350000000000002</v>
      </c>
      <c r="Y60" s="218">
        <f t="shared" si="55"/>
        <v>0.53900000000000003</v>
      </c>
      <c r="Z60" s="218">
        <f>+X60*E60</f>
        <v>8.2049999999999998E-2</v>
      </c>
      <c r="AA60" s="218">
        <f>+Y60*E60</f>
        <v>0.16170000000000001</v>
      </c>
      <c r="AB60" s="222" t="s">
        <v>43</v>
      </c>
      <c r="AC60" s="753" t="s">
        <v>44</v>
      </c>
      <c r="AD60" s="753" t="s">
        <v>888</v>
      </c>
      <c r="AE60" s="753" t="s">
        <v>885</v>
      </c>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row>
    <row r="61" spans="1:54" ht="111.6" customHeight="1" thickBot="1" x14ac:dyDescent="0.35">
      <c r="A61" s="191"/>
      <c r="B61" s="1079" t="s">
        <v>1007</v>
      </c>
      <c r="C61" s="1080" t="s">
        <v>1008</v>
      </c>
      <c r="D61" s="243" t="s">
        <v>103</v>
      </c>
      <c r="E61" s="1269">
        <v>0.4</v>
      </c>
      <c r="F61" s="217">
        <v>600</v>
      </c>
      <c r="G61" s="213">
        <v>0</v>
      </c>
      <c r="H61" s="213">
        <v>600</v>
      </c>
      <c r="I61" s="218"/>
      <c r="J61" s="218">
        <f t="shared" si="50"/>
        <v>1</v>
      </c>
      <c r="K61" s="218"/>
      <c r="L61" s="218">
        <f t="shared" si="51"/>
        <v>0.4</v>
      </c>
      <c r="M61" s="213"/>
      <c r="N61" s="656">
        <v>0</v>
      </c>
      <c r="O61" s="213">
        <v>0</v>
      </c>
      <c r="P61" s="213"/>
      <c r="Q61" s="213"/>
      <c r="R61" s="213">
        <f t="shared" si="64"/>
        <v>0</v>
      </c>
      <c r="S61" s="213">
        <f t="shared" si="65"/>
        <v>0</v>
      </c>
      <c r="T61" s="218"/>
      <c r="U61" s="218">
        <f t="shared" ref="U61:U63" si="67">+R61/H61</f>
        <v>0</v>
      </c>
      <c r="V61" s="218"/>
      <c r="W61" s="218">
        <f t="shared" si="66"/>
        <v>0</v>
      </c>
      <c r="X61" s="218"/>
      <c r="Y61" s="218"/>
      <c r="Z61" s="218"/>
      <c r="AA61" s="218">
        <f t="shared" ref="AA61:AA63" si="68">+Y61*E61</f>
        <v>0</v>
      </c>
      <c r="AB61" s="717" t="s">
        <v>43</v>
      </c>
      <c r="AC61" s="752" t="s">
        <v>127</v>
      </c>
      <c r="AD61" s="753" t="s">
        <v>888</v>
      </c>
      <c r="AE61" s="753" t="s">
        <v>885</v>
      </c>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row>
    <row r="62" spans="1:54" ht="66" customHeight="1" thickBot="1" x14ac:dyDescent="0.35">
      <c r="A62" s="230"/>
      <c r="B62" s="1081" t="s">
        <v>1009</v>
      </c>
      <c r="C62" s="1082" t="s">
        <v>1010</v>
      </c>
      <c r="D62" s="244" t="s">
        <v>103</v>
      </c>
      <c r="E62" s="1269">
        <v>0.25</v>
      </c>
      <c r="F62" s="217">
        <v>400</v>
      </c>
      <c r="G62" s="213">
        <v>40</v>
      </c>
      <c r="H62" s="213">
        <v>100</v>
      </c>
      <c r="I62" s="218">
        <f>+G62/F62</f>
        <v>0.1</v>
      </c>
      <c r="J62" s="218">
        <f t="shared" si="50"/>
        <v>0.25</v>
      </c>
      <c r="K62" s="218">
        <f>+(G62/F62)*E62</f>
        <v>2.5000000000000001E-2</v>
      </c>
      <c r="L62" s="218">
        <f t="shared" si="51"/>
        <v>6.25E-2</v>
      </c>
      <c r="M62" s="213">
        <v>103</v>
      </c>
      <c r="N62" s="656">
        <v>0</v>
      </c>
      <c r="O62" s="213">
        <v>0</v>
      </c>
      <c r="P62" s="213"/>
      <c r="Q62" s="213"/>
      <c r="R62" s="213">
        <f t="shared" si="64"/>
        <v>0</v>
      </c>
      <c r="S62" s="213">
        <f t="shared" si="65"/>
        <v>103</v>
      </c>
      <c r="T62" s="218">
        <v>1</v>
      </c>
      <c r="U62" s="218">
        <f t="shared" si="67"/>
        <v>0</v>
      </c>
      <c r="V62" s="218">
        <f>+T62*E62</f>
        <v>0.25</v>
      </c>
      <c r="W62" s="218">
        <f t="shared" si="66"/>
        <v>0</v>
      </c>
      <c r="X62" s="218">
        <f>+M62/F62</f>
        <v>0.25750000000000001</v>
      </c>
      <c r="Y62" s="218">
        <f t="shared" si="55"/>
        <v>0.25750000000000001</v>
      </c>
      <c r="Z62" s="218">
        <f>+X62*E62</f>
        <v>6.4375000000000002E-2</v>
      </c>
      <c r="AA62" s="218">
        <f t="shared" si="68"/>
        <v>6.4375000000000002E-2</v>
      </c>
      <c r="AB62" s="222" t="s">
        <v>43</v>
      </c>
      <c r="AC62" s="753" t="s">
        <v>44</v>
      </c>
      <c r="AD62" s="753" t="s">
        <v>888</v>
      </c>
      <c r="AE62" s="753" t="s">
        <v>885</v>
      </c>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row>
    <row r="63" spans="1:54" ht="82.9" customHeight="1" thickBot="1" x14ac:dyDescent="0.35">
      <c r="A63" s="191"/>
      <c r="B63" s="1083" t="s">
        <v>1011</v>
      </c>
      <c r="C63" s="1084" t="s">
        <v>1012</v>
      </c>
      <c r="D63" s="239" t="s">
        <v>103</v>
      </c>
      <c r="E63" s="1269">
        <v>0.05</v>
      </c>
      <c r="F63" s="217">
        <v>4</v>
      </c>
      <c r="G63" s="213">
        <v>0</v>
      </c>
      <c r="H63" s="213">
        <v>2</v>
      </c>
      <c r="I63" s="218"/>
      <c r="J63" s="218">
        <f t="shared" si="50"/>
        <v>0.5</v>
      </c>
      <c r="K63" s="218"/>
      <c r="L63" s="218">
        <f t="shared" si="51"/>
        <v>2.5000000000000001E-2</v>
      </c>
      <c r="M63" s="213"/>
      <c r="N63" s="656">
        <v>0</v>
      </c>
      <c r="O63" s="213">
        <v>1</v>
      </c>
      <c r="P63" s="213"/>
      <c r="Q63" s="213"/>
      <c r="R63" s="213">
        <f t="shared" si="64"/>
        <v>1</v>
      </c>
      <c r="S63" s="213">
        <f t="shared" si="65"/>
        <v>1</v>
      </c>
      <c r="T63" s="218"/>
      <c r="U63" s="218">
        <f t="shared" si="67"/>
        <v>0.5</v>
      </c>
      <c r="V63" s="218"/>
      <c r="W63" s="218">
        <f>+U63*E63</f>
        <v>2.5000000000000001E-2</v>
      </c>
      <c r="X63" s="218"/>
      <c r="Y63" s="218"/>
      <c r="Z63" s="218"/>
      <c r="AA63" s="218">
        <f t="shared" si="68"/>
        <v>0</v>
      </c>
      <c r="AB63" s="717" t="s">
        <v>43</v>
      </c>
      <c r="AC63" s="752" t="s">
        <v>929</v>
      </c>
      <c r="AD63" s="753" t="s">
        <v>888</v>
      </c>
      <c r="AE63" s="753" t="s">
        <v>885</v>
      </c>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row>
    <row r="64" spans="1:54" ht="42.75" customHeight="1" thickBot="1" x14ac:dyDescent="0.35">
      <c r="A64" s="191"/>
      <c r="B64" s="1319" t="s">
        <v>1013</v>
      </c>
      <c r="C64" s="1320"/>
      <c r="D64" s="245"/>
      <c r="E64" s="209">
        <v>0.1</v>
      </c>
      <c r="F64" s="229"/>
      <c r="G64" s="206"/>
      <c r="H64" s="206"/>
      <c r="I64" s="212"/>
      <c r="J64" s="212">
        <f>+AVERAGE(J65:J66)</f>
        <v>0.33333333333333331</v>
      </c>
      <c r="K64" s="212"/>
      <c r="L64" s="212">
        <f>+L65+L66</f>
        <v>0.33333333333333331</v>
      </c>
      <c r="M64" s="213"/>
      <c r="N64" s="213"/>
      <c r="O64" s="213"/>
      <c r="P64" s="213"/>
      <c r="Q64" s="213"/>
      <c r="R64" s="213"/>
      <c r="S64" s="213"/>
      <c r="T64" s="235"/>
      <c r="U64" s="235">
        <f>+AVERAGE(U65:U66)</f>
        <v>0</v>
      </c>
      <c r="V64" s="235"/>
      <c r="W64" s="235">
        <f>+(W65+W66)*E64</f>
        <v>0</v>
      </c>
      <c r="X64" s="212"/>
      <c r="Y64" s="212">
        <f>+AVERAGE(Y65:Y66)</f>
        <v>0</v>
      </c>
      <c r="Z64" s="212"/>
      <c r="AA64" s="212">
        <f>+(AA65+AA66)</f>
        <v>0</v>
      </c>
      <c r="AB64" s="234"/>
      <c r="AC64" s="751"/>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row>
    <row r="65" spans="1:54" ht="148.15" customHeight="1" thickBot="1" x14ac:dyDescent="0.35">
      <c r="A65" s="191"/>
      <c r="B65" s="1244" t="s">
        <v>1014</v>
      </c>
      <c r="C65" s="1245" t="s">
        <v>1015</v>
      </c>
      <c r="D65" s="239" t="s">
        <v>1016</v>
      </c>
      <c r="E65" s="1269">
        <v>0.5</v>
      </c>
      <c r="F65" s="217">
        <v>600</v>
      </c>
      <c r="G65" s="213">
        <v>0</v>
      </c>
      <c r="H65" s="213">
        <v>200</v>
      </c>
      <c r="I65" s="218"/>
      <c r="J65" s="218">
        <f t="shared" si="50"/>
        <v>0.33333333333333331</v>
      </c>
      <c r="K65" s="218"/>
      <c r="L65" s="218">
        <f t="shared" si="51"/>
        <v>0.16666666666666666</v>
      </c>
      <c r="M65" s="213"/>
      <c r="N65" s="656">
        <v>0</v>
      </c>
      <c r="O65" s="656">
        <v>0</v>
      </c>
      <c r="P65" s="213"/>
      <c r="Q65" s="213"/>
      <c r="R65" s="213">
        <f t="shared" ref="R65:R66" si="69">+N65+O65+P65+Q65</f>
        <v>0</v>
      </c>
      <c r="S65" s="213">
        <f t="shared" ref="S65:S66" si="70">+R65+M65</f>
        <v>0</v>
      </c>
      <c r="T65" s="219"/>
      <c r="U65" s="218">
        <f t="shared" ref="U65" si="71">+R65/H65</f>
        <v>0</v>
      </c>
      <c r="V65" s="220"/>
      <c r="W65" s="220">
        <f t="shared" ref="W65" si="72">+U65*E65</f>
        <v>0</v>
      </c>
      <c r="X65" s="218"/>
      <c r="Y65" s="218">
        <f t="shared" ref="Y65:Y66" si="73">+S65/F65</f>
        <v>0</v>
      </c>
      <c r="Z65" s="218"/>
      <c r="AA65" s="218">
        <f t="shared" ref="AA65:AA66" si="74">+Y65*E65</f>
        <v>0</v>
      </c>
      <c r="AB65" s="755"/>
      <c r="AC65" s="758" t="s">
        <v>1017</v>
      </c>
      <c r="AD65" s="758" t="s">
        <v>1017</v>
      </c>
      <c r="AE65" s="757" t="s">
        <v>1018</v>
      </c>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row>
    <row r="66" spans="1:54" ht="130.15" customHeight="1" thickBot="1" x14ac:dyDescent="0.35">
      <c r="A66" s="191"/>
      <c r="B66" s="1246" t="s">
        <v>1019</v>
      </c>
      <c r="C66" s="1247" t="s">
        <v>1020</v>
      </c>
      <c r="D66" s="239" t="s">
        <v>1021</v>
      </c>
      <c r="E66" s="1269">
        <v>0.5</v>
      </c>
      <c r="F66" s="217">
        <v>6</v>
      </c>
      <c r="G66" s="213">
        <v>0</v>
      </c>
      <c r="H66" s="213">
        <v>2</v>
      </c>
      <c r="I66" s="218"/>
      <c r="J66" s="218">
        <f t="shared" si="50"/>
        <v>0.33333333333333331</v>
      </c>
      <c r="K66" s="218"/>
      <c r="L66" s="218">
        <f t="shared" si="51"/>
        <v>0.16666666666666666</v>
      </c>
      <c r="M66" s="213"/>
      <c r="N66" s="656">
        <v>0</v>
      </c>
      <c r="O66" s="656">
        <v>0</v>
      </c>
      <c r="P66" s="213"/>
      <c r="Q66" s="213"/>
      <c r="R66" s="213">
        <f t="shared" si="69"/>
        <v>0</v>
      </c>
      <c r="S66" s="213">
        <f t="shared" si="70"/>
        <v>0</v>
      </c>
      <c r="T66" s="219"/>
      <c r="U66" s="218">
        <f>+R66/H66</f>
        <v>0</v>
      </c>
      <c r="V66" s="220"/>
      <c r="W66" s="220">
        <f>+U66*E66</f>
        <v>0</v>
      </c>
      <c r="X66" s="218"/>
      <c r="Y66" s="218">
        <f t="shared" si="73"/>
        <v>0</v>
      </c>
      <c r="Z66" s="218"/>
      <c r="AA66" s="218">
        <f t="shared" si="74"/>
        <v>0</v>
      </c>
      <c r="AB66" s="755"/>
      <c r="AC66" s="758" t="s">
        <v>1022</v>
      </c>
      <c r="AD66" s="758" t="s">
        <v>1022</v>
      </c>
      <c r="AE66" s="757" t="s">
        <v>1018</v>
      </c>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row>
    <row r="67" spans="1:54" ht="129" customHeight="1" thickBot="1" x14ac:dyDescent="0.35">
      <c r="A67" s="191"/>
      <c r="B67" s="1314" t="s">
        <v>1023</v>
      </c>
      <c r="C67" s="1315"/>
      <c r="D67" s="239"/>
      <c r="E67" s="201">
        <v>0.1</v>
      </c>
      <c r="F67" s="202">
        <f>+E67*V67</f>
        <v>2.2000000000000002E-2</v>
      </c>
      <c r="G67" s="206"/>
      <c r="H67" s="202">
        <f>+E67*W67</f>
        <v>2.5053598484848491E-2</v>
      </c>
      <c r="I67" s="204">
        <f>+((I86+I96)/2)*(2/5)</f>
        <v>0.1135</v>
      </c>
      <c r="J67" s="204">
        <f>+(J68+J73+J86+J91+J96)/5</f>
        <v>0.50593420257578892</v>
      </c>
      <c r="K67" s="205">
        <f>+((K86+K96)/2)*(2/5)</f>
        <v>0.20750000000000002</v>
      </c>
      <c r="L67" s="205">
        <f>+(L68+L73+L86+L91+L96)/5</f>
        <v>0.47529743197983565</v>
      </c>
      <c r="M67" s="206"/>
      <c r="N67" s="206"/>
      <c r="O67" s="206"/>
      <c r="P67" s="206"/>
      <c r="Q67" s="206"/>
      <c r="R67" s="206"/>
      <c r="S67" s="206"/>
      <c r="T67" s="204">
        <f>+(T86+T96)/2</f>
        <v>1</v>
      </c>
      <c r="U67" s="204">
        <f>+(U68+U73+U86+U91+U96)/5</f>
        <v>0.29987720959595959</v>
      </c>
      <c r="V67" s="205">
        <f>V68+V73+V86+V91+V96</f>
        <v>0.22</v>
      </c>
      <c r="W67" s="205">
        <f>W68+W73+W86+W91+W96</f>
        <v>0.25053598484848488</v>
      </c>
      <c r="X67" s="204">
        <f>+((X86+X96) /2 )*(2/5)</f>
        <v>0.16850000000000001</v>
      </c>
      <c r="Y67" s="204">
        <f>+(Y68+Y73+Y86+Y91+Y96)/5</f>
        <v>0.26794331149437195</v>
      </c>
      <c r="Z67" s="205">
        <f>Z68+Z73+Z86+Z91+Z96</f>
        <v>8.3350000000000007E-2</v>
      </c>
      <c r="AA67" s="205">
        <f>AA68*E68+AA73*E73+AA86*E86+AA91*E91+AA96*E96</f>
        <v>0.22548041129324631</v>
      </c>
      <c r="AB67" s="755"/>
      <c r="AC67" s="758" t="s">
        <v>1024</v>
      </c>
      <c r="AD67" s="200"/>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row>
    <row r="68" spans="1:54" ht="57" customHeight="1" thickBot="1" x14ac:dyDescent="0.35">
      <c r="A68" s="191"/>
      <c r="B68" s="1312" t="s">
        <v>1025</v>
      </c>
      <c r="C68" s="1313"/>
      <c r="D68" s="246"/>
      <c r="E68" s="209">
        <v>0.25</v>
      </c>
      <c r="F68" s="229"/>
      <c r="G68" s="206"/>
      <c r="H68" s="206"/>
      <c r="I68" s="212"/>
      <c r="J68" s="212">
        <f>+AVERAGE(J69:J72)</f>
        <v>0.3845486111111111</v>
      </c>
      <c r="K68" s="212"/>
      <c r="L68" s="212">
        <f>+L69+L70+L71+L72</f>
        <v>0.35642361111111109</v>
      </c>
      <c r="M68" s="211"/>
      <c r="N68" s="211"/>
      <c r="O68" s="211"/>
      <c r="P68" s="211"/>
      <c r="Q68" s="211"/>
      <c r="R68" s="211"/>
      <c r="S68" s="211"/>
      <c r="T68" s="235"/>
      <c r="U68" s="235">
        <f>+AVERAGE(U69:U72)</f>
        <v>0.24909090909090909</v>
      </c>
      <c r="V68" s="235"/>
      <c r="W68" s="235">
        <f>+(W69+W70+W71+W72)*E68</f>
        <v>6.7681818181818176E-2</v>
      </c>
      <c r="X68" s="212"/>
      <c r="Y68" s="212">
        <f>+AVERAGE(Y69:Y72)</f>
        <v>9.5781249999999998E-2</v>
      </c>
      <c r="Z68" s="212"/>
      <c r="AA68" s="212">
        <f>+(AA69+AA70+AA71+AA72)</f>
        <v>9.5093749999999991E-2</v>
      </c>
      <c r="AB68" s="234"/>
      <c r="AC68" s="725"/>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row>
    <row r="69" spans="1:54" ht="51" customHeight="1" thickBot="1" x14ac:dyDescent="0.35">
      <c r="A69" s="191"/>
      <c r="B69" s="1088" t="s">
        <v>1026</v>
      </c>
      <c r="C69" s="1177" t="s">
        <v>1027</v>
      </c>
      <c r="D69" s="227" t="s">
        <v>1028</v>
      </c>
      <c r="E69" s="1269">
        <v>0.05</v>
      </c>
      <c r="F69" s="217">
        <v>4</v>
      </c>
      <c r="G69" s="213">
        <v>0</v>
      </c>
      <c r="H69" s="213">
        <v>2</v>
      </c>
      <c r="I69" s="218"/>
      <c r="J69" s="218">
        <f t="shared" ref="J69:J95" si="75">+H69/F69</f>
        <v>0.5</v>
      </c>
      <c r="K69" s="218"/>
      <c r="L69" s="218">
        <f t="shared" ref="L69:L99" si="76">+(H69/F69)*E69</f>
        <v>2.5000000000000001E-2</v>
      </c>
      <c r="M69" s="213"/>
      <c r="N69" s="656">
        <v>0</v>
      </c>
      <c r="O69" s="656">
        <v>0.52</v>
      </c>
      <c r="P69" s="213"/>
      <c r="Q69" s="213"/>
      <c r="R69" s="213">
        <f t="shared" ref="R69:R99" si="77">+N69+O69+P69+Q69</f>
        <v>0.52</v>
      </c>
      <c r="S69" s="213">
        <f t="shared" ref="S69:S99" si="78">+R69+M69</f>
        <v>0.52</v>
      </c>
      <c r="T69" s="218"/>
      <c r="U69" s="218">
        <f t="shared" ref="U69:U72" si="79">+R69/H69</f>
        <v>0.26</v>
      </c>
      <c r="V69" s="218"/>
      <c r="W69" s="218">
        <f t="shared" ref="W69:W72" si="80">+U69*E69</f>
        <v>1.3000000000000001E-2</v>
      </c>
      <c r="X69" s="220"/>
      <c r="Y69" s="220">
        <f t="shared" ref="Y69:Y72" si="81">+S69/F69</f>
        <v>0.13</v>
      </c>
      <c r="Z69" s="218"/>
      <c r="AA69" s="218">
        <f t="shared" ref="AA69:AA85" si="82">+Y69*E69</f>
        <v>6.5000000000000006E-3</v>
      </c>
      <c r="AB69" s="234" t="s">
        <v>1029</v>
      </c>
      <c r="AC69" s="753" t="s">
        <v>44</v>
      </c>
      <c r="AD69" s="753" t="s">
        <v>888</v>
      </c>
      <c r="AE69" s="753" t="s">
        <v>885</v>
      </c>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row>
    <row r="70" spans="1:54" ht="75.75" thickBot="1" x14ac:dyDescent="0.35">
      <c r="A70" s="191"/>
      <c r="B70" s="1088" t="s">
        <v>1030</v>
      </c>
      <c r="C70" s="1177" t="s">
        <v>1031</v>
      </c>
      <c r="D70" s="227" t="s">
        <v>1028</v>
      </c>
      <c r="E70" s="1269">
        <v>0.2</v>
      </c>
      <c r="F70" s="217">
        <v>6</v>
      </c>
      <c r="G70" s="213">
        <v>0</v>
      </c>
      <c r="H70" s="213">
        <v>2</v>
      </c>
      <c r="I70" s="218"/>
      <c r="J70" s="218">
        <f t="shared" si="75"/>
        <v>0.33333333333333331</v>
      </c>
      <c r="K70" s="218"/>
      <c r="L70" s="218">
        <f t="shared" si="76"/>
        <v>6.6666666666666666E-2</v>
      </c>
      <c r="M70" s="213"/>
      <c r="N70" s="656">
        <v>0</v>
      </c>
      <c r="O70" s="656">
        <v>0</v>
      </c>
      <c r="P70" s="213"/>
      <c r="Q70" s="213"/>
      <c r="R70" s="213">
        <f t="shared" si="77"/>
        <v>0</v>
      </c>
      <c r="S70" s="213">
        <f t="shared" si="78"/>
        <v>0</v>
      </c>
      <c r="T70" s="218"/>
      <c r="U70" s="218">
        <f t="shared" si="79"/>
        <v>0</v>
      </c>
      <c r="V70" s="218"/>
      <c r="W70" s="218">
        <f t="shared" si="80"/>
        <v>0</v>
      </c>
      <c r="X70" s="218"/>
      <c r="Y70" s="218">
        <f t="shared" si="81"/>
        <v>0</v>
      </c>
      <c r="Z70" s="218"/>
      <c r="AA70" s="218">
        <f t="shared" si="82"/>
        <v>0</v>
      </c>
      <c r="AB70" s="234" t="s">
        <v>1029</v>
      </c>
      <c r="AC70" s="753" t="s">
        <v>44</v>
      </c>
      <c r="AD70" s="753" t="s">
        <v>888</v>
      </c>
      <c r="AE70" s="753" t="s">
        <v>885</v>
      </c>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row>
    <row r="71" spans="1:54" ht="75" customHeight="1" thickBot="1" x14ac:dyDescent="0.35">
      <c r="A71" s="191"/>
      <c r="B71" s="1088" t="s">
        <v>1032</v>
      </c>
      <c r="C71" s="1177" t="s">
        <v>1033</v>
      </c>
      <c r="D71" s="247" t="s">
        <v>1028</v>
      </c>
      <c r="E71" s="1269">
        <v>0.4</v>
      </c>
      <c r="F71" s="217">
        <v>360</v>
      </c>
      <c r="G71" s="213">
        <v>0</v>
      </c>
      <c r="H71" s="213">
        <v>130</v>
      </c>
      <c r="I71" s="218"/>
      <c r="J71" s="218">
        <f t="shared" si="75"/>
        <v>0.3611111111111111</v>
      </c>
      <c r="K71" s="218"/>
      <c r="L71" s="218">
        <f>+(H71/F71)*E71</f>
        <v>0.14444444444444446</v>
      </c>
      <c r="M71" s="213"/>
      <c r="N71" s="656">
        <v>0</v>
      </c>
      <c r="O71" s="656">
        <v>0</v>
      </c>
      <c r="P71" s="213"/>
      <c r="Q71" s="213"/>
      <c r="R71" s="213">
        <f t="shared" si="77"/>
        <v>0</v>
      </c>
      <c r="S71" s="213">
        <f t="shared" si="78"/>
        <v>0</v>
      </c>
      <c r="T71" s="218"/>
      <c r="U71" s="218">
        <f t="shared" si="79"/>
        <v>0</v>
      </c>
      <c r="V71" s="218"/>
      <c r="W71" s="218">
        <f t="shared" si="80"/>
        <v>0</v>
      </c>
      <c r="X71" s="218"/>
      <c r="Y71" s="218">
        <f t="shared" si="81"/>
        <v>0</v>
      </c>
      <c r="Z71" s="218"/>
      <c r="AA71" s="218">
        <f t="shared" si="82"/>
        <v>0</v>
      </c>
      <c r="AB71" s="234" t="s">
        <v>1029</v>
      </c>
      <c r="AC71" s="753" t="s">
        <v>44</v>
      </c>
      <c r="AD71" s="753" t="s">
        <v>888</v>
      </c>
      <c r="AE71" s="753" t="s">
        <v>885</v>
      </c>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row>
    <row r="72" spans="1:54" ht="83.45" customHeight="1" thickBot="1" x14ac:dyDescent="0.35">
      <c r="A72" s="191"/>
      <c r="B72" s="1088" t="s">
        <v>1034</v>
      </c>
      <c r="C72" s="1177" t="s">
        <v>1035</v>
      </c>
      <c r="D72" s="246" t="s">
        <v>1028</v>
      </c>
      <c r="E72" s="1269">
        <v>0.35</v>
      </c>
      <c r="F72" s="217">
        <v>320</v>
      </c>
      <c r="G72" s="213">
        <v>0</v>
      </c>
      <c r="H72" s="213">
        <v>110</v>
      </c>
      <c r="I72" s="218"/>
      <c r="J72" s="218">
        <f t="shared" si="75"/>
        <v>0.34375</v>
      </c>
      <c r="K72" s="218"/>
      <c r="L72" s="218">
        <f t="shared" si="76"/>
        <v>0.12031249999999999</v>
      </c>
      <c r="M72" s="213"/>
      <c r="N72" s="656">
        <v>0</v>
      </c>
      <c r="O72" s="656">
        <v>81</v>
      </c>
      <c r="P72" s="213"/>
      <c r="Q72" s="213"/>
      <c r="R72" s="213">
        <f t="shared" si="77"/>
        <v>81</v>
      </c>
      <c r="S72" s="213">
        <f t="shared" si="78"/>
        <v>81</v>
      </c>
      <c r="T72" s="218"/>
      <c r="U72" s="218">
        <f t="shared" si="79"/>
        <v>0.73636363636363633</v>
      </c>
      <c r="V72" s="218"/>
      <c r="W72" s="218">
        <f t="shared" si="80"/>
        <v>0.25772727272727269</v>
      </c>
      <c r="X72" s="218"/>
      <c r="Y72" s="218">
        <f t="shared" si="81"/>
        <v>0.25312499999999999</v>
      </c>
      <c r="Z72" s="218"/>
      <c r="AA72" s="218">
        <f t="shared" si="82"/>
        <v>8.8593749999999985E-2</v>
      </c>
      <c r="AB72" s="234" t="s">
        <v>1029</v>
      </c>
      <c r="AC72" s="753" t="s">
        <v>44</v>
      </c>
      <c r="AD72" s="753" t="s">
        <v>888</v>
      </c>
      <c r="AE72" s="753" t="s">
        <v>885</v>
      </c>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row>
    <row r="73" spans="1:54" ht="57" customHeight="1" thickBot="1" x14ac:dyDescent="0.35">
      <c r="A73" s="191"/>
      <c r="B73" s="1317" t="s">
        <v>1036</v>
      </c>
      <c r="C73" s="1318"/>
      <c r="D73" s="227"/>
      <c r="E73" s="209">
        <v>0.2</v>
      </c>
      <c r="F73" s="229"/>
      <c r="G73" s="206"/>
      <c r="H73" s="206"/>
      <c r="I73" s="212"/>
      <c r="J73" s="212">
        <f>+AVERAGE(J74:J85)</f>
        <v>0.53803906843450033</v>
      </c>
      <c r="K73" s="212"/>
      <c r="L73" s="212">
        <f>+L74+L75+L76+L77+L78+L79+L80+L81+L82+L83+L84+L85</f>
        <v>0.44564688212140052</v>
      </c>
      <c r="M73" s="211"/>
      <c r="N73" s="211"/>
      <c r="O73" s="211"/>
      <c r="P73" s="211"/>
      <c r="Q73" s="211"/>
      <c r="R73" s="211"/>
      <c r="S73" s="211"/>
      <c r="T73" s="235"/>
      <c r="U73" s="235">
        <f>+AVERAGE(U74:U85)</f>
        <v>0.11362847222222222</v>
      </c>
      <c r="V73" s="235"/>
      <c r="W73" s="235">
        <f>+(W74+W75+W76+W77+W78+W79+W80+W81+W82+W83+W84+W85)*E73</f>
        <v>2.1904166666666666E-2</v>
      </c>
      <c r="X73" s="212"/>
      <c r="Y73" s="212">
        <f>+AVERAGE(Y74:Y85)</f>
        <v>4.6296418582970789E-2</v>
      </c>
      <c r="Z73" s="212"/>
      <c r="AA73" s="212">
        <f>+(AA74+AA75+AA76+AA77+AA78+AA79+AA80+AA81+AA82+AA83+AA84+AA85)</f>
        <v>4.1743202299564949E-2</v>
      </c>
      <c r="AB73" s="234"/>
      <c r="AC73" s="200"/>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row>
    <row r="74" spans="1:54" ht="88.15" customHeight="1" thickBot="1" x14ac:dyDescent="0.35">
      <c r="A74" s="191"/>
      <c r="B74" s="1088" t="s">
        <v>1037</v>
      </c>
      <c r="C74" s="1177" t="s">
        <v>1038</v>
      </c>
      <c r="D74" s="227" t="s">
        <v>1028</v>
      </c>
      <c r="E74" s="1269">
        <v>0.1</v>
      </c>
      <c r="F74" s="217">
        <v>4827</v>
      </c>
      <c r="G74" s="213">
        <v>0</v>
      </c>
      <c r="H74" s="213">
        <v>1600</v>
      </c>
      <c r="I74" s="218"/>
      <c r="J74" s="218">
        <f t="shared" si="75"/>
        <v>0.33146882121400456</v>
      </c>
      <c r="K74" s="218"/>
      <c r="L74" s="218">
        <f t="shared" si="76"/>
        <v>3.3146882121400455E-2</v>
      </c>
      <c r="M74" s="213"/>
      <c r="N74" s="656">
        <v>0</v>
      </c>
      <c r="O74" s="656">
        <v>1131</v>
      </c>
      <c r="P74" s="213"/>
      <c r="Q74" s="213"/>
      <c r="R74" s="213">
        <f t="shared" si="77"/>
        <v>1131</v>
      </c>
      <c r="S74" s="213">
        <f t="shared" si="78"/>
        <v>1131</v>
      </c>
      <c r="T74" s="218"/>
      <c r="U74" s="218">
        <f t="shared" ref="U74:U99" si="83">+R74/H74</f>
        <v>0.70687500000000003</v>
      </c>
      <c r="V74" s="218"/>
      <c r="W74" s="218">
        <f t="shared" ref="W74:W99" si="84">+U74*E74</f>
        <v>7.06875E-2</v>
      </c>
      <c r="X74" s="218"/>
      <c r="Y74" s="218">
        <f t="shared" ref="Y74:Y99" si="85">+S74/F74</f>
        <v>0.23430702299564948</v>
      </c>
      <c r="Z74" s="218"/>
      <c r="AA74" s="218">
        <f t="shared" si="82"/>
        <v>2.343070229956495E-2</v>
      </c>
      <c r="AB74" s="234" t="s">
        <v>1029</v>
      </c>
      <c r="AC74" s="753" t="s">
        <v>44</v>
      </c>
      <c r="AD74" s="753" t="s">
        <v>888</v>
      </c>
      <c r="AE74" s="753" t="s">
        <v>885</v>
      </c>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row>
    <row r="75" spans="1:54" ht="107.45" customHeight="1" thickBot="1" x14ac:dyDescent="0.35">
      <c r="A75" s="191"/>
      <c r="B75" s="1088" t="s">
        <v>1039</v>
      </c>
      <c r="C75" s="1177" t="s">
        <v>1040</v>
      </c>
      <c r="D75" s="227" t="s">
        <v>1028</v>
      </c>
      <c r="E75" s="1269">
        <v>0.2</v>
      </c>
      <c r="F75" s="217">
        <v>400</v>
      </c>
      <c r="G75" s="213">
        <v>0</v>
      </c>
      <c r="H75" s="213">
        <v>150</v>
      </c>
      <c r="I75" s="218"/>
      <c r="J75" s="218">
        <f t="shared" si="75"/>
        <v>0.375</v>
      </c>
      <c r="K75" s="218"/>
      <c r="L75" s="218">
        <f t="shared" si="76"/>
        <v>7.5000000000000011E-2</v>
      </c>
      <c r="M75" s="213"/>
      <c r="N75" s="656">
        <v>0</v>
      </c>
      <c r="O75" s="656">
        <v>6</v>
      </c>
      <c r="P75" s="213"/>
      <c r="Q75" s="213"/>
      <c r="R75" s="213">
        <f t="shared" si="77"/>
        <v>6</v>
      </c>
      <c r="S75" s="213">
        <f t="shared" si="78"/>
        <v>6</v>
      </c>
      <c r="T75" s="218"/>
      <c r="U75" s="218">
        <f>+R75/H75</f>
        <v>0.04</v>
      </c>
      <c r="V75" s="218"/>
      <c r="W75" s="218">
        <f t="shared" si="84"/>
        <v>8.0000000000000002E-3</v>
      </c>
      <c r="X75" s="218"/>
      <c r="Y75" s="237">
        <f t="shared" si="85"/>
        <v>1.4999999999999999E-2</v>
      </c>
      <c r="Z75" s="218"/>
      <c r="AA75" s="218">
        <f t="shared" si="82"/>
        <v>3.0000000000000001E-3</v>
      </c>
      <c r="AB75" s="234" t="s">
        <v>1029</v>
      </c>
      <c r="AC75" s="753" t="s">
        <v>44</v>
      </c>
      <c r="AD75" s="753" t="s">
        <v>888</v>
      </c>
      <c r="AE75" s="753" t="s">
        <v>885</v>
      </c>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row>
    <row r="76" spans="1:54" ht="65.45" customHeight="1" thickBot="1" x14ac:dyDescent="0.35">
      <c r="A76" s="191"/>
      <c r="B76" s="1088" t="s">
        <v>1041</v>
      </c>
      <c r="C76" s="1177" t="s">
        <v>1042</v>
      </c>
      <c r="D76" s="227" t="s">
        <v>1028</v>
      </c>
      <c r="E76" s="1269">
        <v>0.05</v>
      </c>
      <c r="F76" s="217">
        <v>8</v>
      </c>
      <c r="G76" s="213">
        <v>0</v>
      </c>
      <c r="H76" s="213">
        <v>3</v>
      </c>
      <c r="I76" s="218"/>
      <c r="J76" s="218">
        <f t="shared" si="75"/>
        <v>0.375</v>
      </c>
      <c r="K76" s="218"/>
      <c r="L76" s="218">
        <f>+(H76/F76)*E76</f>
        <v>1.8750000000000003E-2</v>
      </c>
      <c r="M76" s="213"/>
      <c r="N76" s="656">
        <v>0</v>
      </c>
      <c r="O76" s="656">
        <v>0.85</v>
      </c>
      <c r="P76" s="213"/>
      <c r="Q76" s="213"/>
      <c r="R76" s="213">
        <f t="shared" si="77"/>
        <v>0.85</v>
      </c>
      <c r="S76" s="213">
        <f t="shared" si="78"/>
        <v>0.85</v>
      </c>
      <c r="T76" s="218"/>
      <c r="U76" s="218">
        <f t="shared" si="83"/>
        <v>0.28333333333333333</v>
      </c>
      <c r="V76" s="218"/>
      <c r="W76" s="218">
        <f t="shared" si="84"/>
        <v>1.4166666666666668E-2</v>
      </c>
      <c r="X76" s="218"/>
      <c r="Y76" s="218">
        <f t="shared" si="85"/>
        <v>0.10625</v>
      </c>
      <c r="Z76" s="218"/>
      <c r="AA76" s="218">
        <f t="shared" si="82"/>
        <v>5.3125000000000004E-3</v>
      </c>
      <c r="AB76" s="234" t="s">
        <v>1029</v>
      </c>
      <c r="AC76" s="753" t="s">
        <v>44</v>
      </c>
      <c r="AD76" s="753" t="s">
        <v>888</v>
      </c>
      <c r="AE76" s="753" t="s">
        <v>885</v>
      </c>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row>
    <row r="77" spans="1:54" ht="75" customHeight="1" thickBot="1" x14ac:dyDescent="0.35">
      <c r="A77" s="191"/>
      <c r="B77" s="1088" t="s">
        <v>1043</v>
      </c>
      <c r="C77" s="1177" t="s">
        <v>1044</v>
      </c>
      <c r="D77" s="227" t="s">
        <v>1028</v>
      </c>
      <c r="E77" s="1269">
        <v>0.05</v>
      </c>
      <c r="F77" s="217">
        <v>80</v>
      </c>
      <c r="G77" s="213">
        <v>0</v>
      </c>
      <c r="H77" s="213">
        <v>30</v>
      </c>
      <c r="I77" s="218"/>
      <c r="J77" s="218">
        <f t="shared" si="75"/>
        <v>0.375</v>
      </c>
      <c r="K77" s="218"/>
      <c r="L77" s="218">
        <f t="shared" si="76"/>
        <v>1.8750000000000003E-2</v>
      </c>
      <c r="M77" s="213"/>
      <c r="N77" s="656">
        <v>0</v>
      </c>
      <c r="O77" s="656">
        <v>0</v>
      </c>
      <c r="P77" s="213"/>
      <c r="Q77" s="213"/>
      <c r="R77" s="213">
        <f t="shared" si="77"/>
        <v>0</v>
      </c>
      <c r="S77" s="213">
        <f t="shared" si="78"/>
        <v>0</v>
      </c>
      <c r="T77" s="218"/>
      <c r="U77" s="218">
        <f t="shared" si="83"/>
        <v>0</v>
      </c>
      <c r="V77" s="218"/>
      <c r="W77" s="218">
        <f>+U77*E77</f>
        <v>0</v>
      </c>
      <c r="X77" s="218"/>
      <c r="Y77" s="218">
        <f t="shared" si="85"/>
        <v>0</v>
      </c>
      <c r="Z77" s="218"/>
      <c r="AA77" s="218">
        <f t="shared" si="82"/>
        <v>0</v>
      </c>
      <c r="AB77" s="234" t="s">
        <v>1029</v>
      </c>
      <c r="AC77" s="753" t="s">
        <v>44</v>
      </c>
      <c r="AD77" s="753" t="s">
        <v>888</v>
      </c>
      <c r="AE77" s="753" t="s">
        <v>885</v>
      </c>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row>
    <row r="78" spans="1:54" ht="63.6" customHeight="1" thickBot="1" x14ac:dyDescent="0.35">
      <c r="A78" s="191"/>
      <c r="B78" s="1088" t="s">
        <v>1045</v>
      </c>
      <c r="C78" s="1177" t="s">
        <v>1046</v>
      </c>
      <c r="D78" s="227" t="s">
        <v>1047</v>
      </c>
      <c r="E78" s="1269">
        <v>0.25</v>
      </c>
      <c r="F78" s="217">
        <v>500</v>
      </c>
      <c r="G78" s="213">
        <v>0</v>
      </c>
      <c r="H78" s="213">
        <v>200</v>
      </c>
      <c r="I78" s="218"/>
      <c r="J78" s="218">
        <f t="shared" si="75"/>
        <v>0.4</v>
      </c>
      <c r="K78" s="218"/>
      <c r="L78" s="218">
        <f t="shared" si="76"/>
        <v>0.1</v>
      </c>
      <c r="M78" s="213"/>
      <c r="N78" s="656">
        <v>0</v>
      </c>
      <c r="O78" s="656">
        <v>0</v>
      </c>
      <c r="P78" s="213"/>
      <c r="Q78" s="213"/>
      <c r="R78" s="213">
        <f t="shared" si="77"/>
        <v>0</v>
      </c>
      <c r="S78" s="213">
        <f t="shared" si="78"/>
        <v>0</v>
      </c>
      <c r="T78" s="218"/>
      <c r="U78" s="218">
        <f t="shared" si="83"/>
        <v>0</v>
      </c>
      <c r="V78" s="218"/>
      <c r="W78" s="218">
        <f t="shared" si="84"/>
        <v>0</v>
      </c>
      <c r="X78" s="218"/>
      <c r="Y78" s="218">
        <f t="shared" si="85"/>
        <v>0</v>
      </c>
      <c r="Z78" s="218"/>
      <c r="AA78" s="218">
        <f>+Y78*E78</f>
        <v>0</v>
      </c>
      <c r="AB78" s="234" t="s">
        <v>1029</v>
      </c>
      <c r="AC78" s="753" t="s">
        <v>44</v>
      </c>
      <c r="AD78" s="753" t="s">
        <v>888</v>
      </c>
      <c r="AE78" s="753" t="s">
        <v>885</v>
      </c>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row>
    <row r="79" spans="1:54" ht="61.9" customHeight="1" thickBot="1" x14ac:dyDescent="0.35">
      <c r="A79" s="191"/>
      <c r="B79" s="1088" t="s">
        <v>1048</v>
      </c>
      <c r="C79" s="1177" t="s">
        <v>1049</v>
      </c>
      <c r="D79" s="227" t="s">
        <v>1028</v>
      </c>
      <c r="E79" s="1269">
        <v>0.05</v>
      </c>
      <c r="F79" s="217">
        <v>2</v>
      </c>
      <c r="G79" s="213">
        <v>0</v>
      </c>
      <c r="H79" s="213">
        <v>1</v>
      </c>
      <c r="I79" s="218"/>
      <c r="J79" s="218">
        <f t="shared" si="75"/>
        <v>0.5</v>
      </c>
      <c r="K79" s="218"/>
      <c r="L79" s="218">
        <f t="shared" si="76"/>
        <v>2.5000000000000001E-2</v>
      </c>
      <c r="M79" s="213"/>
      <c r="N79" s="656">
        <v>0</v>
      </c>
      <c r="O79" s="656">
        <v>0</v>
      </c>
      <c r="P79" s="213"/>
      <c r="Q79" s="213"/>
      <c r="R79" s="213">
        <f t="shared" si="77"/>
        <v>0</v>
      </c>
      <c r="S79" s="213">
        <f t="shared" si="78"/>
        <v>0</v>
      </c>
      <c r="T79" s="218"/>
      <c r="U79" s="218">
        <f t="shared" si="83"/>
        <v>0</v>
      </c>
      <c r="V79" s="218"/>
      <c r="W79" s="218">
        <f t="shared" si="84"/>
        <v>0</v>
      </c>
      <c r="X79" s="218"/>
      <c r="Y79" s="218">
        <f>+S79/F79</f>
        <v>0</v>
      </c>
      <c r="Z79" s="218"/>
      <c r="AA79" s="218">
        <f t="shared" si="82"/>
        <v>0</v>
      </c>
      <c r="AB79" s="234" t="s">
        <v>1029</v>
      </c>
      <c r="AC79" s="753" t="s">
        <v>44</v>
      </c>
      <c r="AD79" s="753" t="s">
        <v>888</v>
      </c>
      <c r="AE79" s="753" t="s">
        <v>885</v>
      </c>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row>
    <row r="80" spans="1:54" ht="42" customHeight="1" thickBot="1" x14ac:dyDescent="0.35">
      <c r="A80" s="191"/>
      <c r="B80" s="1088" t="s">
        <v>1050</v>
      </c>
      <c r="C80" s="1177" t="s">
        <v>1051</v>
      </c>
      <c r="D80" s="227" t="s">
        <v>1028</v>
      </c>
      <c r="E80" s="1269">
        <v>0.11</v>
      </c>
      <c r="F80" s="217">
        <v>4</v>
      </c>
      <c r="G80" s="213">
        <v>0</v>
      </c>
      <c r="H80" s="213">
        <v>2</v>
      </c>
      <c r="I80" s="218"/>
      <c r="J80" s="218">
        <f t="shared" si="75"/>
        <v>0.5</v>
      </c>
      <c r="K80" s="218"/>
      <c r="L80" s="218">
        <f t="shared" si="76"/>
        <v>5.5E-2</v>
      </c>
      <c r="M80" s="213"/>
      <c r="N80" s="656">
        <v>0</v>
      </c>
      <c r="O80" s="656">
        <v>0</v>
      </c>
      <c r="P80" s="213"/>
      <c r="Q80" s="213"/>
      <c r="R80" s="213">
        <f t="shared" si="77"/>
        <v>0</v>
      </c>
      <c r="S80" s="213">
        <f t="shared" si="78"/>
        <v>0</v>
      </c>
      <c r="T80" s="218"/>
      <c r="U80" s="218">
        <f t="shared" si="83"/>
        <v>0</v>
      </c>
      <c r="V80" s="218"/>
      <c r="W80" s="218">
        <f>+U80*E80</f>
        <v>0</v>
      </c>
      <c r="X80" s="218"/>
      <c r="Y80" s="218">
        <f t="shared" si="85"/>
        <v>0</v>
      </c>
      <c r="Z80" s="218"/>
      <c r="AA80" s="218">
        <f t="shared" si="82"/>
        <v>0</v>
      </c>
      <c r="AB80" s="234" t="s">
        <v>1029</v>
      </c>
      <c r="AC80" s="753" t="s">
        <v>44</v>
      </c>
      <c r="AD80" s="753" t="s">
        <v>888</v>
      </c>
      <c r="AE80" s="753" t="s">
        <v>885</v>
      </c>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row>
    <row r="81" spans="1:54" ht="61.9" customHeight="1" thickBot="1" x14ac:dyDescent="0.35">
      <c r="A81" s="191"/>
      <c r="B81" s="1088" t="s">
        <v>1052</v>
      </c>
      <c r="C81" s="1177" t="s">
        <v>1053</v>
      </c>
      <c r="D81" s="227" t="s">
        <v>1028</v>
      </c>
      <c r="E81" s="1269">
        <v>0.02</v>
      </c>
      <c r="F81" s="217">
        <v>2</v>
      </c>
      <c r="G81" s="213">
        <v>0</v>
      </c>
      <c r="H81" s="213">
        <v>1</v>
      </c>
      <c r="I81" s="218"/>
      <c r="J81" s="218">
        <f t="shared" si="75"/>
        <v>0.5</v>
      </c>
      <c r="K81" s="218"/>
      <c r="L81" s="218">
        <f t="shared" si="76"/>
        <v>0.01</v>
      </c>
      <c r="M81" s="213"/>
      <c r="N81" s="656">
        <v>0</v>
      </c>
      <c r="O81" s="656">
        <v>0</v>
      </c>
      <c r="P81" s="213"/>
      <c r="Q81" s="213"/>
      <c r="R81" s="213">
        <f t="shared" si="77"/>
        <v>0</v>
      </c>
      <c r="S81" s="213">
        <f t="shared" si="78"/>
        <v>0</v>
      </c>
      <c r="T81" s="218"/>
      <c r="U81" s="218">
        <f t="shared" si="83"/>
        <v>0</v>
      </c>
      <c r="V81" s="218"/>
      <c r="W81" s="218">
        <f t="shared" si="84"/>
        <v>0</v>
      </c>
      <c r="X81" s="218"/>
      <c r="Y81" s="218">
        <f t="shared" si="85"/>
        <v>0</v>
      </c>
      <c r="Z81" s="218"/>
      <c r="AA81" s="218">
        <f t="shared" si="82"/>
        <v>0</v>
      </c>
      <c r="AB81" s="234" t="s">
        <v>1029</v>
      </c>
      <c r="AC81" s="753" t="s">
        <v>44</v>
      </c>
      <c r="AD81" s="753" t="s">
        <v>888</v>
      </c>
      <c r="AE81" s="753" t="s">
        <v>885</v>
      </c>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row>
    <row r="82" spans="1:54" ht="45.6" customHeight="1" thickBot="1" x14ac:dyDescent="0.35">
      <c r="A82" s="191"/>
      <c r="B82" s="1088" t="s">
        <v>1054</v>
      </c>
      <c r="C82" s="1177" t="s">
        <v>1055</v>
      </c>
      <c r="D82" s="227" t="s">
        <v>1028</v>
      </c>
      <c r="E82" s="1269">
        <v>0.02</v>
      </c>
      <c r="F82" s="217">
        <v>1</v>
      </c>
      <c r="G82" s="213">
        <v>0</v>
      </c>
      <c r="H82" s="213">
        <v>1</v>
      </c>
      <c r="I82" s="218"/>
      <c r="J82" s="218">
        <f t="shared" si="75"/>
        <v>1</v>
      </c>
      <c r="K82" s="218"/>
      <c r="L82" s="218">
        <f t="shared" si="76"/>
        <v>0.02</v>
      </c>
      <c r="M82" s="213"/>
      <c r="N82" s="656">
        <v>0</v>
      </c>
      <c r="O82" s="656">
        <v>0</v>
      </c>
      <c r="P82" s="213"/>
      <c r="Q82" s="213"/>
      <c r="R82" s="213">
        <f t="shared" si="77"/>
        <v>0</v>
      </c>
      <c r="S82" s="213">
        <f t="shared" si="78"/>
        <v>0</v>
      </c>
      <c r="T82" s="218"/>
      <c r="U82" s="218">
        <f t="shared" si="83"/>
        <v>0</v>
      </c>
      <c r="V82" s="218"/>
      <c r="W82" s="218">
        <f t="shared" si="84"/>
        <v>0</v>
      </c>
      <c r="X82" s="218"/>
      <c r="Y82" s="218">
        <f t="shared" si="85"/>
        <v>0</v>
      </c>
      <c r="Z82" s="218"/>
      <c r="AA82" s="218">
        <f t="shared" si="82"/>
        <v>0</v>
      </c>
      <c r="AB82" s="234" t="s">
        <v>1029</v>
      </c>
      <c r="AC82" s="753" t="s">
        <v>44</v>
      </c>
      <c r="AD82" s="753" t="s">
        <v>888</v>
      </c>
      <c r="AE82" s="753" t="s">
        <v>885</v>
      </c>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row>
    <row r="83" spans="1:54" ht="45.6" customHeight="1" thickBot="1" x14ac:dyDescent="0.35">
      <c r="A83" s="191"/>
      <c r="B83" s="1088" t="s">
        <v>1056</v>
      </c>
      <c r="C83" s="1177" t="s">
        <v>1057</v>
      </c>
      <c r="D83" s="227" t="s">
        <v>1028</v>
      </c>
      <c r="E83" s="1269">
        <v>0.02</v>
      </c>
      <c r="F83" s="217">
        <v>1</v>
      </c>
      <c r="G83" s="213">
        <v>0</v>
      </c>
      <c r="H83" s="213">
        <v>1</v>
      </c>
      <c r="I83" s="218"/>
      <c r="J83" s="218">
        <f t="shared" si="75"/>
        <v>1</v>
      </c>
      <c r="K83" s="218"/>
      <c r="L83" s="218">
        <f t="shared" si="76"/>
        <v>0.02</v>
      </c>
      <c r="M83" s="213"/>
      <c r="N83" s="656">
        <v>0</v>
      </c>
      <c r="O83" s="656">
        <v>0</v>
      </c>
      <c r="P83" s="213"/>
      <c r="Q83" s="213"/>
      <c r="R83" s="213">
        <f t="shared" si="77"/>
        <v>0</v>
      </c>
      <c r="S83" s="213">
        <f t="shared" si="78"/>
        <v>0</v>
      </c>
      <c r="T83" s="218"/>
      <c r="U83" s="218">
        <f t="shared" si="83"/>
        <v>0</v>
      </c>
      <c r="V83" s="218"/>
      <c r="W83" s="218">
        <f>+U83*E83</f>
        <v>0</v>
      </c>
      <c r="X83" s="218"/>
      <c r="Y83" s="218">
        <f t="shared" si="85"/>
        <v>0</v>
      </c>
      <c r="Z83" s="218"/>
      <c r="AA83" s="218">
        <f t="shared" si="82"/>
        <v>0</v>
      </c>
      <c r="AB83" s="234" t="s">
        <v>1029</v>
      </c>
      <c r="AC83" s="753" t="s">
        <v>44</v>
      </c>
      <c r="AD83" s="753" t="s">
        <v>888</v>
      </c>
      <c r="AE83" s="753" t="s">
        <v>885</v>
      </c>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row>
    <row r="84" spans="1:54" ht="75.75" thickBot="1" x14ac:dyDescent="0.35">
      <c r="A84" s="191"/>
      <c r="B84" s="1088" t="s">
        <v>1058</v>
      </c>
      <c r="C84" s="1177" t="s">
        <v>1059</v>
      </c>
      <c r="D84" s="227" t="s">
        <v>1028</v>
      </c>
      <c r="E84" s="1269">
        <v>0.05</v>
      </c>
      <c r="F84" s="217">
        <v>5</v>
      </c>
      <c r="G84" s="213">
        <v>0</v>
      </c>
      <c r="H84" s="213">
        <v>3</v>
      </c>
      <c r="I84" s="218"/>
      <c r="J84" s="218">
        <f t="shared" si="75"/>
        <v>0.6</v>
      </c>
      <c r="K84" s="218"/>
      <c r="L84" s="218">
        <f t="shared" si="76"/>
        <v>0.03</v>
      </c>
      <c r="M84" s="213"/>
      <c r="N84" s="656">
        <v>0</v>
      </c>
      <c r="O84" s="656">
        <v>1</v>
      </c>
      <c r="P84" s="213"/>
      <c r="Q84" s="213"/>
      <c r="R84" s="213">
        <f t="shared" si="77"/>
        <v>1</v>
      </c>
      <c r="S84" s="213">
        <f t="shared" si="78"/>
        <v>1</v>
      </c>
      <c r="T84" s="218"/>
      <c r="U84" s="218">
        <f>+R84/H84</f>
        <v>0.33333333333333331</v>
      </c>
      <c r="V84" s="218"/>
      <c r="W84" s="218">
        <f>+U84*E84</f>
        <v>1.6666666666666666E-2</v>
      </c>
      <c r="X84" s="218"/>
      <c r="Y84" s="218">
        <f t="shared" si="85"/>
        <v>0.2</v>
      </c>
      <c r="Z84" s="218"/>
      <c r="AA84" s="218">
        <f t="shared" si="82"/>
        <v>1.0000000000000002E-2</v>
      </c>
      <c r="AB84" s="234" t="s">
        <v>1029</v>
      </c>
      <c r="AC84" s="753" t="s">
        <v>44</v>
      </c>
      <c r="AD84" s="753" t="s">
        <v>888</v>
      </c>
      <c r="AE84" s="753" t="s">
        <v>885</v>
      </c>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row>
    <row r="85" spans="1:54" ht="51" customHeight="1" thickBot="1" x14ac:dyDescent="0.35">
      <c r="A85" s="191"/>
      <c r="B85" s="1088" t="s">
        <v>1060</v>
      </c>
      <c r="C85" s="1177" t="s">
        <v>1061</v>
      </c>
      <c r="D85" s="227" t="s">
        <v>1028</v>
      </c>
      <c r="E85" s="1269">
        <v>0.08</v>
      </c>
      <c r="F85" s="217">
        <v>8</v>
      </c>
      <c r="G85" s="213">
        <v>0</v>
      </c>
      <c r="H85" s="213">
        <v>4</v>
      </c>
      <c r="I85" s="218"/>
      <c r="J85" s="218">
        <f t="shared" si="75"/>
        <v>0.5</v>
      </c>
      <c r="K85" s="218"/>
      <c r="L85" s="218">
        <f t="shared" si="76"/>
        <v>0.04</v>
      </c>
      <c r="M85" s="213"/>
      <c r="N85" s="656">
        <v>0</v>
      </c>
      <c r="O85" s="656">
        <v>0</v>
      </c>
      <c r="P85" s="213"/>
      <c r="Q85" s="213"/>
      <c r="R85" s="213">
        <f t="shared" si="77"/>
        <v>0</v>
      </c>
      <c r="S85" s="213">
        <f t="shared" si="78"/>
        <v>0</v>
      </c>
      <c r="T85" s="218"/>
      <c r="U85" s="218">
        <f t="shared" si="83"/>
        <v>0</v>
      </c>
      <c r="V85" s="218"/>
      <c r="W85" s="218">
        <f t="shared" si="84"/>
        <v>0</v>
      </c>
      <c r="X85" s="218"/>
      <c r="Y85" s="218">
        <f t="shared" si="85"/>
        <v>0</v>
      </c>
      <c r="Z85" s="218"/>
      <c r="AA85" s="218">
        <f t="shared" si="82"/>
        <v>0</v>
      </c>
      <c r="AB85" s="234" t="s">
        <v>1029</v>
      </c>
      <c r="AC85" s="753" t="s">
        <v>44</v>
      </c>
      <c r="AD85" s="753" t="s">
        <v>888</v>
      </c>
      <c r="AE85" s="753" t="s">
        <v>885</v>
      </c>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row>
    <row r="86" spans="1:54" ht="28.5" customHeight="1" thickBot="1" x14ac:dyDescent="0.35">
      <c r="A86" s="191"/>
      <c r="B86" s="1317" t="s">
        <v>1062</v>
      </c>
      <c r="C86" s="1318"/>
      <c r="D86" s="227"/>
      <c r="E86" s="209">
        <v>0.1</v>
      </c>
      <c r="F86" s="229"/>
      <c r="G86" s="206"/>
      <c r="H86" s="206"/>
      <c r="I86" s="212">
        <f>+AVERAGE(I87:I90)</f>
        <v>0.23749999999999999</v>
      </c>
      <c r="J86" s="212">
        <f>+AVERAGE(J87:J90)</f>
        <v>0.23749999999999999</v>
      </c>
      <c r="K86" s="212">
        <f>+K87+K88+K89+K90</f>
        <v>0.23749999999999999</v>
      </c>
      <c r="L86" s="212">
        <f>+L87+L88+L89+L90</f>
        <v>0.23749999999999999</v>
      </c>
      <c r="M86" s="211"/>
      <c r="N86" s="211"/>
      <c r="O86" s="211"/>
      <c r="P86" s="211"/>
      <c r="Q86" s="211"/>
      <c r="R86" s="211"/>
      <c r="S86" s="211"/>
      <c r="T86" s="235">
        <f>+AVERAGE(T87:T90)</f>
        <v>1</v>
      </c>
      <c r="U86" s="235">
        <f>+AVERAGE(U87:U90)</f>
        <v>0.75</v>
      </c>
      <c r="V86" s="235">
        <f>+(V87+V88+V89+V90)*E86</f>
        <v>0.1</v>
      </c>
      <c r="W86" s="235">
        <f>+(W87+W88+W89+W90)*E86</f>
        <v>8.0000000000000016E-2</v>
      </c>
      <c r="X86" s="212">
        <f>+AVERAGE(X87:X90)</f>
        <v>0.51249999999999996</v>
      </c>
      <c r="Y86" s="212">
        <f>+AVERAGE(Y87:Y90)</f>
        <v>0.6875</v>
      </c>
      <c r="Z86" s="212">
        <f>+(Z87+Z88+Z89+Z90)*E86</f>
        <v>4.3750000000000004E-2</v>
      </c>
      <c r="AA86" s="212">
        <f>+(AA87+AA88+AA89+AA90)</f>
        <v>0.625</v>
      </c>
      <c r="AB86" s="234"/>
      <c r="AC86" s="200"/>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row>
    <row r="87" spans="1:54" ht="111" customHeight="1" thickBot="1" x14ac:dyDescent="0.35">
      <c r="A87" s="191"/>
      <c r="B87" s="1088" t="s">
        <v>1063</v>
      </c>
      <c r="C87" s="1177" t="s">
        <v>1064</v>
      </c>
      <c r="D87" s="227" t="s">
        <v>1065</v>
      </c>
      <c r="E87" s="1269">
        <v>0.2</v>
      </c>
      <c r="F87" s="217">
        <v>4</v>
      </c>
      <c r="G87" s="213">
        <v>1</v>
      </c>
      <c r="H87" s="213">
        <v>1</v>
      </c>
      <c r="I87" s="218">
        <f>+G87/F87</f>
        <v>0.25</v>
      </c>
      <c r="J87" s="218">
        <f t="shared" si="75"/>
        <v>0.25</v>
      </c>
      <c r="K87" s="218">
        <f>+(G87/F87)*E87</f>
        <v>0.05</v>
      </c>
      <c r="L87" s="218">
        <f t="shared" si="76"/>
        <v>0.05</v>
      </c>
      <c r="M87" s="213">
        <v>1</v>
      </c>
      <c r="N87" s="656">
        <v>0</v>
      </c>
      <c r="O87" s="213"/>
      <c r="P87" s="213"/>
      <c r="Q87" s="213"/>
      <c r="R87" s="213">
        <f t="shared" si="77"/>
        <v>0</v>
      </c>
      <c r="S87" s="213">
        <f t="shared" si="78"/>
        <v>1</v>
      </c>
      <c r="T87" s="218">
        <f>+(M87/G87)</f>
        <v>1</v>
      </c>
      <c r="U87" s="218">
        <f t="shared" si="83"/>
        <v>0</v>
      </c>
      <c r="V87" s="218">
        <f>+T87*E87</f>
        <v>0.2</v>
      </c>
      <c r="W87" s="218">
        <f t="shared" si="84"/>
        <v>0</v>
      </c>
      <c r="X87" s="218">
        <f>+M87/F87</f>
        <v>0.25</v>
      </c>
      <c r="Y87" s="218">
        <f t="shared" si="85"/>
        <v>0.25</v>
      </c>
      <c r="Z87" s="218">
        <f>+X87*E87</f>
        <v>0.05</v>
      </c>
      <c r="AA87" s="218">
        <f>+Y87*E87</f>
        <v>0.05</v>
      </c>
      <c r="AB87" s="234"/>
      <c r="AC87" s="756" t="s">
        <v>1066</v>
      </c>
      <c r="AD87" s="753" t="s">
        <v>1067</v>
      </c>
      <c r="AE87" s="753" t="s">
        <v>885</v>
      </c>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row>
    <row r="88" spans="1:54" ht="117.6" customHeight="1" thickBot="1" x14ac:dyDescent="0.35">
      <c r="A88" s="191"/>
      <c r="B88" s="1088" t="s">
        <v>1068</v>
      </c>
      <c r="C88" s="1177" t="s">
        <v>1069</v>
      </c>
      <c r="D88" s="227" t="s">
        <v>1065</v>
      </c>
      <c r="E88" s="1269">
        <v>0.45</v>
      </c>
      <c r="F88" s="217">
        <v>60</v>
      </c>
      <c r="G88" s="213">
        <v>15</v>
      </c>
      <c r="H88" s="213">
        <v>15</v>
      </c>
      <c r="I88" s="218">
        <f>+G88/F88</f>
        <v>0.25</v>
      </c>
      <c r="J88" s="218">
        <f t="shared" si="75"/>
        <v>0.25</v>
      </c>
      <c r="K88" s="218">
        <f>+(G88/F88)*E88</f>
        <v>0.1125</v>
      </c>
      <c r="L88" s="218">
        <f t="shared" si="76"/>
        <v>0.1125</v>
      </c>
      <c r="M88" s="213">
        <v>15</v>
      </c>
      <c r="N88" s="656">
        <v>0</v>
      </c>
      <c r="O88" s="213">
        <v>15</v>
      </c>
      <c r="P88" s="213"/>
      <c r="Q88" s="213"/>
      <c r="R88" s="213">
        <f t="shared" si="77"/>
        <v>15</v>
      </c>
      <c r="S88" s="213">
        <f t="shared" si="78"/>
        <v>30</v>
      </c>
      <c r="T88" s="218">
        <f>+(M88/G88)</f>
        <v>1</v>
      </c>
      <c r="U88" s="218">
        <f t="shared" si="83"/>
        <v>1</v>
      </c>
      <c r="V88" s="218">
        <f>+T88*E88</f>
        <v>0.45</v>
      </c>
      <c r="W88" s="218">
        <f t="shared" si="84"/>
        <v>0.45</v>
      </c>
      <c r="X88" s="218">
        <f>+M88/F88</f>
        <v>0.25</v>
      </c>
      <c r="Y88" s="218">
        <f>+S88/F88</f>
        <v>0.5</v>
      </c>
      <c r="Z88" s="218">
        <f>+X88*E88</f>
        <v>0.1125</v>
      </c>
      <c r="AA88" s="218">
        <f>+Y88*E88</f>
        <v>0.22500000000000001</v>
      </c>
      <c r="AB88" s="234"/>
      <c r="AC88" s="756" t="s">
        <v>1066</v>
      </c>
      <c r="AD88" s="753" t="s">
        <v>1070</v>
      </c>
      <c r="AE88" s="753" t="s">
        <v>885</v>
      </c>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row>
    <row r="89" spans="1:54" ht="108.6" customHeight="1" thickBot="1" x14ac:dyDescent="0.35">
      <c r="A89" s="191"/>
      <c r="B89" s="1137" t="s">
        <v>1071</v>
      </c>
      <c r="C89" s="1178" t="s">
        <v>1072</v>
      </c>
      <c r="D89" s="227" t="s">
        <v>1065</v>
      </c>
      <c r="E89" s="1269">
        <v>0.1</v>
      </c>
      <c r="F89" s="217">
        <v>4</v>
      </c>
      <c r="G89" s="213">
        <v>1</v>
      </c>
      <c r="H89" s="213">
        <v>1</v>
      </c>
      <c r="I89" s="218">
        <f>+G89/F89</f>
        <v>0.25</v>
      </c>
      <c r="J89" s="218">
        <f t="shared" si="75"/>
        <v>0.25</v>
      </c>
      <c r="K89" s="218">
        <f>+(G89/F89)*E89</f>
        <v>2.5000000000000001E-2</v>
      </c>
      <c r="L89" s="218">
        <f>+(H89/F89)*E89</f>
        <v>2.5000000000000001E-2</v>
      </c>
      <c r="M89" s="213">
        <v>3</v>
      </c>
      <c r="N89" s="656">
        <v>0</v>
      </c>
      <c r="O89" s="213">
        <v>1</v>
      </c>
      <c r="P89" s="213"/>
      <c r="Q89" s="213"/>
      <c r="R89" s="213">
        <f t="shared" si="77"/>
        <v>1</v>
      </c>
      <c r="S89" s="213">
        <f t="shared" si="78"/>
        <v>4</v>
      </c>
      <c r="T89" s="218">
        <v>1</v>
      </c>
      <c r="U89" s="218">
        <f t="shared" si="83"/>
        <v>1</v>
      </c>
      <c r="V89" s="218">
        <f>+T89*E89</f>
        <v>0.1</v>
      </c>
      <c r="W89" s="218">
        <f t="shared" si="84"/>
        <v>0.1</v>
      </c>
      <c r="X89" s="218">
        <f>+M89/F89</f>
        <v>0.75</v>
      </c>
      <c r="Y89" s="218">
        <f t="shared" si="85"/>
        <v>1</v>
      </c>
      <c r="Z89" s="218">
        <f>+X89*E89</f>
        <v>7.5000000000000011E-2</v>
      </c>
      <c r="AA89" s="218">
        <f>+Y89*E89</f>
        <v>0.1</v>
      </c>
      <c r="AB89" s="234"/>
      <c r="AC89" s="753" t="s">
        <v>44</v>
      </c>
      <c r="AD89" s="753" t="s">
        <v>36</v>
      </c>
      <c r="AE89" s="756" t="s">
        <v>1073</v>
      </c>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row>
    <row r="90" spans="1:54" ht="66.599999999999994" customHeight="1" thickBot="1" x14ac:dyDescent="0.35">
      <c r="A90" s="191"/>
      <c r="B90" s="1137" t="s">
        <v>1074</v>
      </c>
      <c r="C90" s="1178" t="s">
        <v>1075</v>
      </c>
      <c r="D90" s="227" t="s">
        <v>1065</v>
      </c>
      <c r="E90" s="1269">
        <v>0.25</v>
      </c>
      <c r="F90" s="217">
        <v>5</v>
      </c>
      <c r="G90" s="213">
        <v>1</v>
      </c>
      <c r="H90" s="213">
        <v>1</v>
      </c>
      <c r="I90" s="218">
        <f>+G90/F90</f>
        <v>0.2</v>
      </c>
      <c r="J90" s="218">
        <f t="shared" si="75"/>
        <v>0.2</v>
      </c>
      <c r="K90" s="218">
        <f>+(G90/F90)*E90</f>
        <v>0.05</v>
      </c>
      <c r="L90" s="218">
        <f t="shared" si="76"/>
        <v>0.05</v>
      </c>
      <c r="M90" s="213">
        <v>4</v>
      </c>
      <c r="N90" s="656">
        <v>0</v>
      </c>
      <c r="O90" s="213">
        <v>1</v>
      </c>
      <c r="P90" s="213"/>
      <c r="Q90" s="213"/>
      <c r="R90" s="213">
        <f t="shared" si="77"/>
        <v>1</v>
      </c>
      <c r="S90" s="213">
        <f t="shared" si="78"/>
        <v>5</v>
      </c>
      <c r="T90" s="218">
        <v>1</v>
      </c>
      <c r="U90" s="218">
        <f t="shared" si="83"/>
        <v>1</v>
      </c>
      <c r="V90" s="218">
        <f>+T90*E90</f>
        <v>0.25</v>
      </c>
      <c r="W90" s="218">
        <f t="shared" si="84"/>
        <v>0.25</v>
      </c>
      <c r="X90" s="218">
        <f>+M90/F90</f>
        <v>0.8</v>
      </c>
      <c r="Y90" s="218">
        <f t="shared" si="85"/>
        <v>1</v>
      </c>
      <c r="Z90" s="218">
        <f>+X90*E90</f>
        <v>0.2</v>
      </c>
      <c r="AA90" s="218">
        <f>+Y90*E90</f>
        <v>0.25</v>
      </c>
      <c r="AB90" s="234"/>
      <c r="AC90" s="753" t="s">
        <v>44</v>
      </c>
      <c r="AD90" s="753" t="s">
        <v>36</v>
      </c>
      <c r="AE90" s="756" t="s">
        <v>1073</v>
      </c>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row>
    <row r="91" spans="1:54" ht="57" customHeight="1" thickBot="1" x14ac:dyDescent="0.35">
      <c r="A91" s="191"/>
      <c r="B91" s="1317" t="s">
        <v>1076</v>
      </c>
      <c r="C91" s="1318"/>
      <c r="D91" s="227"/>
      <c r="E91" s="209">
        <v>0.3</v>
      </c>
      <c r="F91" s="229"/>
      <c r="G91" s="206"/>
      <c r="H91" s="206"/>
      <c r="I91" s="212"/>
      <c r="J91" s="212">
        <f>+AVERAGE(J92:J95)</f>
        <v>0.36958333333333332</v>
      </c>
      <c r="K91" s="212"/>
      <c r="L91" s="212">
        <f>+L92+L93+L94+L95</f>
        <v>0.33691666666666664</v>
      </c>
      <c r="M91" s="211"/>
      <c r="N91" s="211"/>
      <c r="O91" s="211"/>
      <c r="P91" s="211"/>
      <c r="Q91" s="211"/>
      <c r="R91" s="211"/>
      <c r="S91" s="211"/>
      <c r="T91" s="235"/>
      <c r="U91" s="235">
        <f>+AVERAGE(U92:U95)</f>
        <v>9.6666666666666665E-2</v>
      </c>
      <c r="V91" s="235"/>
      <c r="W91" s="235">
        <f>+(W92+W93+W94+W95)*E91</f>
        <v>2.155E-2</v>
      </c>
      <c r="X91" s="212"/>
      <c r="Y91" s="212">
        <f>+AVERAGE(Y92:Y95)</f>
        <v>4.3472222222222225E-2</v>
      </c>
      <c r="Z91" s="212"/>
      <c r="AA91" s="212">
        <f>+(AA92+AA93+AA94+AA95)</f>
        <v>2.6194444444444444E-2</v>
      </c>
      <c r="AB91" s="234"/>
      <c r="AC91" s="200"/>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row>
    <row r="92" spans="1:54" ht="114.6" customHeight="1" thickBot="1" x14ac:dyDescent="0.35">
      <c r="A92" s="191"/>
      <c r="B92" s="1088" t="s">
        <v>1077</v>
      </c>
      <c r="C92" s="1177" t="s">
        <v>1078</v>
      </c>
      <c r="D92" s="248" t="s">
        <v>1079</v>
      </c>
      <c r="E92" s="1269">
        <v>0.5</v>
      </c>
      <c r="F92" s="217">
        <v>9</v>
      </c>
      <c r="G92" s="213">
        <v>0</v>
      </c>
      <c r="H92" s="213">
        <v>3</v>
      </c>
      <c r="I92" s="218"/>
      <c r="J92" s="218">
        <f t="shared" si="75"/>
        <v>0.33333333333333331</v>
      </c>
      <c r="K92" s="218"/>
      <c r="L92" s="218">
        <f t="shared" si="76"/>
        <v>0.16666666666666666</v>
      </c>
      <c r="M92" s="213"/>
      <c r="N92" s="656">
        <v>0</v>
      </c>
      <c r="O92" s="656">
        <v>0.35</v>
      </c>
      <c r="P92" s="213"/>
      <c r="Q92" s="213"/>
      <c r="R92" s="213">
        <f t="shared" si="77"/>
        <v>0.35</v>
      </c>
      <c r="S92" s="213">
        <f t="shared" si="78"/>
        <v>0.35</v>
      </c>
      <c r="T92" s="218"/>
      <c r="U92" s="218">
        <f t="shared" si="83"/>
        <v>0.11666666666666665</v>
      </c>
      <c r="V92" s="218"/>
      <c r="W92" s="218">
        <f t="shared" si="84"/>
        <v>5.8333333333333327E-2</v>
      </c>
      <c r="X92" s="218"/>
      <c r="Y92" s="218">
        <f t="shared" si="85"/>
        <v>3.888888888888889E-2</v>
      </c>
      <c r="Z92" s="218"/>
      <c r="AA92" s="218">
        <f>+Y92*E92</f>
        <v>1.9444444444444445E-2</v>
      </c>
      <c r="AB92" s="234" t="s">
        <v>1080</v>
      </c>
      <c r="AC92" s="200"/>
      <c r="AD92" s="753" t="s">
        <v>888</v>
      </c>
      <c r="AE92" s="753" t="s">
        <v>885</v>
      </c>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row>
    <row r="93" spans="1:54" ht="85.15" customHeight="1" thickBot="1" x14ac:dyDescent="0.35">
      <c r="A93" s="191"/>
      <c r="B93" s="1088" t="s">
        <v>1081</v>
      </c>
      <c r="C93" s="1177" t="s">
        <v>1082</v>
      </c>
      <c r="D93" s="226" t="s">
        <v>1028</v>
      </c>
      <c r="E93" s="1269">
        <v>0.05</v>
      </c>
      <c r="F93" s="217">
        <v>2</v>
      </c>
      <c r="G93" s="213">
        <v>0</v>
      </c>
      <c r="H93" s="213">
        <v>1</v>
      </c>
      <c r="I93" s="218"/>
      <c r="J93" s="218">
        <f t="shared" si="75"/>
        <v>0.5</v>
      </c>
      <c r="K93" s="218"/>
      <c r="L93" s="218">
        <f>+(H93/F93)*E93</f>
        <v>2.5000000000000001E-2</v>
      </c>
      <c r="M93" s="213"/>
      <c r="N93" s="656">
        <v>0</v>
      </c>
      <c r="O93" s="656">
        <v>0.27</v>
      </c>
      <c r="P93" s="213"/>
      <c r="Q93" s="213"/>
      <c r="R93" s="213">
        <f t="shared" si="77"/>
        <v>0.27</v>
      </c>
      <c r="S93" s="213">
        <f t="shared" si="78"/>
        <v>0.27</v>
      </c>
      <c r="T93" s="218"/>
      <c r="U93" s="218">
        <f t="shared" si="83"/>
        <v>0.27</v>
      </c>
      <c r="V93" s="218"/>
      <c r="W93" s="218">
        <f t="shared" si="84"/>
        <v>1.3500000000000002E-2</v>
      </c>
      <c r="X93" s="218"/>
      <c r="Y93" s="218">
        <f t="shared" si="85"/>
        <v>0.13500000000000001</v>
      </c>
      <c r="Z93" s="218"/>
      <c r="AA93" s="218">
        <f>+Y93*E93</f>
        <v>6.7500000000000008E-3</v>
      </c>
      <c r="AB93" s="234" t="s">
        <v>1029</v>
      </c>
      <c r="AC93" s="757" t="s">
        <v>44</v>
      </c>
      <c r="AD93" s="753" t="s">
        <v>888</v>
      </c>
      <c r="AE93" s="753" t="s">
        <v>885</v>
      </c>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row>
    <row r="94" spans="1:54" ht="76.900000000000006" customHeight="1" thickBot="1" x14ac:dyDescent="0.35">
      <c r="A94" s="191"/>
      <c r="B94" s="1088" t="s">
        <v>1083</v>
      </c>
      <c r="C94" s="1177" t="s">
        <v>1084</v>
      </c>
      <c r="D94" s="227" t="s">
        <v>1028</v>
      </c>
      <c r="E94" s="1269">
        <v>0.25</v>
      </c>
      <c r="F94" s="217">
        <v>80</v>
      </c>
      <c r="G94" s="213">
        <v>0</v>
      </c>
      <c r="H94" s="213">
        <v>26</v>
      </c>
      <c r="I94" s="218"/>
      <c r="J94" s="218">
        <f t="shared" si="75"/>
        <v>0.32500000000000001</v>
      </c>
      <c r="K94" s="218"/>
      <c r="L94" s="218">
        <f>+(H94/F94)*E94</f>
        <v>8.1250000000000003E-2</v>
      </c>
      <c r="M94" s="213"/>
      <c r="N94" s="656">
        <v>0</v>
      </c>
      <c r="O94" s="656">
        <v>0</v>
      </c>
      <c r="P94" s="213"/>
      <c r="Q94" s="213"/>
      <c r="R94" s="213">
        <f t="shared" si="77"/>
        <v>0</v>
      </c>
      <c r="S94" s="213">
        <f t="shared" si="78"/>
        <v>0</v>
      </c>
      <c r="T94" s="218"/>
      <c r="U94" s="218">
        <f t="shared" si="83"/>
        <v>0</v>
      </c>
      <c r="V94" s="218"/>
      <c r="W94" s="218">
        <f t="shared" si="84"/>
        <v>0</v>
      </c>
      <c r="X94" s="218"/>
      <c r="Y94" s="218">
        <f t="shared" si="85"/>
        <v>0</v>
      </c>
      <c r="Z94" s="218"/>
      <c r="AA94" s="218">
        <f>+Y94*E94</f>
        <v>0</v>
      </c>
      <c r="AB94" s="234" t="s">
        <v>1029</v>
      </c>
      <c r="AC94" s="757" t="s">
        <v>44</v>
      </c>
      <c r="AD94" s="753" t="s">
        <v>888</v>
      </c>
      <c r="AE94" s="753" t="s">
        <v>885</v>
      </c>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row>
    <row r="95" spans="1:54" ht="75.75" thickBot="1" x14ac:dyDescent="0.35">
      <c r="A95" s="191"/>
      <c r="B95" s="1189" t="s">
        <v>1085</v>
      </c>
      <c r="C95" s="1190" t="s">
        <v>1086</v>
      </c>
      <c r="D95" s="238" t="s">
        <v>1028</v>
      </c>
      <c r="E95" s="1269">
        <v>0.2</v>
      </c>
      <c r="F95" s="217">
        <v>25</v>
      </c>
      <c r="G95" s="213">
        <v>0</v>
      </c>
      <c r="H95" s="213">
        <v>8</v>
      </c>
      <c r="I95" s="218"/>
      <c r="J95" s="218">
        <f t="shared" si="75"/>
        <v>0.32</v>
      </c>
      <c r="K95" s="218"/>
      <c r="L95" s="218">
        <f t="shared" si="76"/>
        <v>6.4000000000000001E-2</v>
      </c>
      <c r="M95" s="213"/>
      <c r="N95" s="656">
        <v>0</v>
      </c>
      <c r="O95" s="656">
        <v>0</v>
      </c>
      <c r="P95" s="213"/>
      <c r="Q95" s="213"/>
      <c r="R95" s="213">
        <f t="shared" si="77"/>
        <v>0</v>
      </c>
      <c r="S95" s="213">
        <f t="shared" si="78"/>
        <v>0</v>
      </c>
      <c r="T95" s="218"/>
      <c r="U95" s="218">
        <f>+R95/H95</f>
        <v>0</v>
      </c>
      <c r="V95" s="218"/>
      <c r="W95" s="218">
        <f t="shared" si="84"/>
        <v>0</v>
      </c>
      <c r="X95" s="218"/>
      <c r="Y95" s="218">
        <f t="shared" si="85"/>
        <v>0</v>
      </c>
      <c r="Z95" s="218"/>
      <c r="AA95" s="218">
        <f>+Y95*E95</f>
        <v>0</v>
      </c>
      <c r="AB95" s="234" t="s">
        <v>1029</v>
      </c>
      <c r="AC95" s="757" t="s">
        <v>44</v>
      </c>
      <c r="AD95" s="753" t="s">
        <v>888</v>
      </c>
      <c r="AE95" s="753" t="s">
        <v>885</v>
      </c>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row>
    <row r="96" spans="1:54" ht="100.5" customHeight="1" thickBot="1" x14ac:dyDescent="0.35">
      <c r="A96" s="191"/>
      <c r="B96" s="1316" t="s">
        <v>1087</v>
      </c>
      <c r="C96" s="1315"/>
      <c r="D96" s="239"/>
      <c r="E96" s="209">
        <v>0.15</v>
      </c>
      <c r="F96" s="229"/>
      <c r="G96" s="206"/>
      <c r="H96" s="206"/>
      <c r="I96" s="212">
        <f>+AVERAGE(I97:I99)*0.33</f>
        <v>0.33</v>
      </c>
      <c r="J96" s="212">
        <f>+AVERAGE(J97:J99)</f>
        <v>1</v>
      </c>
      <c r="K96" s="212">
        <f>+K97+K98+K99</f>
        <v>0.8</v>
      </c>
      <c r="L96" s="212">
        <f>+L97+L98+L99</f>
        <v>1</v>
      </c>
      <c r="M96" s="211"/>
      <c r="N96" s="211"/>
      <c r="O96" s="211"/>
      <c r="P96" s="211"/>
      <c r="Q96" s="211"/>
      <c r="R96" s="211"/>
      <c r="S96" s="211"/>
      <c r="T96" s="235">
        <f>+AVERAGE(T97:T99)</f>
        <v>1</v>
      </c>
      <c r="U96" s="235">
        <f>+AVERAGE(U97:U99)</f>
        <v>0.28999999999999998</v>
      </c>
      <c r="V96" s="235">
        <f>+(V97+V98+V99)*E96</f>
        <v>0.12</v>
      </c>
      <c r="W96" s="235">
        <f>+(W97+W98+W99)*E96</f>
        <v>5.9400000000000001E-2</v>
      </c>
      <c r="X96" s="212">
        <f>+AVERAGE(X97:X99)</f>
        <v>0.33</v>
      </c>
      <c r="Y96" s="212">
        <f>+AVERAGE(Y97:Y99)</f>
        <v>0.46666666666666662</v>
      </c>
      <c r="Z96" s="212">
        <f>+(Z97+Z98+Z99)*E96</f>
        <v>3.9600000000000003E-2</v>
      </c>
      <c r="AA96" s="212">
        <f>+(AA97+AA98+AA99)</f>
        <v>0.82000000000000006</v>
      </c>
      <c r="AB96" s="234"/>
      <c r="AC96" s="491"/>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row>
    <row r="97" spans="1:54" ht="91.15" customHeight="1" thickBot="1" x14ac:dyDescent="0.35">
      <c r="A97" s="191"/>
      <c r="B97" s="1068" t="s">
        <v>1088</v>
      </c>
      <c r="C97" s="1069" t="s">
        <v>1089</v>
      </c>
      <c r="D97" s="245" t="s">
        <v>1028</v>
      </c>
      <c r="E97" s="1269">
        <v>0.8</v>
      </c>
      <c r="F97" s="217">
        <v>1</v>
      </c>
      <c r="G97" s="213">
        <v>1</v>
      </c>
      <c r="H97" s="213">
        <v>1</v>
      </c>
      <c r="I97" s="218">
        <f>+G97/F97</f>
        <v>1</v>
      </c>
      <c r="J97" s="218">
        <f t="shared" ref="J97:J99" si="86">+H97/F97</f>
        <v>1</v>
      </c>
      <c r="K97" s="218">
        <f>+(G97/F97)*E97</f>
        <v>0.8</v>
      </c>
      <c r="L97" s="218">
        <f t="shared" si="76"/>
        <v>0.8</v>
      </c>
      <c r="M97" s="249">
        <v>1</v>
      </c>
      <c r="N97" s="658">
        <v>0</v>
      </c>
      <c r="O97" s="249">
        <v>0.47</v>
      </c>
      <c r="P97" s="249"/>
      <c r="Q97" s="249"/>
      <c r="R97" s="249">
        <f t="shared" si="77"/>
        <v>0.47</v>
      </c>
      <c r="S97" s="249">
        <f t="shared" si="78"/>
        <v>1.47</v>
      </c>
      <c r="T97" s="218">
        <f>+(M97/G97)</f>
        <v>1</v>
      </c>
      <c r="U97" s="218">
        <f t="shared" si="83"/>
        <v>0.47</v>
      </c>
      <c r="V97" s="220">
        <f>+T97*E97</f>
        <v>0.8</v>
      </c>
      <c r="W97" s="220">
        <f t="shared" si="84"/>
        <v>0.376</v>
      </c>
      <c r="X97" s="218">
        <f>+(M97/F97)*0.33</f>
        <v>0.33</v>
      </c>
      <c r="Y97" s="218">
        <v>1</v>
      </c>
      <c r="Z97" s="218">
        <f>+X97*E97</f>
        <v>0.26400000000000001</v>
      </c>
      <c r="AA97" s="218">
        <f>+Y97*E97</f>
        <v>0.8</v>
      </c>
      <c r="AB97" s="717" t="s">
        <v>43</v>
      </c>
      <c r="AC97" s="756" t="s">
        <v>1090</v>
      </c>
      <c r="AD97" s="753" t="s">
        <v>888</v>
      </c>
      <c r="AE97" s="756" t="s">
        <v>1091</v>
      </c>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row>
    <row r="98" spans="1:54" ht="60.6" customHeight="1" thickBot="1" x14ac:dyDescent="0.35">
      <c r="A98" s="191"/>
      <c r="B98" s="1191" t="s">
        <v>1092</v>
      </c>
      <c r="C98" s="1192" t="s">
        <v>1093</v>
      </c>
      <c r="D98" s="239" t="s">
        <v>1028</v>
      </c>
      <c r="E98" s="1269">
        <v>0.15</v>
      </c>
      <c r="F98" s="217">
        <v>1</v>
      </c>
      <c r="G98" s="213">
        <v>0</v>
      </c>
      <c r="H98" s="213">
        <v>1</v>
      </c>
      <c r="I98" s="218"/>
      <c r="J98" s="218">
        <f t="shared" si="86"/>
        <v>1</v>
      </c>
      <c r="K98" s="218"/>
      <c r="L98" s="218">
        <f>+(H98/F98)*E98</f>
        <v>0.15</v>
      </c>
      <c r="M98" s="213"/>
      <c r="N98" s="656">
        <v>0</v>
      </c>
      <c r="O98" s="213">
        <v>0</v>
      </c>
      <c r="P98" s="213"/>
      <c r="Q98" s="213"/>
      <c r="R98" s="213">
        <f t="shared" si="77"/>
        <v>0</v>
      </c>
      <c r="S98" s="213">
        <f t="shared" si="78"/>
        <v>0</v>
      </c>
      <c r="T98" s="218"/>
      <c r="U98" s="218">
        <f t="shared" si="83"/>
        <v>0</v>
      </c>
      <c r="V98" s="220"/>
      <c r="W98" s="220">
        <f>+U98*E98</f>
        <v>0</v>
      </c>
      <c r="X98" s="218"/>
      <c r="Y98" s="218">
        <f t="shared" si="85"/>
        <v>0</v>
      </c>
      <c r="Z98" s="218"/>
      <c r="AA98" s="218">
        <f t="shared" ref="AA98:AA99" si="87">+Y98*E98</f>
        <v>0</v>
      </c>
      <c r="AB98" s="222" t="s">
        <v>43</v>
      </c>
      <c r="AC98" s="757" t="s">
        <v>44</v>
      </c>
      <c r="AD98" s="753" t="s">
        <v>888</v>
      </c>
      <c r="AE98" s="753" t="s">
        <v>885</v>
      </c>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row>
    <row r="99" spans="1:54" ht="53.45" customHeight="1" thickBot="1" x14ac:dyDescent="0.35">
      <c r="A99" s="191"/>
      <c r="B99" s="1193" t="s">
        <v>1094</v>
      </c>
      <c r="C99" s="1194" t="s">
        <v>1095</v>
      </c>
      <c r="D99" s="245" t="s">
        <v>1028</v>
      </c>
      <c r="E99" s="1269">
        <v>0.05</v>
      </c>
      <c r="F99" s="217">
        <v>1</v>
      </c>
      <c r="G99" s="213">
        <v>0</v>
      </c>
      <c r="H99" s="213">
        <v>1</v>
      </c>
      <c r="I99" s="218"/>
      <c r="J99" s="218">
        <f t="shared" si="86"/>
        <v>1</v>
      </c>
      <c r="K99" s="218"/>
      <c r="L99" s="218">
        <f t="shared" si="76"/>
        <v>0.05</v>
      </c>
      <c r="M99" s="213"/>
      <c r="N99" s="656">
        <v>0</v>
      </c>
      <c r="O99" s="213">
        <v>0.4</v>
      </c>
      <c r="P99" s="213"/>
      <c r="Q99" s="213"/>
      <c r="R99" s="213">
        <f t="shared" si="77"/>
        <v>0.4</v>
      </c>
      <c r="S99" s="213">
        <f t="shared" si="78"/>
        <v>0.4</v>
      </c>
      <c r="T99" s="218"/>
      <c r="U99" s="218">
        <f t="shared" si="83"/>
        <v>0.4</v>
      </c>
      <c r="V99" s="220"/>
      <c r="W99" s="220">
        <f t="shared" si="84"/>
        <v>2.0000000000000004E-2</v>
      </c>
      <c r="X99" s="218"/>
      <c r="Y99" s="218">
        <f t="shared" si="85"/>
        <v>0.4</v>
      </c>
      <c r="Z99" s="218"/>
      <c r="AA99" s="218">
        <f t="shared" si="87"/>
        <v>2.0000000000000004E-2</v>
      </c>
      <c r="AB99" s="222" t="s">
        <v>43</v>
      </c>
      <c r="AC99" s="757" t="s">
        <v>44</v>
      </c>
      <c r="AD99" s="753" t="s">
        <v>888</v>
      </c>
      <c r="AE99" s="753" t="s">
        <v>885</v>
      </c>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row>
    <row r="100" spans="1:54" ht="78" customHeight="1" thickBot="1" x14ac:dyDescent="0.35">
      <c r="A100" s="191"/>
      <c r="B100" s="1314" t="s">
        <v>1096</v>
      </c>
      <c r="C100" s="1315"/>
      <c r="D100" s="239"/>
      <c r="E100" s="201">
        <v>0.1</v>
      </c>
      <c r="F100" s="202">
        <f>+E100*V100</f>
        <v>5.6500000000000009E-2</v>
      </c>
      <c r="G100" s="206"/>
      <c r="H100" s="202">
        <f>+E100*W100</f>
        <v>3.9052970918731528E-2</v>
      </c>
      <c r="I100" s="204">
        <f>+(I101+I107+I117)/3</f>
        <v>0.17360979649420338</v>
      </c>
      <c r="J100" s="204">
        <f>+(J101+J107+J117)/3</f>
        <v>0.38970610582327403</v>
      </c>
      <c r="K100" s="205">
        <f>+(K101+K107+K117)/3</f>
        <v>9.382477763087127E-2</v>
      </c>
      <c r="L100" s="205">
        <f>+(L101+L107+L117)/3</f>
        <v>0.32245386743248144</v>
      </c>
      <c r="M100" s="206"/>
      <c r="N100" s="206"/>
      <c r="O100" s="206"/>
      <c r="P100" s="206"/>
      <c r="Q100" s="206"/>
      <c r="R100" s="206"/>
      <c r="S100" s="206"/>
      <c r="T100" s="204">
        <f>+(T101+T107+T117)/3</f>
        <v>1</v>
      </c>
      <c r="U100" s="204">
        <f>+(U101+U107+U117)/3</f>
        <v>0.43699046939261071</v>
      </c>
      <c r="V100" s="205">
        <f>V101+V107+V117</f>
        <v>0.56500000000000006</v>
      </c>
      <c r="W100" s="205">
        <f>W101+W107+W117</f>
        <v>0.39052970918731522</v>
      </c>
      <c r="X100" s="204">
        <f>(X101+X107+X117)/3</f>
        <v>0.19428158691255218</v>
      </c>
      <c r="Y100" s="204">
        <f>(Y101+Y107+Y117)/3</f>
        <v>0.28886778775222194</v>
      </c>
      <c r="Z100" s="205">
        <f>Z101+Z107+Z117</f>
        <v>0.10879627598215055</v>
      </c>
      <c r="AA100" s="205">
        <f>AA101*E101+AA107*E107+AA117*Y117</f>
        <v>0.27083786061052356</v>
      </c>
      <c r="AB100" s="234"/>
      <c r="AC100" s="200"/>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row>
    <row r="101" spans="1:54" ht="72" customHeight="1" thickBot="1" x14ac:dyDescent="0.35">
      <c r="A101" s="191"/>
      <c r="B101" s="1312" t="s">
        <v>1097</v>
      </c>
      <c r="C101" s="1313"/>
      <c r="D101" s="240"/>
      <c r="E101" s="209">
        <v>0.25</v>
      </c>
      <c r="F101" s="229"/>
      <c r="G101" s="213"/>
      <c r="H101" s="213"/>
      <c r="I101" s="212">
        <f>+AVERAGE(I102:I106)</f>
        <v>0.17798528579513301</v>
      </c>
      <c r="J101" s="212">
        <f>+AVERAGE(J102:J106)</f>
        <v>0.28952461799660439</v>
      </c>
      <c r="K101" s="212">
        <f>+K102+K103+K104+K105+K106</f>
        <v>0.17798528579513301</v>
      </c>
      <c r="L101" s="212">
        <f>+L102+L103+L104+L105+L106</f>
        <v>0.28952461799660439</v>
      </c>
      <c r="M101" s="213"/>
      <c r="N101" s="213"/>
      <c r="O101" s="213"/>
      <c r="P101" s="213"/>
      <c r="Q101" s="213"/>
      <c r="R101" s="213"/>
      <c r="S101" s="213"/>
      <c r="T101" s="235">
        <f>+AVERAGE(T102:T106)</f>
        <v>1</v>
      </c>
      <c r="U101" s="235">
        <f>+AVERAGE(U102:U106)</f>
        <v>0.76002855103497502</v>
      </c>
      <c r="V101" s="235">
        <f>+(V102+V103+V104+V105+V106)*E101</f>
        <v>0.25</v>
      </c>
      <c r="W101" s="235">
        <f>+(W102+W103+W104+W105+W106)*E101</f>
        <v>0.19000713775874378</v>
      </c>
      <c r="X101" s="212">
        <f>+AVERAGE(X102:X106)</f>
        <v>0.17866440294284094</v>
      </c>
      <c r="Y101" s="212">
        <f>+AVERAGE(Y102:Y106)</f>
        <v>0.40000565930956428</v>
      </c>
      <c r="Z101" s="212">
        <f>+(Z102+Z103+Z104+Z105+Z106)*E101</f>
        <v>4.4666100735710243E-2</v>
      </c>
      <c r="AA101" s="212">
        <f>+(AA102+AA103+AA104+AA105+AA106)</f>
        <v>0.40000565930956422</v>
      </c>
      <c r="AB101" s="234"/>
      <c r="AC101" s="200"/>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row>
    <row r="102" spans="1:54" ht="53.45" customHeight="1" thickBot="1" x14ac:dyDescent="0.35">
      <c r="A102" s="191"/>
      <c r="B102" s="1077" t="s">
        <v>1098</v>
      </c>
      <c r="C102" s="1078" t="s">
        <v>1099</v>
      </c>
      <c r="D102" s="242" t="s">
        <v>1100</v>
      </c>
      <c r="E102" s="1269">
        <v>0.2</v>
      </c>
      <c r="F102" s="217">
        <v>10</v>
      </c>
      <c r="G102" s="213">
        <v>1</v>
      </c>
      <c r="H102" s="213">
        <v>3</v>
      </c>
      <c r="I102" s="218">
        <f>+G102/F102</f>
        <v>0.1</v>
      </c>
      <c r="J102" s="218">
        <f t="shared" ref="J102:J106" si="88">+H102/F102</f>
        <v>0.3</v>
      </c>
      <c r="K102" s="218">
        <f>+(G102/F102)*E102</f>
        <v>2.0000000000000004E-2</v>
      </c>
      <c r="L102" s="218">
        <f t="shared" ref="L102:L106" si="89">+(H102/F102)*E102</f>
        <v>0.06</v>
      </c>
      <c r="M102" s="213">
        <v>1</v>
      </c>
      <c r="N102" s="656">
        <v>0</v>
      </c>
      <c r="O102" s="656">
        <v>1</v>
      </c>
      <c r="P102" s="213"/>
      <c r="Q102" s="213"/>
      <c r="R102" s="213">
        <f t="shared" ref="R102:R123" si="90">+N102+O102+P102+Q102</f>
        <v>1</v>
      </c>
      <c r="S102" s="213">
        <f t="shared" ref="S102:S123" si="91">+R102+M102</f>
        <v>2</v>
      </c>
      <c r="T102" s="218">
        <f>+(M102/G102)</f>
        <v>1</v>
      </c>
      <c r="U102" s="218">
        <f t="shared" ref="U102:U104" si="92">+R102/H102</f>
        <v>0.33333333333333331</v>
      </c>
      <c r="V102" s="218">
        <f>+T102*E102</f>
        <v>0.2</v>
      </c>
      <c r="W102" s="218">
        <f t="shared" ref="W102:W106" si="93">+U102*E102</f>
        <v>6.6666666666666666E-2</v>
      </c>
      <c r="X102" s="218">
        <f>+M102/F102</f>
        <v>0.1</v>
      </c>
      <c r="Y102" s="218">
        <f t="shared" ref="Y102:Y106" si="94">+S102/F102</f>
        <v>0.2</v>
      </c>
      <c r="Z102" s="218">
        <f>+X102*E102</f>
        <v>2.0000000000000004E-2</v>
      </c>
      <c r="AA102" s="218">
        <f>+Y102*E102</f>
        <v>4.0000000000000008E-2</v>
      </c>
      <c r="AB102" s="222" t="s">
        <v>43</v>
      </c>
      <c r="AC102" s="757" t="s">
        <v>44</v>
      </c>
      <c r="AD102" s="753" t="s">
        <v>888</v>
      </c>
      <c r="AE102" s="753" t="s">
        <v>885</v>
      </c>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row>
    <row r="103" spans="1:54" ht="66.599999999999994" customHeight="1" thickBot="1" x14ac:dyDescent="0.35">
      <c r="A103" s="191"/>
      <c r="B103" s="1083" t="s">
        <v>1101</v>
      </c>
      <c r="C103" s="1084" t="s">
        <v>1102</v>
      </c>
      <c r="D103" s="239" t="s">
        <v>1100</v>
      </c>
      <c r="E103" s="1269">
        <v>0.2</v>
      </c>
      <c r="F103" s="217">
        <v>1767</v>
      </c>
      <c r="G103" s="213">
        <v>100</v>
      </c>
      <c r="H103" s="213">
        <v>467</v>
      </c>
      <c r="I103" s="218">
        <f>+G103/F103</f>
        <v>5.6593095642331635E-2</v>
      </c>
      <c r="J103" s="218">
        <f t="shared" si="88"/>
        <v>0.26428975664968873</v>
      </c>
      <c r="K103" s="218">
        <f>+(G103/F103)*E103</f>
        <v>1.1318619128466328E-2</v>
      </c>
      <c r="L103" s="218">
        <f t="shared" si="89"/>
        <v>5.2857951329937751E-2</v>
      </c>
      <c r="M103" s="213">
        <v>106</v>
      </c>
      <c r="N103" s="656">
        <v>78</v>
      </c>
      <c r="O103" s="656">
        <v>140</v>
      </c>
      <c r="P103" s="213"/>
      <c r="Q103" s="213"/>
      <c r="R103" s="213">
        <f t="shared" si="90"/>
        <v>218</v>
      </c>
      <c r="S103" s="213">
        <f t="shared" si="91"/>
        <v>324</v>
      </c>
      <c r="T103" s="218">
        <v>1</v>
      </c>
      <c r="U103" s="218">
        <f t="shared" si="92"/>
        <v>0.46680942184154178</v>
      </c>
      <c r="V103" s="218">
        <f>+T103*E103</f>
        <v>0.2</v>
      </c>
      <c r="W103" s="218">
        <f t="shared" si="93"/>
        <v>9.3361884368308362E-2</v>
      </c>
      <c r="X103" s="218">
        <f>+M103/F103</f>
        <v>5.9988681380871531E-2</v>
      </c>
      <c r="Y103" s="218">
        <f t="shared" si="94"/>
        <v>0.18336162988115451</v>
      </c>
      <c r="Z103" s="218">
        <f>+X103*E103</f>
        <v>1.1997736276174308E-2</v>
      </c>
      <c r="AA103" s="218">
        <f>+Y103*E103</f>
        <v>3.66723259762309E-2</v>
      </c>
      <c r="AB103" s="222" t="s">
        <v>43</v>
      </c>
      <c r="AC103" s="757" t="s">
        <v>44</v>
      </c>
      <c r="AD103" s="753" t="s">
        <v>888</v>
      </c>
      <c r="AE103" s="753" t="s">
        <v>885</v>
      </c>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row>
    <row r="104" spans="1:54" ht="65.45" customHeight="1" thickBot="1" x14ac:dyDescent="0.35">
      <c r="A104" s="191"/>
      <c r="B104" s="1083" t="s">
        <v>1103</v>
      </c>
      <c r="C104" s="1084" t="s">
        <v>1104</v>
      </c>
      <c r="D104" s="239" t="s">
        <v>1100</v>
      </c>
      <c r="E104" s="1269">
        <v>0.2</v>
      </c>
      <c r="F104" s="217">
        <v>200</v>
      </c>
      <c r="G104" s="213">
        <v>20</v>
      </c>
      <c r="H104" s="213">
        <v>60</v>
      </c>
      <c r="I104" s="218">
        <f>+G104/F104</f>
        <v>0.1</v>
      </c>
      <c r="J104" s="218">
        <f t="shared" si="88"/>
        <v>0.3</v>
      </c>
      <c r="K104" s="218">
        <f>+(G104/F104)*E104</f>
        <v>2.0000000000000004E-2</v>
      </c>
      <c r="L104" s="218">
        <f t="shared" si="89"/>
        <v>0.06</v>
      </c>
      <c r="M104" s="213">
        <v>20</v>
      </c>
      <c r="N104" s="656">
        <v>33</v>
      </c>
      <c r="O104" s="656">
        <v>27</v>
      </c>
      <c r="P104" s="213"/>
      <c r="Q104" s="213"/>
      <c r="R104" s="213">
        <f t="shared" si="90"/>
        <v>60</v>
      </c>
      <c r="S104" s="213">
        <f t="shared" si="91"/>
        <v>80</v>
      </c>
      <c r="T104" s="218">
        <f>+(M104/G104)</f>
        <v>1</v>
      </c>
      <c r="U104" s="218">
        <f t="shared" si="92"/>
        <v>1</v>
      </c>
      <c r="V104" s="218">
        <f>+T104*E104</f>
        <v>0.2</v>
      </c>
      <c r="W104" s="218">
        <f t="shared" si="93"/>
        <v>0.2</v>
      </c>
      <c r="X104" s="218">
        <f>+M104/F104</f>
        <v>0.1</v>
      </c>
      <c r="Y104" s="218">
        <f t="shared" si="94"/>
        <v>0.4</v>
      </c>
      <c r="Z104" s="218">
        <f>+X104*E104</f>
        <v>2.0000000000000004E-2</v>
      </c>
      <c r="AA104" s="218">
        <f>+Y104*E104</f>
        <v>8.0000000000000016E-2</v>
      </c>
      <c r="AB104" s="222" t="s">
        <v>43</v>
      </c>
      <c r="AC104" s="757" t="s">
        <v>44</v>
      </c>
      <c r="AD104" s="753" t="s">
        <v>888</v>
      </c>
      <c r="AE104" s="753" t="s">
        <v>885</v>
      </c>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row>
    <row r="105" spans="1:54" ht="51" customHeight="1" thickBot="1" x14ac:dyDescent="0.35">
      <c r="A105" s="191"/>
      <c r="B105" s="1085" t="s">
        <v>1105</v>
      </c>
      <c r="C105" s="1086" t="s">
        <v>1106</v>
      </c>
      <c r="D105" s="240" t="s">
        <v>1100</v>
      </c>
      <c r="E105" s="1269">
        <v>0.2</v>
      </c>
      <c r="F105" s="217">
        <v>100</v>
      </c>
      <c r="G105" s="213">
        <v>30</v>
      </c>
      <c r="H105" s="213">
        <v>25</v>
      </c>
      <c r="I105" s="218">
        <f>+G105/F105</f>
        <v>0.3</v>
      </c>
      <c r="J105" s="218">
        <f t="shared" si="88"/>
        <v>0.25</v>
      </c>
      <c r="K105" s="218">
        <f>+(G105/F105)*E105</f>
        <v>0.06</v>
      </c>
      <c r="L105" s="218">
        <f t="shared" si="89"/>
        <v>0.05</v>
      </c>
      <c r="M105" s="213">
        <v>30</v>
      </c>
      <c r="N105" s="656">
        <v>10</v>
      </c>
      <c r="O105" s="656">
        <v>15</v>
      </c>
      <c r="P105" s="213"/>
      <c r="Q105" s="213"/>
      <c r="R105" s="213">
        <f t="shared" si="90"/>
        <v>25</v>
      </c>
      <c r="S105" s="213">
        <f t="shared" si="91"/>
        <v>55</v>
      </c>
      <c r="T105" s="218">
        <f>+(M105/G105)</f>
        <v>1</v>
      </c>
      <c r="U105" s="218">
        <v>1</v>
      </c>
      <c r="V105" s="218">
        <f>+T105*E105</f>
        <v>0.2</v>
      </c>
      <c r="W105" s="218">
        <f t="shared" si="93"/>
        <v>0.2</v>
      </c>
      <c r="X105" s="218">
        <f>+M105/F105</f>
        <v>0.3</v>
      </c>
      <c r="Y105" s="218">
        <f t="shared" si="94"/>
        <v>0.55000000000000004</v>
      </c>
      <c r="Z105" s="218">
        <f>+X105*E105</f>
        <v>0.06</v>
      </c>
      <c r="AA105" s="218">
        <f>+Y105*E105</f>
        <v>0.11000000000000001</v>
      </c>
      <c r="AB105" s="222" t="s">
        <v>43</v>
      </c>
      <c r="AC105" s="757" t="s">
        <v>44</v>
      </c>
      <c r="AD105" s="753" t="s">
        <v>888</v>
      </c>
      <c r="AE105" s="753" t="s">
        <v>885</v>
      </c>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row>
    <row r="106" spans="1:54" ht="78" customHeight="1" thickBot="1" x14ac:dyDescent="0.35">
      <c r="A106" s="191"/>
      <c r="B106" s="1077" t="s">
        <v>1107</v>
      </c>
      <c r="C106" s="1078" t="s">
        <v>1108</v>
      </c>
      <c r="D106" s="242" t="s">
        <v>1100</v>
      </c>
      <c r="E106" s="1269">
        <v>0.2</v>
      </c>
      <c r="F106" s="217">
        <v>3</v>
      </c>
      <c r="G106" s="213">
        <v>1</v>
      </c>
      <c r="H106" s="213">
        <v>1</v>
      </c>
      <c r="I106" s="218">
        <f>+G106/F106</f>
        <v>0.33333333333333331</v>
      </c>
      <c r="J106" s="218">
        <f t="shared" si="88"/>
        <v>0.33333333333333331</v>
      </c>
      <c r="K106" s="218">
        <f>+(G106/F106)*E106</f>
        <v>6.6666666666666666E-2</v>
      </c>
      <c r="L106" s="218">
        <f t="shared" si="89"/>
        <v>6.6666666666666666E-2</v>
      </c>
      <c r="M106" s="213">
        <v>1</v>
      </c>
      <c r="N106" s="656">
        <v>1</v>
      </c>
      <c r="O106" s="656">
        <v>0</v>
      </c>
      <c r="P106" s="213"/>
      <c r="Q106" s="213"/>
      <c r="R106" s="213">
        <f t="shared" si="90"/>
        <v>1</v>
      </c>
      <c r="S106" s="213">
        <f t="shared" si="91"/>
        <v>2</v>
      </c>
      <c r="T106" s="218">
        <f>+(M106/G106)</f>
        <v>1</v>
      </c>
      <c r="U106" s="218">
        <v>1</v>
      </c>
      <c r="V106" s="218">
        <f>+T106*E106</f>
        <v>0.2</v>
      </c>
      <c r="W106" s="218">
        <f t="shared" si="93"/>
        <v>0.2</v>
      </c>
      <c r="X106" s="218">
        <f>+M106/F106</f>
        <v>0.33333333333333331</v>
      </c>
      <c r="Y106" s="218">
        <f t="shared" si="94"/>
        <v>0.66666666666666663</v>
      </c>
      <c r="Z106" s="218">
        <f>+X106*E106</f>
        <v>6.6666666666666666E-2</v>
      </c>
      <c r="AA106" s="218">
        <f>+Y106*E106</f>
        <v>0.13333333333333333</v>
      </c>
      <c r="AB106" s="222" t="s">
        <v>43</v>
      </c>
      <c r="AC106" s="757" t="s">
        <v>44</v>
      </c>
      <c r="AD106" s="753" t="s">
        <v>888</v>
      </c>
      <c r="AE106" s="753" t="s">
        <v>885</v>
      </c>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row>
    <row r="107" spans="1:54" ht="129" customHeight="1" thickBot="1" x14ac:dyDescent="0.35">
      <c r="A107" s="191"/>
      <c r="B107" s="1316" t="s">
        <v>1109</v>
      </c>
      <c r="C107" s="1315"/>
      <c r="D107" s="239"/>
      <c r="E107" s="209">
        <v>0.45</v>
      </c>
      <c r="F107" s="229"/>
      <c r="G107" s="213"/>
      <c r="H107" s="213"/>
      <c r="I107" s="212">
        <f>+AVERAGE(I108:I116)</f>
        <v>9.2844103687477184E-2</v>
      </c>
      <c r="J107" s="212">
        <f>+AVERAGE(J108:J116)</f>
        <v>0.32959369947321754</v>
      </c>
      <c r="K107" s="212">
        <f>+K108+K109+K110+K111+K112+K113+K114+K115+K116</f>
        <v>6.5989047097480838E-2</v>
      </c>
      <c r="L107" s="212">
        <f>+L108+L109+L110+L111+L112+L113+L114+L115+L116</f>
        <v>0.26533698430083974</v>
      </c>
      <c r="M107" s="213"/>
      <c r="N107" s="213"/>
      <c r="O107" s="213"/>
      <c r="P107" s="213"/>
      <c r="Q107" s="213"/>
      <c r="R107" s="213"/>
      <c r="S107" s="213"/>
      <c r="T107" s="235">
        <f>+AVERAGE(T108:T116)</f>
        <v>1</v>
      </c>
      <c r="U107" s="235">
        <f>+AVERAGE(U108:U116)</f>
        <v>0.35094285714285711</v>
      </c>
      <c r="V107" s="235">
        <f>+(V108+V109+V110+V111+V112+V113+V114+V115+V116)*E107</f>
        <v>0.27000000000000007</v>
      </c>
      <c r="W107" s="235">
        <f>+(W108+W109+W110+W111+W112+W113+W114+W115+W116)*E107</f>
        <v>0.11052257142857143</v>
      </c>
      <c r="X107" s="212">
        <f>+AVERAGE(X108:X116)</f>
        <v>0.15418035779481562</v>
      </c>
      <c r="Y107" s="212">
        <f>+X107+((Y109-X109)/9)+((Y111-X111)/9)+((Y114-X114)/9)+((Y112-X112)/9)</f>
        <v>0.21659770394710151</v>
      </c>
      <c r="Z107" s="212">
        <f>+(Z108+Z109+Z110+Z111+Z112+Z113+Z114+Z115+Z116)*E107</f>
        <v>5.2880175246440314E-2</v>
      </c>
      <c r="AA107" s="212">
        <f>+(AA108+AA109+AA110+AA111+AA112+AA113+AA114+AA115+AA116)</f>
        <v>0.19213654618473897</v>
      </c>
      <c r="AB107" s="234"/>
      <c r="AC107" s="200"/>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row>
    <row r="108" spans="1:54" ht="92.45" customHeight="1" thickBot="1" x14ac:dyDescent="0.35">
      <c r="A108" s="191"/>
      <c r="B108" s="1085" t="s">
        <v>1110</v>
      </c>
      <c r="C108" s="1086" t="s">
        <v>1111</v>
      </c>
      <c r="D108" s="247" t="s">
        <v>1100</v>
      </c>
      <c r="E108" s="1269">
        <v>0.05</v>
      </c>
      <c r="F108" s="217">
        <v>1</v>
      </c>
      <c r="G108" s="213">
        <v>0</v>
      </c>
      <c r="H108" s="213">
        <v>1</v>
      </c>
      <c r="I108" s="218"/>
      <c r="J108" s="218">
        <f t="shared" ref="J108:J116" si="95">+H108/F108</f>
        <v>1</v>
      </c>
      <c r="K108" s="218"/>
      <c r="L108" s="218">
        <f t="shared" ref="L108:L116" si="96">+(H108/F108)*E108</f>
        <v>0.05</v>
      </c>
      <c r="M108" s="213"/>
      <c r="N108" s="656">
        <v>0</v>
      </c>
      <c r="O108" s="656">
        <v>0</v>
      </c>
      <c r="P108" s="213"/>
      <c r="Q108" s="213"/>
      <c r="R108" s="213">
        <f t="shared" si="90"/>
        <v>0</v>
      </c>
      <c r="S108" s="213">
        <f t="shared" si="91"/>
        <v>0</v>
      </c>
      <c r="T108" s="218"/>
      <c r="U108" s="218">
        <f t="shared" ref="U108:U114" si="97">+R108/H108</f>
        <v>0</v>
      </c>
      <c r="V108" s="218"/>
      <c r="W108" s="218">
        <f t="shared" ref="W108:W116" si="98">+U108*E108</f>
        <v>0</v>
      </c>
      <c r="X108" s="218"/>
      <c r="Y108" s="218"/>
      <c r="Z108" s="218"/>
      <c r="AA108" s="218">
        <f t="shared" ref="AA108:AA123" si="99">+Y108*E108</f>
        <v>0</v>
      </c>
      <c r="AB108" s="222" t="s">
        <v>43</v>
      </c>
      <c r="AC108" s="752" t="s">
        <v>127</v>
      </c>
      <c r="AD108" s="753" t="s">
        <v>888</v>
      </c>
      <c r="AE108" s="753" t="s">
        <v>885</v>
      </c>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row>
    <row r="109" spans="1:54" ht="57.6" customHeight="1" thickBot="1" x14ac:dyDescent="0.35">
      <c r="A109" s="191"/>
      <c r="B109" s="1075" t="s">
        <v>1112</v>
      </c>
      <c r="C109" s="1076" t="s">
        <v>1113</v>
      </c>
      <c r="D109" s="247" t="s">
        <v>1100</v>
      </c>
      <c r="E109" s="1269">
        <v>0.28000000000000003</v>
      </c>
      <c r="F109" s="217">
        <v>3652</v>
      </c>
      <c r="G109" s="213">
        <v>652</v>
      </c>
      <c r="H109" s="213">
        <v>1000</v>
      </c>
      <c r="I109" s="218">
        <f t="shared" ref="I109:I114" si="100">+G109/F109</f>
        <v>0.17853231106243153</v>
      </c>
      <c r="J109" s="218">
        <f t="shared" si="95"/>
        <v>0.2738225629791895</v>
      </c>
      <c r="K109" s="218">
        <f t="shared" ref="K109:K114" si="101">+(G109/F109)*E109</f>
        <v>4.9989047097480831E-2</v>
      </c>
      <c r="L109" s="218">
        <f t="shared" si="96"/>
        <v>7.6670317634173063E-2</v>
      </c>
      <c r="M109" s="213">
        <v>1324</v>
      </c>
      <c r="N109" s="656">
        <v>35</v>
      </c>
      <c r="O109" s="656">
        <v>434</v>
      </c>
      <c r="P109" s="213"/>
      <c r="Q109" s="213"/>
      <c r="R109" s="213">
        <f t="shared" si="90"/>
        <v>469</v>
      </c>
      <c r="S109" s="213">
        <f t="shared" si="91"/>
        <v>1793</v>
      </c>
      <c r="T109" s="218">
        <v>1</v>
      </c>
      <c r="U109" s="218">
        <f t="shared" si="97"/>
        <v>0.46899999999999997</v>
      </c>
      <c r="V109" s="218">
        <f t="shared" ref="V109:V114" si="102">+T109*E109</f>
        <v>0.28000000000000003</v>
      </c>
      <c r="W109" s="218">
        <f t="shared" si="98"/>
        <v>0.13131999999999999</v>
      </c>
      <c r="X109" s="218">
        <f t="shared" ref="X109:X114" si="103">+M109/F109</f>
        <v>0.36254107338444685</v>
      </c>
      <c r="Y109" s="218">
        <f t="shared" ref="Y109:Y121" si="104">+S109/F109</f>
        <v>0.49096385542168675</v>
      </c>
      <c r="Z109" s="218">
        <f t="shared" ref="Z109:Z114" si="105">+X109*E109</f>
        <v>0.10151150054764513</v>
      </c>
      <c r="AA109" s="218">
        <f t="shared" si="99"/>
        <v>0.1374698795180723</v>
      </c>
      <c r="AB109" s="222" t="s">
        <v>43</v>
      </c>
      <c r="AC109" s="757" t="s">
        <v>44</v>
      </c>
      <c r="AD109" s="753" t="s">
        <v>888</v>
      </c>
      <c r="AE109" s="753" t="s">
        <v>885</v>
      </c>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row>
    <row r="110" spans="1:54" s="744" customFormat="1" ht="90" customHeight="1" thickBot="1" x14ac:dyDescent="0.35">
      <c r="A110" s="905"/>
      <c r="B110" s="1075" t="s">
        <v>1114</v>
      </c>
      <c r="C110" s="1076" t="s">
        <v>1115</v>
      </c>
      <c r="D110" s="1130" t="s">
        <v>1100</v>
      </c>
      <c r="E110" s="1271">
        <v>0.05</v>
      </c>
      <c r="F110" s="1131">
        <v>2</v>
      </c>
      <c r="G110" s="906">
        <v>0</v>
      </c>
      <c r="H110" s="906">
        <v>0</v>
      </c>
      <c r="I110" s="907"/>
      <c r="J110" s="907"/>
      <c r="K110" s="907"/>
      <c r="L110" s="907"/>
      <c r="M110" s="906"/>
      <c r="N110" s="1132"/>
      <c r="O110" s="1132">
        <v>0</v>
      </c>
      <c r="P110" s="906"/>
      <c r="Q110" s="906"/>
      <c r="R110" s="906">
        <f t="shared" si="90"/>
        <v>0</v>
      </c>
      <c r="S110" s="906">
        <f t="shared" si="91"/>
        <v>0</v>
      </c>
      <c r="T110" s="907"/>
      <c r="U110" s="907"/>
      <c r="V110" s="907"/>
      <c r="W110" s="907"/>
      <c r="X110" s="907"/>
      <c r="Y110" s="907"/>
      <c r="Z110" s="907"/>
      <c r="AA110" s="907">
        <f t="shared" si="99"/>
        <v>0</v>
      </c>
      <c r="AB110" s="908" t="s">
        <v>43</v>
      </c>
      <c r="AC110" s="1133" t="s">
        <v>44</v>
      </c>
      <c r="AD110" s="1134" t="s">
        <v>888</v>
      </c>
      <c r="AE110" s="753" t="s">
        <v>885</v>
      </c>
      <c r="AF110" s="743"/>
      <c r="AG110" s="743"/>
      <c r="AH110" s="743"/>
      <c r="AI110" s="743"/>
      <c r="AJ110" s="743"/>
      <c r="AK110" s="743"/>
      <c r="AL110" s="743"/>
      <c r="AM110" s="743"/>
      <c r="AN110" s="743"/>
      <c r="AO110" s="743"/>
      <c r="AP110" s="743"/>
      <c r="AQ110" s="743"/>
      <c r="AR110" s="743"/>
      <c r="AS110" s="743"/>
      <c r="AT110" s="743"/>
      <c r="AU110" s="743"/>
      <c r="AV110" s="743"/>
      <c r="AW110" s="743"/>
      <c r="AX110" s="743"/>
      <c r="AY110" s="743"/>
      <c r="AZ110" s="743"/>
      <c r="BA110" s="743"/>
      <c r="BB110" s="743"/>
    </row>
    <row r="111" spans="1:54" ht="54" customHeight="1" thickBot="1" x14ac:dyDescent="0.35">
      <c r="A111" s="191"/>
      <c r="B111" s="1075" t="s">
        <v>1116</v>
      </c>
      <c r="C111" s="1076" t="s">
        <v>1117</v>
      </c>
      <c r="D111" s="227" t="s">
        <v>1100</v>
      </c>
      <c r="E111" s="1269">
        <v>0.2</v>
      </c>
      <c r="F111" s="217">
        <v>20</v>
      </c>
      <c r="G111" s="213">
        <v>1</v>
      </c>
      <c r="H111" s="213">
        <v>7</v>
      </c>
      <c r="I111" s="218">
        <f t="shared" si="100"/>
        <v>0.05</v>
      </c>
      <c r="J111" s="218">
        <f t="shared" si="95"/>
        <v>0.35</v>
      </c>
      <c r="K111" s="218">
        <f t="shared" si="101"/>
        <v>1.0000000000000002E-2</v>
      </c>
      <c r="L111" s="218">
        <f t="shared" si="96"/>
        <v>6.9999999999999993E-2</v>
      </c>
      <c r="M111" s="213">
        <v>1</v>
      </c>
      <c r="N111" s="656">
        <v>0</v>
      </c>
      <c r="O111" s="656">
        <v>0</v>
      </c>
      <c r="P111" s="213"/>
      <c r="Q111" s="213"/>
      <c r="R111" s="213">
        <f t="shared" si="90"/>
        <v>0</v>
      </c>
      <c r="S111" s="213">
        <f t="shared" si="91"/>
        <v>1</v>
      </c>
      <c r="T111" s="218">
        <f t="shared" ref="T111:T114" si="106">+(M111/G111)</f>
        <v>1</v>
      </c>
      <c r="U111" s="218">
        <f t="shared" si="97"/>
        <v>0</v>
      </c>
      <c r="V111" s="218">
        <f t="shared" si="102"/>
        <v>0.2</v>
      </c>
      <c r="W111" s="218">
        <f t="shared" si="98"/>
        <v>0</v>
      </c>
      <c r="X111" s="218">
        <f t="shared" si="103"/>
        <v>0.05</v>
      </c>
      <c r="Y111" s="218">
        <f t="shared" si="104"/>
        <v>0.05</v>
      </c>
      <c r="Z111" s="218">
        <f t="shared" si="105"/>
        <v>1.0000000000000002E-2</v>
      </c>
      <c r="AA111" s="218">
        <f t="shared" si="99"/>
        <v>1.0000000000000002E-2</v>
      </c>
      <c r="AB111" s="222" t="s">
        <v>43</v>
      </c>
      <c r="AC111" s="757" t="s">
        <v>44</v>
      </c>
      <c r="AD111" s="753" t="s">
        <v>888</v>
      </c>
      <c r="AE111" s="753" t="s">
        <v>885</v>
      </c>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row>
    <row r="112" spans="1:54" ht="90.6" customHeight="1" thickBot="1" x14ac:dyDescent="0.35">
      <c r="A112" s="191"/>
      <c r="B112" s="1075" t="s">
        <v>1118</v>
      </c>
      <c r="C112" s="1076" t="s">
        <v>1119</v>
      </c>
      <c r="D112" s="227" t="s">
        <v>1100</v>
      </c>
      <c r="E112" s="1269">
        <v>0.08</v>
      </c>
      <c r="F112" s="217">
        <v>3</v>
      </c>
      <c r="G112" s="213">
        <v>0</v>
      </c>
      <c r="H112" s="213">
        <v>1</v>
      </c>
      <c r="I112" s="218"/>
      <c r="J112" s="218">
        <f t="shared" si="95"/>
        <v>0.33333333333333331</v>
      </c>
      <c r="K112" s="218"/>
      <c r="L112" s="218">
        <f t="shared" si="96"/>
        <v>2.6666666666666665E-2</v>
      </c>
      <c r="M112" s="213"/>
      <c r="N112" s="656">
        <v>0</v>
      </c>
      <c r="O112" s="656">
        <v>1</v>
      </c>
      <c r="P112" s="213"/>
      <c r="Q112" s="213"/>
      <c r="R112" s="213">
        <f t="shared" si="90"/>
        <v>1</v>
      </c>
      <c r="S112" s="213">
        <f t="shared" si="91"/>
        <v>1</v>
      </c>
      <c r="T112" s="218"/>
      <c r="U112" s="218">
        <f t="shared" si="97"/>
        <v>1</v>
      </c>
      <c r="V112" s="218"/>
      <c r="W112" s="218">
        <f t="shared" si="98"/>
        <v>0.08</v>
      </c>
      <c r="X112" s="218"/>
      <c r="Y112" s="218">
        <f t="shared" si="104"/>
        <v>0.33333333333333331</v>
      </c>
      <c r="Z112" s="218"/>
      <c r="AA112" s="218">
        <f t="shared" si="99"/>
        <v>2.6666666666666665E-2</v>
      </c>
      <c r="AB112" s="222" t="s">
        <v>43</v>
      </c>
      <c r="AC112" s="752" t="s">
        <v>127</v>
      </c>
      <c r="AD112" s="753" t="s">
        <v>888</v>
      </c>
      <c r="AE112" s="753" t="s">
        <v>885</v>
      </c>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row>
    <row r="113" spans="1:54" ht="87" customHeight="1" thickBot="1" x14ac:dyDescent="0.35">
      <c r="A113" s="191"/>
      <c r="B113" s="1075" t="s">
        <v>1120</v>
      </c>
      <c r="C113" s="1076" t="s">
        <v>1121</v>
      </c>
      <c r="D113" s="227" t="s">
        <v>1100</v>
      </c>
      <c r="E113" s="1269">
        <v>0.05</v>
      </c>
      <c r="F113" s="217">
        <v>4</v>
      </c>
      <c r="G113" s="213">
        <v>0</v>
      </c>
      <c r="H113" s="213">
        <v>0</v>
      </c>
      <c r="I113" s="218"/>
      <c r="J113" s="218"/>
      <c r="K113" s="218"/>
      <c r="L113" s="218"/>
      <c r="M113" s="213"/>
      <c r="N113" s="656"/>
      <c r="O113" s="656">
        <v>0</v>
      </c>
      <c r="P113" s="213"/>
      <c r="Q113" s="213"/>
      <c r="R113" s="213">
        <f t="shared" si="90"/>
        <v>0</v>
      </c>
      <c r="S113" s="213">
        <f t="shared" si="91"/>
        <v>0</v>
      </c>
      <c r="T113" s="218"/>
      <c r="U113" s="218"/>
      <c r="V113" s="218"/>
      <c r="W113" s="218"/>
      <c r="X113" s="218"/>
      <c r="Y113" s="218"/>
      <c r="Z113" s="218"/>
      <c r="AA113" s="218">
        <f t="shared" si="99"/>
        <v>0</v>
      </c>
      <c r="AB113" s="222" t="s">
        <v>43</v>
      </c>
      <c r="AC113" s="757" t="s">
        <v>44</v>
      </c>
      <c r="AD113" s="753" t="s">
        <v>888</v>
      </c>
      <c r="AE113" s="753" t="s">
        <v>885</v>
      </c>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row>
    <row r="114" spans="1:54" ht="54" customHeight="1" thickBot="1" x14ac:dyDescent="0.35">
      <c r="A114" s="191"/>
      <c r="B114" s="1075" t="s">
        <v>1122</v>
      </c>
      <c r="C114" s="1076" t="s">
        <v>1123</v>
      </c>
      <c r="D114" s="227" t="s">
        <v>1100</v>
      </c>
      <c r="E114" s="1269">
        <v>0.12</v>
      </c>
      <c r="F114" s="217">
        <v>20</v>
      </c>
      <c r="G114" s="213">
        <v>1</v>
      </c>
      <c r="H114" s="213">
        <v>7</v>
      </c>
      <c r="I114" s="218">
        <f t="shared" si="100"/>
        <v>0.05</v>
      </c>
      <c r="J114" s="218">
        <f t="shared" si="95"/>
        <v>0.35</v>
      </c>
      <c r="K114" s="218">
        <f t="shared" si="101"/>
        <v>6.0000000000000001E-3</v>
      </c>
      <c r="L114" s="218">
        <f t="shared" si="96"/>
        <v>4.1999999999999996E-2</v>
      </c>
      <c r="M114" s="213">
        <v>1</v>
      </c>
      <c r="N114" s="656">
        <v>0</v>
      </c>
      <c r="O114" s="656">
        <v>2</v>
      </c>
      <c r="P114" s="213"/>
      <c r="Q114" s="213"/>
      <c r="R114" s="213">
        <f t="shared" si="90"/>
        <v>2</v>
      </c>
      <c r="S114" s="213">
        <f t="shared" si="91"/>
        <v>3</v>
      </c>
      <c r="T114" s="218">
        <f t="shared" si="106"/>
        <v>1</v>
      </c>
      <c r="U114" s="218">
        <f t="shared" si="97"/>
        <v>0.2857142857142857</v>
      </c>
      <c r="V114" s="218">
        <f t="shared" si="102"/>
        <v>0.12</v>
      </c>
      <c r="W114" s="218">
        <f t="shared" si="98"/>
        <v>3.428571428571428E-2</v>
      </c>
      <c r="X114" s="218">
        <f t="shared" si="103"/>
        <v>0.05</v>
      </c>
      <c r="Y114" s="218">
        <f t="shared" si="104"/>
        <v>0.15</v>
      </c>
      <c r="Z114" s="218">
        <f t="shared" si="105"/>
        <v>6.0000000000000001E-3</v>
      </c>
      <c r="AA114" s="218">
        <f t="shared" si="99"/>
        <v>1.7999999999999999E-2</v>
      </c>
      <c r="AB114" s="222" t="s">
        <v>43</v>
      </c>
      <c r="AC114" s="757" t="s">
        <v>44</v>
      </c>
      <c r="AD114" s="753" t="s">
        <v>888</v>
      </c>
      <c r="AE114" s="753" t="s">
        <v>885</v>
      </c>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row>
    <row r="115" spans="1:54" ht="104.45" customHeight="1" thickBot="1" x14ac:dyDescent="0.35">
      <c r="A115" s="191"/>
      <c r="B115" s="1075" t="s">
        <v>1124</v>
      </c>
      <c r="C115" s="1076" t="s">
        <v>1125</v>
      </c>
      <c r="D115" s="236" t="s">
        <v>1126</v>
      </c>
      <c r="E115" s="1269">
        <v>0.02</v>
      </c>
      <c r="F115" s="217">
        <v>4</v>
      </c>
      <c r="G115" s="213">
        <v>0</v>
      </c>
      <c r="H115" s="213"/>
      <c r="I115" s="218"/>
      <c r="J115" s="218">
        <f t="shared" si="95"/>
        <v>0</v>
      </c>
      <c r="K115" s="218"/>
      <c r="L115" s="218">
        <f t="shared" si="96"/>
        <v>0</v>
      </c>
      <c r="M115" s="213"/>
      <c r="N115" s="656"/>
      <c r="O115" s="656">
        <v>0</v>
      </c>
      <c r="P115" s="213"/>
      <c r="Q115" s="213"/>
      <c r="R115" s="213">
        <f t="shared" si="90"/>
        <v>0</v>
      </c>
      <c r="S115" s="213">
        <f t="shared" si="91"/>
        <v>0</v>
      </c>
      <c r="T115" s="218"/>
      <c r="U115" s="218"/>
      <c r="V115" s="218"/>
      <c r="W115" s="218">
        <f t="shared" si="98"/>
        <v>0</v>
      </c>
      <c r="X115" s="218"/>
      <c r="Y115" s="218"/>
      <c r="Z115" s="218"/>
      <c r="AA115" s="218">
        <f t="shared" si="99"/>
        <v>0</v>
      </c>
      <c r="AB115" s="233" t="s">
        <v>1127</v>
      </c>
      <c r="AC115" s="752" t="s">
        <v>71</v>
      </c>
      <c r="AD115" s="753" t="s">
        <v>888</v>
      </c>
      <c r="AE115" s="753" t="s">
        <v>885</v>
      </c>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row>
    <row r="116" spans="1:54" ht="64.900000000000006" customHeight="1" thickBot="1" x14ac:dyDescent="0.35">
      <c r="A116" s="191"/>
      <c r="B116" s="1075" t="s">
        <v>1128</v>
      </c>
      <c r="C116" s="1076" t="s">
        <v>1129</v>
      </c>
      <c r="D116" s="238" t="s">
        <v>1130</v>
      </c>
      <c r="E116" s="1269">
        <v>0.15</v>
      </c>
      <c r="F116" s="217">
        <v>1</v>
      </c>
      <c r="G116" s="213">
        <v>0</v>
      </c>
      <c r="H116" s="213"/>
      <c r="I116" s="218"/>
      <c r="J116" s="218">
        <f t="shared" si="95"/>
        <v>0</v>
      </c>
      <c r="K116" s="218"/>
      <c r="L116" s="218">
        <f t="shared" si="96"/>
        <v>0</v>
      </c>
      <c r="M116" s="213"/>
      <c r="N116" s="656"/>
      <c r="O116" s="656">
        <v>0</v>
      </c>
      <c r="P116" s="213"/>
      <c r="Q116" s="213"/>
      <c r="R116" s="213">
        <f t="shared" si="90"/>
        <v>0</v>
      </c>
      <c r="S116" s="213">
        <f t="shared" si="91"/>
        <v>0</v>
      </c>
      <c r="T116" s="218"/>
      <c r="U116" s="218"/>
      <c r="V116" s="218"/>
      <c r="W116" s="218">
        <f t="shared" si="98"/>
        <v>0</v>
      </c>
      <c r="X116" s="218"/>
      <c r="Y116" s="218"/>
      <c r="Z116" s="218"/>
      <c r="AA116" s="218">
        <f t="shared" si="99"/>
        <v>0</v>
      </c>
      <c r="AB116" s="233" t="s">
        <v>1127</v>
      </c>
      <c r="AC116" s="752" t="s">
        <v>71</v>
      </c>
      <c r="AD116" s="753" t="s">
        <v>888</v>
      </c>
      <c r="AE116" s="753" t="s">
        <v>885</v>
      </c>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row>
    <row r="117" spans="1:54" ht="28.5" customHeight="1" thickBot="1" x14ac:dyDescent="0.35">
      <c r="A117" s="191"/>
      <c r="B117" s="1317" t="s">
        <v>1131</v>
      </c>
      <c r="C117" s="1318"/>
      <c r="D117" s="226"/>
      <c r="E117" s="209">
        <v>0.3</v>
      </c>
      <c r="F117" s="229"/>
      <c r="G117" s="213"/>
      <c r="H117" s="213"/>
      <c r="I117" s="212">
        <f>+AVERAGE(I118:I123)</f>
        <v>0.25</v>
      </c>
      <c r="J117" s="212">
        <f>+AVERAGE(J118:J123)</f>
        <v>0.55000000000000004</v>
      </c>
      <c r="K117" s="212">
        <f>+K118+K119+K120+K121+K122+K123</f>
        <v>3.7499999999999999E-2</v>
      </c>
      <c r="L117" s="212">
        <f>+L118+L119+L120+L121+L122+L123</f>
        <v>0.41250000000000003</v>
      </c>
      <c r="M117" s="211"/>
      <c r="N117" s="211"/>
      <c r="O117" s="211"/>
      <c r="P117" s="211"/>
      <c r="Q117" s="211"/>
      <c r="R117" s="211"/>
      <c r="S117" s="211"/>
      <c r="T117" s="235">
        <f>+AVERAGE(T118:T123)</f>
        <v>1</v>
      </c>
      <c r="U117" s="235">
        <f>+AVERAGE(U118:U123)</f>
        <v>0.2</v>
      </c>
      <c r="V117" s="235">
        <f>+(V118+V119+V120+V121+V122+V123)*E117</f>
        <v>4.4999999999999998E-2</v>
      </c>
      <c r="W117" s="235">
        <f>+(W118+W119+W120+W121+W122+W123)*E117</f>
        <v>0.09</v>
      </c>
      <c r="X117" s="212">
        <f>+AVERAGE(X118:X123)</f>
        <v>0.25</v>
      </c>
      <c r="Y117" s="212">
        <f>+AVERAGE(Y118:Y123)</f>
        <v>0.25</v>
      </c>
      <c r="Z117" s="212">
        <f>+(Z118+Z119+Z120+Z121+Z122+Z123)*E117</f>
        <v>1.125E-2</v>
      </c>
      <c r="AA117" s="212">
        <f>+(AA118+AA119+AA120+AA121+AA122+AA123)</f>
        <v>0.33749999999999997</v>
      </c>
      <c r="AB117" s="234"/>
      <c r="AC117" s="200"/>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row>
    <row r="118" spans="1:54" ht="93.6" customHeight="1" thickBot="1" x14ac:dyDescent="0.35">
      <c r="A118" s="191"/>
      <c r="B118" s="1075" t="s">
        <v>1132</v>
      </c>
      <c r="C118" s="1076" t="s">
        <v>1133</v>
      </c>
      <c r="D118" s="227" t="s">
        <v>1100</v>
      </c>
      <c r="E118" s="1269">
        <v>0.05</v>
      </c>
      <c r="F118" s="217">
        <v>2</v>
      </c>
      <c r="G118" s="213">
        <v>0</v>
      </c>
      <c r="H118" s="213">
        <v>1</v>
      </c>
      <c r="I118" s="218"/>
      <c r="J118" s="218">
        <f t="shared" ref="J118:J123" si="107">+H118/F118</f>
        <v>0.5</v>
      </c>
      <c r="K118" s="218"/>
      <c r="L118" s="218">
        <f t="shared" ref="L118:L123" si="108">+(H118/F118)*E118</f>
        <v>2.5000000000000001E-2</v>
      </c>
      <c r="M118" s="213"/>
      <c r="N118" s="656">
        <v>0</v>
      </c>
      <c r="O118" s="656">
        <v>0</v>
      </c>
      <c r="P118" s="213"/>
      <c r="Q118" s="213"/>
      <c r="R118" s="213">
        <f t="shared" si="90"/>
        <v>0</v>
      </c>
      <c r="S118" s="213">
        <f t="shared" si="91"/>
        <v>0</v>
      </c>
      <c r="T118" s="218"/>
      <c r="U118" s="218">
        <f t="shared" ref="U118:U123" si="109">+R118/H118</f>
        <v>0</v>
      </c>
      <c r="V118" s="218"/>
      <c r="W118" s="218">
        <f t="shared" ref="W118:W123" si="110">+U118*E118</f>
        <v>0</v>
      </c>
      <c r="X118" s="218"/>
      <c r="Y118" s="218">
        <v>0</v>
      </c>
      <c r="Z118" s="218"/>
      <c r="AA118" s="218">
        <f t="shared" si="99"/>
        <v>0</v>
      </c>
      <c r="AB118" s="222" t="s">
        <v>43</v>
      </c>
      <c r="AC118" s="758" t="s">
        <v>1134</v>
      </c>
      <c r="AD118" s="753" t="s">
        <v>888</v>
      </c>
      <c r="AE118" s="753" t="s">
        <v>885</v>
      </c>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row>
    <row r="119" spans="1:54" ht="93" customHeight="1" thickBot="1" x14ac:dyDescent="0.35">
      <c r="A119" s="191"/>
      <c r="B119" s="1075" t="s">
        <v>1135</v>
      </c>
      <c r="C119" s="1076" t="s">
        <v>1136</v>
      </c>
      <c r="D119" s="227" t="s">
        <v>1100</v>
      </c>
      <c r="E119" s="1269">
        <v>0.15</v>
      </c>
      <c r="F119" s="217">
        <v>4</v>
      </c>
      <c r="G119" s="213">
        <v>1</v>
      </c>
      <c r="H119" s="213">
        <v>1</v>
      </c>
      <c r="I119" s="218">
        <f>+G119/F119</f>
        <v>0.25</v>
      </c>
      <c r="J119" s="218">
        <f t="shared" si="107"/>
        <v>0.25</v>
      </c>
      <c r="K119" s="218">
        <f>+(G119/F119)*E119</f>
        <v>3.7499999999999999E-2</v>
      </c>
      <c r="L119" s="218">
        <f>+(H119/F119)*E119</f>
        <v>3.7499999999999999E-2</v>
      </c>
      <c r="M119" s="213">
        <v>1</v>
      </c>
      <c r="N119" s="656">
        <v>0</v>
      </c>
      <c r="O119" s="656">
        <v>0</v>
      </c>
      <c r="P119" s="213"/>
      <c r="Q119" s="213"/>
      <c r="R119" s="213">
        <f t="shared" si="90"/>
        <v>0</v>
      </c>
      <c r="S119" s="213">
        <f t="shared" si="91"/>
        <v>1</v>
      </c>
      <c r="T119" s="218">
        <f>+(M119/G119)</f>
        <v>1</v>
      </c>
      <c r="U119" s="218">
        <f>+R119/H119</f>
        <v>0</v>
      </c>
      <c r="V119" s="218">
        <f>+T119*E119</f>
        <v>0.15</v>
      </c>
      <c r="W119" s="218">
        <f t="shared" si="110"/>
        <v>0</v>
      </c>
      <c r="X119" s="218">
        <f>+M119/F119</f>
        <v>0.25</v>
      </c>
      <c r="Y119" s="218">
        <f t="shared" si="104"/>
        <v>0.25</v>
      </c>
      <c r="Z119" s="237">
        <f>+X119*E119</f>
        <v>3.7499999999999999E-2</v>
      </c>
      <c r="AA119" s="237">
        <f t="shared" si="99"/>
        <v>3.7499999999999999E-2</v>
      </c>
      <c r="AB119" s="222" t="s">
        <v>43</v>
      </c>
      <c r="AC119" s="757" t="s">
        <v>44</v>
      </c>
      <c r="AD119" s="753" t="s">
        <v>888</v>
      </c>
      <c r="AE119" s="753" t="s">
        <v>885</v>
      </c>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row>
    <row r="120" spans="1:54" ht="59.45" customHeight="1" thickBot="1" x14ac:dyDescent="0.35">
      <c r="A120" s="191"/>
      <c r="B120" s="1075" t="s">
        <v>1137</v>
      </c>
      <c r="C120" s="1076" t="s">
        <v>1138</v>
      </c>
      <c r="D120" s="227" t="s">
        <v>1100</v>
      </c>
      <c r="E120" s="1269">
        <v>0.4</v>
      </c>
      <c r="F120" s="217">
        <v>1</v>
      </c>
      <c r="G120" s="213">
        <v>0</v>
      </c>
      <c r="H120" s="213">
        <v>0</v>
      </c>
      <c r="I120" s="218"/>
      <c r="J120" s="218"/>
      <c r="K120" s="218"/>
      <c r="L120" s="218"/>
      <c r="M120" s="213"/>
      <c r="N120" s="656"/>
      <c r="O120" s="656"/>
      <c r="P120" s="213"/>
      <c r="Q120" s="213"/>
      <c r="R120" s="213">
        <f t="shared" si="90"/>
        <v>0</v>
      </c>
      <c r="S120" s="213">
        <f t="shared" si="91"/>
        <v>0</v>
      </c>
      <c r="T120" s="218"/>
      <c r="U120" s="218"/>
      <c r="V120" s="218"/>
      <c r="W120" s="218"/>
      <c r="X120" s="218"/>
      <c r="Y120" s="218"/>
      <c r="Z120" s="218"/>
      <c r="AA120" s="218">
        <f t="shared" si="99"/>
        <v>0</v>
      </c>
      <c r="AB120" s="222" t="s">
        <v>43</v>
      </c>
      <c r="AC120" s="757" t="s">
        <v>44</v>
      </c>
      <c r="AD120" s="753" t="s">
        <v>888</v>
      </c>
      <c r="AE120" s="753" t="s">
        <v>885</v>
      </c>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row>
    <row r="121" spans="1:54" ht="59.45" customHeight="1" thickBot="1" x14ac:dyDescent="0.35">
      <c r="A121" s="191"/>
      <c r="B121" s="1075" t="s">
        <v>1139</v>
      </c>
      <c r="C121" s="1076" t="s">
        <v>1140</v>
      </c>
      <c r="D121" s="227" t="s">
        <v>1100</v>
      </c>
      <c r="E121" s="1269">
        <v>0.3</v>
      </c>
      <c r="F121" s="217">
        <v>1</v>
      </c>
      <c r="G121" s="213">
        <v>0</v>
      </c>
      <c r="H121" s="213">
        <v>1</v>
      </c>
      <c r="I121" s="218"/>
      <c r="J121" s="218">
        <f t="shared" si="107"/>
        <v>1</v>
      </c>
      <c r="K121" s="218"/>
      <c r="L121" s="218">
        <f t="shared" si="108"/>
        <v>0.3</v>
      </c>
      <c r="M121" s="213"/>
      <c r="N121" s="656">
        <v>1</v>
      </c>
      <c r="O121" s="656">
        <v>0</v>
      </c>
      <c r="P121" s="213"/>
      <c r="Q121" s="213"/>
      <c r="R121" s="213">
        <f t="shared" si="90"/>
        <v>1</v>
      </c>
      <c r="S121" s="213">
        <f t="shared" si="91"/>
        <v>1</v>
      </c>
      <c r="T121" s="218"/>
      <c r="U121" s="218">
        <f t="shared" si="109"/>
        <v>1</v>
      </c>
      <c r="V121" s="218"/>
      <c r="W121" s="218">
        <f t="shared" si="110"/>
        <v>0.3</v>
      </c>
      <c r="X121" s="218"/>
      <c r="Y121" s="218">
        <f t="shared" si="104"/>
        <v>1</v>
      </c>
      <c r="Z121" s="218"/>
      <c r="AA121" s="218">
        <f>+Y121*E121</f>
        <v>0.3</v>
      </c>
      <c r="AB121" s="222" t="s">
        <v>43</v>
      </c>
      <c r="AC121" s="757" t="s">
        <v>483</v>
      </c>
      <c r="AD121" s="753" t="s">
        <v>888</v>
      </c>
      <c r="AE121" s="753" t="s">
        <v>885</v>
      </c>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row>
    <row r="122" spans="1:54" ht="107.45" customHeight="1" thickBot="1" x14ac:dyDescent="0.35">
      <c r="A122" s="191"/>
      <c r="B122" s="1075" t="s">
        <v>1141</v>
      </c>
      <c r="C122" s="1076" t="s">
        <v>1142</v>
      </c>
      <c r="D122" s="227" t="s">
        <v>1100</v>
      </c>
      <c r="E122" s="1269">
        <v>0.05</v>
      </c>
      <c r="F122" s="217">
        <v>1</v>
      </c>
      <c r="G122" s="213">
        <v>0</v>
      </c>
      <c r="H122" s="213">
        <v>0.5</v>
      </c>
      <c r="I122" s="218"/>
      <c r="J122" s="218">
        <f t="shared" si="107"/>
        <v>0.5</v>
      </c>
      <c r="K122" s="218"/>
      <c r="L122" s="218">
        <f t="shared" si="108"/>
        <v>2.5000000000000001E-2</v>
      </c>
      <c r="M122" s="213"/>
      <c r="N122" s="656">
        <v>0</v>
      </c>
      <c r="O122" s="656">
        <v>0</v>
      </c>
      <c r="P122" s="213"/>
      <c r="Q122" s="213"/>
      <c r="R122" s="213">
        <f t="shared" si="90"/>
        <v>0</v>
      </c>
      <c r="S122" s="213">
        <f t="shared" si="91"/>
        <v>0</v>
      </c>
      <c r="T122" s="218"/>
      <c r="U122" s="218">
        <f t="shared" si="109"/>
        <v>0</v>
      </c>
      <c r="V122" s="218"/>
      <c r="W122" s="218">
        <f t="shared" si="110"/>
        <v>0</v>
      </c>
      <c r="X122" s="218"/>
      <c r="Y122" s="218">
        <v>0</v>
      </c>
      <c r="Z122" s="218"/>
      <c r="AA122" s="218">
        <f t="shared" si="99"/>
        <v>0</v>
      </c>
      <c r="AB122" s="222" t="s">
        <v>43</v>
      </c>
      <c r="AC122" s="758" t="s">
        <v>1134</v>
      </c>
      <c r="AD122" s="753" t="s">
        <v>888</v>
      </c>
      <c r="AE122" s="753" t="s">
        <v>885</v>
      </c>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row>
    <row r="123" spans="1:54" ht="103.15" customHeight="1" thickBot="1" x14ac:dyDescent="0.35">
      <c r="A123" s="191"/>
      <c r="B123" s="1075" t="s">
        <v>1143</v>
      </c>
      <c r="C123" s="1076" t="s">
        <v>1144</v>
      </c>
      <c r="D123" s="238" t="s">
        <v>1145</v>
      </c>
      <c r="E123" s="1269">
        <v>0.05</v>
      </c>
      <c r="F123" s="217">
        <v>1</v>
      </c>
      <c r="G123" s="213">
        <v>0</v>
      </c>
      <c r="H123" s="213">
        <v>0.5</v>
      </c>
      <c r="I123" s="218"/>
      <c r="J123" s="218">
        <f t="shared" si="107"/>
        <v>0.5</v>
      </c>
      <c r="K123" s="218"/>
      <c r="L123" s="218">
        <f t="shared" si="108"/>
        <v>2.5000000000000001E-2</v>
      </c>
      <c r="M123" s="213"/>
      <c r="N123" s="656">
        <v>0</v>
      </c>
      <c r="O123" s="656">
        <v>0</v>
      </c>
      <c r="P123" s="213"/>
      <c r="Q123" s="213"/>
      <c r="R123" s="213">
        <f t="shared" si="90"/>
        <v>0</v>
      </c>
      <c r="S123" s="213">
        <f t="shared" si="91"/>
        <v>0</v>
      </c>
      <c r="T123" s="218"/>
      <c r="U123" s="218">
        <f t="shared" si="109"/>
        <v>0</v>
      </c>
      <c r="V123" s="218"/>
      <c r="W123" s="218">
        <f t="shared" si="110"/>
        <v>0</v>
      </c>
      <c r="X123" s="218"/>
      <c r="Y123" s="218">
        <v>0</v>
      </c>
      <c r="Z123" s="218"/>
      <c r="AA123" s="218">
        <f t="shared" si="99"/>
        <v>0</v>
      </c>
      <c r="AB123" s="222" t="s">
        <v>43</v>
      </c>
      <c r="AC123" s="758" t="s">
        <v>1134</v>
      </c>
      <c r="AD123" s="753" t="s">
        <v>888</v>
      </c>
      <c r="AE123" s="753" t="s">
        <v>885</v>
      </c>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row>
    <row r="124" spans="1:54" ht="93" customHeight="1" thickBot="1" x14ac:dyDescent="0.35">
      <c r="A124" s="191"/>
      <c r="B124" s="1314" t="s">
        <v>1146</v>
      </c>
      <c r="C124" s="1315"/>
      <c r="D124" s="239"/>
      <c r="E124" s="201">
        <v>0.2</v>
      </c>
      <c r="F124" s="202">
        <f>+E124*V124</f>
        <v>0.11007500000000002</v>
      </c>
      <c r="G124" s="206"/>
      <c r="H124" s="202">
        <f>+E124*W124</f>
        <v>0</v>
      </c>
      <c r="I124" s="204">
        <f>+(I125+I129)/2</f>
        <v>0.3833333333333333</v>
      </c>
      <c r="J124" s="204">
        <f>+(J125+J129)/2</f>
        <v>0.31904555602391771</v>
      </c>
      <c r="K124" s="205">
        <f>+(K125+K129)/2</f>
        <v>0.1958333333333333</v>
      </c>
      <c r="L124" s="205">
        <f>+(L125+L129)/2</f>
        <v>0.28095083368460494</v>
      </c>
      <c r="M124" s="206"/>
      <c r="N124" s="206"/>
      <c r="O124" s="206"/>
      <c r="P124" s="206"/>
      <c r="Q124" s="206"/>
      <c r="R124" s="206"/>
      <c r="S124" s="206"/>
      <c r="T124" s="204">
        <f>+(T125+T129)/2</f>
        <v>0.93366666666666664</v>
      </c>
      <c r="U124" s="204">
        <f>+(U125+U129)/2</f>
        <v>0.155</v>
      </c>
      <c r="V124" s="205">
        <f>V125+V129</f>
        <v>0.55037500000000006</v>
      </c>
      <c r="W124" s="205">
        <f>W125+W129</f>
        <v>0</v>
      </c>
      <c r="X124" s="204">
        <f>(X125+X129)/2</f>
        <v>0.24676666666666666</v>
      </c>
      <c r="Y124" s="204">
        <f>(Y125+Y129)/2</f>
        <v>0.28374999999999995</v>
      </c>
      <c r="Z124" s="205">
        <f>Z125+Z129</f>
        <v>0.19011249999999999</v>
      </c>
      <c r="AA124" s="205">
        <f>AA125*E125+AA129*E129</f>
        <v>0.2532375</v>
      </c>
      <c r="AB124" s="234"/>
      <c r="AC124" s="200"/>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row>
    <row r="125" spans="1:54" ht="44.45" customHeight="1" thickBot="1" x14ac:dyDescent="0.35">
      <c r="A125" s="191"/>
      <c r="B125" s="1319" t="s">
        <v>1147</v>
      </c>
      <c r="C125" s="1320"/>
      <c r="D125" s="245"/>
      <c r="E125" s="209">
        <v>0.75</v>
      </c>
      <c r="F125" s="229"/>
      <c r="G125" s="206"/>
      <c r="H125" s="206"/>
      <c r="I125" s="212">
        <f>+AVERAGE(I126:I128)</f>
        <v>0.33333333333333331</v>
      </c>
      <c r="J125" s="212">
        <f>+AVERAGE(J126:J128)</f>
        <v>0.33809111204783537</v>
      </c>
      <c r="K125" s="212">
        <f>+K126+K127+K128</f>
        <v>0.16666666666666666</v>
      </c>
      <c r="L125" s="212">
        <f>+L126+L127+L128</f>
        <v>0.3369016673692099</v>
      </c>
      <c r="M125" s="211"/>
      <c r="N125" s="211"/>
      <c r="O125" s="211"/>
      <c r="P125" s="211"/>
      <c r="Q125" s="211"/>
      <c r="R125" s="211"/>
      <c r="S125" s="211"/>
      <c r="T125" s="235">
        <f>+AVERAGE(T126:T128)</f>
        <v>1</v>
      </c>
      <c r="U125" s="235">
        <f>+AVERAGE(U126:U128)</f>
        <v>0.14333333333333334</v>
      </c>
      <c r="V125" s="235">
        <f>+(V126+V127+V128)*E125</f>
        <v>0.375</v>
      </c>
      <c r="W125" s="235">
        <f>+(W126+W127+W128)*F125</f>
        <v>0</v>
      </c>
      <c r="X125" s="212">
        <f>+AVERAGE(X126:X128)*0.3</f>
        <v>9.9999999999999992E-2</v>
      </c>
      <c r="Y125" s="212">
        <f>+Y126*0.33</f>
        <v>0.1573</v>
      </c>
      <c r="Z125" s="212">
        <f>+(Z126+Z127+Z128)*E125</f>
        <v>0.125</v>
      </c>
      <c r="AA125" s="212">
        <f>+(AA126+AA127+AA128)</f>
        <v>0.23833333333333331</v>
      </c>
      <c r="AB125" s="234"/>
      <c r="AC125" s="200"/>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row>
    <row r="126" spans="1:54" ht="168" customHeight="1" thickBot="1" x14ac:dyDescent="0.35">
      <c r="A126" s="191"/>
      <c r="B126" s="1191" t="s">
        <v>1148</v>
      </c>
      <c r="C126" s="1192" t="s">
        <v>1149</v>
      </c>
      <c r="D126" s="250" t="s">
        <v>1150</v>
      </c>
      <c r="E126" s="1269">
        <v>0.5</v>
      </c>
      <c r="F126" s="217">
        <v>3</v>
      </c>
      <c r="G126" s="213">
        <v>1</v>
      </c>
      <c r="H126" s="213">
        <v>1</v>
      </c>
      <c r="I126" s="218">
        <f>+G126/F126</f>
        <v>0.33333333333333331</v>
      </c>
      <c r="J126" s="218">
        <f t="shared" ref="J126:J128" si="111">+H126/F126</f>
        <v>0.33333333333333331</v>
      </c>
      <c r="K126" s="218">
        <f>+(G126/F126)*E126</f>
        <v>0.16666666666666666</v>
      </c>
      <c r="L126" s="218">
        <f t="shared" ref="L126:L128" si="112">+(H126/F126)*E126</f>
        <v>0.16666666666666666</v>
      </c>
      <c r="M126" s="213">
        <v>1</v>
      </c>
      <c r="N126" s="656">
        <v>0</v>
      </c>
      <c r="O126" s="213">
        <v>0.43</v>
      </c>
      <c r="P126" s="213"/>
      <c r="Q126" s="213"/>
      <c r="R126" s="213">
        <f t="shared" ref="R126:R128" si="113">+N126+O126+P126+Q126</f>
        <v>0.43</v>
      </c>
      <c r="S126" s="213">
        <f t="shared" ref="S126:S128" si="114">+R126+M126</f>
        <v>1.43</v>
      </c>
      <c r="T126" s="218">
        <f>+(M126/G126)</f>
        <v>1</v>
      </c>
      <c r="U126" s="218">
        <f t="shared" ref="U126:U128" si="115">+R126/H126</f>
        <v>0.43</v>
      </c>
      <c r="V126" s="220">
        <f>+T126*E126</f>
        <v>0.5</v>
      </c>
      <c r="W126" s="220">
        <f t="shared" ref="W126:W128" si="116">+U126*E126</f>
        <v>0.215</v>
      </c>
      <c r="X126" s="218">
        <f>+M126/F126</f>
        <v>0.33333333333333331</v>
      </c>
      <c r="Y126" s="218">
        <f>+(S126)/F126</f>
        <v>0.47666666666666663</v>
      </c>
      <c r="Z126" s="218">
        <f>+X126*E126</f>
        <v>0.16666666666666666</v>
      </c>
      <c r="AA126" s="218">
        <f>+Y126*E126</f>
        <v>0.23833333333333331</v>
      </c>
      <c r="AB126" s="222" t="s">
        <v>43</v>
      </c>
      <c r="AC126" s="757" t="s">
        <v>44</v>
      </c>
      <c r="AD126" s="753" t="s">
        <v>888</v>
      </c>
      <c r="AE126" s="753" t="s">
        <v>885</v>
      </c>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row>
    <row r="127" spans="1:54" ht="94.15" customHeight="1" thickBot="1" x14ac:dyDescent="0.35">
      <c r="A127" s="191"/>
      <c r="B127" s="1148" t="s">
        <v>1151</v>
      </c>
      <c r="C127" s="1149" t="s">
        <v>1152</v>
      </c>
      <c r="D127" s="251" t="s">
        <v>1153</v>
      </c>
      <c r="E127" s="1269">
        <v>0.25</v>
      </c>
      <c r="F127" s="217">
        <v>176</v>
      </c>
      <c r="G127" s="213">
        <v>0</v>
      </c>
      <c r="H127" s="213">
        <v>60</v>
      </c>
      <c r="I127" s="218"/>
      <c r="J127" s="218">
        <f t="shared" si="111"/>
        <v>0.34090909090909088</v>
      </c>
      <c r="K127" s="218"/>
      <c r="L127" s="218">
        <f t="shared" si="112"/>
        <v>8.5227272727272721E-2</v>
      </c>
      <c r="M127" s="213"/>
      <c r="N127" s="656">
        <v>0</v>
      </c>
      <c r="O127" s="656">
        <v>0</v>
      </c>
      <c r="P127" s="213"/>
      <c r="Q127" s="213"/>
      <c r="R127" s="213">
        <f t="shared" si="113"/>
        <v>0</v>
      </c>
      <c r="S127" s="213">
        <f t="shared" si="114"/>
        <v>0</v>
      </c>
      <c r="T127" s="219"/>
      <c r="U127" s="218">
        <f t="shared" si="115"/>
        <v>0</v>
      </c>
      <c r="V127" s="220"/>
      <c r="W127" s="220">
        <f t="shared" si="116"/>
        <v>0</v>
      </c>
      <c r="X127" s="218"/>
      <c r="Y127" s="218"/>
      <c r="Z127" s="218"/>
      <c r="AA127" s="218">
        <f t="shared" ref="AA127:AA128" si="117">+Y127*E127</f>
        <v>0</v>
      </c>
      <c r="AB127" s="717" t="s">
        <v>43</v>
      </c>
      <c r="AC127" s="752" t="s">
        <v>127</v>
      </c>
      <c r="AD127" s="753" t="s">
        <v>888</v>
      </c>
      <c r="AE127" s="753" t="s">
        <v>885</v>
      </c>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row>
    <row r="128" spans="1:54" ht="139.15" customHeight="1" thickBot="1" x14ac:dyDescent="0.35">
      <c r="A128" s="191"/>
      <c r="B128" s="1083" t="s">
        <v>1154</v>
      </c>
      <c r="C128" s="1084" t="s">
        <v>1155</v>
      </c>
      <c r="D128" s="250" t="s">
        <v>1153</v>
      </c>
      <c r="E128" s="1269">
        <v>0.25</v>
      </c>
      <c r="F128" s="217">
        <v>647</v>
      </c>
      <c r="G128" s="213">
        <v>0</v>
      </c>
      <c r="H128" s="213">
        <v>220</v>
      </c>
      <c r="I128" s="218"/>
      <c r="J128" s="218">
        <f t="shared" si="111"/>
        <v>0.34003091190108192</v>
      </c>
      <c r="K128" s="218"/>
      <c r="L128" s="218">
        <f t="shared" si="112"/>
        <v>8.5007727975270481E-2</v>
      </c>
      <c r="M128" s="213"/>
      <c r="N128" s="656">
        <v>0</v>
      </c>
      <c r="O128" s="656">
        <v>0</v>
      </c>
      <c r="P128" s="213"/>
      <c r="Q128" s="213"/>
      <c r="R128" s="213">
        <f t="shared" si="113"/>
        <v>0</v>
      </c>
      <c r="S128" s="213">
        <f t="shared" si="114"/>
        <v>0</v>
      </c>
      <c r="T128" s="219"/>
      <c r="U128" s="218">
        <f t="shared" si="115"/>
        <v>0</v>
      </c>
      <c r="V128" s="220"/>
      <c r="W128" s="220">
        <f t="shared" si="116"/>
        <v>0</v>
      </c>
      <c r="X128" s="218"/>
      <c r="Y128" s="218"/>
      <c r="Z128" s="218"/>
      <c r="AA128" s="218">
        <f t="shared" si="117"/>
        <v>0</v>
      </c>
      <c r="AB128" s="717" t="s">
        <v>43</v>
      </c>
      <c r="AC128" s="752" t="s">
        <v>127</v>
      </c>
      <c r="AD128" s="753" t="s">
        <v>888</v>
      </c>
      <c r="AE128" s="753" t="s">
        <v>885</v>
      </c>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row>
    <row r="129" spans="1:54" ht="44.45" customHeight="1" thickBot="1" x14ac:dyDescent="0.35">
      <c r="A129" s="191"/>
      <c r="B129" s="1312" t="s">
        <v>1156</v>
      </c>
      <c r="C129" s="1313"/>
      <c r="D129" s="246"/>
      <c r="E129" s="209">
        <v>0.25</v>
      </c>
      <c r="F129" s="217"/>
      <c r="G129" s="213"/>
      <c r="H129" s="213"/>
      <c r="I129" s="212">
        <f>+AVERAGE(I130:I132)</f>
        <v>0.43333333333333335</v>
      </c>
      <c r="J129" s="212">
        <f>+AVERAGE(J130:J132)</f>
        <v>0.3</v>
      </c>
      <c r="K129" s="212">
        <f>+K130+K131+K132</f>
        <v>0.22499999999999998</v>
      </c>
      <c r="L129" s="212">
        <f>+L130+L131+L132</f>
        <v>0.22499999999999998</v>
      </c>
      <c r="M129" s="213"/>
      <c r="N129" s="213"/>
      <c r="O129" s="213"/>
      <c r="P129" s="213"/>
      <c r="Q129" s="213"/>
      <c r="R129" s="213"/>
      <c r="S129" s="213"/>
      <c r="T129" s="235">
        <f>+AVERAGE(T130:T132)</f>
        <v>0.86733333333333329</v>
      </c>
      <c r="U129" s="235">
        <f>+AVERAGE(U130:U132)</f>
        <v>0.16666666666666666</v>
      </c>
      <c r="V129" s="235">
        <f>+(V130+V131+V132)*E129</f>
        <v>0.175375</v>
      </c>
      <c r="W129" s="235">
        <f>+(W130+W131+W132)*F129</f>
        <v>0</v>
      </c>
      <c r="X129" s="212">
        <f>+AVERAGE(X130:X132)</f>
        <v>0.39353333333333335</v>
      </c>
      <c r="Y129" s="212">
        <f>+AVERAGE(Y130:Y132)</f>
        <v>0.41019999999999995</v>
      </c>
      <c r="Z129" s="212">
        <f>+(Z130+Z131+Z132)*E129</f>
        <v>6.511249999999999E-2</v>
      </c>
      <c r="AA129" s="212">
        <f>+(AA130+AA131+AA132)</f>
        <v>0.29794999999999999</v>
      </c>
      <c r="AB129" s="234"/>
      <c r="AC129" s="725"/>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row>
    <row r="130" spans="1:54" ht="89.45" customHeight="1" thickBot="1" x14ac:dyDescent="0.35">
      <c r="A130" s="191"/>
      <c r="B130" s="1083" t="s">
        <v>1157</v>
      </c>
      <c r="C130" s="1084" t="s">
        <v>1158</v>
      </c>
      <c r="D130" s="250" t="s">
        <v>658</v>
      </c>
      <c r="E130" s="1269">
        <v>0.05</v>
      </c>
      <c r="F130" s="217">
        <v>2</v>
      </c>
      <c r="G130" s="213">
        <v>1</v>
      </c>
      <c r="H130" s="213">
        <v>0</v>
      </c>
      <c r="I130" s="218">
        <f>+G130/F130</f>
        <v>0.5</v>
      </c>
      <c r="J130" s="218"/>
      <c r="K130" s="218"/>
      <c r="L130" s="218"/>
      <c r="M130" s="213">
        <v>1</v>
      </c>
      <c r="N130" s="656"/>
      <c r="O130" s="213"/>
      <c r="P130" s="213"/>
      <c r="Q130" s="213"/>
      <c r="R130" s="213">
        <f t="shared" ref="R130:R132" si="118">+N130+O130+P130+Q130</f>
        <v>0</v>
      </c>
      <c r="S130" s="213">
        <f t="shared" ref="S130:S132" si="119">+R130+M130</f>
        <v>1</v>
      </c>
      <c r="T130" s="218">
        <f>+(M130/G130)</f>
        <v>1</v>
      </c>
      <c r="U130" s="218"/>
      <c r="V130" s="220">
        <f>+T130*E130</f>
        <v>0.05</v>
      </c>
      <c r="W130" s="220"/>
      <c r="X130" s="218">
        <f>+M130/F130</f>
        <v>0.5</v>
      </c>
      <c r="Y130" s="218">
        <f>+S130/F130</f>
        <v>0.5</v>
      </c>
      <c r="Z130" s="218">
        <f>+X130*E130</f>
        <v>2.5000000000000001E-2</v>
      </c>
      <c r="AA130" s="218">
        <f>+Y130*E130</f>
        <v>2.5000000000000001E-2</v>
      </c>
      <c r="AB130" s="222" t="s">
        <v>43</v>
      </c>
      <c r="AC130" s="757" t="s">
        <v>44</v>
      </c>
      <c r="AD130" s="753" t="s">
        <v>888</v>
      </c>
      <c r="AE130" s="753" t="s">
        <v>885</v>
      </c>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row>
    <row r="131" spans="1:54" ht="103.15" customHeight="1" thickBot="1" x14ac:dyDescent="0.35">
      <c r="A131" s="191"/>
      <c r="B131" s="1083" t="s">
        <v>1159</v>
      </c>
      <c r="C131" s="1084" t="s">
        <v>1160</v>
      </c>
      <c r="D131" s="250" t="s">
        <v>658</v>
      </c>
      <c r="E131" s="1269">
        <v>0.2</v>
      </c>
      <c r="F131" s="217">
        <v>2</v>
      </c>
      <c r="G131" s="213">
        <v>1</v>
      </c>
      <c r="H131" s="213">
        <v>0</v>
      </c>
      <c r="I131" s="218">
        <f>+G131/F131</f>
        <v>0.5</v>
      </c>
      <c r="J131" s="218"/>
      <c r="K131" s="218"/>
      <c r="L131" s="218"/>
      <c r="M131" s="213">
        <v>1</v>
      </c>
      <c r="N131" s="656"/>
      <c r="O131" s="213"/>
      <c r="P131" s="213"/>
      <c r="Q131" s="213"/>
      <c r="R131" s="213">
        <f t="shared" si="118"/>
        <v>0</v>
      </c>
      <c r="S131" s="213">
        <f t="shared" si="119"/>
        <v>1</v>
      </c>
      <c r="T131" s="218">
        <f>+(M131/G131)</f>
        <v>1</v>
      </c>
      <c r="U131" s="218"/>
      <c r="V131" s="220">
        <f>+T131*E131</f>
        <v>0.2</v>
      </c>
      <c r="W131" s="220"/>
      <c r="X131" s="218">
        <f>+M131/F131</f>
        <v>0.5</v>
      </c>
      <c r="Y131" s="218">
        <f t="shared" ref="Y131:Y132" si="120">+S131/F131</f>
        <v>0.5</v>
      </c>
      <c r="Z131" s="218">
        <f>+X131*E131</f>
        <v>0.1</v>
      </c>
      <c r="AA131" s="218">
        <f>+Y131*E131</f>
        <v>0.1</v>
      </c>
      <c r="AB131" s="222" t="s">
        <v>43</v>
      </c>
      <c r="AC131" s="757" t="s">
        <v>44</v>
      </c>
      <c r="AD131" s="753" t="s">
        <v>888</v>
      </c>
      <c r="AE131" s="753" t="s">
        <v>885</v>
      </c>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row>
    <row r="132" spans="1:54" ht="145.15" customHeight="1" thickBot="1" x14ac:dyDescent="0.35">
      <c r="A132" s="191"/>
      <c r="B132" s="1083" t="s">
        <v>1161</v>
      </c>
      <c r="C132" s="1084" t="s">
        <v>1162</v>
      </c>
      <c r="D132" s="250" t="s">
        <v>658</v>
      </c>
      <c r="E132" s="1269">
        <v>0.75</v>
      </c>
      <c r="F132" s="217">
        <v>500</v>
      </c>
      <c r="G132" s="213">
        <v>150</v>
      </c>
      <c r="H132" s="213">
        <v>150</v>
      </c>
      <c r="I132" s="218">
        <f>+G132/F132</f>
        <v>0.3</v>
      </c>
      <c r="J132" s="218">
        <f t="shared" ref="J132" si="121">+H132/F132</f>
        <v>0.3</v>
      </c>
      <c r="K132" s="218">
        <f>+(G132/F132)*E132</f>
        <v>0.22499999999999998</v>
      </c>
      <c r="L132" s="218">
        <f t="shared" ref="L132" si="122">+(H132/F132)*E132</f>
        <v>0.22499999999999998</v>
      </c>
      <c r="M132" s="213">
        <v>90.3</v>
      </c>
      <c r="N132" s="656">
        <v>0</v>
      </c>
      <c r="O132" s="213">
        <v>25</v>
      </c>
      <c r="P132" s="213"/>
      <c r="Q132" s="213"/>
      <c r="R132" s="213">
        <f t="shared" si="118"/>
        <v>25</v>
      </c>
      <c r="S132" s="213">
        <f t="shared" si="119"/>
        <v>115.3</v>
      </c>
      <c r="T132" s="237">
        <f>+(M132/G132)</f>
        <v>0.60199999999999998</v>
      </c>
      <c r="U132" s="237">
        <f t="shared" ref="U132" si="123">+R132/H132</f>
        <v>0.16666666666666666</v>
      </c>
      <c r="V132" s="220">
        <f>+T132*E132</f>
        <v>0.45150000000000001</v>
      </c>
      <c r="W132" s="220">
        <f t="shared" ref="W132" si="124">+U132*E132</f>
        <v>0.125</v>
      </c>
      <c r="X132" s="218">
        <f>+M132/F132</f>
        <v>0.18059999999999998</v>
      </c>
      <c r="Y132" s="218">
        <f t="shared" si="120"/>
        <v>0.2306</v>
      </c>
      <c r="Z132" s="218">
        <f>+X132*E132</f>
        <v>0.13544999999999999</v>
      </c>
      <c r="AA132" s="218">
        <f>+Y132*E132</f>
        <v>0.17294999999999999</v>
      </c>
      <c r="AB132" s="222" t="s">
        <v>43</v>
      </c>
      <c r="AC132" s="757" t="s">
        <v>44</v>
      </c>
      <c r="AD132" s="753" t="s">
        <v>888</v>
      </c>
      <c r="AE132" s="753" t="s">
        <v>885</v>
      </c>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row>
    <row r="133" spans="1:54" ht="15.75" customHeight="1" thickBot="1" x14ac:dyDescent="0.35">
      <c r="A133" s="187"/>
      <c r="B133" s="252"/>
      <c r="C133" s="252"/>
      <c r="D133" s="252"/>
      <c r="E133" s="253"/>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788"/>
      <c r="AB133" s="234"/>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row>
    <row r="134" spans="1:54" ht="15.75" customHeight="1" thickBot="1" x14ac:dyDescent="0.35">
      <c r="A134" s="187"/>
      <c r="B134" s="187"/>
      <c r="C134" s="187"/>
      <c r="D134" s="187"/>
      <c r="E134" s="254"/>
      <c r="F134" s="187"/>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row>
    <row r="135" spans="1:54" ht="15.75" customHeight="1" thickBot="1" x14ac:dyDescent="0.35">
      <c r="A135" s="187"/>
      <c r="B135" s="187"/>
      <c r="C135" s="187"/>
      <c r="D135" s="187"/>
      <c r="E135" s="254"/>
      <c r="F135" s="187"/>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row>
    <row r="136" spans="1:54" ht="15.75" customHeight="1" thickBot="1" x14ac:dyDescent="0.35">
      <c r="A136" s="187"/>
      <c r="B136" s="255"/>
      <c r="C136" s="187"/>
      <c r="D136" s="187"/>
      <c r="E136" s="254"/>
      <c r="F136" s="187"/>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row>
    <row r="137" spans="1:54" ht="15.75" customHeight="1" thickBot="1" x14ac:dyDescent="0.35">
      <c r="A137" s="187"/>
      <c r="B137" s="187"/>
      <c r="C137" s="187"/>
      <c r="D137" s="187"/>
      <c r="E137" s="254"/>
      <c r="F137" s="187"/>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row>
    <row r="138" spans="1:54" ht="15.75" customHeight="1" thickBot="1" x14ac:dyDescent="0.35">
      <c r="A138" s="187"/>
      <c r="B138" s="187"/>
      <c r="C138" s="187"/>
      <c r="D138" s="187"/>
      <c r="E138" s="254"/>
      <c r="F138" s="187"/>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row>
    <row r="139" spans="1:54" ht="15.75" customHeight="1" thickBot="1" x14ac:dyDescent="0.35">
      <c r="A139" s="187"/>
      <c r="B139" s="187"/>
      <c r="C139" s="187"/>
      <c r="D139" s="187"/>
      <c r="E139" s="254"/>
      <c r="F139" s="187"/>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row>
    <row r="140" spans="1:54" ht="15.75" customHeight="1" thickBot="1" x14ac:dyDescent="0.35">
      <c r="A140" s="187"/>
      <c r="B140" s="187"/>
      <c r="C140" s="187"/>
      <c r="D140" s="187"/>
      <c r="E140" s="254"/>
      <c r="F140" s="187"/>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row>
    <row r="141" spans="1:54" ht="15.75" customHeight="1" thickBot="1" x14ac:dyDescent="0.35">
      <c r="A141" s="187"/>
      <c r="B141" s="187"/>
      <c r="C141" s="187"/>
      <c r="D141" s="187"/>
      <c r="E141" s="254"/>
      <c r="F141" s="187"/>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row>
    <row r="142" spans="1:54" ht="15.75" customHeight="1" thickBot="1" x14ac:dyDescent="0.35">
      <c r="A142" s="187"/>
      <c r="B142" s="187"/>
      <c r="C142" s="187"/>
      <c r="D142" s="187"/>
      <c r="E142" s="254"/>
      <c r="F142" s="187"/>
      <c r="G142" s="187"/>
      <c r="H142" s="187"/>
      <c r="I142" s="187"/>
      <c r="J142" s="187"/>
      <c r="K142" s="187"/>
      <c r="L142" s="187"/>
      <c r="M142" s="187"/>
      <c r="N142" s="187"/>
      <c r="O142" s="187"/>
      <c r="P142" s="187"/>
      <c r="Q142" s="187"/>
      <c r="R142" s="187"/>
      <c r="S142" s="187"/>
      <c r="T142" s="187"/>
      <c r="U142" s="187"/>
      <c r="V142" s="187"/>
      <c r="W142" s="187"/>
      <c r="X142" s="187"/>
      <c r="Y142" s="187"/>
      <c r="Z142" s="187"/>
      <c r="AA142" s="187"/>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row>
    <row r="143" spans="1:54" ht="15.75" customHeight="1" thickBot="1" x14ac:dyDescent="0.35">
      <c r="A143" s="187"/>
      <c r="B143" s="187"/>
      <c r="C143" s="187"/>
      <c r="D143" s="187"/>
      <c r="E143" s="254"/>
      <c r="F143" s="187"/>
      <c r="G143" s="187"/>
      <c r="H143" s="187"/>
      <c r="I143" s="187"/>
      <c r="J143" s="187"/>
      <c r="K143" s="187"/>
      <c r="L143" s="187"/>
      <c r="M143" s="187"/>
      <c r="N143" s="187"/>
      <c r="O143" s="187"/>
      <c r="P143" s="187"/>
      <c r="Q143" s="187"/>
      <c r="R143" s="187"/>
      <c r="S143" s="187"/>
      <c r="T143" s="187"/>
      <c r="U143" s="187"/>
      <c r="V143" s="187"/>
      <c r="W143" s="187"/>
      <c r="X143" s="187"/>
      <c r="Y143" s="18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row>
    <row r="144" spans="1:54" ht="15.75" customHeight="1" thickBot="1" x14ac:dyDescent="0.35">
      <c r="A144" s="187"/>
      <c r="B144" s="187"/>
      <c r="C144" s="187"/>
      <c r="D144" s="187"/>
      <c r="E144" s="254"/>
      <c r="F144" s="187"/>
      <c r="G144" s="187"/>
      <c r="H144" s="187"/>
      <c r="I144" s="187"/>
      <c r="J144" s="187"/>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row>
    <row r="145" spans="1:54" ht="15.75" customHeight="1" thickBot="1" x14ac:dyDescent="0.35">
      <c r="A145" s="187"/>
      <c r="B145" s="187"/>
      <c r="C145" s="187"/>
      <c r="D145" s="187"/>
      <c r="E145" s="254"/>
      <c r="F145" s="187"/>
      <c r="G145" s="187"/>
      <c r="H145" s="187"/>
      <c r="I145" s="187"/>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row>
    <row r="146" spans="1:54" ht="15.75" customHeight="1" thickBot="1" x14ac:dyDescent="0.35">
      <c r="A146" s="187"/>
      <c r="B146" s="187"/>
      <c r="C146" s="187"/>
      <c r="D146" s="187"/>
      <c r="E146" s="254"/>
      <c r="F146" s="187"/>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row>
    <row r="147" spans="1:54" ht="15.75" customHeight="1" thickBot="1" x14ac:dyDescent="0.35">
      <c r="A147" s="187"/>
      <c r="B147" s="187"/>
      <c r="C147" s="187"/>
      <c r="D147" s="187"/>
      <c r="E147" s="254"/>
      <c r="F147" s="187"/>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row>
    <row r="148" spans="1:54" ht="15.75" customHeight="1" thickBot="1" x14ac:dyDescent="0.35">
      <c r="A148" s="187"/>
      <c r="B148" s="187"/>
      <c r="C148" s="187"/>
      <c r="D148" s="187"/>
      <c r="E148" s="254"/>
      <c r="F148" s="187"/>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row>
    <row r="149" spans="1:54" ht="15.75" customHeight="1" thickBot="1" x14ac:dyDescent="0.35">
      <c r="A149" s="187"/>
      <c r="B149" s="187"/>
      <c r="C149" s="187"/>
      <c r="D149" s="187"/>
      <c r="E149" s="254"/>
      <c r="F149" s="187"/>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row>
    <row r="150" spans="1:54" ht="15.75" customHeight="1" thickBot="1" x14ac:dyDescent="0.35">
      <c r="A150" s="187"/>
      <c r="B150" s="187"/>
      <c r="C150" s="187"/>
      <c r="D150" s="187"/>
      <c r="E150" s="254"/>
      <c r="F150" s="187"/>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row>
    <row r="151" spans="1:54" ht="15.75" customHeight="1" thickBot="1" x14ac:dyDescent="0.35">
      <c r="A151" s="187"/>
      <c r="B151" s="187"/>
      <c r="C151" s="187"/>
      <c r="D151" s="187"/>
      <c r="E151" s="254"/>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row>
    <row r="152" spans="1:54" ht="15.75" customHeight="1" thickBot="1" x14ac:dyDescent="0.35">
      <c r="A152" s="187"/>
      <c r="B152" s="187"/>
      <c r="C152" s="187"/>
      <c r="D152" s="187"/>
      <c r="E152" s="254"/>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row>
    <row r="153" spans="1:54" ht="15.75" customHeight="1" thickBot="1" x14ac:dyDescent="0.35">
      <c r="A153" s="187"/>
      <c r="B153" s="187"/>
      <c r="C153" s="187"/>
      <c r="D153" s="187"/>
      <c r="E153" s="254"/>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row>
    <row r="154" spans="1:54" ht="15.75" customHeight="1" thickBot="1" x14ac:dyDescent="0.35">
      <c r="A154" s="187"/>
      <c r="B154" s="187"/>
      <c r="C154" s="187"/>
      <c r="D154" s="187"/>
      <c r="E154" s="254"/>
      <c r="F154" s="187"/>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row>
    <row r="155" spans="1:54" ht="15.75" customHeight="1" thickBot="1" x14ac:dyDescent="0.35">
      <c r="A155" s="187"/>
      <c r="B155" s="187"/>
      <c r="C155" s="187"/>
      <c r="D155" s="187"/>
      <c r="E155" s="254"/>
      <c r="F155" s="187"/>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row>
    <row r="156" spans="1:54" ht="15.75" customHeight="1" thickBot="1" x14ac:dyDescent="0.35">
      <c r="A156" s="187"/>
      <c r="B156" s="187"/>
      <c r="C156" s="187"/>
      <c r="D156" s="187"/>
      <c r="E156" s="254"/>
      <c r="F156" s="187"/>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row>
    <row r="157" spans="1:54" ht="15.75" customHeight="1" thickBot="1" x14ac:dyDescent="0.35">
      <c r="A157" s="187"/>
      <c r="B157" s="187"/>
      <c r="C157" s="187"/>
      <c r="D157" s="187"/>
      <c r="E157" s="254"/>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row>
    <row r="158" spans="1:54" ht="15.75" customHeight="1" thickBot="1" x14ac:dyDescent="0.35">
      <c r="A158" s="187"/>
      <c r="B158" s="187"/>
      <c r="C158" s="187"/>
      <c r="D158" s="187"/>
      <c r="E158" s="254"/>
      <c r="F158" s="187"/>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row>
    <row r="159" spans="1:54" ht="15.75" customHeight="1" thickBot="1" x14ac:dyDescent="0.35">
      <c r="A159" s="187"/>
      <c r="B159" s="187"/>
      <c r="C159" s="187"/>
      <c r="D159" s="187"/>
      <c r="E159" s="254"/>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row>
    <row r="160" spans="1:54" ht="15.75" customHeight="1" thickBot="1" x14ac:dyDescent="0.35">
      <c r="A160" s="187"/>
      <c r="B160" s="187"/>
      <c r="C160" s="187"/>
      <c r="D160" s="187"/>
      <c r="E160" s="254"/>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row>
    <row r="161" spans="1:54" ht="15.75" customHeight="1" thickBot="1" x14ac:dyDescent="0.35">
      <c r="A161" s="187"/>
      <c r="B161" s="187"/>
      <c r="C161" s="187"/>
      <c r="D161" s="187"/>
      <c r="E161" s="254"/>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row>
    <row r="162" spans="1:54" ht="15.75" customHeight="1" thickBot="1" x14ac:dyDescent="0.35">
      <c r="A162" s="187"/>
      <c r="B162" s="187"/>
      <c r="C162" s="187"/>
      <c r="D162" s="187"/>
      <c r="E162" s="254"/>
      <c r="F162" s="187"/>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row>
    <row r="163" spans="1:54" ht="15.75" customHeight="1" thickBot="1" x14ac:dyDescent="0.35">
      <c r="A163" s="187"/>
      <c r="B163" s="187"/>
      <c r="C163" s="187"/>
      <c r="D163" s="187"/>
      <c r="E163" s="254"/>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row>
    <row r="164" spans="1:54" ht="15.75" customHeight="1" thickBot="1" x14ac:dyDescent="0.35">
      <c r="A164" s="187"/>
      <c r="B164" s="187"/>
      <c r="C164" s="187"/>
      <c r="D164" s="187"/>
      <c r="E164" s="254"/>
      <c r="F164" s="187"/>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row>
    <row r="165" spans="1:54" ht="15.75" customHeight="1" thickBot="1" x14ac:dyDescent="0.35">
      <c r="A165" s="187"/>
      <c r="B165" s="187"/>
      <c r="C165" s="187"/>
      <c r="D165" s="187"/>
      <c r="E165" s="254"/>
      <c r="F165" s="187"/>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row>
    <row r="166" spans="1:54" ht="15.75" customHeight="1" thickBot="1" x14ac:dyDescent="0.35">
      <c r="A166" s="187"/>
      <c r="B166" s="187"/>
      <c r="C166" s="187"/>
      <c r="D166" s="187"/>
      <c r="E166" s="254"/>
      <c r="F166" s="187"/>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row>
    <row r="167" spans="1:54" ht="15.75" customHeight="1" thickBot="1" x14ac:dyDescent="0.35">
      <c r="A167" s="187"/>
      <c r="B167" s="187"/>
      <c r="C167" s="187"/>
      <c r="D167" s="187"/>
      <c r="E167" s="254"/>
      <c r="F167" s="187"/>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row>
    <row r="168" spans="1:54" ht="15.75" customHeight="1" thickBot="1" x14ac:dyDescent="0.35">
      <c r="A168" s="187"/>
      <c r="B168" s="187"/>
      <c r="C168" s="187"/>
      <c r="D168" s="187"/>
      <c r="E168" s="254"/>
      <c r="F168" s="187"/>
      <c r="G168" s="187"/>
      <c r="H168" s="187"/>
      <c r="I168" s="187"/>
      <c r="J168" s="187"/>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row>
    <row r="169" spans="1:54" ht="15.75" customHeight="1" thickBot="1" x14ac:dyDescent="0.35">
      <c r="A169" s="187"/>
      <c r="B169" s="187"/>
      <c r="C169" s="187"/>
      <c r="D169" s="187"/>
      <c r="E169" s="254"/>
      <c r="F169" s="187"/>
      <c r="G169" s="187"/>
      <c r="H169" s="187"/>
      <c r="I169" s="187"/>
      <c r="J169" s="187"/>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row>
    <row r="170" spans="1:54" ht="15.75" customHeight="1" thickBot="1" x14ac:dyDescent="0.35">
      <c r="A170" s="187"/>
      <c r="B170" s="187"/>
      <c r="C170" s="187"/>
      <c r="D170" s="187"/>
      <c r="E170" s="254"/>
      <c r="F170" s="187"/>
      <c r="G170" s="187"/>
      <c r="H170" s="187"/>
      <c r="I170" s="187"/>
      <c r="J170" s="187"/>
      <c r="K170" s="187"/>
      <c r="L170" s="187"/>
      <c r="M170" s="187"/>
      <c r="N170" s="187"/>
      <c r="O170" s="187"/>
      <c r="P170" s="187"/>
      <c r="Q170" s="187"/>
      <c r="R170" s="187"/>
      <c r="S170" s="187"/>
      <c r="T170" s="187"/>
      <c r="U170" s="187"/>
      <c r="V170" s="187"/>
      <c r="W170" s="187"/>
      <c r="X170" s="187"/>
      <c r="Y170" s="187"/>
      <c r="Z170" s="187"/>
      <c r="AA170" s="187"/>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row>
    <row r="171" spans="1:54" ht="15.75" customHeight="1" thickBot="1" x14ac:dyDescent="0.35">
      <c r="A171" s="187"/>
      <c r="B171" s="187"/>
      <c r="C171" s="187"/>
      <c r="D171" s="187"/>
      <c r="E171" s="254"/>
      <c r="F171" s="187"/>
      <c r="G171" s="187"/>
      <c r="H171" s="187"/>
      <c r="I171" s="187"/>
      <c r="J171" s="187"/>
      <c r="K171" s="187"/>
      <c r="L171" s="187"/>
      <c r="M171" s="187"/>
      <c r="N171" s="187"/>
      <c r="O171" s="187"/>
      <c r="P171" s="187"/>
      <c r="Q171" s="187"/>
      <c r="R171" s="187"/>
      <c r="S171" s="187"/>
      <c r="T171" s="187"/>
      <c r="U171" s="187"/>
      <c r="V171" s="187"/>
      <c r="W171" s="187"/>
      <c r="X171" s="187"/>
      <c r="Y171" s="18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row>
    <row r="172" spans="1:54" ht="15.75" customHeight="1" thickBot="1" x14ac:dyDescent="0.35">
      <c r="A172" s="187"/>
      <c r="B172" s="187"/>
      <c r="C172" s="187"/>
      <c r="D172" s="187"/>
      <c r="E172" s="254"/>
      <c r="F172" s="187"/>
      <c r="G172" s="187"/>
      <c r="H172" s="187"/>
      <c r="I172" s="187"/>
      <c r="J172" s="187"/>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row>
    <row r="173" spans="1:54" ht="15.75" customHeight="1" thickBot="1" x14ac:dyDescent="0.35">
      <c r="A173" s="187"/>
      <c r="B173" s="187"/>
      <c r="C173" s="187"/>
      <c r="D173" s="187"/>
      <c r="E173" s="254"/>
      <c r="F173" s="187"/>
      <c r="G173" s="187"/>
      <c r="H173" s="187"/>
      <c r="I173" s="187"/>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row>
    <row r="174" spans="1:54" ht="15.75" customHeight="1" thickBot="1" x14ac:dyDescent="0.35">
      <c r="A174" s="187"/>
      <c r="B174" s="187"/>
      <c r="C174" s="187"/>
      <c r="D174" s="187"/>
      <c r="E174" s="254"/>
      <c r="F174" s="187"/>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row>
    <row r="175" spans="1:54" ht="15.75" customHeight="1" thickBot="1" x14ac:dyDescent="0.35">
      <c r="A175" s="187"/>
      <c r="B175" s="187"/>
      <c r="C175" s="187"/>
      <c r="D175" s="187"/>
      <c r="E175" s="254"/>
      <c r="F175" s="187"/>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row>
    <row r="176" spans="1:54" ht="15.75" customHeight="1" thickBot="1" x14ac:dyDescent="0.35">
      <c r="A176" s="187"/>
      <c r="B176" s="187"/>
      <c r="C176" s="187"/>
      <c r="D176" s="187"/>
      <c r="E176" s="254"/>
      <c r="F176" s="187"/>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row>
    <row r="177" spans="1:54" ht="15.75" customHeight="1" thickBot="1" x14ac:dyDescent="0.35">
      <c r="A177" s="187"/>
      <c r="B177" s="187"/>
      <c r="C177" s="187"/>
      <c r="D177" s="187"/>
      <c r="E177" s="254"/>
      <c r="F177" s="187"/>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row>
    <row r="178" spans="1:54" ht="15.75" customHeight="1" thickBot="1" x14ac:dyDescent="0.35">
      <c r="A178" s="187"/>
      <c r="B178" s="187"/>
      <c r="C178" s="187"/>
      <c r="D178" s="187"/>
      <c r="E178" s="254"/>
      <c r="F178" s="187"/>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row>
    <row r="179" spans="1:54" ht="15.75" customHeight="1" thickBot="1" x14ac:dyDescent="0.35">
      <c r="A179" s="187"/>
      <c r="B179" s="187"/>
      <c r="C179" s="187"/>
      <c r="D179" s="187"/>
      <c r="E179" s="254"/>
      <c r="F179" s="187"/>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row>
    <row r="180" spans="1:54" ht="15.75" customHeight="1" thickBot="1" x14ac:dyDescent="0.35">
      <c r="A180" s="187"/>
      <c r="B180" s="187"/>
      <c r="C180" s="187"/>
      <c r="D180" s="187"/>
      <c r="E180" s="254"/>
      <c r="F180" s="187"/>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row>
    <row r="181" spans="1:54" ht="15.75" customHeight="1" thickBot="1" x14ac:dyDescent="0.35">
      <c r="A181" s="187"/>
      <c r="B181" s="187"/>
      <c r="C181" s="187"/>
      <c r="D181" s="187"/>
      <c r="E181" s="254"/>
      <c r="F181" s="187"/>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row>
    <row r="182" spans="1:54" ht="15.75" customHeight="1" thickBot="1" x14ac:dyDescent="0.35">
      <c r="A182" s="187"/>
      <c r="B182" s="187"/>
      <c r="C182" s="187"/>
      <c r="D182" s="187"/>
      <c r="E182" s="254"/>
      <c r="F182" s="187"/>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row>
    <row r="183" spans="1:54" ht="15.75" customHeight="1" thickBot="1" x14ac:dyDescent="0.35">
      <c r="A183" s="187"/>
      <c r="B183" s="187"/>
      <c r="C183" s="187"/>
      <c r="D183" s="187"/>
      <c r="E183" s="254"/>
      <c r="F183" s="187"/>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row>
    <row r="184" spans="1:54" ht="15.75" customHeight="1" thickBot="1" x14ac:dyDescent="0.35">
      <c r="A184" s="187"/>
      <c r="B184" s="187"/>
      <c r="C184" s="187"/>
      <c r="D184" s="187"/>
      <c r="E184" s="254"/>
      <c r="F184" s="187"/>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row>
    <row r="185" spans="1:54" ht="15.75" customHeight="1" thickBot="1" x14ac:dyDescent="0.35">
      <c r="A185" s="187"/>
      <c r="B185" s="187"/>
      <c r="C185" s="187"/>
      <c r="D185" s="187"/>
      <c r="E185" s="254"/>
      <c r="F185" s="187"/>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row>
    <row r="186" spans="1:54" ht="15.75" customHeight="1" thickBot="1" x14ac:dyDescent="0.35">
      <c r="A186" s="187"/>
      <c r="B186" s="187"/>
      <c r="C186" s="187"/>
      <c r="D186" s="187"/>
      <c r="E186" s="254"/>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row>
    <row r="187" spans="1:54" ht="15.75" customHeight="1" thickBot="1" x14ac:dyDescent="0.35">
      <c r="A187" s="187"/>
      <c r="B187" s="187"/>
      <c r="C187" s="187"/>
      <c r="D187" s="187"/>
      <c r="E187" s="254"/>
      <c r="F187" s="187"/>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row>
    <row r="188" spans="1:54" ht="15.75" customHeight="1" thickBot="1" x14ac:dyDescent="0.35">
      <c r="A188" s="187"/>
      <c r="B188" s="187"/>
      <c r="C188" s="187"/>
      <c r="D188" s="187"/>
      <c r="E188" s="254"/>
      <c r="F188" s="187"/>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row>
    <row r="189" spans="1:54" ht="15.75" customHeight="1" thickBot="1" x14ac:dyDescent="0.35">
      <c r="A189" s="187"/>
      <c r="B189" s="187"/>
      <c r="C189" s="187"/>
      <c r="D189" s="187"/>
      <c r="E189" s="254"/>
      <c r="F189" s="187"/>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row>
    <row r="190" spans="1:54" ht="15.75" customHeight="1" thickBot="1" x14ac:dyDescent="0.35">
      <c r="A190" s="187"/>
      <c r="B190" s="187"/>
      <c r="C190" s="187"/>
      <c r="D190" s="187"/>
      <c r="E190" s="254"/>
      <c r="F190" s="187"/>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row>
    <row r="191" spans="1:54" ht="15.75" customHeight="1" thickBot="1" x14ac:dyDescent="0.35">
      <c r="A191" s="187"/>
      <c r="B191" s="187"/>
      <c r="C191" s="187"/>
      <c r="D191" s="187"/>
      <c r="E191" s="254"/>
      <c r="F191" s="187"/>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row>
    <row r="192" spans="1:54" ht="15.75" customHeight="1" thickBot="1" x14ac:dyDescent="0.35">
      <c r="A192" s="187"/>
      <c r="B192" s="187"/>
      <c r="C192" s="187"/>
      <c r="D192" s="187"/>
      <c r="E192" s="254"/>
      <c r="F192" s="187"/>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row>
    <row r="193" spans="1:54" ht="15.75" customHeight="1" thickBot="1" x14ac:dyDescent="0.35">
      <c r="A193" s="187"/>
      <c r="B193" s="187"/>
      <c r="C193" s="187"/>
      <c r="D193" s="187"/>
      <c r="E193" s="254"/>
      <c r="F193" s="187"/>
      <c r="G193" s="187"/>
      <c r="H193" s="187"/>
      <c r="I193" s="187"/>
      <c r="J193" s="187"/>
      <c r="K193" s="187"/>
      <c r="L193" s="187"/>
      <c r="M193" s="187"/>
      <c r="N193" s="187"/>
      <c r="O193" s="187"/>
      <c r="P193" s="187"/>
      <c r="Q193" s="187"/>
      <c r="R193" s="187"/>
      <c r="S193" s="187"/>
      <c r="T193" s="187"/>
      <c r="U193" s="187"/>
      <c r="V193" s="187"/>
      <c r="W193" s="187"/>
      <c r="X193" s="187"/>
      <c r="Y193" s="18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row>
    <row r="194" spans="1:54" ht="15.75" customHeight="1" thickBot="1" x14ac:dyDescent="0.35">
      <c r="A194" s="187"/>
      <c r="B194" s="187"/>
      <c r="C194" s="187"/>
      <c r="D194" s="187"/>
      <c r="E194" s="254"/>
      <c r="F194" s="187"/>
      <c r="G194" s="187"/>
      <c r="H194" s="187"/>
      <c r="I194" s="187"/>
      <c r="J194" s="187"/>
      <c r="K194" s="187"/>
      <c r="L194" s="187"/>
      <c r="M194" s="187"/>
      <c r="N194" s="187"/>
      <c r="O194" s="187"/>
      <c r="P194" s="187"/>
      <c r="Q194" s="187"/>
      <c r="R194" s="187"/>
      <c r="S194" s="187"/>
      <c r="T194" s="187"/>
      <c r="U194" s="187"/>
      <c r="V194" s="187"/>
      <c r="W194" s="187"/>
      <c r="X194" s="187"/>
      <c r="Y194" s="187"/>
      <c r="Z194" s="187"/>
      <c r="AA194" s="187"/>
      <c r="AB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row>
    <row r="195" spans="1:54" ht="15.75" customHeight="1" thickBot="1" x14ac:dyDescent="0.35">
      <c r="A195" s="187"/>
      <c r="B195" s="187"/>
      <c r="C195" s="187"/>
      <c r="D195" s="187"/>
      <c r="E195" s="254"/>
      <c r="F195" s="187"/>
      <c r="G195" s="187"/>
      <c r="H195" s="187"/>
      <c r="I195" s="187"/>
      <c r="J195" s="187"/>
      <c r="K195" s="187"/>
      <c r="L195" s="187"/>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row>
    <row r="196" spans="1:54" ht="15.75" customHeight="1" thickBot="1" x14ac:dyDescent="0.35">
      <c r="A196" s="187"/>
      <c r="B196" s="187"/>
      <c r="C196" s="187"/>
      <c r="D196" s="187"/>
      <c r="E196" s="254"/>
      <c r="F196" s="187"/>
      <c r="G196" s="187"/>
      <c r="H196" s="187"/>
      <c r="I196" s="187"/>
      <c r="J196" s="187"/>
      <c r="K196" s="187"/>
      <c r="L196" s="187"/>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row>
    <row r="197" spans="1:54" ht="15.75" customHeight="1" thickBot="1" x14ac:dyDescent="0.35">
      <c r="A197" s="187"/>
      <c r="B197" s="187"/>
      <c r="C197" s="187"/>
      <c r="D197" s="187"/>
      <c r="E197" s="254"/>
      <c r="F197" s="187"/>
      <c r="G197" s="187"/>
      <c r="H197" s="187"/>
      <c r="I197" s="187"/>
      <c r="J197" s="187"/>
      <c r="K197" s="187"/>
      <c r="L197" s="187"/>
      <c r="M197" s="187"/>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row>
    <row r="198" spans="1:54" ht="15.75" customHeight="1" thickBot="1" x14ac:dyDescent="0.35">
      <c r="A198" s="187"/>
      <c r="B198" s="187"/>
      <c r="C198" s="187"/>
      <c r="D198" s="187"/>
      <c r="E198" s="254"/>
      <c r="F198" s="187"/>
      <c r="G198" s="187"/>
      <c r="H198" s="187"/>
      <c r="I198" s="187"/>
      <c r="J198" s="187"/>
      <c r="K198" s="187"/>
      <c r="L198" s="187"/>
      <c r="M198" s="187"/>
      <c r="N198" s="187"/>
      <c r="O198" s="187"/>
      <c r="P198" s="187"/>
      <c r="Q198" s="187"/>
      <c r="R198" s="187"/>
      <c r="S198" s="187"/>
      <c r="T198" s="187"/>
      <c r="U198" s="187"/>
      <c r="V198" s="187"/>
      <c r="W198" s="187"/>
      <c r="X198" s="187"/>
      <c r="Y198" s="187"/>
      <c r="Z198" s="187"/>
      <c r="AA198" s="187"/>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row>
    <row r="199" spans="1:54" ht="15.75" customHeight="1" thickBot="1" x14ac:dyDescent="0.35">
      <c r="A199" s="187"/>
      <c r="B199" s="187"/>
      <c r="C199" s="187"/>
      <c r="D199" s="187"/>
      <c r="E199" s="254"/>
      <c r="F199" s="187"/>
      <c r="G199" s="187"/>
      <c r="H199" s="187"/>
      <c r="I199" s="187"/>
      <c r="J199" s="187"/>
      <c r="K199" s="187"/>
      <c r="L199" s="187"/>
      <c r="M199" s="187"/>
      <c r="N199" s="187"/>
      <c r="O199" s="187"/>
      <c r="P199" s="187"/>
      <c r="Q199" s="187"/>
      <c r="R199" s="187"/>
      <c r="S199" s="187"/>
      <c r="T199" s="187"/>
      <c r="U199" s="187"/>
      <c r="V199" s="187"/>
      <c r="W199" s="187"/>
      <c r="X199" s="187"/>
      <c r="Y199" s="18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row>
    <row r="200" spans="1:54" ht="15.75" customHeight="1" thickBot="1" x14ac:dyDescent="0.35">
      <c r="A200" s="187"/>
      <c r="B200" s="187"/>
      <c r="C200" s="187"/>
      <c r="D200" s="187"/>
      <c r="E200" s="254"/>
      <c r="F200" s="187"/>
      <c r="G200" s="187"/>
      <c r="H200" s="187"/>
      <c r="I200" s="187"/>
      <c r="J200" s="187"/>
      <c r="K200" s="187"/>
      <c r="L200" s="187"/>
      <c r="M200" s="187"/>
      <c r="N200" s="187"/>
      <c r="O200" s="187"/>
      <c r="P200" s="187"/>
      <c r="Q200" s="187"/>
      <c r="R200" s="187"/>
      <c r="S200" s="187"/>
      <c r="T200" s="187"/>
      <c r="U200" s="187"/>
      <c r="V200" s="187"/>
      <c r="W200" s="187"/>
      <c r="X200" s="187"/>
      <c r="Y200" s="187"/>
      <c r="Z200" s="187"/>
      <c r="AA200" s="187"/>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row>
    <row r="201" spans="1:54" ht="15.75" customHeight="1" thickBot="1" x14ac:dyDescent="0.35">
      <c r="A201" s="187"/>
      <c r="B201" s="187"/>
      <c r="C201" s="187"/>
      <c r="D201" s="187"/>
      <c r="E201" s="254"/>
      <c r="F201" s="187"/>
      <c r="G201" s="187"/>
      <c r="H201" s="187"/>
      <c r="I201" s="187"/>
      <c r="J201" s="187"/>
      <c r="K201" s="187"/>
      <c r="L201" s="187"/>
      <c r="M201" s="187"/>
      <c r="N201" s="187"/>
      <c r="O201" s="187"/>
      <c r="P201" s="187"/>
      <c r="Q201" s="187"/>
      <c r="R201" s="187"/>
      <c r="S201" s="187"/>
      <c r="T201" s="187"/>
      <c r="U201" s="187"/>
      <c r="V201" s="187"/>
      <c r="W201" s="187"/>
      <c r="X201" s="187"/>
      <c r="Y201" s="18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row>
    <row r="202" spans="1:54" ht="15.75" customHeight="1" thickBot="1" x14ac:dyDescent="0.35">
      <c r="A202" s="187"/>
      <c r="B202" s="187"/>
      <c r="C202" s="187"/>
      <c r="D202" s="187"/>
      <c r="E202" s="254"/>
      <c r="F202" s="187"/>
      <c r="G202" s="187"/>
      <c r="H202" s="187"/>
      <c r="I202" s="187"/>
      <c r="J202" s="187"/>
      <c r="K202" s="187"/>
      <c r="L202" s="187"/>
      <c r="M202" s="187"/>
      <c r="N202" s="187"/>
      <c r="O202" s="187"/>
      <c r="P202" s="187"/>
      <c r="Q202" s="187"/>
      <c r="R202" s="187"/>
      <c r="S202" s="187"/>
      <c r="T202" s="187"/>
      <c r="U202" s="187"/>
      <c r="V202" s="187"/>
      <c r="W202" s="187"/>
      <c r="X202" s="187"/>
      <c r="Y202" s="187"/>
      <c r="Z202" s="187"/>
      <c r="AA202" s="187"/>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row>
    <row r="203" spans="1:54" ht="15.75" customHeight="1" thickBot="1" x14ac:dyDescent="0.35">
      <c r="A203" s="187"/>
      <c r="B203" s="187"/>
      <c r="C203" s="187"/>
      <c r="D203" s="187"/>
      <c r="E203" s="254"/>
      <c r="F203" s="187"/>
      <c r="G203" s="187"/>
      <c r="H203" s="187"/>
      <c r="I203" s="187"/>
      <c r="J203" s="187"/>
      <c r="K203" s="187"/>
      <c r="L203" s="187"/>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row>
    <row r="204" spans="1:54" ht="15.75" customHeight="1" thickBot="1" x14ac:dyDescent="0.35">
      <c r="A204" s="187"/>
      <c r="B204" s="187"/>
      <c r="C204" s="187"/>
      <c r="D204" s="187"/>
      <c r="E204" s="254"/>
      <c r="F204" s="187"/>
      <c r="G204" s="187"/>
      <c r="H204" s="187"/>
      <c r="I204" s="187"/>
      <c r="J204" s="187"/>
      <c r="K204" s="187"/>
      <c r="L204" s="187"/>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row>
    <row r="205" spans="1:54" ht="15.75" customHeight="1" thickBot="1" x14ac:dyDescent="0.35">
      <c r="A205" s="187"/>
      <c r="B205" s="187"/>
      <c r="C205" s="187"/>
      <c r="D205" s="187"/>
      <c r="E205" s="254"/>
      <c r="F205" s="187"/>
      <c r="G205" s="187"/>
      <c r="H205" s="187"/>
      <c r="I205" s="187"/>
      <c r="J205" s="187"/>
      <c r="K205" s="187"/>
      <c r="L205" s="187"/>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row>
    <row r="206" spans="1:54" ht="15.75" customHeight="1" thickBot="1" x14ac:dyDescent="0.35">
      <c r="A206" s="187"/>
      <c r="B206" s="187"/>
      <c r="C206" s="187"/>
      <c r="D206" s="187"/>
      <c r="E206" s="254"/>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row>
    <row r="207" spans="1:54" ht="15.75" customHeight="1" thickBot="1" x14ac:dyDescent="0.35">
      <c r="A207" s="187"/>
      <c r="B207" s="187"/>
      <c r="C207" s="187"/>
      <c r="D207" s="187"/>
      <c r="E207" s="254"/>
      <c r="F207" s="187"/>
      <c r="G207" s="187"/>
      <c r="H207" s="187"/>
      <c r="I207" s="187"/>
      <c r="J207" s="187"/>
      <c r="K207" s="187"/>
      <c r="L207" s="187"/>
      <c r="M207" s="187"/>
      <c r="N207" s="187"/>
      <c r="O207" s="187"/>
      <c r="P207" s="187"/>
      <c r="Q207" s="187"/>
      <c r="R207" s="187"/>
      <c r="S207" s="187"/>
      <c r="T207" s="187"/>
      <c r="U207" s="187"/>
      <c r="V207" s="187"/>
      <c r="W207" s="187"/>
      <c r="X207" s="187"/>
      <c r="Y207" s="18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row>
    <row r="208" spans="1:54" ht="15.75" customHeight="1" thickBot="1" x14ac:dyDescent="0.35">
      <c r="A208" s="187"/>
      <c r="B208" s="187"/>
      <c r="C208" s="187"/>
      <c r="D208" s="187"/>
      <c r="E208" s="254"/>
      <c r="F208" s="187"/>
      <c r="G208" s="187"/>
      <c r="H208" s="187"/>
      <c r="I208" s="187"/>
      <c r="J208" s="187"/>
      <c r="K208" s="187"/>
      <c r="L208" s="187"/>
      <c r="M208" s="187"/>
      <c r="N208" s="187"/>
      <c r="O208" s="187"/>
      <c r="P208" s="187"/>
      <c r="Q208" s="187"/>
      <c r="R208" s="187"/>
      <c r="S208" s="187"/>
      <c r="T208" s="187"/>
      <c r="U208" s="187"/>
      <c r="V208" s="187"/>
      <c r="W208" s="187"/>
      <c r="X208" s="187"/>
      <c r="Y208" s="187"/>
      <c r="Z208" s="187"/>
      <c r="AA208" s="187"/>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row>
    <row r="209" spans="1:54" ht="15.75" customHeight="1" thickBot="1" x14ac:dyDescent="0.35">
      <c r="A209" s="187"/>
      <c r="B209" s="187"/>
      <c r="C209" s="187"/>
      <c r="D209" s="187"/>
      <c r="E209" s="254"/>
      <c r="F209" s="187"/>
      <c r="G209" s="187"/>
      <c r="H209" s="187"/>
      <c r="I209" s="187"/>
      <c r="J209" s="187"/>
      <c r="K209" s="187"/>
      <c r="L209" s="187"/>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row>
    <row r="210" spans="1:54" ht="15.75" customHeight="1" thickBot="1" x14ac:dyDescent="0.35">
      <c r="A210" s="187"/>
      <c r="B210" s="187"/>
      <c r="C210" s="187"/>
      <c r="D210" s="187"/>
      <c r="E210" s="254"/>
      <c r="F210" s="187"/>
      <c r="G210" s="187"/>
      <c r="H210" s="187"/>
      <c r="I210" s="187"/>
      <c r="J210" s="187"/>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row>
    <row r="211" spans="1:54" ht="15.75" customHeight="1" thickBot="1" x14ac:dyDescent="0.35">
      <c r="A211" s="187"/>
      <c r="B211" s="187"/>
      <c r="C211" s="187"/>
      <c r="D211" s="187"/>
      <c r="E211" s="254"/>
      <c r="F211" s="187"/>
      <c r="G211" s="187"/>
      <c r="H211" s="187"/>
      <c r="I211" s="187"/>
      <c r="J211" s="187"/>
      <c r="K211" s="187"/>
      <c r="L211" s="187"/>
      <c r="M211" s="187"/>
      <c r="N211" s="187"/>
      <c r="O211" s="187"/>
      <c r="P211" s="187"/>
      <c r="Q211" s="187"/>
      <c r="R211" s="187"/>
      <c r="S211" s="187"/>
      <c r="T211" s="187"/>
      <c r="U211" s="187"/>
      <c r="V211" s="187"/>
      <c r="W211" s="187"/>
      <c r="X211" s="187"/>
      <c r="Y211" s="18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row>
    <row r="212" spans="1:54" ht="15.75" customHeight="1" thickBot="1" x14ac:dyDescent="0.35">
      <c r="A212" s="187"/>
      <c r="B212" s="187"/>
      <c r="C212" s="187"/>
      <c r="D212" s="187"/>
      <c r="E212" s="254"/>
      <c r="F212" s="187"/>
      <c r="G212" s="187"/>
      <c r="H212" s="187"/>
      <c r="I212" s="187"/>
      <c r="J212" s="187"/>
      <c r="K212" s="187"/>
      <c r="L212" s="187"/>
      <c r="M212" s="187"/>
      <c r="N212" s="187"/>
      <c r="O212" s="187"/>
      <c r="P212" s="187"/>
      <c r="Q212" s="187"/>
      <c r="R212" s="187"/>
      <c r="S212" s="187"/>
      <c r="T212" s="187"/>
      <c r="U212" s="187"/>
      <c r="V212" s="187"/>
      <c r="W212" s="187"/>
      <c r="X212" s="187"/>
      <c r="Y212" s="187"/>
      <c r="Z212" s="187"/>
      <c r="AA212" s="187"/>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row>
    <row r="213" spans="1:54" ht="15.75" customHeight="1" thickBot="1" x14ac:dyDescent="0.35">
      <c r="A213" s="187"/>
      <c r="B213" s="187"/>
      <c r="C213" s="187"/>
      <c r="D213" s="187"/>
      <c r="E213" s="254"/>
      <c r="F213" s="187"/>
      <c r="G213" s="187"/>
      <c r="H213" s="187"/>
      <c r="I213" s="187"/>
      <c r="J213" s="187"/>
      <c r="K213" s="187"/>
      <c r="L213" s="187"/>
      <c r="M213" s="187"/>
      <c r="N213" s="187"/>
      <c r="O213" s="187"/>
      <c r="P213" s="187"/>
      <c r="Q213" s="187"/>
      <c r="R213" s="187"/>
      <c r="S213" s="187"/>
      <c r="T213" s="187"/>
      <c r="U213" s="187"/>
      <c r="V213" s="187"/>
      <c r="W213" s="187"/>
      <c r="X213" s="187"/>
      <c r="Y213" s="187"/>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row>
    <row r="214" spans="1:54" ht="15.75" customHeight="1" thickBot="1" x14ac:dyDescent="0.35">
      <c r="A214" s="187"/>
      <c r="B214" s="187"/>
      <c r="C214" s="187"/>
      <c r="D214" s="187"/>
      <c r="E214" s="254"/>
      <c r="F214" s="187"/>
      <c r="G214" s="187"/>
      <c r="H214" s="187"/>
      <c r="I214" s="187"/>
      <c r="J214" s="187"/>
      <c r="K214" s="187"/>
      <c r="L214" s="187"/>
      <c r="M214" s="187"/>
      <c r="N214" s="187"/>
      <c r="O214" s="187"/>
      <c r="P214" s="187"/>
      <c r="Q214" s="187"/>
      <c r="R214" s="187"/>
      <c r="S214" s="187"/>
      <c r="T214" s="187"/>
      <c r="U214" s="187"/>
      <c r="V214" s="187"/>
      <c r="W214" s="187"/>
      <c r="X214" s="187"/>
      <c r="Y214" s="18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row>
    <row r="215" spans="1:54" ht="15.75" customHeight="1" thickBot="1" x14ac:dyDescent="0.35">
      <c r="A215" s="187"/>
      <c r="B215" s="187"/>
      <c r="C215" s="187"/>
      <c r="D215" s="187"/>
      <c r="E215" s="254"/>
      <c r="F215" s="187"/>
      <c r="G215" s="187"/>
      <c r="H215" s="187"/>
      <c r="I215" s="187"/>
      <c r="J215" s="187"/>
      <c r="K215" s="187"/>
      <c r="L215" s="187"/>
      <c r="M215" s="187"/>
      <c r="N215" s="187"/>
      <c r="O215" s="187"/>
      <c r="P215" s="187"/>
      <c r="Q215" s="187"/>
      <c r="R215" s="187"/>
      <c r="S215" s="187"/>
      <c r="T215" s="187"/>
      <c r="U215" s="187"/>
      <c r="V215" s="187"/>
      <c r="W215" s="187"/>
      <c r="X215" s="187"/>
      <c r="Y215" s="18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row>
    <row r="216" spans="1:54" ht="15.75" customHeight="1" thickBot="1" x14ac:dyDescent="0.35">
      <c r="A216" s="187"/>
      <c r="B216" s="187"/>
      <c r="C216" s="187"/>
      <c r="D216" s="187"/>
      <c r="E216" s="254"/>
      <c r="F216" s="187"/>
      <c r="G216" s="187"/>
      <c r="H216" s="187"/>
      <c r="I216" s="187"/>
      <c r="J216" s="187"/>
      <c r="K216" s="187"/>
      <c r="L216" s="187"/>
      <c r="M216" s="187"/>
      <c r="N216" s="187"/>
      <c r="O216" s="187"/>
      <c r="P216" s="187"/>
      <c r="Q216" s="187"/>
      <c r="R216" s="187"/>
      <c r="S216" s="187"/>
      <c r="T216" s="187"/>
      <c r="U216" s="187"/>
      <c r="V216" s="187"/>
      <c r="W216" s="187"/>
      <c r="X216" s="187"/>
      <c r="Y216" s="18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row>
    <row r="217" spans="1:54" ht="15.75" customHeight="1" thickBot="1" x14ac:dyDescent="0.35">
      <c r="A217" s="187"/>
      <c r="B217" s="187"/>
      <c r="C217" s="187"/>
      <c r="D217" s="187"/>
      <c r="E217" s="254"/>
      <c r="F217" s="187"/>
      <c r="G217" s="187"/>
      <c r="H217" s="187"/>
      <c r="I217" s="187"/>
      <c r="J217" s="187"/>
      <c r="K217" s="187"/>
      <c r="L217" s="187"/>
      <c r="M217" s="187"/>
      <c r="N217" s="187"/>
      <c r="O217" s="187"/>
      <c r="P217" s="187"/>
      <c r="Q217" s="187"/>
      <c r="R217" s="187"/>
      <c r="S217" s="187"/>
      <c r="T217" s="187"/>
      <c r="U217" s="187"/>
      <c r="V217" s="187"/>
      <c r="W217" s="187"/>
      <c r="X217" s="187"/>
      <c r="Y217" s="18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row>
    <row r="218" spans="1:54" ht="15.75" customHeight="1" thickBot="1" x14ac:dyDescent="0.35">
      <c r="A218" s="187"/>
      <c r="B218" s="187"/>
      <c r="C218" s="187"/>
      <c r="D218" s="187"/>
      <c r="E218" s="254"/>
      <c r="F218" s="187"/>
      <c r="G218" s="187"/>
      <c r="H218" s="187"/>
      <c r="I218" s="187"/>
      <c r="J218" s="187"/>
      <c r="K218" s="187"/>
      <c r="L218" s="187"/>
      <c r="M218" s="187"/>
      <c r="N218" s="187"/>
      <c r="O218" s="187"/>
      <c r="P218" s="187"/>
      <c r="Q218" s="187"/>
      <c r="R218" s="187"/>
      <c r="S218" s="187"/>
      <c r="T218" s="187"/>
      <c r="U218" s="187"/>
      <c r="V218" s="187"/>
      <c r="W218" s="187"/>
      <c r="X218" s="187"/>
      <c r="Y218" s="187"/>
      <c r="Z218" s="187"/>
      <c r="AA218" s="187"/>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row>
    <row r="219" spans="1:54" ht="15.75" customHeight="1" thickBot="1" x14ac:dyDescent="0.35">
      <c r="A219" s="187"/>
      <c r="B219" s="187"/>
      <c r="C219" s="187"/>
      <c r="D219" s="187"/>
      <c r="E219" s="254"/>
      <c r="F219" s="187"/>
      <c r="G219" s="187"/>
      <c r="H219" s="187"/>
      <c r="I219" s="187"/>
      <c r="J219" s="187"/>
      <c r="K219" s="187"/>
      <c r="L219" s="187"/>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row>
    <row r="220" spans="1:54" ht="15.75" customHeight="1" thickBot="1" x14ac:dyDescent="0.35">
      <c r="A220" s="187"/>
      <c r="B220" s="187"/>
      <c r="C220" s="187"/>
      <c r="D220" s="187"/>
      <c r="E220" s="254"/>
      <c r="F220" s="187"/>
      <c r="G220" s="187"/>
      <c r="H220" s="187"/>
      <c r="I220" s="187"/>
      <c r="J220" s="187"/>
      <c r="K220" s="187"/>
      <c r="L220" s="187"/>
      <c r="M220" s="187"/>
      <c r="N220" s="187"/>
      <c r="O220" s="187"/>
      <c r="P220" s="187"/>
      <c r="Q220" s="187"/>
      <c r="R220" s="187"/>
      <c r="S220" s="187"/>
      <c r="T220" s="187"/>
      <c r="U220" s="187"/>
      <c r="V220" s="187"/>
      <c r="W220" s="187"/>
      <c r="X220" s="187"/>
      <c r="Y220" s="187"/>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row>
    <row r="221" spans="1:54" ht="15.75" customHeight="1" thickBot="1" x14ac:dyDescent="0.35">
      <c r="A221" s="187"/>
      <c r="B221" s="187"/>
      <c r="C221" s="187"/>
      <c r="D221" s="187"/>
      <c r="E221" s="254"/>
      <c r="F221" s="187"/>
      <c r="G221" s="187"/>
      <c r="H221" s="187"/>
      <c r="I221" s="187"/>
      <c r="J221" s="187"/>
      <c r="K221" s="187"/>
      <c r="L221" s="187"/>
      <c r="M221" s="187"/>
      <c r="N221" s="187"/>
      <c r="O221" s="187"/>
      <c r="P221" s="187"/>
      <c r="Q221" s="187"/>
      <c r="R221" s="187"/>
      <c r="S221" s="187"/>
      <c r="T221" s="187"/>
      <c r="U221" s="187"/>
      <c r="V221" s="187"/>
      <c r="W221" s="187"/>
      <c r="X221" s="187"/>
      <c r="Y221" s="187"/>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row>
    <row r="222" spans="1:54" ht="15.75" customHeight="1" thickBot="1" x14ac:dyDescent="0.35">
      <c r="A222" s="187"/>
      <c r="B222" s="187"/>
      <c r="C222" s="187"/>
      <c r="D222" s="187"/>
      <c r="E222" s="254"/>
      <c r="F222" s="187"/>
      <c r="G222" s="187"/>
      <c r="H222" s="187"/>
      <c r="I222" s="187"/>
      <c r="J222" s="187"/>
      <c r="K222" s="187"/>
      <c r="L222" s="187"/>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row>
    <row r="223" spans="1:54" ht="15.75" customHeight="1" thickBot="1" x14ac:dyDescent="0.35">
      <c r="A223" s="187"/>
      <c r="B223" s="187"/>
      <c r="C223" s="187"/>
      <c r="D223" s="187"/>
      <c r="E223" s="254"/>
      <c r="F223" s="187"/>
      <c r="G223" s="187"/>
      <c r="H223" s="187"/>
      <c r="I223" s="187"/>
      <c r="J223" s="187"/>
      <c r="K223" s="187"/>
      <c r="L223" s="187"/>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row>
    <row r="224" spans="1:54" ht="15.75" customHeight="1" thickBot="1" x14ac:dyDescent="0.35">
      <c r="A224" s="187"/>
      <c r="B224" s="187"/>
      <c r="C224" s="187"/>
      <c r="D224" s="187"/>
      <c r="E224" s="254"/>
      <c r="F224" s="187"/>
      <c r="G224" s="187"/>
      <c r="H224" s="187"/>
      <c r="I224" s="187"/>
      <c r="J224" s="187"/>
      <c r="K224" s="187"/>
      <c r="L224" s="187"/>
      <c r="M224" s="187"/>
      <c r="N224" s="187"/>
      <c r="O224" s="187"/>
      <c r="P224" s="187"/>
      <c r="Q224" s="187"/>
      <c r="R224" s="187"/>
      <c r="S224" s="187"/>
      <c r="T224" s="187"/>
      <c r="U224" s="187"/>
      <c r="V224" s="187"/>
      <c r="W224" s="187"/>
      <c r="X224" s="187"/>
      <c r="Y224" s="18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row>
    <row r="225" spans="1:54" ht="15.75" customHeight="1" thickBot="1" x14ac:dyDescent="0.35">
      <c r="A225" s="187"/>
      <c r="B225" s="187"/>
      <c r="C225" s="187"/>
      <c r="D225" s="187"/>
      <c r="E225" s="254"/>
      <c r="F225" s="187"/>
      <c r="G225" s="187"/>
      <c r="H225" s="187"/>
      <c r="I225" s="187"/>
      <c r="J225" s="187"/>
      <c r="K225" s="187"/>
      <c r="L225" s="187"/>
      <c r="M225" s="187"/>
      <c r="N225" s="187"/>
      <c r="O225" s="187"/>
      <c r="P225" s="187"/>
      <c r="Q225" s="187"/>
      <c r="R225" s="187"/>
      <c r="S225" s="187"/>
      <c r="T225" s="187"/>
      <c r="U225" s="187"/>
      <c r="V225" s="187"/>
      <c r="W225" s="187"/>
      <c r="X225" s="187"/>
      <c r="Y225" s="187"/>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row>
    <row r="226" spans="1:54" ht="15.75" customHeight="1" thickBot="1" x14ac:dyDescent="0.35">
      <c r="A226" s="187"/>
      <c r="B226" s="187"/>
      <c r="C226" s="187"/>
      <c r="D226" s="187"/>
      <c r="E226" s="254"/>
      <c r="F226" s="187"/>
      <c r="G226" s="187"/>
      <c r="H226" s="187"/>
      <c r="I226" s="187"/>
      <c r="J226" s="187"/>
      <c r="K226" s="187"/>
      <c r="L226" s="187"/>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row>
    <row r="227" spans="1:54" ht="15.75" customHeight="1" thickBot="1" x14ac:dyDescent="0.35">
      <c r="A227" s="187"/>
      <c r="B227" s="187"/>
      <c r="C227" s="187"/>
      <c r="D227" s="187"/>
      <c r="E227" s="254"/>
      <c r="F227" s="187"/>
      <c r="G227" s="187"/>
      <c r="H227" s="187"/>
      <c r="I227" s="187"/>
      <c r="J227" s="187"/>
      <c r="K227" s="187"/>
      <c r="L227" s="187"/>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row>
    <row r="228" spans="1:54" ht="15.75" customHeight="1" thickBot="1" x14ac:dyDescent="0.35">
      <c r="A228" s="187"/>
      <c r="B228" s="187"/>
      <c r="C228" s="187"/>
      <c r="D228" s="187"/>
      <c r="E228" s="254"/>
      <c r="F228" s="187"/>
      <c r="G228" s="187"/>
      <c r="H228" s="187"/>
      <c r="I228" s="187"/>
      <c r="J228" s="187"/>
      <c r="K228" s="187"/>
      <c r="L228" s="187"/>
      <c r="M228" s="187"/>
      <c r="N228" s="187"/>
      <c r="O228" s="187"/>
      <c r="P228" s="187"/>
      <c r="Q228" s="187"/>
      <c r="R228" s="187"/>
      <c r="S228" s="187"/>
      <c r="T228" s="187"/>
      <c r="U228" s="187"/>
      <c r="V228" s="187"/>
      <c r="W228" s="187"/>
      <c r="X228" s="187"/>
      <c r="Y228" s="18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row>
    <row r="229" spans="1:54" ht="15.75" customHeight="1" thickBot="1" x14ac:dyDescent="0.35">
      <c r="A229" s="187"/>
      <c r="B229" s="187"/>
      <c r="C229" s="187"/>
      <c r="D229" s="187"/>
      <c r="E229" s="254"/>
      <c r="F229" s="187"/>
      <c r="G229" s="187"/>
      <c r="H229" s="187"/>
      <c r="I229" s="187"/>
      <c r="J229" s="187"/>
      <c r="K229" s="187"/>
      <c r="L229" s="187"/>
      <c r="M229" s="187"/>
      <c r="N229" s="187"/>
      <c r="O229" s="187"/>
      <c r="P229" s="187"/>
      <c r="Q229" s="187"/>
      <c r="R229" s="187"/>
      <c r="S229" s="187"/>
      <c r="T229" s="187"/>
      <c r="U229" s="187"/>
      <c r="V229" s="187"/>
      <c r="W229" s="187"/>
      <c r="X229" s="187"/>
      <c r="Y229" s="18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row>
    <row r="230" spans="1:54" ht="15.75" customHeight="1" thickBot="1" x14ac:dyDescent="0.35">
      <c r="A230" s="187"/>
      <c r="B230" s="187"/>
      <c r="C230" s="187"/>
      <c r="D230" s="187"/>
      <c r="E230" s="254"/>
      <c r="F230" s="187"/>
      <c r="G230" s="187"/>
      <c r="H230" s="187"/>
      <c r="I230" s="187"/>
      <c r="J230" s="187"/>
      <c r="K230" s="187"/>
      <c r="L230" s="187"/>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row>
    <row r="231" spans="1:54" ht="15.75" customHeight="1" thickBot="1" x14ac:dyDescent="0.35">
      <c r="A231" s="187"/>
      <c r="B231" s="187"/>
      <c r="C231" s="187"/>
      <c r="D231" s="187"/>
      <c r="E231" s="254"/>
      <c r="F231" s="187"/>
      <c r="G231" s="187"/>
      <c r="H231" s="187"/>
      <c r="I231" s="187"/>
      <c r="J231" s="187"/>
      <c r="K231" s="187"/>
      <c r="L231" s="187"/>
      <c r="M231" s="187"/>
      <c r="N231" s="187"/>
      <c r="O231" s="187"/>
      <c r="P231" s="187"/>
      <c r="Q231" s="187"/>
      <c r="R231" s="187"/>
      <c r="S231" s="187"/>
      <c r="T231" s="187"/>
      <c r="U231" s="187"/>
      <c r="V231" s="187"/>
      <c r="W231" s="187"/>
      <c r="X231" s="187"/>
      <c r="Y231" s="187"/>
      <c r="Z231" s="187"/>
      <c r="AA231" s="187"/>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row>
    <row r="232" spans="1:54" ht="15.75" customHeight="1" thickBot="1" x14ac:dyDescent="0.35">
      <c r="A232" s="187"/>
      <c r="B232" s="187"/>
      <c r="C232" s="187"/>
      <c r="D232" s="187"/>
      <c r="E232" s="254"/>
      <c r="F232" s="187"/>
      <c r="G232" s="187"/>
      <c r="H232" s="187"/>
      <c r="I232" s="187"/>
      <c r="J232" s="187"/>
      <c r="K232" s="187"/>
      <c r="L232" s="187"/>
      <c r="M232" s="187"/>
      <c r="N232" s="187"/>
      <c r="O232" s="187"/>
      <c r="P232" s="187"/>
      <c r="Q232" s="187"/>
      <c r="R232" s="187"/>
      <c r="S232" s="187"/>
      <c r="T232" s="187"/>
      <c r="U232" s="187"/>
      <c r="V232" s="187"/>
      <c r="W232" s="187"/>
      <c r="X232" s="187"/>
      <c r="Y232" s="18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row>
    <row r="233" spans="1:54" ht="15.75" customHeight="1" thickBot="1" x14ac:dyDescent="0.35">
      <c r="A233" s="187"/>
      <c r="B233" s="187"/>
      <c r="C233" s="187"/>
      <c r="D233" s="187"/>
      <c r="E233" s="254"/>
      <c r="F233" s="187"/>
      <c r="G233" s="187"/>
      <c r="H233" s="187"/>
      <c r="I233" s="187"/>
      <c r="J233" s="187"/>
      <c r="K233" s="187"/>
      <c r="L233" s="187"/>
      <c r="M233" s="187"/>
      <c r="N233" s="187"/>
      <c r="O233" s="187"/>
      <c r="P233" s="187"/>
      <c r="Q233" s="187"/>
      <c r="R233" s="187"/>
      <c r="S233" s="187"/>
      <c r="T233" s="187"/>
      <c r="U233" s="187"/>
      <c r="V233" s="187"/>
      <c r="W233" s="187"/>
      <c r="X233" s="187"/>
      <c r="Y233" s="18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row>
    <row r="234" spans="1:54" ht="15.75" customHeight="1" thickBot="1" x14ac:dyDescent="0.35">
      <c r="A234" s="187"/>
      <c r="B234" s="187"/>
      <c r="C234" s="187"/>
      <c r="D234" s="187"/>
      <c r="E234" s="254"/>
      <c r="F234" s="187"/>
      <c r="G234" s="187"/>
      <c r="H234" s="187"/>
      <c r="I234" s="187"/>
      <c r="J234" s="187"/>
      <c r="K234" s="187"/>
      <c r="L234" s="187"/>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row>
    <row r="235" spans="1:54" ht="15.75" customHeight="1" thickBot="1" x14ac:dyDescent="0.35">
      <c r="A235" s="187"/>
      <c r="B235" s="187"/>
      <c r="C235" s="187"/>
      <c r="D235" s="187"/>
      <c r="E235" s="254"/>
      <c r="F235" s="187"/>
      <c r="G235" s="187"/>
      <c r="H235" s="187"/>
      <c r="I235" s="187"/>
      <c r="J235" s="187"/>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row>
    <row r="236" spans="1:54" ht="15.75" customHeight="1" thickBot="1" x14ac:dyDescent="0.35">
      <c r="A236" s="187"/>
      <c r="B236" s="187"/>
      <c r="C236" s="187"/>
      <c r="D236" s="187"/>
      <c r="E236" s="254"/>
      <c r="F236" s="187"/>
      <c r="G236" s="187"/>
      <c r="H236" s="187"/>
      <c r="I236" s="187"/>
      <c r="J236" s="187"/>
      <c r="K236" s="187"/>
      <c r="L236" s="187"/>
      <c r="M236" s="187"/>
      <c r="N236" s="187"/>
      <c r="O236" s="187"/>
      <c r="P236" s="187"/>
      <c r="Q236" s="187"/>
      <c r="R236" s="187"/>
      <c r="S236" s="187"/>
      <c r="T236" s="187"/>
      <c r="U236" s="187"/>
      <c r="V236" s="187"/>
      <c r="W236" s="187"/>
      <c r="X236" s="187"/>
      <c r="Y236" s="187"/>
      <c r="Z236" s="187"/>
      <c r="AA236" s="187"/>
      <c r="AB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row>
    <row r="237" spans="1:54" ht="15.75" customHeight="1" thickBot="1" x14ac:dyDescent="0.35">
      <c r="A237" s="187"/>
      <c r="B237" s="187"/>
      <c r="C237" s="187"/>
      <c r="D237" s="187"/>
      <c r="E237" s="254"/>
      <c r="F237" s="187"/>
      <c r="G237" s="187"/>
      <c r="H237" s="187"/>
      <c r="I237" s="187"/>
      <c r="J237" s="187"/>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row>
    <row r="238" spans="1:54" ht="15.75" customHeight="1" thickBot="1" x14ac:dyDescent="0.35">
      <c r="A238" s="187"/>
      <c r="B238" s="187"/>
      <c r="C238" s="187"/>
      <c r="D238" s="187"/>
      <c r="E238" s="254"/>
      <c r="F238" s="187"/>
      <c r="G238" s="187"/>
      <c r="H238" s="187"/>
      <c r="I238" s="187"/>
      <c r="J238" s="187"/>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row>
    <row r="239" spans="1:54" ht="15.75" customHeight="1" thickBot="1" x14ac:dyDescent="0.35">
      <c r="A239" s="187"/>
      <c r="B239" s="187"/>
      <c r="C239" s="187"/>
      <c r="D239" s="187"/>
      <c r="E239" s="254"/>
      <c r="F239" s="187"/>
      <c r="G239" s="187"/>
      <c r="H239" s="187"/>
      <c r="I239" s="187"/>
      <c r="J239" s="187"/>
      <c r="K239" s="187"/>
      <c r="L239" s="187"/>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row>
    <row r="240" spans="1:54" ht="15.75" customHeight="1" thickBot="1" x14ac:dyDescent="0.35">
      <c r="A240" s="187"/>
      <c r="B240" s="187"/>
      <c r="C240" s="187"/>
      <c r="D240" s="187"/>
      <c r="E240" s="254"/>
      <c r="F240" s="187"/>
      <c r="G240" s="187"/>
      <c r="H240" s="187"/>
      <c r="I240" s="187"/>
      <c r="J240" s="187"/>
      <c r="K240" s="187"/>
      <c r="L240" s="187"/>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row>
    <row r="241" spans="1:54" ht="15.75" customHeight="1" thickBot="1" x14ac:dyDescent="0.35">
      <c r="A241" s="187"/>
      <c r="B241" s="187"/>
      <c r="C241" s="187"/>
      <c r="D241" s="187"/>
      <c r="E241" s="254"/>
      <c r="F241" s="187"/>
      <c r="G241" s="187"/>
      <c r="H241" s="187"/>
      <c r="I241" s="187"/>
      <c r="J241" s="187"/>
      <c r="K241" s="187"/>
      <c r="L241" s="187"/>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row>
    <row r="242" spans="1:54" ht="15.75" customHeight="1" thickBot="1" x14ac:dyDescent="0.35">
      <c r="A242" s="187"/>
      <c r="B242" s="187"/>
      <c r="C242" s="187"/>
      <c r="D242" s="187"/>
      <c r="E242" s="254"/>
      <c r="F242" s="187"/>
      <c r="G242" s="187"/>
      <c r="H242" s="187"/>
      <c r="I242" s="187"/>
      <c r="J242" s="187"/>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row>
    <row r="243" spans="1:54" ht="15.75" customHeight="1" thickBot="1" x14ac:dyDescent="0.35">
      <c r="A243" s="187"/>
      <c r="B243" s="187"/>
      <c r="C243" s="187"/>
      <c r="D243" s="187"/>
      <c r="E243" s="254"/>
      <c r="F243" s="187"/>
      <c r="G243" s="187"/>
      <c r="H243" s="187"/>
      <c r="I243" s="187"/>
      <c r="J243" s="187"/>
      <c r="K243" s="187"/>
      <c r="L243" s="187"/>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row>
    <row r="244" spans="1:54" ht="15.75" customHeight="1" thickBot="1" x14ac:dyDescent="0.35">
      <c r="A244" s="187"/>
      <c r="B244" s="187"/>
      <c r="C244" s="187"/>
      <c r="D244" s="187"/>
      <c r="E244" s="254"/>
      <c r="F244" s="187"/>
      <c r="G244" s="187"/>
      <c r="H244" s="187"/>
      <c r="I244" s="187"/>
      <c r="J244" s="187"/>
      <c r="K244" s="187"/>
      <c r="L244" s="187"/>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row>
    <row r="245" spans="1:54" ht="15.75" customHeight="1" thickBot="1" x14ac:dyDescent="0.35">
      <c r="A245" s="187"/>
      <c r="B245" s="187"/>
      <c r="C245" s="187"/>
      <c r="D245" s="187"/>
      <c r="E245" s="254"/>
      <c r="F245" s="187"/>
      <c r="G245" s="187"/>
      <c r="H245" s="187"/>
      <c r="I245" s="187"/>
      <c r="J245" s="187"/>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row>
    <row r="246" spans="1:54" ht="15.75" customHeight="1" thickBot="1" x14ac:dyDescent="0.35">
      <c r="A246" s="187"/>
      <c r="B246" s="187"/>
      <c r="C246" s="187"/>
      <c r="D246" s="187"/>
      <c r="E246" s="254"/>
      <c r="F246" s="187"/>
      <c r="G246" s="187"/>
      <c r="H246" s="187"/>
      <c r="I246" s="187"/>
      <c r="J246" s="187"/>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row>
    <row r="247" spans="1:54" ht="15.75" customHeight="1" thickBot="1" x14ac:dyDescent="0.35">
      <c r="A247" s="187"/>
      <c r="B247" s="187"/>
      <c r="C247" s="187"/>
      <c r="D247" s="187"/>
      <c r="E247" s="254"/>
      <c r="F247" s="187"/>
      <c r="G247" s="187"/>
      <c r="H247" s="187"/>
      <c r="I247" s="187"/>
      <c r="J247" s="187"/>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row>
    <row r="248" spans="1:54" ht="15.75" customHeight="1" thickBot="1" x14ac:dyDescent="0.35">
      <c r="A248" s="187"/>
      <c r="B248" s="187"/>
      <c r="C248" s="187"/>
      <c r="D248" s="187"/>
      <c r="E248" s="254"/>
      <c r="F248" s="187"/>
      <c r="G248" s="187"/>
      <c r="H248" s="187"/>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row>
    <row r="249" spans="1:54" ht="15.75" customHeight="1" thickBot="1" x14ac:dyDescent="0.35">
      <c r="A249" s="187"/>
      <c r="B249" s="187"/>
      <c r="C249" s="187"/>
      <c r="D249" s="187"/>
      <c r="E249" s="254"/>
      <c r="F249" s="187"/>
      <c r="G249" s="187"/>
      <c r="H249" s="187"/>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row>
    <row r="250" spans="1:54" ht="15.75" customHeight="1" thickBot="1" x14ac:dyDescent="0.35">
      <c r="A250" s="187"/>
      <c r="B250" s="187"/>
      <c r="C250" s="187"/>
      <c r="D250" s="187"/>
      <c r="E250" s="254"/>
      <c r="F250" s="187"/>
      <c r="G250" s="187"/>
      <c r="H250" s="187"/>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row>
    <row r="251" spans="1:54" ht="15.75" customHeight="1" thickBot="1" x14ac:dyDescent="0.35">
      <c r="A251" s="187"/>
      <c r="B251" s="187"/>
      <c r="C251" s="187"/>
      <c r="D251" s="187"/>
      <c r="E251" s="254"/>
      <c r="F251" s="187"/>
      <c r="G251" s="187"/>
      <c r="H251" s="187"/>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row>
    <row r="252" spans="1:54" ht="15.75" customHeight="1" thickBot="1" x14ac:dyDescent="0.35">
      <c r="A252" s="187"/>
      <c r="B252" s="187"/>
      <c r="C252" s="187"/>
      <c r="D252" s="187"/>
      <c r="E252" s="254"/>
      <c r="F252" s="187"/>
      <c r="G252" s="187"/>
      <c r="H252" s="187"/>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row>
    <row r="253" spans="1:54" ht="15.75" customHeight="1" thickBot="1" x14ac:dyDescent="0.35">
      <c r="A253" s="187"/>
      <c r="B253" s="187"/>
      <c r="C253" s="187"/>
      <c r="D253" s="187"/>
      <c r="E253" s="254"/>
      <c r="F253" s="187"/>
      <c r="G253" s="187"/>
      <c r="H253" s="187"/>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row>
    <row r="254" spans="1:54" ht="15.75" customHeight="1" thickBot="1" x14ac:dyDescent="0.35">
      <c r="A254" s="187"/>
      <c r="B254" s="187"/>
      <c r="C254" s="187"/>
      <c r="D254" s="187"/>
      <c r="E254" s="254"/>
      <c r="F254" s="187"/>
      <c r="G254" s="187"/>
      <c r="H254" s="187"/>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row>
    <row r="255" spans="1:54" ht="15.75" customHeight="1" thickBot="1" x14ac:dyDescent="0.35">
      <c r="A255" s="187"/>
      <c r="B255" s="187"/>
      <c r="C255" s="187"/>
      <c r="D255" s="187"/>
      <c r="E255" s="254"/>
      <c r="F255" s="187"/>
      <c r="G255" s="187"/>
      <c r="H255" s="187"/>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row>
    <row r="256" spans="1:54" ht="15.75" customHeight="1" thickBot="1" x14ac:dyDescent="0.35">
      <c r="A256" s="187"/>
      <c r="B256" s="187"/>
      <c r="C256" s="187"/>
      <c r="D256" s="187"/>
      <c r="E256" s="254"/>
      <c r="F256" s="187"/>
      <c r="G256" s="187"/>
      <c r="H256" s="187"/>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c r="AK256" s="187"/>
      <c r="AL256" s="187"/>
      <c r="AM256" s="187"/>
      <c r="AN256" s="187"/>
      <c r="AO256" s="187"/>
      <c r="AP256" s="187"/>
      <c r="AQ256" s="187"/>
      <c r="AR256" s="187"/>
      <c r="AS256" s="187"/>
      <c r="AT256" s="187"/>
      <c r="AU256" s="187"/>
      <c r="AV256" s="187"/>
      <c r="AW256" s="187"/>
      <c r="AX256" s="187"/>
      <c r="AY256" s="187"/>
      <c r="AZ256" s="187"/>
      <c r="BA256" s="187"/>
      <c r="BB256" s="187"/>
    </row>
    <row r="257" spans="1:54" ht="15.75" customHeight="1" thickBot="1" x14ac:dyDescent="0.35">
      <c r="A257" s="187"/>
      <c r="B257" s="187"/>
      <c r="C257" s="187"/>
      <c r="D257" s="187"/>
      <c r="E257" s="254"/>
      <c r="F257" s="187"/>
      <c r="G257" s="187"/>
      <c r="H257" s="187"/>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87"/>
    </row>
    <row r="258" spans="1:54" ht="15.75" customHeight="1" thickBot="1" x14ac:dyDescent="0.35">
      <c r="A258" s="187"/>
      <c r="B258" s="187"/>
      <c r="C258" s="187"/>
      <c r="D258" s="187"/>
      <c r="E258" s="254"/>
      <c r="F258" s="187"/>
      <c r="G258" s="187"/>
      <c r="H258" s="187"/>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87"/>
    </row>
    <row r="259" spans="1:54" ht="15.75" customHeight="1" thickBot="1" x14ac:dyDescent="0.35">
      <c r="A259" s="187"/>
      <c r="B259" s="187"/>
      <c r="C259" s="187"/>
      <c r="D259" s="187"/>
      <c r="E259" s="254"/>
      <c r="F259" s="187"/>
      <c r="G259" s="187"/>
      <c r="H259" s="187"/>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c r="AK259" s="187"/>
      <c r="AL259" s="187"/>
      <c r="AM259" s="187"/>
      <c r="AN259" s="187"/>
      <c r="AO259" s="187"/>
      <c r="AP259" s="187"/>
      <c r="AQ259" s="187"/>
      <c r="AR259" s="187"/>
      <c r="AS259" s="187"/>
      <c r="AT259" s="187"/>
      <c r="AU259" s="187"/>
      <c r="AV259" s="187"/>
      <c r="AW259" s="187"/>
      <c r="AX259" s="187"/>
      <c r="AY259" s="187"/>
      <c r="AZ259" s="187"/>
      <c r="BA259" s="187"/>
      <c r="BB259" s="187"/>
    </row>
    <row r="260" spans="1:54" ht="15.75" customHeight="1" thickBot="1" x14ac:dyDescent="0.35">
      <c r="A260" s="187"/>
      <c r="B260" s="187"/>
      <c r="C260" s="187"/>
      <c r="D260" s="187"/>
      <c r="E260" s="254"/>
      <c r="F260" s="187"/>
      <c r="G260" s="187"/>
      <c r="H260" s="187"/>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c r="AK260" s="187"/>
      <c r="AL260" s="187"/>
      <c r="AM260" s="187"/>
      <c r="AN260" s="187"/>
      <c r="AO260" s="187"/>
      <c r="AP260" s="187"/>
      <c r="AQ260" s="187"/>
      <c r="AR260" s="187"/>
      <c r="AS260" s="187"/>
      <c r="AT260" s="187"/>
      <c r="AU260" s="187"/>
      <c r="AV260" s="187"/>
      <c r="AW260" s="187"/>
      <c r="AX260" s="187"/>
      <c r="AY260" s="187"/>
      <c r="AZ260" s="187"/>
      <c r="BA260" s="187"/>
      <c r="BB260" s="187"/>
    </row>
    <row r="261" spans="1:54" ht="15.75" customHeight="1" thickBot="1" x14ac:dyDescent="0.35">
      <c r="A261" s="187"/>
      <c r="B261" s="187"/>
      <c r="C261" s="187"/>
      <c r="D261" s="187"/>
      <c r="E261" s="254"/>
      <c r="F261" s="187"/>
      <c r="G261" s="187"/>
      <c r="H261" s="187"/>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c r="AK261" s="187"/>
      <c r="AL261" s="187"/>
      <c r="AM261" s="187"/>
      <c r="AN261" s="187"/>
      <c r="AO261" s="187"/>
      <c r="AP261" s="187"/>
      <c r="AQ261" s="187"/>
      <c r="AR261" s="187"/>
      <c r="AS261" s="187"/>
      <c r="AT261" s="187"/>
      <c r="AU261" s="187"/>
      <c r="AV261" s="187"/>
      <c r="AW261" s="187"/>
      <c r="AX261" s="187"/>
      <c r="AY261" s="187"/>
      <c r="AZ261" s="187"/>
      <c r="BA261" s="187"/>
      <c r="BB261" s="187"/>
    </row>
    <row r="262" spans="1:54" ht="15.75" customHeight="1" thickBot="1" x14ac:dyDescent="0.35">
      <c r="A262" s="187"/>
      <c r="B262" s="187"/>
      <c r="C262" s="187"/>
      <c r="D262" s="187"/>
      <c r="E262" s="254"/>
      <c r="F262" s="187"/>
      <c r="G262" s="187"/>
      <c r="H262" s="187"/>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c r="AK262" s="187"/>
      <c r="AL262" s="187"/>
      <c r="AM262" s="187"/>
      <c r="AN262" s="187"/>
      <c r="AO262" s="187"/>
      <c r="AP262" s="187"/>
      <c r="AQ262" s="187"/>
      <c r="AR262" s="187"/>
      <c r="AS262" s="187"/>
      <c r="AT262" s="187"/>
      <c r="AU262" s="187"/>
      <c r="AV262" s="187"/>
      <c r="AW262" s="187"/>
      <c r="AX262" s="187"/>
      <c r="AY262" s="187"/>
      <c r="AZ262" s="187"/>
      <c r="BA262" s="187"/>
      <c r="BB262" s="187"/>
    </row>
    <row r="263" spans="1:54" ht="15.75" customHeight="1" thickBot="1" x14ac:dyDescent="0.35">
      <c r="A263" s="187"/>
      <c r="B263" s="187"/>
      <c r="C263" s="187"/>
      <c r="D263" s="187"/>
      <c r="E263" s="254"/>
      <c r="F263" s="187"/>
      <c r="G263" s="187"/>
      <c r="H263" s="187"/>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c r="AK263" s="187"/>
      <c r="AL263" s="187"/>
      <c r="AM263" s="187"/>
      <c r="AN263" s="187"/>
      <c r="AO263" s="187"/>
      <c r="AP263" s="187"/>
      <c r="AQ263" s="187"/>
      <c r="AR263" s="187"/>
      <c r="AS263" s="187"/>
      <c r="AT263" s="187"/>
      <c r="AU263" s="187"/>
      <c r="AV263" s="187"/>
      <c r="AW263" s="187"/>
      <c r="AX263" s="187"/>
      <c r="AY263" s="187"/>
      <c r="AZ263" s="187"/>
      <c r="BA263" s="187"/>
      <c r="BB263" s="187"/>
    </row>
    <row r="264" spans="1:54" ht="15.75" customHeight="1" thickBot="1" x14ac:dyDescent="0.35">
      <c r="A264" s="187"/>
      <c r="B264" s="187"/>
      <c r="C264" s="187"/>
      <c r="D264" s="187"/>
      <c r="E264" s="254"/>
      <c r="F264" s="187"/>
      <c r="G264" s="187"/>
      <c r="H264" s="187"/>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c r="AK264" s="187"/>
      <c r="AL264" s="187"/>
      <c r="AM264" s="187"/>
      <c r="AN264" s="187"/>
      <c r="AO264" s="187"/>
      <c r="AP264" s="187"/>
      <c r="AQ264" s="187"/>
      <c r="AR264" s="187"/>
      <c r="AS264" s="187"/>
      <c r="AT264" s="187"/>
      <c r="AU264" s="187"/>
      <c r="AV264" s="187"/>
      <c r="AW264" s="187"/>
      <c r="AX264" s="187"/>
      <c r="AY264" s="187"/>
      <c r="AZ264" s="187"/>
      <c r="BA264" s="187"/>
      <c r="BB264" s="187"/>
    </row>
    <row r="265" spans="1:54" ht="15.75" customHeight="1" thickBot="1" x14ac:dyDescent="0.35">
      <c r="A265" s="187"/>
      <c r="B265" s="187"/>
      <c r="C265" s="187"/>
      <c r="D265" s="187"/>
      <c r="E265" s="254"/>
      <c r="F265" s="187"/>
      <c r="G265" s="187"/>
      <c r="H265" s="187"/>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c r="AI265" s="187"/>
      <c r="AJ265" s="187"/>
      <c r="AK265" s="187"/>
      <c r="AL265" s="187"/>
      <c r="AM265" s="187"/>
      <c r="AN265" s="187"/>
      <c r="AO265" s="187"/>
      <c r="AP265" s="187"/>
      <c r="AQ265" s="187"/>
      <c r="AR265" s="187"/>
      <c r="AS265" s="187"/>
      <c r="AT265" s="187"/>
      <c r="AU265" s="187"/>
      <c r="AV265" s="187"/>
      <c r="AW265" s="187"/>
      <c r="AX265" s="187"/>
      <c r="AY265" s="187"/>
      <c r="AZ265" s="187"/>
      <c r="BA265" s="187"/>
      <c r="BB265" s="187"/>
    </row>
    <row r="266" spans="1:54" ht="15.75" customHeight="1" thickBot="1" x14ac:dyDescent="0.35">
      <c r="A266" s="187"/>
      <c r="B266" s="187"/>
      <c r="C266" s="187"/>
      <c r="D266" s="187"/>
      <c r="E266" s="254"/>
      <c r="F266" s="187"/>
      <c r="G266" s="187"/>
      <c r="H266" s="187"/>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c r="AK266" s="187"/>
      <c r="AL266" s="187"/>
      <c r="AM266" s="187"/>
      <c r="AN266" s="187"/>
      <c r="AO266" s="187"/>
      <c r="AP266" s="187"/>
      <c r="AQ266" s="187"/>
      <c r="AR266" s="187"/>
      <c r="AS266" s="187"/>
      <c r="AT266" s="187"/>
      <c r="AU266" s="187"/>
      <c r="AV266" s="187"/>
      <c r="AW266" s="187"/>
      <c r="AX266" s="187"/>
      <c r="AY266" s="187"/>
      <c r="AZ266" s="187"/>
      <c r="BA266" s="187"/>
      <c r="BB266" s="187"/>
    </row>
    <row r="267" spans="1:54" ht="15.75" customHeight="1" thickBot="1" x14ac:dyDescent="0.35">
      <c r="A267" s="187"/>
      <c r="B267" s="187"/>
      <c r="C267" s="187"/>
      <c r="D267" s="187"/>
      <c r="E267" s="254"/>
      <c r="F267" s="187"/>
      <c r="G267" s="187"/>
      <c r="H267" s="187"/>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c r="AK267" s="187"/>
      <c r="AL267" s="187"/>
      <c r="AM267" s="187"/>
      <c r="AN267" s="187"/>
      <c r="AO267" s="187"/>
      <c r="AP267" s="187"/>
      <c r="AQ267" s="187"/>
      <c r="AR267" s="187"/>
      <c r="AS267" s="187"/>
      <c r="AT267" s="187"/>
      <c r="AU267" s="187"/>
      <c r="AV267" s="187"/>
      <c r="AW267" s="187"/>
      <c r="AX267" s="187"/>
      <c r="AY267" s="187"/>
      <c r="AZ267" s="187"/>
      <c r="BA267" s="187"/>
      <c r="BB267" s="187"/>
    </row>
    <row r="268" spans="1:54" ht="15.75" customHeight="1" thickBot="1" x14ac:dyDescent="0.35">
      <c r="A268" s="187"/>
      <c r="B268" s="187"/>
      <c r="C268" s="187"/>
      <c r="D268" s="187"/>
      <c r="E268" s="254"/>
      <c r="F268" s="187"/>
      <c r="G268" s="187"/>
      <c r="H268" s="187"/>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c r="AI268" s="187"/>
      <c r="AJ268" s="187"/>
      <c r="AK268" s="187"/>
      <c r="AL268" s="187"/>
      <c r="AM268" s="187"/>
      <c r="AN268" s="187"/>
      <c r="AO268" s="187"/>
      <c r="AP268" s="187"/>
      <c r="AQ268" s="187"/>
      <c r="AR268" s="187"/>
      <c r="AS268" s="187"/>
      <c r="AT268" s="187"/>
      <c r="AU268" s="187"/>
      <c r="AV268" s="187"/>
      <c r="AW268" s="187"/>
      <c r="AX268" s="187"/>
      <c r="AY268" s="187"/>
      <c r="AZ268" s="187"/>
      <c r="BA268" s="187"/>
      <c r="BB268" s="187"/>
    </row>
    <row r="269" spans="1:54" ht="15.75" customHeight="1" thickBot="1" x14ac:dyDescent="0.35">
      <c r="A269" s="187"/>
      <c r="B269" s="187"/>
      <c r="C269" s="187"/>
      <c r="D269" s="187"/>
      <c r="E269" s="254"/>
      <c r="F269" s="187"/>
      <c r="G269" s="187"/>
      <c r="H269" s="187"/>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row>
    <row r="270" spans="1:54" ht="15.75" customHeight="1" thickBot="1" x14ac:dyDescent="0.35">
      <c r="A270" s="187"/>
      <c r="B270" s="187"/>
      <c r="C270" s="187"/>
      <c r="D270" s="187"/>
      <c r="E270" s="254"/>
      <c r="F270" s="187"/>
      <c r="G270" s="187"/>
      <c r="H270" s="187"/>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row>
    <row r="271" spans="1:54" ht="15.75" customHeight="1" thickBot="1" x14ac:dyDescent="0.35">
      <c r="A271" s="187"/>
      <c r="B271" s="187"/>
      <c r="C271" s="187"/>
      <c r="D271" s="187"/>
      <c r="E271" s="254"/>
      <c r="F271" s="187"/>
      <c r="G271" s="187"/>
      <c r="H271" s="187"/>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row>
    <row r="272" spans="1:54" ht="15.75" customHeight="1" thickBot="1" x14ac:dyDescent="0.35">
      <c r="A272" s="187"/>
      <c r="B272" s="187"/>
      <c r="C272" s="187"/>
      <c r="D272" s="187"/>
      <c r="E272" s="254"/>
      <c r="F272" s="187"/>
      <c r="G272" s="187"/>
      <c r="H272" s="187"/>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row>
    <row r="273" spans="1:54" ht="15.75" customHeight="1" thickBot="1" x14ac:dyDescent="0.35">
      <c r="A273" s="187"/>
      <c r="B273" s="187"/>
      <c r="C273" s="187"/>
      <c r="D273" s="187"/>
      <c r="E273" s="254"/>
      <c r="F273" s="187"/>
      <c r="G273" s="187"/>
      <c r="H273" s="187"/>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row>
    <row r="274" spans="1:54" ht="15.75" customHeight="1" thickBot="1" x14ac:dyDescent="0.35">
      <c r="A274" s="187"/>
      <c r="B274" s="187"/>
      <c r="C274" s="187"/>
      <c r="D274" s="187"/>
      <c r="E274" s="254"/>
      <c r="F274" s="187"/>
      <c r="G274" s="187"/>
      <c r="H274" s="187"/>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row>
    <row r="275" spans="1:54" ht="15.75" customHeight="1" thickBot="1" x14ac:dyDescent="0.35">
      <c r="A275" s="187"/>
      <c r="B275" s="187"/>
      <c r="C275" s="187"/>
      <c r="D275" s="187"/>
      <c r="E275" s="254"/>
      <c r="F275" s="187"/>
      <c r="G275" s="187"/>
      <c r="H275" s="187"/>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row>
    <row r="276" spans="1:54" ht="15.75" customHeight="1" thickBot="1" x14ac:dyDescent="0.35">
      <c r="A276" s="187"/>
      <c r="B276" s="187"/>
      <c r="C276" s="187"/>
      <c r="D276" s="187"/>
      <c r="E276" s="254"/>
      <c r="F276" s="187"/>
      <c r="G276" s="187"/>
      <c r="H276" s="187"/>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row>
    <row r="277" spans="1:54" ht="15.75" customHeight="1" thickBot="1" x14ac:dyDescent="0.35">
      <c r="A277" s="187"/>
      <c r="B277" s="187"/>
      <c r="C277" s="187"/>
      <c r="D277" s="187"/>
      <c r="E277" s="254"/>
      <c r="F277" s="187"/>
      <c r="G277" s="187"/>
      <c r="H277" s="187"/>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row>
    <row r="278" spans="1:54" ht="15.75" customHeight="1" thickBot="1" x14ac:dyDescent="0.35">
      <c r="A278" s="187"/>
      <c r="B278" s="187"/>
      <c r="C278" s="187"/>
      <c r="D278" s="187"/>
      <c r="E278" s="254"/>
      <c r="F278" s="187"/>
      <c r="G278" s="187"/>
      <c r="H278" s="187"/>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87"/>
      <c r="AH278" s="187"/>
      <c r="AI278" s="187"/>
      <c r="AJ278" s="187"/>
      <c r="AK278" s="187"/>
      <c r="AL278" s="187"/>
      <c r="AM278" s="187"/>
      <c r="AN278" s="187"/>
      <c r="AO278" s="187"/>
      <c r="AP278" s="187"/>
      <c r="AQ278" s="187"/>
      <c r="AR278" s="187"/>
      <c r="AS278" s="187"/>
      <c r="AT278" s="187"/>
      <c r="AU278" s="187"/>
      <c r="AV278" s="187"/>
      <c r="AW278" s="187"/>
      <c r="AX278" s="187"/>
      <c r="AY278" s="187"/>
      <c r="AZ278" s="187"/>
      <c r="BA278" s="187"/>
      <c r="BB278" s="187"/>
    </row>
    <row r="279" spans="1:54" ht="15.75" customHeight="1" thickBot="1" x14ac:dyDescent="0.35">
      <c r="A279" s="187"/>
      <c r="B279" s="187"/>
      <c r="C279" s="187"/>
      <c r="D279" s="187"/>
      <c r="E279" s="254"/>
      <c r="F279" s="187"/>
      <c r="G279" s="187"/>
      <c r="H279" s="187"/>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row>
    <row r="280" spans="1:54" ht="15.75" customHeight="1" thickBot="1" x14ac:dyDescent="0.35">
      <c r="A280" s="187"/>
      <c r="B280" s="187"/>
      <c r="C280" s="187"/>
      <c r="D280" s="187"/>
      <c r="E280" s="254"/>
      <c r="F280" s="187"/>
      <c r="G280" s="187"/>
      <c r="H280" s="187"/>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row>
    <row r="281" spans="1:54" ht="15.75" customHeight="1" thickBot="1" x14ac:dyDescent="0.35">
      <c r="A281" s="187"/>
      <c r="B281" s="187"/>
      <c r="C281" s="187"/>
      <c r="D281" s="187"/>
      <c r="E281" s="254"/>
      <c r="F281" s="187"/>
      <c r="G281" s="187"/>
      <c r="H281" s="187"/>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row>
    <row r="282" spans="1:54" ht="15.75" customHeight="1" thickBot="1" x14ac:dyDescent="0.35">
      <c r="A282" s="187"/>
      <c r="B282" s="187"/>
      <c r="C282" s="187"/>
      <c r="D282" s="187"/>
      <c r="E282" s="254"/>
      <c r="F282" s="187"/>
      <c r="G282" s="187"/>
      <c r="H282" s="187"/>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row>
    <row r="283" spans="1:54" ht="15.75" customHeight="1" thickBot="1" x14ac:dyDescent="0.35">
      <c r="A283" s="187"/>
      <c r="B283" s="187"/>
      <c r="C283" s="187"/>
      <c r="D283" s="187"/>
      <c r="E283" s="254"/>
      <c r="F283" s="187"/>
      <c r="G283" s="187"/>
      <c r="H283" s="187"/>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row>
    <row r="284" spans="1:54" ht="15.75" customHeight="1" thickBot="1" x14ac:dyDescent="0.35">
      <c r="A284" s="187"/>
      <c r="B284" s="187"/>
      <c r="C284" s="187"/>
      <c r="D284" s="187"/>
      <c r="E284" s="254"/>
      <c r="F284" s="187"/>
      <c r="G284" s="187"/>
      <c r="H284" s="187"/>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row>
    <row r="285" spans="1:54" ht="15.75" customHeight="1" thickBot="1" x14ac:dyDescent="0.35">
      <c r="A285" s="187"/>
      <c r="B285" s="187"/>
      <c r="C285" s="187"/>
      <c r="D285" s="187"/>
      <c r="E285" s="254"/>
      <c r="F285" s="187"/>
      <c r="G285" s="187"/>
      <c r="H285" s="187"/>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row>
    <row r="286" spans="1:54" ht="15.75" customHeight="1" thickBot="1" x14ac:dyDescent="0.35">
      <c r="A286" s="187"/>
      <c r="B286" s="187"/>
      <c r="C286" s="187"/>
      <c r="D286" s="187"/>
      <c r="E286" s="254"/>
      <c r="F286" s="187"/>
      <c r="G286" s="187"/>
      <c r="H286" s="187"/>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row>
    <row r="287" spans="1:54" ht="15.75" customHeight="1" thickBot="1" x14ac:dyDescent="0.35">
      <c r="A287" s="187"/>
      <c r="B287" s="187"/>
      <c r="C287" s="187"/>
      <c r="D287" s="187"/>
      <c r="E287" s="254"/>
      <c r="F287" s="187"/>
      <c r="G287" s="187"/>
      <c r="H287" s="187"/>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row>
    <row r="288" spans="1:54" ht="15.75" customHeight="1" thickBot="1" x14ac:dyDescent="0.35">
      <c r="A288" s="187"/>
      <c r="B288" s="187"/>
      <c r="C288" s="187"/>
      <c r="D288" s="187"/>
      <c r="E288" s="254"/>
      <c r="F288" s="187"/>
      <c r="G288" s="187"/>
      <c r="H288" s="187"/>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row>
    <row r="289" spans="1:54" ht="15.75" customHeight="1" thickBot="1" x14ac:dyDescent="0.35">
      <c r="A289" s="187"/>
      <c r="B289" s="187"/>
      <c r="C289" s="187"/>
      <c r="D289" s="187"/>
      <c r="E289" s="254"/>
      <c r="F289" s="187"/>
      <c r="G289" s="187"/>
      <c r="H289" s="187"/>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row>
    <row r="290" spans="1:54" ht="15.75" customHeight="1" thickBot="1" x14ac:dyDescent="0.35">
      <c r="A290" s="187"/>
      <c r="B290" s="187"/>
      <c r="C290" s="187"/>
      <c r="D290" s="187"/>
      <c r="E290" s="254"/>
      <c r="F290" s="187"/>
      <c r="G290" s="187"/>
      <c r="H290" s="187"/>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row>
    <row r="291" spans="1:54" ht="15.75" customHeight="1" thickBot="1" x14ac:dyDescent="0.35">
      <c r="A291" s="187"/>
      <c r="B291" s="187"/>
      <c r="C291" s="187"/>
      <c r="D291" s="187"/>
      <c r="E291" s="254"/>
      <c r="F291" s="187"/>
      <c r="G291" s="187"/>
      <c r="H291" s="187"/>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row>
    <row r="292" spans="1:54" ht="15.75" customHeight="1" thickBot="1" x14ac:dyDescent="0.35">
      <c r="A292" s="187"/>
      <c r="B292" s="187"/>
      <c r="C292" s="187"/>
      <c r="D292" s="187"/>
      <c r="E292" s="254"/>
      <c r="F292" s="187"/>
      <c r="G292" s="187"/>
      <c r="H292" s="187"/>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row>
    <row r="293" spans="1:54" ht="15.75" customHeight="1" thickBot="1" x14ac:dyDescent="0.35">
      <c r="A293" s="187"/>
      <c r="B293" s="187"/>
      <c r="C293" s="187"/>
      <c r="D293" s="187"/>
      <c r="E293" s="254"/>
      <c r="F293" s="187"/>
      <c r="G293" s="187"/>
      <c r="H293" s="187"/>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row>
    <row r="294" spans="1:54" ht="15.75" customHeight="1" thickBot="1" x14ac:dyDescent="0.35">
      <c r="A294" s="187"/>
      <c r="B294" s="187"/>
      <c r="C294" s="187"/>
      <c r="D294" s="187"/>
      <c r="E294" s="254"/>
      <c r="F294" s="187"/>
      <c r="G294" s="187"/>
      <c r="H294" s="187"/>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row>
    <row r="295" spans="1:54" ht="15.75" customHeight="1" thickBot="1" x14ac:dyDescent="0.35">
      <c r="A295" s="187"/>
      <c r="B295" s="187"/>
      <c r="C295" s="187"/>
      <c r="D295" s="187"/>
      <c r="E295" s="254"/>
      <c r="F295" s="187"/>
      <c r="G295" s="187"/>
      <c r="H295" s="187"/>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row>
    <row r="296" spans="1:54" ht="15.75" customHeight="1" thickBot="1" x14ac:dyDescent="0.35">
      <c r="A296" s="187"/>
      <c r="B296" s="187"/>
      <c r="C296" s="187"/>
      <c r="D296" s="187"/>
      <c r="E296" s="254"/>
      <c r="F296" s="187"/>
      <c r="G296" s="187"/>
      <c r="H296" s="187"/>
      <c r="I296" s="187"/>
      <c r="J296" s="187"/>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row>
    <row r="297" spans="1:54" ht="15.75" customHeight="1" thickBot="1" x14ac:dyDescent="0.35">
      <c r="A297" s="187"/>
      <c r="B297" s="187"/>
      <c r="C297" s="187"/>
      <c r="D297" s="187"/>
      <c r="E297" s="254"/>
      <c r="F297" s="187"/>
      <c r="G297" s="187"/>
      <c r="H297" s="187"/>
      <c r="I297" s="187"/>
      <c r="J297" s="187"/>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row>
    <row r="298" spans="1:54" ht="15.75" customHeight="1" thickBot="1" x14ac:dyDescent="0.35">
      <c r="A298" s="187"/>
      <c r="B298" s="187"/>
      <c r="C298" s="187"/>
      <c r="D298" s="187"/>
      <c r="E298" s="254"/>
      <c r="F298" s="187"/>
      <c r="G298" s="187"/>
      <c r="H298" s="187"/>
      <c r="I298" s="187"/>
      <c r="J298" s="187"/>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row>
    <row r="299" spans="1:54" ht="15.75" customHeight="1" thickBot="1" x14ac:dyDescent="0.35">
      <c r="A299" s="187"/>
      <c r="B299" s="187"/>
      <c r="C299" s="187"/>
      <c r="D299" s="187"/>
      <c r="E299" s="254"/>
      <c r="F299" s="187"/>
      <c r="G299" s="187"/>
      <c r="H299" s="187"/>
      <c r="I299" s="187"/>
      <c r="J299" s="187"/>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row>
    <row r="300" spans="1:54" ht="15.75" customHeight="1" thickBot="1" x14ac:dyDescent="0.35">
      <c r="A300" s="187"/>
      <c r="B300" s="187"/>
      <c r="C300" s="187"/>
      <c r="D300" s="187"/>
      <c r="E300" s="254"/>
      <c r="F300" s="187"/>
      <c r="G300" s="187"/>
      <c r="H300" s="187"/>
      <c r="I300" s="187"/>
      <c r="J300" s="187"/>
      <c r="K300" s="187"/>
      <c r="L300" s="187"/>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row>
    <row r="301" spans="1:54" ht="15.75" customHeight="1" thickBot="1" x14ac:dyDescent="0.35">
      <c r="A301" s="187"/>
      <c r="B301" s="187"/>
      <c r="C301" s="187"/>
      <c r="D301" s="187"/>
      <c r="E301" s="254"/>
      <c r="F301" s="187"/>
      <c r="G301" s="187"/>
      <c r="H301" s="187"/>
      <c r="I301" s="187"/>
      <c r="J301" s="187"/>
      <c r="K301" s="187"/>
      <c r="L301" s="187"/>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row>
    <row r="302" spans="1:54" ht="15.75" customHeight="1" thickBot="1" x14ac:dyDescent="0.35">
      <c r="A302" s="187"/>
      <c r="B302" s="187"/>
      <c r="C302" s="187"/>
      <c r="D302" s="187"/>
      <c r="E302" s="254"/>
      <c r="F302" s="187"/>
      <c r="G302" s="187"/>
      <c r="H302" s="187"/>
      <c r="I302" s="187"/>
      <c r="J302" s="187"/>
      <c r="K302" s="187"/>
      <c r="L302" s="187"/>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row>
    <row r="303" spans="1:54" ht="15.75" customHeight="1" thickBot="1" x14ac:dyDescent="0.35">
      <c r="A303" s="187"/>
      <c r="B303" s="187"/>
      <c r="C303" s="187"/>
      <c r="D303" s="187"/>
      <c r="E303" s="254"/>
      <c r="F303" s="187"/>
      <c r="G303" s="187"/>
      <c r="H303" s="187"/>
      <c r="I303" s="187"/>
      <c r="J303" s="187"/>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row>
    <row r="304" spans="1:54" ht="15.75" customHeight="1" thickBot="1" x14ac:dyDescent="0.35">
      <c r="A304" s="187"/>
      <c r="B304" s="187"/>
      <c r="C304" s="187"/>
      <c r="D304" s="187"/>
      <c r="E304" s="254"/>
      <c r="F304" s="187"/>
      <c r="G304" s="187"/>
      <c r="H304" s="187"/>
      <c r="I304" s="187"/>
      <c r="J304" s="187"/>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row>
    <row r="305" spans="1:54" ht="15.75" customHeight="1" thickBot="1" x14ac:dyDescent="0.35">
      <c r="A305" s="187"/>
      <c r="B305" s="187"/>
      <c r="C305" s="187"/>
      <c r="D305" s="187"/>
      <c r="E305" s="254"/>
      <c r="F305" s="187"/>
      <c r="G305" s="187"/>
      <c r="H305" s="187"/>
      <c r="I305" s="187"/>
      <c r="J305" s="187"/>
      <c r="K305" s="187"/>
      <c r="L305" s="187"/>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row>
    <row r="306" spans="1:54" ht="15.75" customHeight="1" thickBot="1" x14ac:dyDescent="0.35">
      <c r="A306" s="187"/>
      <c r="B306" s="187"/>
      <c r="C306" s="187"/>
      <c r="D306" s="187"/>
      <c r="E306" s="254"/>
      <c r="F306" s="187"/>
      <c r="G306" s="187"/>
      <c r="H306" s="187"/>
      <c r="I306" s="187"/>
      <c r="J306" s="187"/>
      <c r="K306" s="187"/>
      <c r="L306" s="187"/>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row>
    <row r="307" spans="1:54" ht="15.75" customHeight="1" thickBot="1" x14ac:dyDescent="0.35">
      <c r="A307" s="187"/>
      <c r="B307" s="187"/>
      <c r="C307" s="187"/>
      <c r="D307" s="187"/>
      <c r="E307" s="254"/>
      <c r="F307" s="187"/>
      <c r="G307" s="187"/>
      <c r="H307" s="187"/>
      <c r="I307" s="187"/>
      <c r="J307" s="187"/>
      <c r="K307" s="187"/>
      <c r="L307" s="187"/>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row>
    <row r="308" spans="1:54" ht="15.75" customHeight="1" thickBot="1" x14ac:dyDescent="0.35">
      <c r="A308" s="187"/>
      <c r="B308" s="187"/>
      <c r="C308" s="187"/>
      <c r="D308" s="187"/>
      <c r="E308" s="254"/>
      <c r="F308" s="187"/>
      <c r="G308" s="187"/>
      <c r="H308" s="187"/>
      <c r="I308" s="187"/>
      <c r="J308" s="187"/>
      <c r="K308" s="187"/>
      <c r="L308" s="187"/>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row>
    <row r="309" spans="1:54" ht="15.75" customHeight="1" thickBot="1" x14ac:dyDescent="0.35">
      <c r="A309" s="187"/>
      <c r="B309" s="187"/>
      <c r="C309" s="187"/>
      <c r="D309" s="187"/>
      <c r="E309" s="254"/>
      <c r="F309" s="187"/>
      <c r="G309" s="187"/>
      <c r="H309" s="187"/>
      <c r="I309" s="187"/>
      <c r="J309" s="187"/>
      <c r="K309" s="187"/>
      <c r="L309" s="187"/>
      <c r="M309" s="187"/>
      <c r="N309" s="187"/>
      <c r="O309" s="187"/>
      <c r="P309" s="187"/>
      <c r="Q309" s="187"/>
      <c r="R309" s="187"/>
      <c r="S309" s="187"/>
      <c r="T309" s="187"/>
      <c r="U309" s="187"/>
      <c r="V309" s="187"/>
      <c r="W309" s="187"/>
      <c r="X309" s="187"/>
      <c r="Y309" s="187"/>
      <c r="Z309" s="187"/>
      <c r="AA309" s="187"/>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row>
    <row r="310" spans="1:54" ht="15.75" customHeight="1" thickBot="1" x14ac:dyDescent="0.35">
      <c r="A310" s="187"/>
      <c r="B310" s="187"/>
      <c r="C310" s="187"/>
      <c r="D310" s="187"/>
      <c r="E310" s="254"/>
      <c r="F310" s="187"/>
      <c r="G310" s="187"/>
      <c r="H310" s="187"/>
      <c r="I310" s="187"/>
      <c r="J310" s="187"/>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row>
    <row r="311" spans="1:54" ht="15.75" customHeight="1" thickBot="1" x14ac:dyDescent="0.35">
      <c r="A311" s="187"/>
      <c r="B311" s="187"/>
      <c r="C311" s="187"/>
      <c r="D311" s="187"/>
      <c r="E311" s="254"/>
      <c r="F311" s="187"/>
      <c r="G311" s="187"/>
      <c r="H311" s="187"/>
      <c r="I311" s="187"/>
      <c r="J311" s="187"/>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row>
    <row r="312" spans="1:54" ht="15.75" customHeight="1" thickBot="1" x14ac:dyDescent="0.35">
      <c r="A312" s="187"/>
      <c r="B312" s="187"/>
      <c r="C312" s="187"/>
      <c r="D312" s="187"/>
      <c r="E312" s="254"/>
      <c r="F312" s="187"/>
      <c r="G312" s="187"/>
      <c r="H312" s="187"/>
      <c r="I312" s="187"/>
      <c r="J312" s="187"/>
      <c r="K312" s="187"/>
      <c r="L312" s="187"/>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row>
    <row r="313" spans="1:54" ht="15.75" customHeight="1" thickBot="1" x14ac:dyDescent="0.35">
      <c r="A313" s="187"/>
      <c r="B313" s="187"/>
      <c r="C313" s="187"/>
      <c r="D313" s="187"/>
      <c r="E313" s="254"/>
      <c r="F313" s="187"/>
      <c r="G313" s="187"/>
      <c r="H313" s="187"/>
      <c r="I313" s="187"/>
      <c r="J313" s="187"/>
      <c r="K313" s="187"/>
      <c r="L313" s="187"/>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row>
    <row r="314" spans="1:54" ht="15.75" customHeight="1" thickBot="1" x14ac:dyDescent="0.35">
      <c r="A314" s="187"/>
      <c r="B314" s="187"/>
      <c r="C314" s="187"/>
      <c r="D314" s="187"/>
      <c r="E314" s="254"/>
      <c r="F314" s="187"/>
      <c r="G314" s="187"/>
      <c r="H314" s="187"/>
      <c r="I314" s="187"/>
      <c r="J314" s="187"/>
      <c r="K314" s="187"/>
      <c r="L314" s="187"/>
      <c r="M314" s="187"/>
      <c r="N314" s="187"/>
      <c r="O314" s="187"/>
      <c r="P314" s="187"/>
      <c r="Q314" s="187"/>
      <c r="R314" s="187"/>
      <c r="S314" s="187"/>
      <c r="T314" s="187"/>
      <c r="U314" s="187"/>
      <c r="V314" s="187"/>
      <c r="W314" s="187"/>
      <c r="X314" s="187"/>
      <c r="Y314" s="187"/>
      <c r="Z314" s="187"/>
      <c r="AA314" s="187"/>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row>
    <row r="315" spans="1:54" ht="15.75" customHeight="1" thickBot="1" x14ac:dyDescent="0.35">
      <c r="A315" s="187"/>
      <c r="B315" s="187"/>
      <c r="C315" s="187"/>
      <c r="D315" s="187"/>
      <c r="E315" s="254"/>
      <c r="F315" s="187"/>
      <c r="G315" s="187"/>
      <c r="H315" s="187"/>
      <c r="I315" s="187"/>
      <c r="J315" s="187"/>
      <c r="K315" s="187"/>
      <c r="L315" s="187"/>
      <c r="M315" s="187"/>
      <c r="N315" s="187"/>
      <c r="O315" s="187"/>
      <c r="P315" s="187"/>
      <c r="Q315" s="187"/>
      <c r="R315" s="187"/>
      <c r="S315" s="187"/>
      <c r="T315" s="187"/>
      <c r="U315" s="187"/>
      <c r="V315" s="187"/>
      <c r="W315" s="187"/>
      <c r="X315" s="187"/>
      <c r="Y315" s="187"/>
      <c r="Z315" s="187"/>
      <c r="AA315" s="187"/>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row>
    <row r="316" spans="1:54" ht="15.75" customHeight="1" thickBot="1" x14ac:dyDescent="0.35">
      <c r="A316" s="187"/>
      <c r="B316" s="187"/>
      <c r="C316" s="187"/>
      <c r="D316" s="187"/>
      <c r="E316" s="254"/>
      <c r="F316" s="187"/>
      <c r="G316" s="187"/>
      <c r="H316" s="187"/>
      <c r="I316" s="187"/>
      <c r="J316" s="187"/>
      <c r="K316" s="187"/>
      <c r="L316" s="187"/>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row>
    <row r="317" spans="1:54" ht="15.75" customHeight="1" thickBot="1" x14ac:dyDescent="0.35">
      <c r="A317" s="187"/>
      <c r="B317" s="187"/>
      <c r="C317" s="187"/>
      <c r="D317" s="187"/>
      <c r="E317" s="254"/>
      <c r="F317" s="187"/>
      <c r="G317" s="187"/>
      <c r="H317" s="187"/>
      <c r="I317" s="187"/>
      <c r="J317" s="187"/>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row>
    <row r="318" spans="1:54" ht="15.75" customHeight="1" thickBot="1" x14ac:dyDescent="0.35">
      <c r="A318" s="187"/>
      <c r="B318" s="187"/>
      <c r="C318" s="187"/>
      <c r="D318" s="187"/>
      <c r="E318" s="254"/>
      <c r="F318" s="187"/>
      <c r="G318" s="187"/>
      <c r="H318" s="187"/>
      <c r="I318" s="187"/>
      <c r="J318" s="187"/>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row>
    <row r="319" spans="1:54" ht="15.75" customHeight="1" thickBot="1" x14ac:dyDescent="0.35">
      <c r="A319" s="187"/>
      <c r="B319" s="187"/>
      <c r="C319" s="187"/>
      <c r="D319" s="187"/>
      <c r="E319" s="254"/>
      <c r="F319" s="187"/>
      <c r="G319" s="187"/>
      <c r="H319" s="187"/>
      <c r="I319" s="187"/>
      <c r="J319" s="187"/>
      <c r="K319" s="187"/>
      <c r="L319" s="187"/>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row>
    <row r="320" spans="1:54" ht="15.75" customHeight="1" thickBot="1" x14ac:dyDescent="0.35">
      <c r="A320" s="187"/>
      <c r="B320" s="187"/>
      <c r="C320" s="187"/>
      <c r="D320" s="187"/>
      <c r="E320" s="254"/>
      <c r="F320" s="187"/>
      <c r="G320" s="187"/>
      <c r="H320" s="187"/>
      <c r="I320" s="187"/>
      <c r="J320" s="187"/>
      <c r="K320" s="187"/>
      <c r="L320" s="187"/>
      <c r="M320" s="187"/>
      <c r="N320" s="187"/>
      <c r="O320" s="187"/>
      <c r="P320" s="187"/>
      <c r="Q320" s="187"/>
      <c r="R320" s="187"/>
      <c r="S320" s="187"/>
      <c r="T320" s="187"/>
      <c r="U320" s="187"/>
      <c r="V320" s="187"/>
      <c r="W320" s="187"/>
      <c r="X320" s="187"/>
      <c r="Y320" s="187"/>
      <c r="Z320" s="187"/>
      <c r="AA320" s="187"/>
      <c r="AB320" s="187"/>
      <c r="AC320" s="18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row>
    <row r="321" spans="1:54" ht="15.75" customHeight="1" thickBot="1" x14ac:dyDescent="0.35">
      <c r="A321" s="187"/>
      <c r="B321" s="187"/>
      <c r="C321" s="187"/>
      <c r="D321" s="187"/>
      <c r="E321" s="254"/>
      <c r="F321" s="187"/>
      <c r="G321" s="187"/>
      <c r="H321" s="187"/>
      <c r="I321" s="187"/>
      <c r="J321" s="187"/>
      <c r="K321" s="187"/>
      <c r="L321" s="187"/>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row>
    <row r="322" spans="1:54" ht="15.75" customHeight="1" thickBot="1" x14ac:dyDescent="0.35">
      <c r="A322" s="187"/>
      <c r="B322" s="187"/>
      <c r="C322" s="187"/>
      <c r="D322" s="187"/>
      <c r="E322" s="254"/>
      <c r="F322" s="187"/>
      <c r="G322" s="187"/>
      <c r="H322" s="187"/>
      <c r="I322" s="187"/>
      <c r="J322" s="187"/>
      <c r="K322" s="187"/>
      <c r="L322" s="187"/>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row>
    <row r="323" spans="1:54" ht="15.75" customHeight="1" thickBot="1" x14ac:dyDescent="0.35">
      <c r="A323" s="187"/>
      <c r="B323" s="187"/>
      <c r="C323" s="187"/>
      <c r="D323" s="187"/>
      <c r="E323" s="254"/>
      <c r="F323" s="187"/>
      <c r="G323" s="187"/>
      <c r="H323" s="187"/>
      <c r="I323" s="187"/>
      <c r="J323" s="187"/>
      <c r="K323" s="187"/>
      <c r="L323" s="187"/>
      <c r="M323" s="187"/>
      <c r="N323" s="187"/>
      <c r="O323" s="187"/>
      <c r="P323" s="187"/>
      <c r="Q323" s="187"/>
      <c r="R323" s="187"/>
      <c r="S323" s="187"/>
      <c r="T323" s="187"/>
      <c r="U323" s="187"/>
      <c r="V323" s="187"/>
      <c r="W323" s="187"/>
      <c r="X323" s="187"/>
      <c r="Y323" s="187"/>
      <c r="Z323" s="187"/>
      <c r="AA323" s="187"/>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row>
    <row r="324" spans="1:54" ht="15.75" customHeight="1" thickBot="1" x14ac:dyDescent="0.35">
      <c r="A324" s="187"/>
      <c r="B324" s="187"/>
      <c r="C324" s="187"/>
      <c r="D324" s="187"/>
      <c r="E324" s="254"/>
      <c r="F324" s="187"/>
      <c r="G324" s="187"/>
      <c r="H324" s="187"/>
      <c r="I324" s="187"/>
      <c r="J324" s="187"/>
      <c r="K324" s="187"/>
      <c r="L324" s="187"/>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row>
    <row r="325" spans="1:54" ht="15.75" customHeight="1" thickBot="1" x14ac:dyDescent="0.35">
      <c r="A325" s="187"/>
      <c r="B325" s="187"/>
      <c r="C325" s="187"/>
      <c r="D325" s="187"/>
      <c r="E325" s="254"/>
      <c r="F325" s="187"/>
      <c r="G325" s="187"/>
      <c r="H325" s="187"/>
      <c r="I325" s="187"/>
      <c r="J325" s="187"/>
      <c r="K325" s="187"/>
      <c r="L325" s="187"/>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row>
    <row r="326" spans="1:54" ht="15.75" customHeight="1" thickBot="1" x14ac:dyDescent="0.35">
      <c r="A326" s="187"/>
      <c r="B326" s="187"/>
      <c r="C326" s="187"/>
      <c r="D326" s="187"/>
      <c r="E326" s="254"/>
      <c r="F326" s="187"/>
      <c r="G326" s="187"/>
      <c r="H326" s="187"/>
      <c r="I326" s="187"/>
      <c r="J326" s="187"/>
      <c r="K326" s="187"/>
      <c r="L326" s="187"/>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row>
    <row r="327" spans="1:54" ht="15.75" customHeight="1" thickBot="1" x14ac:dyDescent="0.35">
      <c r="A327" s="187"/>
      <c r="B327" s="187"/>
      <c r="C327" s="187"/>
      <c r="D327" s="187"/>
      <c r="E327" s="254"/>
      <c r="F327" s="187"/>
      <c r="G327" s="187"/>
      <c r="H327" s="187"/>
      <c r="I327" s="187"/>
      <c r="J327" s="187"/>
      <c r="K327" s="187"/>
      <c r="L327" s="187"/>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row>
    <row r="328" spans="1:54" ht="15.75" customHeight="1" thickBot="1" x14ac:dyDescent="0.35">
      <c r="A328" s="187"/>
      <c r="B328" s="187"/>
      <c r="C328" s="187"/>
      <c r="D328" s="187"/>
      <c r="E328" s="254"/>
      <c r="F328" s="187"/>
      <c r="G328" s="187"/>
      <c r="H328" s="187"/>
      <c r="I328" s="187"/>
      <c r="J328" s="187"/>
      <c r="K328" s="187"/>
      <c r="L328" s="187"/>
      <c r="M328" s="187"/>
      <c r="N328" s="187"/>
      <c r="O328" s="187"/>
      <c r="P328" s="187"/>
      <c r="Q328" s="187"/>
      <c r="R328" s="187"/>
      <c r="S328" s="187"/>
      <c r="T328" s="187"/>
      <c r="U328" s="187"/>
      <c r="V328" s="187"/>
      <c r="W328" s="187"/>
      <c r="X328" s="187"/>
      <c r="Y328" s="187"/>
      <c r="Z328" s="187"/>
      <c r="AA328" s="187"/>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row>
    <row r="329" spans="1:54" ht="15.75" customHeight="1" thickBot="1" x14ac:dyDescent="0.35">
      <c r="A329" s="187"/>
      <c r="B329" s="187"/>
      <c r="C329" s="187"/>
      <c r="D329" s="187"/>
      <c r="E329" s="254"/>
      <c r="F329" s="187"/>
      <c r="G329" s="187"/>
      <c r="H329" s="187"/>
      <c r="I329" s="187"/>
      <c r="J329" s="187"/>
      <c r="K329" s="187"/>
      <c r="L329" s="187"/>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row>
    <row r="330" spans="1:54" ht="15.75" customHeight="1" thickBot="1" x14ac:dyDescent="0.35">
      <c r="A330" s="187"/>
      <c r="B330" s="187"/>
      <c r="C330" s="187"/>
      <c r="D330" s="187"/>
      <c r="E330" s="254"/>
      <c r="F330" s="187"/>
      <c r="G330" s="187"/>
      <c r="H330" s="187"/>
      <c r="I330" s="187"/>
      <c r="J330" s="187"/>
      <c r="K330" s="187"/>
      <c r="L330" s="187"/>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row>
    <row r="331" spans="1:54" ht="15.75" customHeight="1" thickBot="1" x14ac:dyDescent="0.35">
      <c r="A331" s="187"/>
      <c r="B331" s="187"/>
      <c r="C331" s="187"/>
      <c r="D331" s="187"/>
      <c r="E331" s="254"/>
      <c r="F331" s="187"/>
      <c r="G331" s="187"/>
      <c r="H331" s="187"/>
      <c r="I331" s="187"/>
      <c r="J331" s="187"/>
      <c r="K331" s="187"/>
      <c r="L331" s="187"/>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row>
    <row r="332" spans="1:54" ht="15.75" customHeight="1" thickBot="1" x14ac:dyDescent="0.35">
      <c r="A332" s="187"/>
      <c r="B332" s="187"/>
      <c r="C332" s="187"/>
      <c r="D332" s="187"/>
      <c r="E332" s="254"/>
      <c r="F332" s="187"/>
      <c r="G332" s="187"/>
      <c r="H332" s="187"/>
      <c r="I332" s="187"/>
      <c r="J332" s="187"/>
      <c r="K332" s="187"/>
      <c r="L332" s="187"/>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row>
    <row r="333" spans="1:54" ht="15.75" customHeight="1" thickBot="1" x14ac:dyDescent="0.35">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row>
    <row r="334" spans="1:54" ht="15.75" customHeight="1" thickBot="1" x14ac:dyDescent="0.35">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row>
    <row r="335" spans="1:54" ht="15.75" customHeight="1" thickBot="1" x14ac:dyDescent="0.35">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row>
    <row r="336" spans="1:54" ht="15.75" customHeight="1" thickBot="1" x14ac:dyDescent="0.35">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row>
    <row r="337" spans="34:54" ht="15.75" customHeight="1" thickBot="1" x14ac:dyDescent="0.35">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row>
    <row r="338" spans="34:54" ht="15.75" customHeight="1" thickBot="1" x14ac:dyDescent="0.35">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row>
    <row r="339" spans="34:54" ht="15.75" customHeight="1" thickBot="1" x14ac:dyDescent="0.35">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row>
    <row r="340" spans="34:54" ht="15.75" customHeight="1" thickBot="1" x14ac:dyDescent="0.35">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row>
    <row r="341" spans="34:54" ht="15.75" customHeight="1" thickBot="1" x14ac:dyDescent="0.35">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row>
    <row r="342" spans="34:54" ht="15.75" customHeight="1" thickBot="1" x14ac:dyDescent="0.35">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row>
    <row r="343" spans="34:54" ht="15.75" customHeight="1" thickBot="1" x14ac:dyDescent="0.35">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row>
    <row r="344" spans="34:54" ht="15.75" customHeight="1" thickBot="1" x14ac:dyDescent="0.35">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row>
    <row r="345" spans="34:54" ht="15.75" customHeight="1" thickBot="1" x14ac:dyDescent="0.35">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row>
    <row r="346" spans="34:54" ht="15.75" customHeight="1" thickBot="1" x14ac:dyDescent="0.35">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row>
    <row r="347" spans="34:54" ht="15.75" customHeight="1" thickBot="1" x14ac:dyDescent="0.35">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row>
    <row r="348" spans="34:54" ht="15.75" customHeight="1" thickBot="1" x14ac:dyDescent="0.35">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row>
    <row r="349" spans="34:54" ht="15.75" customHeight="1" thickBot="1" x14ac:dyDescent="0.35">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row>
    <row r="350" spans="34:54" ht="15.75" customHeight="1" thickBot="1" x14ac:dyDescent="0.35">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row>
    <row r="351" spans="34:54" ht="15.75" customHeight="1" thickBot="1" x14ac:dyDescent="0.35">
      <c r="AH351" s="187"/>
      <c r="AI351" s="187"/>
      <c r="AJ351" s="187"/>
      <c r="AK351" s="187"/>
      <c r="AL351" s="187"/>
      <c r="AM351" s="187"/>
      <c r="AN351" s="187"/>
      <c r="AO351" s="187"/>
      <c r="AP351" s="187"/>
      <c r="AQ351" s="187"/>
      <c r="AR351" s="187"/>
      <c r="AS351" s="187"/>
      <c r="AT351" s="187"/>
      <c r="AU351" s="187"/>
      <c r="AV351" s="187"/>
      <c r="AW351" s="187"/>
      <c r="AX351" s="187"/>
      <c r="AY351" s="187"/>
      <c r="AZ351" s="187"/>
      <c r="BA351" s="187"/>
      <c r="BB351" s="187"/>
    </row>
    <row r="352" spans="34:54" ht="15.75" customHeight="1" thickBot="1" x14ac:dyDescent="0.35">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row>
    <row r="353" spans="34:54" ht="15.75" customHeight="1" thickBot="1" x14ac:dyDescent="0.35">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row>
    <row r="354" spans="34:54" ht="15.75" customHeight="1" thickBot="1" x14ac:dyDescent="0.35">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row>
    <row r="355" spans="34:54" ht="15.75" customHeight="1" thickBot="1" x14ac:dyDescent="0.35">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row>
    <row r="356" spans="34:54" ht="15.75" customHeight="1" thickBot="1" x14ac:dyDescent="0.35">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row>
    <row r="357" spans="34:54" ht="15.75" customHeight="1" thickBot="1" x14ac:dyDescent="0.35">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row>
    <row r="358" spans="34:54" ht="15.75" customHeight="1" thickBot="1" x14ac:dyDescent="0.35">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row>
    <row r="359" spans="34:54" ht="15.75" customHeight="1" thickBot="1" x14ac:dyDescent="0.35">
      <c r="AH359" s="187"/>
      <c r="AI359" s="187"/>
      <c r="AJ359" s="187"/>
      <c r="AK359" s="187"/>
      <c r="AL359" s="187"/>
      <c r="AM359" s="187"/>
      <c r="AN359" s="187"/>
      <c r="AO359" s="187"/>
      <c r="AP359" s="187"/>
      <c r="AQ359" s="187"/>
      <c r="AR359" s="187"/>
      <c r="AS359" s="187"/>
      <c r="AT359" s="187"/>
      <c r="AU359" s="187"/>
      <c r="AV359" s="187"/>
      <c r="AW359" s="187"/>
      <c r="AX359" s="187"/>
      <c r="AY359" s="187"/>
      <c r="AZ359" s="187"/>
      <c r="BA359" s="187"/>
      <c r="BB359" s="187"/>
    </row>
    <row r="360" spans="34:54" ht="15.75" customHeight="1" thickBot="1" x14ac:dyDescent="0.35">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row>
    <row r="361" spans="34:54" ht="15.75" customHeight="1" thickBot="1" x14ac:dyDescent="0.35">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row>
    <row r="362" spans="34:54" ht="15.75" customHeight="1" thickBot="1" x14ac:dyDescent="0.35">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row>
    <row r="363" spans="34:54" ht="15.75" customHeight="1" thickBot="1" x14ac:dyDescent="0.35">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row>
    <row r="364" spans="34:54" ht="15.75" customHeight="1" thickBot="1" x14ac:dyDescent="0.35">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row>
    <row r="365" spans="34:54" ht="15.75" customHeight="1" thickBot="1" x14ac:dyDescent="0.35">
      <c r="AH365" s="187"/>
      <c r="AI365" s="187"/>
      <c r="AJ365" s="187"/>
      <c r="AK365" s="187"/>
      <c r="AL365" s="187"/>
      <c r="AM365" s="187"/>
      <c r="AN365" s="187"/>
      <c r="AO365" s="187"/>
      <c r="AP365" s="187"/>
      <c r="AQ365" s="187"/>
      <c r="AR365" s="187"/>
      <c r="AS365" s="187"/>
      <c r="AT365" s="187"/>
      <c r="AU365" s="187"/>
      <c r="AV365" s="187"/>
      <c r="AW365" s="187"/>
      <c r="AX365" s="187"/>
      <c r="AY365" s="187"/>
      <c r="AZ365" s="187"/>
      <c r="BA365" s="187"/>
      <c r="BB365" s="187"/>
    </row>
    <row r="366" spans="34:54" ht="15.75" customHeight="1" thickBot="1" x14ac:dyDescent="0.35">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row>
    <row r="367" spans="34:54" ht="15.75" customHeight="1" thickBot="1" x14ac:dyDescent="0.35">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row>
    <row r="368" spans="34:54" ht="15.75" customHeight="1" thickBot="1" x14ac:dyDescent="0.35">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row>
    <row r="369" spans="34:54" ht="15.75" customHeight="1" thickBot="1" x14ac:dyDescent="0.35">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row>
    <row r="370" spans="34:54" ht="15.75" customHeight="1" thickBot="1" x14ac:dyDescent="0.35">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row>
    <row r="371" spans="34:54" ht="15.75" customHeight="1" thickBot="1" x14ac:dyDescent="0.35">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row>
    <row r="372" spans="34:54" ht="15.75" customHeight="1" thickBot="1" x14ac:dyDescent="0.35">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row>
    <row r="373" spans="34:54" ht="15.75" customHeight="1" thickBot="1" x14ac:dyDescent="0.35">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row>
    <row r="374" spans="34:54" ht="15.75" customHeight="1" thickBot="1" x14ac:dyDescent="0.35">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row>
    <row r="375" spans="34:54" ht="15.75" customHeight="1" thickBot="1" x14ac:dyDescent="0.35">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row>
    <row r="376" spans="34:54" ht="15.75" customHeight="1" thickBot="1" x14ac:dyDescent="0.35">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row>
    <row r="377" spans="34:54" ht="15.75" customHeight="1" thickBot="1" x14ac:dyDescent="0.35">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row>
    <row r="378" spans="34:54" ht="15.75" customHeight="1" thickBot="1" x14ac:dyDescent="0.35">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row>
    <row r="379" spans="34:54" ht="15.75" customHeight="1" thickBot="1" x14ac:dyDescent="0.35">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row>
    <row r="380" spans="34:54" ht="15.75" customHeight="1" thickBot="1" x14ac:dyDescent="0.35">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row>
    <row r="381" spans="34:54" ht="15.75" customHeight="1" thickBot="1" x14ac:dyDescent="0.35">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row>
    <row r="382" spans="34:54" ht="15.75" customHeight="1" thickBot="1" x14ac:dyDescent="0.35">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row>
    <row r="383" spans="34:54" ht="15.75" customHeight="1" thickBot="1" x14ac:dyDescent="0.35">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row>
    <row r="384" spans="34:54" ht="15.75" customHeight="1" thickBot="1" x14ac:dyDescent="0.35">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row>
    <row r="385" spans="34:54" ht="15.75" customHeight="1" thickBot="1" x14ac:dyDescent="0.35">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row>
    <row r="386" spans="34:54" ht="15.75" customHeight="1" thickBot="1" x14ac:dyDescent="0.35">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row>
    <row r="387" spans="34:54" ht="15.75" customHeight="1" thickBot="1" x14ac:dyDescent="0.35">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row>
    <row r="388" spans="34:54" ht="15.75" customHeight="1" thickBot="1" x14ac:dyDescent="0.35">
      <c r="AH388" s="187"/>
      <c r="AI388" s="187"/>
      <c r="AJ388" s="187"/>
      <c r="AK388" s="187"/>
      <c r="AL388" s="187"/>
      <c r="AM388" s="187"/>
      <c r="AN388" s="187"/>
      <c r="AO388" s="187"/>
      <c r="AP388" s="187"/>
      <c r="AQ388" s="187"/>
      <c r="AR388" s="187"/>
      <c r="AS388" s="187"/>
      <c r="AT388" s="187"/>
      <c r="AU388" s="187"/>
      <c r="AV388" s="187"/>
      <c r="AW388" s="187"/>
      <c r="AX388" s="187"/>
      <c r="AY388" s="187"/>
      <c r="AZ388" s="187"/>
      <c r="BA388" s="187"/>
      <c r="BB388" s="187"/>
    </row>
    <row r="389" spans="34:54" ht="15.75" customHeight="1" thickBot="1" x14ac:dyDescent="0.35">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row>
    <row r="390" spans="34:54" ht="15.75" customHeight="1" thickBot="1" x14ac:dyDescent="0.35">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row>
    <row r="391" spans="34:54" ht="15.75" customHeight="1" thickBot="1" x14ac:dyDescent="0.35">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row>
    <row r="392" spans="34:54" ht="15.75" customHeight="1" thickBot="1" x14ac:dyDescent="0.35">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row>
    <row r="393" spans="34:54" ht="15.75" customHeight="1" thickBot="1" x14ac:dyDescent="0.35">
      <c r="AH393" s="187"/>
      <c r="AI393" s="187"/>
      <c r="AJ393" s="187"/>
      <c r="AK393" s="187"/>
      <c r="AL393" s="187"/>
      <c r="AM393" s="187"/>
      <c r="AN393" s="187"/>
      <c r="AO393" s="187"/>
      <c r="AP393" s="187"/>
      <c r="AQ393" s="187"/>
      <c r="AR393" s="187"/>
      <c r="AS393" s="187"/>
      <c r="AT393" s="187"/>
      <c r="AU393" s="187"/>
      <c r="AV393" s="187"/>
      <c r="AW393" s="187"/>
      <c r="AX393" s="187"/>
      <c r="AY393" s="187"/>
      <c r="AZ393" s="187"/>
      <c r="BA393" s="187"/>
      <c r="BB393" s="187"/>
    </row>
    <row r="394" spans="34:54" ht="15.75" customHeight="1" thickBot="1" x14ac:dyDescent="0.35">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row>
    <row r="395" spans="34:54" ht="15.75" customHeight="1" thickBot="1" x14ac:dyDescent="0.35">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row>
    <row r="396" spans="34:54" ht="15.75" customHeight="1" thickBot="1" x14ac:dyDescent="0.35">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row>
    <row r="397" spans="34:54" ht="15.75" customHeight="1" thickBot="1" x14ac:dyDescent="0.35">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row>
    <row r="398" spans="34:54" ht="15.75" customHeight="1" thickBot="1" x14ac:dyDescent="0.35">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row>
    <row r="399" spans="34:54" ht="15.75" customHeight="1" thickBot="1" x14ac:dyDescent="0.35">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row>
    <row r="400" spans="34:54" ht="15.75" customHeight="1" thickBot="1" x14ac:dyDescent="0.35">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row>
    <row r="401" spans="34:54" ht="15.75" customHeight="1" thickBot="1" x14ac:dyDescent="0.35">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row>
    <row r="402" spans="34:54" ht="15.75" customHeight="1" thickBot="1" x14ac:dyDescent="0.35">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row>
    <row r="403" spans="34:54" ht="15.75" customHeight="1" thickBot="1" x14ac:dyDescent="0.35">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row>
    <row r="404" spans="34:54" ht="15.75" customHeight="1" thickBot="1" x14ac:dyDescent="0.35">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row>
    <row r="405" spans="34:54" ht="15.75" customHeight="1" thickBot="1" x14ac:dyDescent="0.35">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row>
    <row r="406" spans="34:54" ht="15.75" customHeight="1" thickBot="1" x14ac:dyDescent="0.35">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row>
    <row r="407" spans="34:54" ht="15.75" customHeight="1" thickBot="1" x14ac:dyDescent="0.35">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row>
    <row r="408" spans="34:54" ht="15.75" customHeight="1" thickBot="1" x14ac:dyDescent="0.35">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row>
    <row r="409" spans="34:54" ht="15.75" customHeight="1" thickBot="1" x14ac:dyDescent="0.35">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row>
    <row r="410" spans="34:54" ht="15.75" customHeight="1" thickBot="1" x14ac:dyDescent="0.35">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row>
    <row r="411" spans="34:54" ht="15.75" customHeight="1" thickBot="1" x14ac:dyDescent="0.35">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row>
    <row r="412" spans="34:54" ht="15.75" customHeight="1" thickBot="1" x14ac:dyDescent="0.35">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row>
    <row r="413" spans="34:54" ht="15.75" customHeight="1" thickBot="1" x14ac:dyDescent="0.35">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row>
    <row r="414" spans="34:54" ht="15.75" customHeight="1" thickBot="1" x14ac:dyDescent="0.35">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row>
    <row r="415" spans="34:54" ht="15.75" customHeight="1" thickBot="1" x14ac:dyDescent="0.35">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row>
    <row r="416" spans="34:54" ht="15.75" customHeight="1" thickBot="1" x14ac:dyDescent="0.35">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row>
    <row r="417" spans="34:54" ht="15.75" customHeight="1" thickBot="1" x14ac:dyDescent="0.35">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row>
    <row r="418" spans="34:54" ht="15.75" customHeight="1" thickBot="1" x14ac:dyDescent="0.35">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row>
    <row r="419" spans="34:54" ht="15.75" customHeight="1" thickBot="1" x14ac:dyDescent="0.35">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row>
    <row r="420" spans="34:54" ht="15.75" customHeight="1" thickBot="1" x14ac:dyDescent="0.35">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row>
    <row r="421" spans="34:54" ht="15.75" customHeight="1" thickBot="1" x14ac:dyDescent="0.35">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row>
    <row r="422" spans="34:54" ht="15.75" customHeight="1" thickBot="1" x14ac:dyDescent="0.35">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row>
    <row r="423" spans="34:54" ht="15.75" customHeight="1" thickBot="1" x14ac:dyDescent="0.35">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row>
    <row r="424" spans="34:54" ht="15.75" customHeight="1" thickBot="1" x14ac:dyDescent="0.35">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row>
    <row r="425" spans="34:54" ht="15.75" customHeight="1" x14ac:dyDescent="0.3"/>
    <row r="426" spans="34:54" ht="15.75" customHeight="1" x14ac:dyDescent="0.3"/>
    <row r="427" spans="34:54" ht="15.75" customHeight="1" x14ac:dyDescent="0.3"/>
    <row r="428" spans="34:54" ht="15.75" customHeight="1" x14ac:dyDescent="0.3"/>
    <row r="429" spans="34:54" ht="15.75" customHeight="1" x14ac:dyDescent="0.3"/>
    <row r="430" spans="34:54" ht="15.75" customHeight="1" x14ac:dyDescent="0.3"/>
    <row r="431" spans="34:54" ht="15.75" customHeight="1" x14ac:dyDescent="0.3"/>
    <row r="432" spans="34:54"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autoFilter ref="A2:AH132" xr:uid="{00000000-0009-0000-0000-000002000000}">
    <filterColumn colId="1" showButton="0"/>
  </autoFilter>
  <mergeCells count="33">
    <mergeCell ref="B34:C34"/>
    <mergeCell ref="B67:C67"/>
    <mergeCell ref="B68:C68"/>
    <mergeCell ref="B73:C73"/>
    <mergeCell ref="B86:C86"/>
    <mergeCell ref="B2:C2"/>
    <mergeCell ref="B40:C40"/>
    <mergeCell ref="B3:C3"/>
    <mergeCell ref="B4:C4"/>
    <mergeCell ref="B5:C5"/>
    <mergeCell ref="B11:C11"/>
    <mergeCell ref="B15:C15"/>
    <mergeCell ref="B16:C16"/>
    <mergeCell ref="B21:C21"/>
    <mergeCell ref="B24:C24"/>
    <mergeCell ref="B28:C28"/>
    <mergeCell ref="B33:C33"/>
    <mergeCell ref="AE37:AE39"/>
    <mergeCell ref="B129:C129"/>
    <mergeCell ref="B100:C100"/>
    <mergeCell ref="B101:C101"/>
    <mergeCell ref="B107:C107"/>
    <mergeCell ref="B117:C117"/>
    <mergeCell ref="B124:C124"/>
    <mergeCell ref="B125:C125"/>
    <mergeCell ref="B96:C96"/>
    <mergeCell ref="B43:C43"/>
    <mergeCell ref="B45:C45"/>
    <mergeCell ref="B46:C46"/>
    <mergeCell ref="B54:C54"/>
    <mergeCell ref="B59:C59"/>
    <mergeCell ref="B64:C64"/>
    <mergeCell ref="B91:C91"/>
  </mergeCell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1000"/>
  <sheetViews>
    <sheetView zoomScale="28" zoomScaleNormal="28" workbookViewId="0">
      <pane xSplit="3" ySplit="2" topLeftCell="D69" activePane="bottomRight" state="frozen"/>
      <selection pane="topRight" activeCell="D1" sqref="D1"/>
      <selection pane="bottomLeft" activeCell="A3" sqref="A3"/>
      <selection pane="bottomRight" activeCell="D78" sqref="D78"/>
    </sheetView>
  </sheetViews>
  <sheetFormatPr baseColWidth="10" defaultColWidth="14.42578125" defaultRowHeight="15" customHeight="1" x14ac:dyDescent="0.3"/>
  <cols>
    <col min="1" max="1" width="1.28515625" style="190" customWidth="1"/>
    <col min="2" max="2" width="64.140625" style="190" customWidth="1"/>
    <col min="3" max="3" width="66" style="190" customWidth="1"/>
    <col min="4" max="4" width="42.5703125" style="190" customWidth="1"/>
    <col min="5" max="5" width="34.7109375" style="190" customWidth="1"/>
    <col min="6" max="6" width="30.7109375" style="190" customWidth="1"/>
    <col min="7" max="7" width="27" style="190" customWidth="1"/>
    <col min="8" max="8" width="28.5703125" style="190" customWidth="1"/>
    <col min="9" max="9" width="38.28515625" style="190" customWidth="1"/>
    <col min="10" max="10" width="36.28515625" style="190" customWidth="1"/>
    <col min="11" max="11" width="34.42578125" style="190" hidden="1" customWidth="1"/>
    <col min="12" max="12" width="35.5703125" style="190" hidden="1" customWidth="1"/>
    <col min="13" max="15" width="33.140625" style="190" customWidth="1"/>
    <col min="16" max="17" width="33.140625" style="190" hidden="1" customWidth="1"/>
    <col min="18" max="19" width="33.140625" style="190" customWidth="1"/>
    <col min="20" max="21" width="34.7109375" style="190" customWidth="1"/>
    <col min="22" max="23" width="43.7109375" style="190" hidden="1" customWidth="1"/>
    <col min="24" max="24" width="36.5703125" style="190" customWidth="1"/>
    <col min="25" max="25" width="39.7109375" style="190" customWidth="1"/>
    <col min="26" max="27" width="38.140625" style="190" customWidth="1"/>
    <col min="28" max="28" width="59.7109375" style="321" hidden="1" customWidth="1"/>
    <col min="29" max="29" width="67.140625" style="190" customWidth="1"/>
    <col min="30" max="30" width="56" style="190" customWidth="1"/>
    <col min="31" max="31" width="78.140625" style="190" customWidth="1"/>
    <col min="32" max="32" width="72.28515625" style="190" customWidth="1"/>
    <col min="33" max="16384" width="14.42578125" style="190"/>
  </cols>
  <sheetData>
    <row r="1" spans="1:32" ht="19.5" thickBot="1" x14ac:dyDescent="0.35">
      <c r="A1" s="187"/>
      <c r="B1" s="188"/>
      <c r="C1" s="188"/>
      <c r="D1" s="188"/>
      <c r="E1" s="188"/>
      <c r="F1" s="188"/>
      <c r="G1" s="188"/>
      <c r="H1" s="188"/>
      <c r="I1" s="188"/>
      <c r="J1" s="188"/>
      <c r="K1" s="188"/>
      <c r="L1" s="188"/>
      <c r="M1" s="188"/>
      <c r="N1" s="188"/>
      <c r="O1" s="188"/>
      <c r="P1" s="188"/>
      <c r="Q1" s="188"/>
      <c r="R1" s="188"/>
      <c r="S1" s="188"/>
      <c r="T1" s="188"/>
      <c r="U1" s="188"/>
      <c r="V1" s="188"/>
      <c r="W1" s="188"/>
      <c r="X1" s="188"/>
      <c r="Y1" s="268"/>
      <c r="Z1" s="268"/>
      <c r="AA1" s="788"/>
      <c r="AB1" s="269"/>
    </row>
    <row r="2" spans="1:32" ht="170.45" customHeight="1" thickBot="1" x14ac:dyDescent="0.35">
      <c r="A2" s="191"/>
      <c r="B2" s="1322" t="s">
        <v>0</v>
      </c>
      <c r="C2" s="1328"/>
      <c r="D2" s="270" t="s">
        <v>1</v>
      </c>
      <c r="E2" s="194" t="s">
        <v>2</v>
      </c>
      <c r="F2" s="194" t="s">
        <v>3</v>
      </c>
      <c r="G2" s="194" t="s">
        <v>4</v>
      </c>
      <c r="H2" s="644" t="s">
        <v>5</v>
      </c>
      <c r="I2" s="195" t="s">
        <v>6</v>
      </c>
      <c r="J2" s="57" t="s">
        <v>7</v>
      </c>
      <c r="K2" s="645" t="s">
        <v>8</v>
      </c>
      <c r="L2" s="648" t="s">
        <v>9</v>
      </c>
      <c r="M2" s="196" t="s">
        <v>10</v>
      </c>
      <c r="N2" s="375" t="s">
        <v>11</v>
      </c>
      <c r="O2" s="375" t="s">
        <v>12</v>
      </c>
      <c r="P2" s="375" t="s">
        <v>13</v>
      </c>
      <c r="Q2" s="375" t="s">
        <v>14</v>
      </c>
      <c r="R2" s="375" t="s">
        <v>15</v>
      </c>
      <c r="S2" s="375" t="s">
        <v>16</v>
      </c>
      <c r="T2" s="197" t="s">
        <v>17</v>
      </c>
      <c r="U2" s="649" t="s">
        <v>18</v>
      </c>
      <c r="V2" s="646" t="s">
        <v>19</v>
      </c>
      <c r="W2" s="650" t="s">
        <v>20</v>
      </c>
      <c r="X2" s="197" t="s">
        <v>458</v>
      </c>
      <c r="Y2" s="649" t="s">
        <v>875</v>
      </c>
      <c r="Z2" s="647" t="s">
        <v>23</v>
      </c>
      <c r="AA2" s="789" t="s">
        <v>24</v>
      </c>
      <c r="AB2" s="198" t="s">
        <v>876</v>
      </c>
      <c r="AC2" s="661" t="s">
        <v>26</v>
      </c>
      <c r="AD2" s="662" t="s">
        <v>877</v>
      </c>
      <c r="AE2" s="363" t="s">
        <v>28</v>
      </c>
      <c r="AF2" s="663" t="s">
        <v>25</v>
      </c>
    </row>
    <row r="3" spans="1:32" s="328" customFormat="1" ht="138" customHeight="1" thickBot="1" x14ac:dyDescent="0.8">
      <c r="A3" s="322"/>
      <c r="B3" s="1329" t="s">
        <v>1163</v>
      </c>
      <c r="C3" s="1330"/>
      <c r="D3" s="323"/>
      <c r="E3" s="324">
        <v>0.25</v>
      </c>
      <c r="F3" s="325"/>
      <c r="G3" s="325"/>
      <c r="H3" s="325"/>
      <c r="I3" s="665">
        <f>+(I4+I26+I37+I60+I82+I97+I135+I167)/7</f>
        <v>0.22385775913845282</v>
      </c>
      <c r="J3" s="665">
        <f>+(J4+J26+J37+J60+J82+J97+J135+J167)/8</f>
        <v>0.23601705389676467</v>
      </c>
      <c r="K3" s="666">
        <f>+(K4+K26+K37+K60+K82+K97+K135)/7</f>
        <v>0.19844971717901827</v>
      </c>
      <c r="L3" s="666">
        <f>+(L4+L26+L37+L60+L82+L97+L135+L167)/8</f>
        <v>0.22019926051515165</v>
      </c>
      <c r="M3" s="326"/>
      <c r="N3" s="326"/>
      <c r="O3" s="326"/>
      <c r="P3" s="326"/>
      <c r="Q3" s="326"/>
      <c r="R3" s="326"/>
      <c r="S3" s="326"/>
      <c r="T3" s="665">
        <f>+(T4+T26+T37+T60+T82+T97+T135)/7</f>
        <v>0.80892636902467829</v>
      </c>
      <c r="U3" s="665">
        <f>+(U4+U26+U37+U60+U82+U97+U135+U167)/8</f>
        <v>0.38203685641776697</v>
      </c>
      <c r="V3" s="666">
        <f>+F4+F26+F37+F60+F82+F97+F135+F167</f>
        <v>0.50590750648462857</v>
      </c>
      <c r="W3" s="666">
        <f>+H4+H26+H37+H60+H82+H97+H135+H167</f>
        <v>0.32444716991625439</v>
      </c>
      <c r="X3" s="667">
        <f>+(X4+X26+X37+X60+X82+X97+X135)/7</f>
        <v>0.22152387408750876</v>
      </c>
      <c r="Y3" s="667">
        <f>+(Y4+Y26+Y37+Y60+Y82+Y97+Y135+Y167)/7</f>
        <v>0.32826692545655778</v>
      </c>
      <c r="Z3" s="668">
        <f>+(Z4+Z26+Z37+Z60+Z82+Z97+Z135)/7</f>
        <v>0.18576863791395756</v>
      </c>
      <c r="AA3" s="668">
        <f>+(AA4*E4+AA26*E26+AA37*E37+AA60*E60+AA82*E82+AA97*E97+AA135*E135+AA167*E167)</f>
        <v>0.25862483810064973</v>
      </c>
      <c r="AB3" s="327"/>
      <c r="AC3" s="669" t="s">
        <v>1164</v>
      </c>
      <c r="AD3" s="325"/>
      <c r="AE3" s="325"/>
      <c r="AF3" s="325"/>
    </row>
    <row r="4" spans="1:32" ht="78" customHeight="1" thickBot="1" x14ac:dyDescent="0.35">
      <c r="A4" s="191"/>
      <c r="B4" s="1321" t="s">
        <v>1165</v>
      </c>
      <c r="C4" s="1327"/>
      <c r="D4" s="271"/>
      <c r="E4" s="201">
        <v>0.2</v>
      </c>
      <c r="F4" s="202">
        <f>+E4*V4</f>
        <v>0.13357444827586207</v>
      </c>
      <c r="G4" s="272"/>
      <c r="H4" s="202">
        <f>+E4*W4</f>
        <v>8.3087830662238321E-2</v>
      </c>
      <c r="I4" s="204">
        <f>+(I5+I22)/2</f>
        <v>0.17442942942942941</v>
      </c>
      <c r="J4" s="204">
        <f>+(J5+J22)/2</f>
        <v>0.2842306511056511</v>
      </c>
      <c r="K4" s="205">
        <f>+(K5+K22)/2</f>
        <v>0.18726443243243246</v>
      </c>
      <c r="L4" s="205">
        <f>+(L5+L22)/2</f>
        <v>0.3061577813267814</v>
      </c>
      <c r="M4" s="273"/>
      <c r="N4" s="273"/>
      <c r="O4" s="273"/>
      <c r="P4" s="273"/>
      <c r="Q4" s="273"/>
      <c r="R4" s="273"/>
      <c r="S4" s="273"/>
      <c r="T4" s="204">
        <f>+(T5+T22)/2</f>
        <v>0.95366379310344829</v>
      </c>
      <c r="U4" s="204">
        <f>+(U5+U22)/2</f>
        <v>0.51085364187945703</v>
      </c>
      <c r="V4" s="205">
        <f>+V5+V22</f>
        <v>0.66787224137931034</v>
      </c>
      <c r="W4" s="205">
        <f>+W5+W22</f>
        <v>0.41543915331119158</v>
      </c>
      <c r="X4" s="274">
        <f>(X5+X22)/2</f>
        <v>0.23386643243243244</v>
      </c>
      <c r="Y4" s="274">
        <f>(Y5+Y22)/2</f>
        <v>0.32648150518018021</v>
      </c>
      <c r="Z4" s="275">
        <f>+Z5+Z22</f>
        <v>0.22782968756756758</v>
      </c>
      <c r="AA4" s="275">
        <f>+AA5*E5+AA22*E22</f>
        <v>0.37895680491891892</v>
      </c>
      <c r="AB4" s="276"/>
      <c r="AD4" s="664"/>
      <c r="AE4" s="664"/>
      <c r="AF4" s="664"/>
    </row>
    <row r="5" spans="1:32" ht="57" customHeight="1" thickBot="1" x14ac:dyDescent="0.35">
      <c r="A5" s="191"/>
      <c r="B5" s="1317" t="s">
        <v>1166</v>
      </c>
      <c r="C5" s="1327"/>
      <c r="D5" s="271"/>
      <c r="E5" s="277">
        <v>0.7</v>
      </c>
      <c r="F5" s="211"/>
      <c r="G5" s="211"/>
      <c r="H5" s="211"/>
      <c r="I5" s="212">
        <f>+AVERAGE(I6:I21)</f>
        <v>0.21777777777777776</v>
      </c>
      <c r="J5" s="212">
        <f>+AVERAGE(J6:J21)</f>
        <v>0.26624999999999999</v>
      </c>
      <c r="K5" s="212">
        <f>+K6+K7+K8+K9+K10+K11+K12+K13+K14+K15+K16+K17+K18+K19+K20+K21</f>
        <v>0.28966400000000003</v>
      </c>
      <c r="L5" s="212">
        <f>+L6+L7+L8+L9+L10+L11+L12+L13+L14+L15+L16+L17+L18+L19+L20+L21</f>
        <v>0.3096620000000001</v>
      </c>
      <c r="M5" s="211"/>
      <c r="N5" s="211"/>
      <c r="O5" s="211"/>
      <c r="P5" s="211"/>
      <c r="Q5" s="211"/>
      <c r="R5" s="211"/>
      <c r="S5" s="211"/>
      <c r="T5" s="235">
        <f>+AVERAGE(T6:T21)</f>
        <v>0.90732758620689657</v>
      </c>
      <c r="U5" s="235">
        <f>+AVERAGE(U6:U21)</f>
        <v>0.38281839487002528</v>
      </c>
      <c r="V5" s="235">
        <f>+(V6+V7+V8+V9+V10+V11+V12+V13+V14+V15+V16+V17+V18+V19+V20+V21)*E5</f>
        <v>0.48787224137931029</v>
      </c>
      <c r="W5" s="235">
        <f>+(W6+W7+W8+W9+W10+W11+W12+W13+W14+W15+W16+W17+W18+W19+W20+W21)*E5</f>
        <v>0.24043915331119156</v>
      </c>
      <c r="X5" s="212">
        <f>+AVERAGE(X6:X21)</f>
        <v>0.22375</v>
      </c>
      <c r="Y5" s="212">
        <f>+X5+((Y6-X6)/16)+((Y7-X7)/16)+((Y13-X13)/16)+((Y14-X14)/16)+((Y15-X15)/16)+((Y16-X16)/16)+((Y17-X17)/16)+((Y18-X18)/16)+((Y20-X20)/16)</f>
        <v>0.27068958333333337</v>
      </c>
      <c r="Z5" s="278">
        <f>+(Z6+Z7+Z8+Z9+Z10+Z11+Z12+Z13+Z14+Z15+Z16+Z17+Z18+Z19+Z20+Z21)*E5</f>
        <v>0.17677380000000001</v>
      </c>
      <c r="AA5" s="278">
        <f>+(AA6+AA7+AA8+AA9+AA10+AA11+AA12+AA13+AA14+AA15+AA16+AA17+AA18+AA19+AA20+AA21)</f>
        <v>0.37706898000000005</v>
      </c>
      <c r="AB5" s="279"/>
      <c r="AC5" s="664"/>
      <c r="AD5" s="664"/>
      <c r="AE5" s="664"/>
      <c r="AF5" s="664"/>
    </row>
    <row r="6" spans="1:32" ht="105.6" customHeight="1" thickBot="1" x14ac:dyDescent="0.35">
      <c r="A6" s="191"/>
      <c r="B6" s="1075" t="s">
        <v>1167</v>
      </c>
      <c r="C6" s="1087" t="s">
        <v>1168</v>
      </c>
      <c r="D6" s="281" t="s">
        <v>716</v>
      </c>
      <c r="E6" s="282">
        <v>0.5</v>
      </c>
      <c r="F6" s="283">
        <v>1</v>
      </c>
      <c r="G6" s="213">
        <v>0.28999999999999998</v>
      </c>
      <c r="H6" s="213">
        <v>0.46</v>
      </c>
      <c r="I6" s="218">
        <f t="shared" ref="I6:I18" si="0">+G6/F6</f>
        <v>0.28999999999999998</v>
      </c>
      <c r="J6" s="218">
        <f>+H6/F6</f>
        <v>0.46</v>
      </c>
      <c r="K6" s="218">
        <f>+(G6/F6)*E6</f>
        <v>0.14499999999999999</v>
      </c>
      <c r="L6" s="218">
        <f>+(H6/F6)*E6</f>
        <v>0.23</v>
      </c>
      <c r="M6" s="213">
        <v>0.22</v>
      </c>
      <c r="N6" s="670">
        <v>0.02</v>
      </c>
      <c r="O6" s="670">
        <v>0.13200000000000001</v>
      </c>
      <c r="P6" s="213"/>
      <c r="Q6" s="213"/>
      <c r="R6" s="213">
        <f>+N6+O6+P6+Q6</f>
        <v>0.152</v>
      </c>
      <c r="S6" s="213">
        <f>+R6+M6</f>
        <v>0.372</v>
      </c>
      <c r="T6" s="237">
        <f t="shared" ref="T6" si="1">+(M6/G6)</f>
        <v>0.75862068965517249</v>
      </c>
      <c r="U6" s="237">
        <f>+R6/H6</f>
        <v>0.33043478260869563</v>
      </c>
      <c r="V6" s="220">
        <f t="shared" ref="V6" si="2">+T6*E6</f>
        <v>0.37931034482758624</v>
      </c>
      <c r="W6" s="220">
        <f>+U6*E6</f>
        <v>0.16521739130434782</v>
      </c>
      <c r="X6" s="237">
        <f t="shared" ref="X6" si="3">+M6/F6</f>
        <v>0.22</v>
      </c>
      <c r="Y6" s="287">
        <f>+S6/F6</f>
        <v>0.372</v>
      </c>
      <c r="Z6" s="284">
        <f t="shared" ref="Z6" si="4">+X6*E6</f>
        <v>0.11</v>
      </c>
      <c r="AA6" s="284">
        <f>+Y6*E6</f>
        <v>0.186</v>
      </c>
      <c r="AB6" s="222" t="s">
        <v>43</v>
      </c>
      <c r="AC6" s="726" t="s">
        <v>486</v>
      </c>
      <c r="AD6" s="719" t="s">
        <v>1169</v>
      </c>
      <c r="AE6" s="719" t="s">
        <v>885</v>
      </c>
      <c r="AF6" s="664"/>
    </row>
    <row r="7" spans="1:32" ht="133.15" customHeight="1" thickBot="1" x14ac:dyDescent="0.35">
      <c r="A7" s="191"/>
      <c r="B7" s="1075" t="s">
        <v>1170</v>
      </c>
      <c r="C7" s="1087" t="s">
        <v>1171</v>
      </c>
      <c r="D7" s="281" t="s">
        <v>716</v>
      </c>
      <c r="E7" s="285">
        <v>0.2</v>
      </c>
      <c r="F7" s="283">
        <v>1</v>
      </c>
      <c r="G7" s="213">
        <v>0.61</v>
      </c>
      <c r="H7" s="213">
        <v>0.27</v>
      </c>
      <c r="I7" s="218">
        <f t="shared" si="0"/>
        <v>0.61</v>
      </c>
      <c r="J7" s="218">
        <f t="shared" ref="J7:J25" si="5">+H7/F7</f>
        <v>0.27</v>
      </c>
      <c r="K7" s="218">
        <f t="shared" ref="K7:K18" si="6">+(G7/F7)*E7</f>
        <v>0.122</v>
      </c>
      <c r="L7" s="218">
        <f t="shared" ref="L7:L25" si="7">+(H7/F7)*E7</f>
        <v>5.4000000000000006E-2</v>
      </c>
      <c r="M7" s="213">
        <v>0.61</v>
      </c>
      <c r="N7" s="670">
        <v>0.09</v>
      </c>
      <c r="O7" s="670">
        <v>0.11</v>
      </c>
      <c r="P7" s="213"/>
      <c r="Q7" s="213"/>
      <c r="R7" s="213">
        <f t="shared" ref="R7:R21" si="8">+N7+O7+P7+Q7</f>
        <v>0.2</v>
      </c>
      <c r="S7" s="213">
        <f t="shared" ref="S7:S21" si="9">+R7+M7</f>
        <v>0.81</v>
      </c>
      <c r="T7" s="218">
        <f t="shared" ref="T7:T18" si="10">+(M7/G7)</f>
        <v>1</v>
      </c>
      <c r="U7" s="218">
        <f t="shared" ref="U7:U25" si="11">+R7/H7</f>
        <v>0.7407407407407407</v>
      </c>
      <c r="V7" s="220">
        <f t="shared" ref="V7:V18" si="12">+T7*E7</f>
        <v>0.2</v>
      </c>
      <c r="W7" s="220">
        <f t="shared" ref="W7:W25" si="13">+U7*E7</f>
        <v>0.14814814814814814</v>
      </c>
      <c r="X7" s="237">
        <f t="shared" ref="X7:X18" si="14">+M7/F7</f>
        <v>0.61</v>
      </c>
      <c r="Y7" s="287">
        <f t="shared" ref="Y7:Y25" si="15">+S7/F7</f>
        <v>0.81</v>
      </c>
      <c r="Z7" s="284">
        <f t="shared" ref="Z7:Z16" si="16">+X7*E7</f>
        <v>0.122</v>
      </c>
      <c r="AA7" s="284">
        <f>+Y7*E7</f>
        <v>0.16200000000000003</v>
      </c>
      <c r="AB7" s="222" t="s">
        <v>43</v>
      </c>
      <c r="AC7" s="726" t="s">
        <v>486</v>
      </c>
      <c r="AD7" s="719" t="s">
        <v>1169</v>
      </c>
      <c r="AE7" s="719" t="s">
        <v>885</v>
      </c>
      <c r="AF7" s="664"/>
    </row>
    <row r="8" spans="1:32" ht="90" customHeight="1" thickBot="1" x14ac:dyDescent="0.35">
      <c r="A8" s="191"/>
      <c r="B8" s="1075" t="s">
        <v>1172</v>
      </c>
      <c r="C8" s="1087" t="s">
        <v>1173</v>
      </c>
      <c r="D8" s="281" t="s">
        <v>1174</v>
      </c>
      <c r="E8" s="286">
        <v>2.1999999999999999E-2</v>
      </c>
      <c r="F8" s="283">
        <v>1</v>
      </c>
      <c r="G8" s="213">
        <v>0</v>
      </c>
      <c r="H8" s="213">
        <v>0</v>
      </c>
      <c r="I8" s="218"/>
      <c r="J8" s="218"/>
      <c r="K8" s="218"/>
      <c r="L8" s="218">
        <f t="shared" si="7"/>
        <v>0</v>
      </c>
      <c r="M8" s="213"/>
      <c r="N8" s="670"/>
      <c r="O8" s="213"/>
      <c r="P8" s="213"/>
      <c r="Q8" s="213"/>
      <c r="R8" s="213">
        <f t="shared" si="8"/>
        <v>0</v>
      </c>
      <c r="S8" s="213">
        <f t="shared" si="9"/>
        <v>0</v>
      </c>
      <c r="T8" s="219"/>
      <c r="U8" s="218"/>
      <c r="V8" s="220"/>
      <c r="W8" s="220"/>
      <c r="X8" s="237"/>
      <c r="Y8" s="287"/>
      <c r="Z8" s="284">
        <v>0</v>
      </c>
      <c r="AA8" s="284">
        <v>0</v>
      </c>
      <c r="AB8" s="222" t="s">
        <v>43</v>
      </c>
      <c r="AC8" s="726" t="s">
        <v>486</v>
      </c>
      <c r="AD8" s="719" t="s">
        <v>1169</v>
      </c>
      <c r="AE8" s="719" t="s">
        <v>885</v>
      </c>
      <c r="AF8" s="664"/>
    </row>
    <row r="9" spans="1:32" ht="81" customHeight="1" thickBot="1" x14ac:dyDescent="0.35">
      <c r="A9" s="191"/>
      <c r="B9" s="1075" t="s">
        <v>1175</v>
      </c>
      <c r="C9" s="1087" t="s">
        <v>1176</v>
      </c>
      <c r="D9" s="281" t="s">
        <v>716</v>
      </c>
      <c r="E9" s="286">
        <v>2.1399999999999999E-2</v>
      </c>
      <c r="F9" s="283">
        <v>1</v>
      </c>
      <c r="G9" s="213">
        <v>0</v>
      </c>
      <c r="H9" s="213">
        <v>0</v>
      </c>
      <c r="I9" s="218"/>
      <c r="J9" s="218"/>
      <c r="K9" s="218"/>
      <c r="L9" s="218">
        <f t="shared" si="7"/>
        <v>0</v>
      </c>
      <c r="M9" s="213"/>
      <c r="N9" s="670"/>
      <c r="O9" s="213"/>
      <c r="P9" s="213"/>
      <c r="Q9" s="213"/>
      <c r="R9" s="213">
        <f t="shared" si="8"/>
        <v>0</v>
      </c>
      <c r="S9" s="213">
        <f t="shared" si="9"/>
        <v>0</v>
      </c>
      <c r="T9" s="219"/>
      <c r="U9" s="218"/>
      <c r="V9" s="220"/>
      <c r="W9" s="220"/>
      <c r="X9" s="237"/>
      <c r="Y9" s="287"/>
      <c r="Z9" s="284">
        <v>0</v>
      </c>
      <c r="AA9" s="284">
        <v>0</v>
      </c>
      <c r="AB9" s="222" t="s">
        <v>43</v>
      </c>
      <c r="AC9" s="726" t="s">
        <v>486</v>
      </c>
      <c r="AD9" s="719" t="s">
        <v>1169</v>
      </c>
      <c r="AE9" s="719" t="s">
        <v>885</v>
      </c>
      <c r="AF9" s="664"/>
    </row>
    <row r="10" spans="1:32" ht="127.9" customHeight="1" thickBot="1" x14ac:dyDescent="0.35">
      <c r="A10" s="191"/>
      <c r="B10" s="1075" t="s">
        <v>1177</v>
      </c>
      <c r="C10" s="1087" t="s">
        <v>1178</v>
      </c>
      <c r="D10" s="281" t="s">
        <v>716</v>
      </c>
      <c r="E10" s="286">
        <v>2.1399999999999999E-2</v>
      </c>
      <c r="F10" s="283">
        <v>1</v>
      </c>
      <c r="G10" s="213">
        <v>0</v>
      </c>
      <c r="H10" s="213">
        <v>0</v>
      </c>
      <c r="I10" s="218"/>
      <c r="J10" s="218"/>
      <c r="K10" s="218"/>
      <c r="L10" s="218">
        <f t="shared" si="7"/>
        <v>0</v>
      </c>
      <c r="M10" s="213"/>
      <c r="N10" s="670"/>
      <c r="O10" s="213"/>
      <c r="P10" s="213"/>
      <c r="Q10" s="213"/>
      <c r="R10" s="213">
        <f t="shared" si="8"/>
        <v>0</v>
      </c>
      <c r="S10" s="213">
        <f t="shared" si="9"/>
        <v>0</v>
      </c>
      <c r="T10" s="219"/>
      <c r="U10" s="218"/>
      <c r="V10" s="220"/>
      <c r="W10" s="220"/>
      <c r="X10" s="237"/>
      <c r="Y10" s="287"/>
      <c r="Z10" s="284">
        <v>0</v>
      </c>
      <c r="AA10" s="284">
        <v>0</v>
      </c>
      <c r="AB10" s="222" t="s">
        <v>43</v>
      </c>
      <c r="AC10" s="726" t="s">
        <v>486</v>
      </c>
      <c r="AD10" s="719" t="s">
        <v>1169</v>
      </c>
      <c r="AE10" s="719" t="s">
        <v>885</v>
      </c>
      <c r="AF10" s="664"/>
    </row>
    <row r="11" spans="1:32" ht="115.9" customHeight="1" thickBot="1" x14ac:dyDescent="0.35">
      <c r="A11" s="191"/>
      <c r="B11" s="1075" t="s">
        <v>1179</v>
      </c>
      <c r="C11" s="1087" t="s">
        <v>1180</v>
      </c>
      <c r="D11" s="281" t="s">
        <v>716</v>
      </c>
      <c r="E11" s="286">
        <v>2.1399999999999999E-2</v>
      </c>
      <c r="F11" s="283">
        <v>2</v>
      </c>
      <c r="G11" s="213">
        <v>0</v>
      </c>
      <c r="H11" s="213">
        <v>0</v>
      </c>
      <c r="I11" s="218"/>
      <c r="J11" s="218"/>
      <c r="K11" s="218"/>
      <c r="L11" s="218">
        <f t="shared" si="7"/>
        <v>0</v>
      </c>
      <c r="M11" s="213"/>
      <c r="N11" s="670"/>
      <c r="O11" s="213"/>
      <c r="P11" s="213"/>
      <c r="Q11" s="213"/>
      <c r="R11" s="213">
        <f t="shared" si="8"/>
        <v>0</v>
      </c>
      <c r="S11" s="213">
        <f t="shared" si="9"/>
        <v>0</v>
      </c>
      <c r="T11" s="219"/>
      <c r="U11" s="218"/>
      <c r="V11" s="220"/>
      <c r="W11" s="220"/>
      <c r="X11" s="237"/>
      <c r="Y11" s="287"/>
      <c r="Z11" s="284">
        <v>0</v>
      </c>
      <c r="AA11" s="284">
        <v>0</v>
      </c>
      <c r="AB11" s="222" t="s">
        <v>43</v>
      </c>
      <c r="AC11" s="726" t="s">
        <v>486</v>
      </c>
      <c r="AD11" s="719" t="s">
        <v>1169</v>
      </c>
      <c r="AE11" s="719" t="s">
        <v>885</v>
      </c>
      <c r="AF11" s="664"/>
    </row>
    <row r="12" spans="1:32" ht="94.9" customHeight="1" thickBot="1" x14ac:dyDescent="0.35">
      <c r="A12" s="191"/>
      <c r="B12" s="1075" t="s">
        <v>1181</v>
      </c>
      <c r="C12" s="1087" t="s">
        <v>1182</v>
      </c>
      <c r="D12" s="281" t="s">
        <v>716</v>
      </c>
      <c r="E12" s="286">
        <v>2.1299999999999999E-2</v>
      </c>
      <c r="F12" s="283">
        <v>1</v>
      </c>
      <c r="G12" s="213">
        <v>0</v>
      </c>
      <c r="H12" s="213">
        <v>0</v>
      </c>
      <c r="I12" s="218"/>
      <c r="J12" s="218"/>
      <c r="K12" s="218"/>
      <c r="L12" s="218">
        <f t="shared" si="7"/>
        <v>0</v>
      </c>
      <c r="M12" s="213"/>
      <c r="N12" s="670"/>
      <c r="O12" s="213"/>
      <c r="P12" s="213"/>
      <c r="Q12" s="213"/>
      <c r="R12" s="213">
        <f t="shared" si="8"/>
        <v>0</v>
      </c>
      <c r="S12" s="213">
        <f t="shared" si="9"/>
        <v>0</v>
      </c>
      <c r="T12" s="219"/>
      <c r="U12" s="218"/>
      <c r="V12" s="220"/>
      <c r="W12" s="220"/>
      <c r="X12" s="237"/>
      <c r="Y12" s="287"/>
      <c r="Z12" s="284">
        <v>0</v>
      </c>
      <c r="AA12" s="284">
        <v>0</v>
      </c>
      <c r="AB12" s="222" t="s">
        <v>43</v>
      </c>
      <c r="AC12" s="726" t="s">
        <v>486</v>
      </c>
      <c r="AD12" s="719" t="s">
        <v>1169</v>
      </c>
      <c r="AE12" s="719" t="s">
        <v>885</v>
      </c>
      <c r="AF12" s="664"/>
    </row>
    <row r="13" spans="1:32" ht="69.599999999999994" customHeight="1" thickBot="1" x14ac:dyDescent="0.35">
      <c r="A13" s="191"/>
      <c r="B13" s="1075" t="s">
        <v>1183</v>
      </c>
      <c r="C13" s="1087" t="s">
        <v>1184</v>
      </c>
      <c r="D13" s="281" t="s">
        <v>716</v>
      </c>
      <c r="E13" s="286">
        <v>2.1299999999999999E-2</v>
      </c>
      <c r="F13" s="283">
        <v>1</v>
      </c>
      <c r="G13" s="213">
        <v>0.2</v>
      </c>
      <c r="H13" s="213">
        <v>0.18</v>
      </c>
      <c r="I13" s="218">
        <f t="shared" si="0"/>
        <v>0.2</v>
      </c>
      <c r="J13" s="218">
        <f t="shared" si="5"/>
        <v>0.18</v>
      </c>
      <c r="K13" s="218">
        <f t="shared" si="6"/>
        <v>4.2599999999999999E-3</v>
      </c>
      <c r="L13" s="218">
        <f t="shared" si="7"/>
        <v>3.8339999999999997E-3</v>
      </c>
      <c r="M13" s="213">
        <v>0.1</v>
      </c>
      <c r="N13" s="730">
        <v>0.02</v>
      </c>
      <c r="O13" s="730">
        <v>2.33333333333333E-2</v>
      </c>
      <c r="P13" s="213"/>
      <c r="Q13" s="213"/>
      <c r="R13" s="249">
        <f t="shared" si="8"/>
        <v>4.33333333333333E-2</v>
      </c>
      <c r="S13" s="249">
        <f t="shared" si="9"/>
        <v>0.14333333333333331</v>
      </c>
      <c r="T13" s="218">
        <f t="shared" si="10"/>
        <v>0.5</v>
      </c>
      <c r="U13" s="218">
        <f t="shared" si="11"/>
        <v>0.24074074074074056</v>
      </c>
      <c r="V13" s="220">
        <f t="shared" si="12"/>
        <v>1.065E-2</v>
      </c>
      <c r="W13" s="220">
        <f t="shared" si="13"/>
        <v>5.1277777777777736E-3</v>
      </c>
      <c r="X13" s="237">
        <f t="shared" si="14"/>
        <v>0.1</v>
      </c>
      <c r="Y13" s="287">
        <f t="shared" si="15"/>
        <v>0.14333333333333331</v>
      </c>
      <c r="Z13" s="287">
        <f t="shared" si="16"/>
        <v>2.1299999999999999E-3</v>
      </c>
      <c r="AA13" s="287">
        <f t="shared" ref="AA13:AA21" si="17">+Y13*E13</f>
        <v>3.0529999999999993E-3</v>
      </c>
      <c r="AB13" s="222" t="s">
        <v>43</v>
      </c>
      <c r="AC13" s="726" t="s">
        <v>486</v>
      </c>
      <c r="AD13" s="719" t="s">
        <v>1169</v>
      </c>
      <c r="AE13" s="719" t="s">
        <v>885</v>
      </c>
      <c r="AF13" s="664"/>
    </row>
    <row r="14" spans="1:32" ht="66" customHeight="1" thickBot="1" x14ac:dyDescent="0.35">
      <c r="A14" s="191"/>
      <c r="B14" s="1075" t="s">
        <v>1185</v>
      </c>
      <c r="C14" s="1087" t="s">
        <v>1186</v>
      </c>
      <c r="D14" s="281" t="s">
        <v>716</v>
      </c>
      <c r="E14" s="286">
        <v>2.1399999999999999E-2</v>
      </c>
      <c r="F14" s="283">
        <v>2</v>
      </c>
      <c r="G14" s="213">
        <v>0.2</v>
      </c>
      <c r="H14" s="213">
        <v>0.4</v>
      </c>
      <c r="I14" s="218">
        <f t="shared" si="0"/>
        <v>0.1</v>
      </c>
      <c r="J14" s="218">
        <v>0.4</v>
      </c>
      <c r="K14" s="218">
        <f t="shared" si="6"/>
        <v>2.14E-3</v>
      </c>
      <c r="L14" s="218">
        <f t="shared" si="7"/>
        <v>4.28E-3</v>
      </c>
      <c r="M14" s="213">
        <v>0.2</v>
      </c>
      <c r="N14" s="730">
        <v>0.05</v>
      </c>
      <c r="O14" s="730">
        <v>0.06</v>
      </c>
      <c r="P14" s="213"/>
      <c r="Q14" s="213"/>
      <c r="R14" s="249">
        <f t="shared" si="8"/>
        <v>0.11</v>
      </c>
      <c r="S14" s="249">
        <f t="shared" si="9"/>
        <v>0.31</v>
      </c>
      <c r="T14" s="218">
        <f t="shared" si="10"/>
        <v>1</v>
      </c>
      <c r="U14" s="218">
        <f t="shared" si="11"/>
        <v>0.27499999999999997</v>
      </c>
      <c r="V14" s="220">
        <f t="shared" si="12"/>
        <v>2.1399999999999999E-2</v>
      </c>
      <c r="W14" s="220">
        <f t="shared" si="13"/>
        <v>5.8849999999999987E-3</v>
      </c>
      <c r="X14" s="237">
        <f t="shared" si="14"/>
        <v>0.1</v>
      </c>
      <c r="Y14" s="287">
        <f t="shared" si="15"/>
        <v>0.155</v>
      </c>
      <c r="Z14" s="287">
        <f t="shared" si="16"/>
        <v>2.14E-3</v>
      </c>
      <c r="AA14" s="287">
        <f t="shared" si="17"/>
        <v>3.3169999999999996E-3</v>
      </c>
      <c r="AB14" s="222" t="s">
        <v>43</v>
      </c>
      <c r="AC14" s="726" t="s">
        <v>486</v>
      </c>
      <c r="AD14" s="719" t="s">
        <v>1169</v>
      </c>
      <c r="AE14" s="719" t="s">
        <v>885</v>
      </c>
      <c r="AF14" s="664"/>
    </row>
    <row r="15" spans="1:32" ht="127.15" customHeight="1" thickBot="1" x14ac:dyDescent="0.35">
      <c r="A15" s="191"/>
      <c r="B15" s="1075" t="s">
        <v>1187</v>
      </c>
      <c r="C15" s="1087" t="s">
        <v>1188</v>
      </c>
      <c r="D15" s="281" t="s">
        <v>716</v>
      </c>
      <c r="E15" s="286">
        <v>2.1399999999999999E-2</v>
      </c>
      <c r="F15" s="283">
        <v>1</v>
      </c>
      <c r="G15" s="213">
        <v>0.2</v>
      </c>
      <c r="H15" s="213">
        <v>0</v>
      </c>
      <c r="I15" s="218">
        <f t="shared" si="0"/>
        <v>0.2</v>
      </c>
      <c r="J15" s="218"/>
      <c r="K15" s="218">
        <f t="shared" si="6"/>
        <v>4.28E-3</v>
      </c>
      <c r="L15" s="218">
        <f t="shared" si="7"/>
        <v>0</v>
      </c>
      <c r="M15" s="213">
        <v>0.2</v>
      </c>
      <c r="N15" s="670"/>
      <c r="O15" s="213"/>
      <c r="P15" s="213"/>
      <c r="Q15" s="213"/>
      <c r="R15" s="213">
        <f t="shared" si="8"/>
        <v>0</v>
      </c>
      <c r="S15" s="213">
        <f t="shared" si="9"/>
        <v>0.2</v>
      </c>
      <c r="T15" s="218">
        <f t="shared" si="10"/>
        <v>1</v>
      </c>
      <c r="U15" s="218"/>
      <c r="V15" s="220">
        <f t="shared" si="12"/>
        <v>2.1399999999999999E-2</v>
      </c>
      <c r="W15" s="220">
        <f t="shared" si="13"/>
        <v>0</v>
      </c>
      <c r="X15" s="237">
        <f t="shared" si="14"/>
        <v>0.2</v>
      </c>
      <c r="Y15" s="287">
        <f>+S15/F15</f>
        <v>0.2</v>
      </c>
      <c r="Z15" s="287">
        <f t="shared" si="16"/>
        <v>4.28E-3</v>
      </c>
      <c r="AA15" s="287">
        <f t="shared" si="17"/>
        <v>4.28E-3</v>
      </c>
      <c r="AB15" s="222" t="s">
        <v>43</v>
      </c>
      <c r="AC15" s="726" t="s">
        <v>486</v>
      </c>
      <c r="AD15" s="719" t="s">
        <v>1169</v>
      </c>
      <c r="AE15" s="719" t="s">
        <v>885</v>
      </c>
      <c r="AF15" s="664"/>
    </row>
    <row r="16" spans="1:32" ht="70.150000000000006" customHeight="1" thickBot="1" x14ac:dyDescent="0.35">
      <c r="A16" s="191"/>
      <c r="B16" s="1075" t="s">
        <v>1189</v>
      </c>
      <c r="C16" s="1087" t="s">
        <v>1190</v>
      </c>
      <c r="D16" s="281" t="s">
        <v>1191</v>
      </c>
      <c r="E16" s="286">
        <v>2.1399999999999999E-2</v>
      </c>
      <c r="F16" s="283">
        <v>1</v>
      </c>
      <c r="G16" s="213">
        <v>0.2</v>
      </c>
      <c r="H16" s="213">
        <v>0</v>
      </c>
      <c r="I16" s="218">
        <f t="shared" si="0"/>
        <v>0.2</v>
      </c>
      <c r="J16" s="218"/>
      <c r="K16" s="218">
        <f t="shared" si="6"/>
        <v>4.28E-3</v>
      </c>
      <c r="L16" s="218">
        <f t="shared" si="7"/>
        <v>0</v>
      </c>
      <c r="M16" s="213">
        <v>0.2</v>
      </c>
      <c r="N16" s="670"/>
      <c r="O16" s="213"/>
      <c r="P16" s="213"/>
      <c r="Q16" s="213"/>
      <c r="R16" s="213">
        <f t="shared" si="8"/>
        <v>0</v>
      </c>
      <c r="S16" s="213">
        <f t="shared" si="9"/>
        <v>0.2</v>
      </c>
      <c r="T16" s="218">
        <f t="shared" si="10"/>
        <v>1</v>
      </c>
      <c r="U16" s="218"/>
      <c r="V16" s="220">
        <f t="shared" si="12"/>
        <v>2.1399999999999999E-2</v>
      </c>
      <c r="W16" s="220">
        <f t="shared" si="13"/>
        <v>0</v>
      </c>
      <c r="X16" s="237">
        <f t="shared" si="14"/>
        <v>0.2</v>
      </c>
      <c r="Y16" s="287">
        <f t="shared" si="15"/>
        <v>0.2</v>
      </c>
      <c r="Z16" s="287">
        <f t="shared" si="16"/>
        <v>4.28E-3</v>
      </c>
      <c r="AA16" s="287">
        <f t="shared" si="17"/>
        <v>4.28E-3</v>
      </c>
      <c r="AB16" s="222" t="s">
        <v>43</v>
      </c>
      <c r="AC16" s="726" t="s">
        <v>486</v>
      </c>
      <c r="AD16" s="719" t="s">
        <v>1169</v>
      </c>
      <c r="AE16" s="719" t="s">
        <v>885</v>
      </c>
      <c r="AF16" s="664"/>
    </row>
    <row r="17" spans="1:32" ht="70.150000000000006" customHeight="1" thickBot="1" x14ac:dyDescent="0.35">
      <c r="A17" s="191"/>
      <c r="B17" s="1075" t="s">
        <v>1192</v>
      </c>
      <c r="C17" s="1087" t="s">
        <v>1193</v>
      </c>
      <c r="D17" s="281" t="s">
        <v>1191</v>
      </c>
      <c r="E17" s="286">
        <v>2.1399999999999999E-2</v>
      </c>
      <c r="F17" s="283">
        <v>1</v>
      </c>
      <c r="G17" s="213">
        <v>0.25</v>
      </c>
      <c r="H17" s="213">
        <v>0.25</v>
      </c>
      <c r="I17" s="218">
        <f t="shared" si="0"/>
        <v>0.25</v>
      </c>
      <c r="J17" s="218">
        <f t="shared" si="5"/>
        <v>0.25</v>
      </c>
      <c r="K17" s="218">
        <f t="shared" si="6"/>
        <v>5.3499999999999997E-3</v>
      </c>
      <c r="L17" s="218">
        <f t="shared" si="7"/>
        <v>5.3499999999999997E-3</v>
      </c>
      <c r="M17" s="213">
        <v>0.25</v>
      </c>
      <c r="N17" s="670">
        <v>6.25E-2</v>
      </c>
      <c r="O17" s="213">
        <v>6.25E-2</v>
      </c>
      <c r="P17" s="213"/>
      <c r="Q17" s="213"/>
      <c r="R17" s="213">
        <f t="shared" si="8"/>
        <v>0.125</v>
      </c>
      <c r="S17" s="213">
        <f t="shared" si="9"/>
        <v>0.375</v>
      </c>
      <c r="T17" s="218">
        <f t="shared" si="10"/>
        <v>1</v>
      </c>
      <c r="U17" s="237">
        <f t="shared" si="11"/>
        <v>0.5</v>
      </c>
      <c r="V17" s="220">
        <f t="shared" si="12"/>
        <v>2.1399999999999999E-2</v>
      </c>
      <c r="W17" s="220">
        <f t="shared" si="13"/>
        <v>1.0699999999999999E-2</v>
      </c>
      <c r="X17" s="237">
        <f>+M17/F17</f>
        <v>0.25</v>
      </c>
      <c r="Y17" s="287">
        <f t="shared" si="15"/>
        <v>0.375</v>
      </c>
      <c r="Z17" s="287">
        <f>+X17*E17</f>
        <v>5.3499999999999997E-3</v>
      </c>
      <c r="AA17" s="287">
        <f t="shared" si="17"/>
        <v>8.0249999999999991E-3</v>
      </c>
      <c r="AB17" s="222" t="s">
        <v>43</v>
      </c>
      <c r="AC17" s="726" t="s">
        <v>486</v>
      </c>
      <c r="AD17" s="719" t="s">
        <v>1169</v>
      </c>
      <c r="AE17" s="719" t="s">
        <v>885</v>
      </c>
      <c r="AF17" s="664"/>
    </row>
    <row r="18" spans="1:32" ht="55.15" customHeight="1" thickBot="1" x14ac:dyDescent="0.35">
      <c r="A18" s="191"/>
      <c r="B18" s="1075" t="s">
        <v>1194</v>
      </c>
      <c r="C18" s="1087" t="s">
        <v>1195</v>
      </c>
      <c r="D18" s="281" t="s">
        <v>1191</v>
      </c>
      <c r="E18" s="286">
        <v>2.1399999999999999E-2</v>
      </c>
      <c r="F18" s="283">
        <v>1</v>
      </c>
      <c r="G18" s="213">
        <v>0.11</v>
      </c>
      <c r="H18" s="213">
        <v>0.32</v>
      </c>
      <c r="I18" s="218">
        <f t="shared" si="0"/>
        <v>0.11</v>
      </c>
      <c r="J18" s="218">
        <f t="shared" si="5"/>
        <v>0.32</v>
      </c>
      <c r="K18" s="218">
        <f t="shared" si="6"/>
        <v>2.3539999999999998E-3</v>
      </c>
      <c r="L18" s="218">
        <f t="shared" si="7"/>
        <v>6.8479999999999999E-3</v>
      </c>
      <c r="M18" s="213">
        <v>0.11</v>
      </c>
      <c r="N18" s="670">
        <v>5.5E-2</v>
      </c>
      <c r="O18" s="213">
        <v>7.0699999999999999E-2</v>
      </c>
      <c r="P18" s="213"/>
      <c r="Q18" s="213"/>
      <c r="R18" s="213">
        <f t="shared" si="8"/>
        <v>0.12570000000000001</v>
      </c>
      <c r="S18" s="213">
        <f t="shared" si="9"/>
        <v>0.23570000000000002</v>
      </c>
      <c r="T18" s="218">
        <f t="shared" si="10"/>
        <v>1</v>
      </c>
      <c r="U18" s="237">
        <f t="shared" si="11"/>
        <v>0.39281250000000001</v>
      </c>
      <c r="V18" s="220">
        <f t="shared" si="12"/>
        <v>2.1399999999999999E-2</v>
      </c>
      <c r="W18" s="220">
        <f t="shared" si="13"/>
        <v>8.4061875000000005E-3</v>
      </c>
      <c r="X18" s="237">
        <f t="shared" si="14"/>
        <v>0.11</v>
      </c>
      <c r="Y18" s="287">
        <f t="shared" si="15"/>
        <v>0.23570000000000002</v>
      </c>
      <c r="Z18" s="287">
        <f>+X18*E18</f>
        <v>2.3539999999999998E-3</v>
      </c>
      <c r="AA18" s="287">
        <f t="shared" si="17"/>
        <v>5.04398E-3</v>
      </c>
      <c r="AB18" s="222" t="s">
        <v>43</v>
      </c>
      <c r="AC18" s="726" t="s">
        <v>486</v>
      </c>
      <c r="AD18" s="719" t="s">
        <v>1169</v>
      </c>
      <c r="AE18" s="719" t="s">
        <v>885</v>
      </c>
      <c r="AF18" s="664"/>
    </row>
    <row r="19" spans="1:32" ht="120.6" customHeight="1" thickBot="1" x14ac:dyDescent="0.35">
      <c r="A19" s="191"/>
      <c r="B19" s="1075" t="s">
        <v>1196</v>
      </c>
      <c r="C19" s="1087" t="s">
        <v>1197</v>
      </c>
      <c r="D19" s="281" t="s">
        <v>1191</v>
      </c>
      <c r="E19" s="286">
        <v>2.1399999999999999E-2</v>
      </c>
      <c r="F19" s="283">
        <v>10</v>
      </c>
      <c r="G19" s="213">
        <v>0</v>
      </c>
      <c r="H19" s="213">
        <v>0</v>
      </c>
      <c r="I19" s="218"/>
      <c r="J19" s="218"/>
      <c r="K19" s="218"/>
      <c r="L19" s="218">
        <f t="shared" si="7"/>
        <v>0</v>
      </c>
      <c r="M19" s="213"/>
      <c r="N19" s="670"/>
      <c r="O19" s="213"/>
      <c r="P19" s="213"/>
      <c r="Q19" s="213"/>
      <c r="R19" s="213">
        <f t="shared" si="8"/>
        <v>0</v>
      </c>
      <c r="S19" s="213">
        <f t="shared" si="9"/>
        <v>0</v>
      </c>
      <c r="T19" s="219"/>
      <c r="U19" s="237"/>
      <c r="V19" s="220"/>
      <c r="W19" s="220"/>
      <c r="X19" s="237"/>
      <c r="Y19" s="287"/>
      <c r="Z19" s="287">
        <v>0</v>
      </c>
      <c r="AA19" s="287">
        <f t="shared" si="17"/>
        <v>0</v>
      </c>
      <c r="AB19" s="222" t="s">
        <v>43</v>
      </c>
      <c r="AC19" s="726" t="s">
        <v>486</v>
      </c>
      <c r="AD19" s="719" t="s">
        <v>1169</v>
      </c>
      <c r="AE19" s="719" t="s">
        <v>885</v>
      </c>
      <c r="AF19" s="664"/>
    </row>
    <row r="20" spans="1:32" ht="102" customHeight="1" thickBot="1" x14ac:dyDescent="0.35">
      <c r="A20" s="191"/>
      <c r="B20" s="1075" t="s">
        <v>1198</v>
      </c>
      <c r="C20" s="1087" t="s">
        <v>1199</v>
      </c>
      <c r="D20" s="281" t="s">
        <v>716</v>
      </c>
      <c r="E20" s="286">
        <v>2.1399999999999999E-2</v>
      </c>
      <c r="F20" s="283">
        <v>4</v>
      </c>
      <c r="G20" s="213">
        <v>0</v>
      </c>
      <c r="H20" s="213">
        <v>1</v>
      </c>
      <c r="I20" s="218"/>
      <c r="J20" s="218">
        <f t="shared" si="5"/>
        <v>0.25</v>
      </c>
      <c r="K20" s="218"/>
      <c r="L20" s="218">
        <f t="shared" si="7"/>
        <v>5.3499999999999997E-3</v>
      </c>
      <c r="M20" s="213"/>
      <c r="N20" s="670">
        <v>0</v>
      </c>
      <c r="O20" s="213">
        <v>0.2</v>
      </c>
      <c r="P20" s="213"/>
      <c r="Q20" s="213"/>
      <c r="R20" s="213">
        <f t="shared" si="8"/>
        <v>0.2</v>
      </c>
      <c r="S20" s="213">
        <f t="shared" si="9"/>
        <v>0.2</v>
      </c>
      <c r="T20" s="219"/>
      <c r="U20" s="237">
        <f t="shared" si="11"/>
        <v>0.2</v>
      </c>
      <c r="V20" s="220"/>
      <c r="W20" s="220"/>
      <c r="X20" s="237"/>
      <c r="Y20" s="287">
        <f>+S20/F20</f>
        <v>0.05</v>
      </c>
      <c r="Z20" s="287">
        <f>+X20*E20</f>
        <v>0</v>
      </c>
      <c r="AA20" s="287">
        <f t="shared" si="17"/>
        <v>1.07E-3</v>
      </c>
      <c r="AB20" s="222" t="s">
        <v>43</v>
      </c>
      <c r="AC20" s="726" t="s">
        <v>486</v>
      </c>
      <c r="AD20" s="719" t="s">
        <v>1169</v>
      </c>
      <c r="AE20" s="719" t="s">
        <v>885</v>
      </c>
      <c r="AF20" s="664"/>
    </row>
    <row r="21" spans="1:32" ht="87.6" customHeight="1" thickBot="1" x14ac:dyDescent="0.35">
      <c r="A21" s="191"/>
      <c r="B21" s="1075" t="s">
        <v>1200</v>
      </c>
      <c r="C21" s="1087" t="s">
        <v>1201</v>
      </c>
      <c r="D21" s="281" t="s">
        <v>716</v>
      </c>
      <c r="E21" s="286">
        <v>2.1399999999999999E-2</v>
      </c>
      <c r="F21" s="283">
        <v>1</v>
      </c>
      <c r="G21" s="213">
        <v>0</v>
      </c>
      <c r="H21" s="213">
        <v>0</v>
      </c>
      <c r="I21" s="218">
        <v>0</v>
      </c>
      <c r="J21" s="218">
        <f t="shared" si="5"/>
        <v>0</v>
      </c>
      <c r="K21" s="218"/>
      <c r="L21" s="218">
        <f t="shared" si="7"/>
        <v>0</v>
      </c>
      <c r="M21" s="213"/>
      <c r="N21" s="670">
        <v>0</v>
      </c>
      <c r="O21" s="213"/>
      <c r="P21" s="213"/>
      <c r="Q21" s="213"/>
      <c r="R21" s="213">
        <f t="shared" si="8"/>
        <v>0</v>
      </c>
      <c r="S21" s="213">
        <f t="shared" si="9"/>
        <v>0</v>
      </c>
      <c r="T21" s="219"/>
      <c r="U21" s="237"/>
      <c r="V21" s="220"/>
      <c r="W21" s="220">
        <f t="shared" si="13"/>
        <v>0</v>
      </c>
      <c r="X21" s="237"/>
      <c r="Y21" s="287"/>
      <c r="Z21" s="287">
        <v>0</v>
      </c>
      <c r="AA21" s="287">
        <f t="shared" si="17"/>
        <v>0</v>
      </c>
      <c r="AB21" s="222" t="s">
        <v>43</v>
      </c>
      <c r="AC21" s="752" t="s">
        <v>127</v>
      </c>
      <c r="AD21" s="752" t="s">
        <v>1202</v>
      </c>
      <c r="AE21" s="719" t="s">
        <v>885</v>
      </c>
      <c r="AF21" s="664"/>
    </row>
    <row r="22" spans="1:32" ht="57" customHeight="1" thickBot="1" x14ac:dyDescent="0.35">
      <c r="A22" s="191"/>
      <c r="B22" s="1317" t="s">
        <v>1203</v>
      </c>
      <c r="C22" s="1327"/>
      <c r="D22" s="288"/>
      <c r="E22" s="289">
        <v>0.3</v>
      </c>
      <c r="F22" s="290"/>
      <c r="G22" s="206"/>
      <c r="H22" s="206"/>
      <c r="I22" s="212">
        <f>+AVERAGE(I23:I25)</f>
        <v>0.13108108108108107</v>
      </c>
      <c r="J22" s="212">
        <f>+AVERAGE(J23:J25)</f>
        <v>0.30221130221130221</v>
      </c>
      <c r="K22" s="212">
        <f>+K23+K24+K25</f>
        <v>8.4864864864864872E-2</v>
      </c>
      <c r="L22" s="212">
        <f>+L23+L24+L25</f>
        <v>0.30265356265356269</v>
      </c>
      <c r="M22" s="211"/>
      <c r="N22" s="211"/>
      <c r="O22" s="211"/>
      <c r="P22" s="211"/>
      <c r="Q22" s="211"/>
      <c r="R22" s="211"/>
      <c r="S22" s="211"/>
      <c r="T22" s="235">
        <f>+AVERAGE(T23:T25)</f>
        <v>1</v>
      </c>
      <c r="U22" s="235">
        <f>+AVERAGE(U23:U25)</f>
        <v>0.63888888888888884</v>
      </c>
      <c r="V22" s="235">
        <f>+(V23+V24+V25)*E22</f>
        <v>0.18000000000000002</v>
      </c>
      <c r="W22" s="235">
        <f>+(W23+W24+W25)*E22</f>
        <v>0.17500000000000002</v>
      </c>
      <c r="X22" s="212">
        <f>+AVERAGE(X23:X25)</f>
        <v>0.24398286486486487</v>
      </c>
      <c r="Y22" s="212">
        <f>+(Y23*0.33)+(Y24*0.33)+(Y25*0.33)</f>
        <v>0.38227342702702705</v>
      </c>
      <c r="Z22" s="278">
        <f>+(Z23+Z24+Z25)*E22</f>
        <v>5.1055887567567564E-2</v>
      </c>
      <c r="AA22" s="278">
        <f>+(AA23+AA24+AA25)</f>
        <v>0.38336172972972976</v>
      </c>
      <c r="AB22" s="279"/>
      <c r="AC22" s="664"/>
      <c r="AD22" s="664"/>
      <c r="AE22" s="664"/>
      <c r="AF22" s="664"/>
    </row>
    <row r="23" spans="1:32" ht="102.6" customHeight="1" thickBot="1" x14ac:dyDescent="0.35">
      <c r="A23" s="191"/>
      <c r="B23" s="1075" t="s">
        <v>1204</v>
      </c>
      <c r="C23" s="1087" t="s">
        <v>1205</v>
      </c>
      <c r="D23" s="288" t="s">
        <v>1206</v>
      </c>
      <c r="E23" s="285">
        <v>0.4</v>
      </c>
      <c r="F23" s="283">
        <v>185000</v>
      </c>
      <c r="G23" s="213">
        <v>30000</v>
      </c>
      <c r="H23" s="213">
        <v>50000</v>
      </c>
      <c r="I23" s="218">
        <f>+G23/F23</f>
        <v>0.16216216216216217</v>
      </c>
      <c r="J23" s="218">
        <f t="shared" si="5"/>
        <v>0.27027027027027029</v>
      </c>
      <c r="K23" s="218">
        <f>+(G23/F23)*E23</f>
        <v>6.4864864864864868E-2</v>
      </c>
      <c r="L23" s="218">
        <f t="shared" si="7"/>
        <v>0.10810810810810811</v>
      </c>
      <c r="M23" s="213">
        <v>67148.66</v>
      </c>
      <c r="N23" s="670">
        <v>14768.91</v>
      </c>
      <c r="O23" s="670">
        <v>58387.23</v>
      </c>
      <c r="P23" s="213"/>
      <c r="Q23" s="213"/>
      <c r="R23" s="213">
        <f t="shared" ref="R23:R25" si="18">+N23+O23+P23+Q23</f>
        <v>73156.14</v>
      </c>
      <c r="S23" s="213">
        <f t="shared" ref="S23:S25" si="19">+R23+M23</f>
        <v>140304.79999999999</v>
      </c>
      <c r="T23" s="218">
        <v>1</v>
      </c>
      <c r="U23" s="218">
        <v>1</v>
      </c>
      <c r="V23" s="218">
        <f>+T23*E23</f>
        <v>0.4</v>
      </c>
      <c r="W23" s="218">
        <f t="shared" si="13"/>
        <v>0.4</v>
      </c>
      <c r="X23" s="220">
        <f>+M23/F23</f>
        <v>0.36296572972972974</v>
      </c>
      <c r="Y23" s="316">
        <f t="shared" si="15"/>
        <v>0.75840432432432425</v>
      </c>
      <c r="Z23" s="287">
        <f>+X23*E23</f>
        <v>0.14518629189189189</v>
      </c>
      <c r="AA23" s="287">
        <f>+Y23*E23</f>
        <v>0.30336172972972975</v>
      </c>
      <c r="AB23" s="222" t="s">
        <v>43</v>
      </c>
      <c r="AC23" s="719" t="s">
        <v>44</v>
      </c>
      <c r="AD23" s="719" t="s">
        <v>1169</v>
      </c>
      <c r="AE23" s="719" t="s">
        <v>885</v>
      </c>
      <c r="AF23" s="664"/>
    </row>
    <row r="24" spans="1:32" ht="78" customHeight="1" thickBot="1" x14ac:dyDescent="0.35">
      <c r="A24" s="191"/>
      <c r="B24" s="1075" t="s">
        <v>1207</v>
      </c>
      <c r="C24" s="1087" t="s">
        <v>1208</v>
      </c>
      <c r="D24" s="288" t="s">
        <v>1206</v>
      </c>
      <c r="E24" s="285">
        <v>0.4</v>
      </c>
      <c r="F24" s="283">
        <v>11000</v>
      </c>
      <c r="G24" s="213">
        <v>0</v>
      </c>
      <c r="H24" s="213">
        <v>3700</v>
      </c>
      <c r="I24" s="218"/>
      <c r="J24" s="218">
        <f t="shared" si="5"/>
        <v>0.33636363636363636</v>
      </c>
      <c r="K24" s="218"/>
      <c r="L24" s="218">
        <f t="shared" si="7"/>
        <v>0.13454545454545455</v>
      </c>
      <c r="M24" s="213"/>
      <c r="N24" s="670">
        <v>0</v>
      </c>
      <c r="O24" s="670">
        <v>0</v>
      </c>
      <c r="P24" s="213"/>
      <c r="Q24" s="213"/>
      <c r="R24" s="213">
        <f t="shared" si="18"/>
        <v>0</v>
      </c>
      <c r="S24" s="213">
        <f t="shared" si="19"/>
        <v>0</v>
      </c>
      <c r="T24" s="218"/>
      <c r="U24" s="218">
        <f t="shared" si="11"/>
        <v>0</v>
      </c>
      <c r="V24" s="218"/>
      <c r="W24" s="218">
        <f t="shared" si="13"/>
        <v>0</v>
      </c>
      <c r="X24" s="218"/>
      <c r="Y24" s="316">
        <f>+S24/F24</f>
        <v>0</v>
      </c>
      <c r="Z24" s="284"/>
      <c r="AA24" s="284"/>
      <c r="AB24" s="222" t="s">
        <v>43</v>
      </c>
      <c r="AC24" s="752" t="s">
        <v>127</v>
      </c>
      <c r="AD24" s="719" t="s">
        <v>1169</v>
      </c>
      <c r="AE24" s="719" t="s">
        <v>885</v>
      </c>
      <c r="AF24" s="664"/>
    </row>
    <row r="25" spans="1:32" ht="88.9" customHeight="1" thickBot="1" x14ac:dyDescent="0.35">
      <c r="A25" s="191"/>
      <c r="B25" s="1075" t="s">
        <v>1209</v>
      </c>
      <c r="C25" s="1087" t="s">
        <v>1210</v>
      </c>
      <c r="D25" s="288" t="s">
        <v>1206</v>
      </c>
      <c r="E25" s="285">
        <v>0.2</v>
      </c>
      <c r="F25" s="283">
        <v>200</v>
      </c>
      <c r="G25" s="213">
        <v>20</v>
      </c>
      <c r="H25" s="213">
        <v>60</v>
      </c>
      <c r="I25" s="218">
        <f>+G25/F25</f>
        <v>0.1</v>
      </c>
      <c r="J25" s="218">
        <f t="shared" si="5"/>
        <v>0.3</v>
      </c>
      <c r="K25" s="218">
        <f>+(G25/F25)*E25</f>
        <v>2.0000000000000004E-2</v>
      </c>
      <c r="L25" s="218">
        <f t="shared" si="7"/>
        <v>0.06</v>
      </c>
      <c r="M25" s="213">
        <v>25</v>
      </c>
      <c r="N25" s="670">
        <v>0</v>
      </c>
      <c r="O25" s="670">
        <v>55</v>
      </c>
      <c r="P25" s="213"/>
      <c r="Q25" s="213"/>
      <c r="R25" s="213">
        <f t="shared" si="18"/>
        <v>55</v>
      </c>
      <c r="S25" s="213">
        <f t="shared" si="19"/>
        <v>80</v>
      </c>
      <c r="T25" s="218">
        <v>1</v>
      </c>
      <c r="U25" s="218">
        <f t="shared" si="11"/>
        <v>0.91666666666666663</v>
      </c>
      <c r="V25" s="218">
        <f>+T25*E25</f>
        <v>0.2</v>
      </c>
      <c r="W25" s="218">
        <f t="shared" si="13"/>
        <v>0.18333333333333335</v>
      </c>
      <c r="X25" s="218">
        <f>+M25/F25</f>
        <v>0.125</v>
      </c>
      <c r="Y25" s="284">
        <f t="shared" si="15"/>
        <v>0.4</v>
      </c>
      <c r="Z25" s="287">
        <f>+X25*E25</f>
        <v>2.5000000000000001E-2</v>
      </c>
      <c r="AA25" s="287">
        <f>+Y25*E25</f>
        <v>8.0000000000000016E-2</v>
      </c>
      <c r="AB25" s="222" t="s">
        <v>43</v>
      </c>
      <c r="AC25" s="719" t="s">
        <v>44</v>
      </c>
      <c r="AD25" s="719" t="s">
        <v>1169</v>
      </c>
      <c r="AE25" s="719" t="s">
        <v>885</v>
      </c>
      <c r="AF25" s="664"/>
    </row>
    <row r="26" spans="1:32" ht="62.25" customHeight="1" thickBot="1" x14ac:dyDescent="0.35">
      <c r="A26" s="191"/>
      <c r="B26" s="1321" t="s">
        <v>1211</v>
      </c>
      <c r="C26" s="1327"/>
      <c r="D26" s="288"/>
      <c r="E26" s="291">
        <v>0.05</v>
      </c>
      <c r="F26" s="201">
        <f>+E26*V26</f>
        <v>3.4375000000000003E-2</v>
      </c>
      <c r="G26" s="206"/>
      <c r="H26" s="202">
        <f>+E26*W26</f>
        <v>7.6720052083333358E-3</v>
      </c>
      <c r="I26" s="204">
        <f>+(I27+I33)/2</f>
        <v>0.15714285714285714</v>
      </c>
      <c r="J26" s="204">
        <f>+(J27+J33)/2</f>
        <v>0.12238095238095237</v>
      </c>
      <c r="K26" s="205">
        <f>+(K27+K33)/2</f>
        <v>0.24285714285714285</v>
      </c>
      <c r="L26" s="205">
        <f>+(L27+L33)/2</f>
        <v>0.20867857142857144</v>
      </c>
      <c r="M26" s="206"/>
      <c r="N26" s="206"/>
      <c r="O26" s="206"/>
      <c r="P26" s="206"/>
      <c r="Q26" s="206"/>
      <c r="R26" s="206"/>
      <c r="S26" s="206"/>
      <c r="T26" s="204">
        <f>+(T27+T33)/2</f>
        <v>1</v>
      </c>
      <c r="U26" s="204">
        <f>+(U27+U33)/2</f>
        <v>0.49074218749999998</v>
      </c>
      <c r="V26" s="205">
        <f>+V27+V33</f>
        <v>0.6875</v>
      </c>
      <c r="W26" s="205">
        <f>+W27+W33</f>
        <v>0.1534401041666667</v>
      </c>
      <c r="X26" s="204">
        <f>(X27+X33)/2</f>
        <v>0.16672619047619047</v>
      </c>
      <c r="Y26" s="204">
        <f>(Y27+Y33)/2</f>
        <v>0.25995803571428572</v>
      </c>
      <c r="Z26" s="275">
        <f>+Z27+Z33</f>
        <v>0.31105357142857143</v>
      </c>
      <c r="AA26" s="275">
        <f>+AA27*E27+AA33*E33</f>
        <v>0.37064732142857143</v>
      </c>
      <c r="AB26" s="276"/>
      <c r="AC26" s="664"/>
      <c r="AD26" s="664"/>
      <c r="AE26" s="664"/>
      <c r="AF26" s="664"/>
    </row>
    <row r="27" spans="1:32" ht="86.25" customHeight="1" thickBot="1" x14ac:dyDescent="0.35">
      <c r="A27" s="191"/>
      <c r="B27" s="1317" t="s">
        <v>1212</v>
      </c>
      <c r="C27" s="1327"/>
      <c r="D27" s="288"/>
      <c r="E27" s="289">
        <v>0.75</v>
      </c>
      <c r="F27" s="283"/>
      <c r="G27" s="206"/>
      <c r="H27" s="206"/>
      <c r="I27" s="212">
        <f>+AVERAGE(I28:I32)*0.2</f>
        <v>0.1</v>
      </c>
      <c r="J27" s="212">
        <f>+AVERAGE(J28:J32)*0.2</f>
        <v>6.9999999999999993E-2</v>
      </c>
      <c r="K27" s="212">
        <f>+K28+K29+K30+K31+K32</f>
        <v>0.375</v>
      </c>
      <c r="L27" s="212">
        <f>+L28+L29+L30+L31+L32</f>
        <v>0.28749999999999998</v>
      </c>
      <c r="M27" s="211"/>
      <c r="N27" s="211"/>
      <c r="O27" s="211"/>
      <c r="P27" s="211"/>
      <c r="Q27" s="211"/>
      <c r="R27" s="211"/>
      <c r="S27" s="211"/>
      <c r="T27" s="235">
        <f>+AVERAGE(T28:T32)</f>
        <v>1</v>
      </c>
      <c r="U27" s="235">
        <f>+AVERAGE(U28:U32)</f>
        <v>0.42499999999999999</v>
      </c>
      <c r="V27" s="235">
        <f>+(V28+V29+V30+V31+V32)*E27</f>
        <v>0.5625</v>
      </c>
      <c r="W27" s="235">
        <f>+(W28+W29+W30+W31+W32)*E27</f>
        <v>8.2500000000000018E-2</v>
      </c>
      <c r="X27" s="212">
        <f>+AVERAGE(X28:X32)*0.2</f>
        <v>0.1</v>
      </c>
      <c r="Y27" s="212">
        <f>+AVERAGE(Y28:Y32)</f>
        <v>0.27</v>
      </c>
      <c r="Z27" s="278">
        <f>+(Z28+Z29+Z30+Z31+Z32)*E27</f>
        <v>0.28125</v>
      </c>
      <c r="AA27" s="278">
        <f>+(AA28+AA29+AA30+AA31+AA32)</f>
        <v>0.43</v>
      </c>
      <c r="AB27" s="279"/>
      <c r="AC27" s="664"/>
      <c r="AD27" s="664"/>
      <c r="AE27" s="664"/>
      <c r="AF27" s="664"/>
    </row>
    <row r="28" spans="1:32" ht="94.9" customHeight="1" thickBot="1" x14ac:dyDescent="0.35">
      <c r="A28" s="191"/>
      <c r="B28" s="1075" t="s">
        <v>1213</v>
      </c>
      <c r="C28" s="1087" t="s">
        <v>1214</v>
      </c>
      <c r="D28" s="281" t="s">
        <v>716</v>
      </c>
      <c r="E28" s="285">
        <v>0.1</v>
      </c>
      <c r="F28" s="283">
        <v>1</v>
      </c>
      <c r="G28" s="213">
        <v>0</v>
      </c>
      <c r="H28" s="213">
        <v>0.5</v>
      </c>
      <c r="I28" s="218"/>
      <c r="J28" s="218">
        <f t="shared" ref="J28:J32" si="20">+H28/F28</f>
        <v>0.5</v>
      </c>
      <c r="K28" s="218"/>
      <c r="L28" s="218">
        <f t="shared" ref="L28:L32" si="21">+(H28/F28)*E28</f>
        <v>0.05</v>
      </c>
      <c r="M28" s="213"/>
      <c r="N28" s="670">
        <v>0</v>
      </c>
      <c r="O28" s="670">
        <v>0.25</v>
      </c>
      <c r="P28" s="213"/>
      <c r="Q28" s="213"/>
      <c r="R28" s="213">
        <f t="shared" ref="R28:R32" si="22">+N28+O28+P28+Q28</f>
        <v>0.25</v>
      </c>
      <c r="S28" s="213">
        <f t="shared" ref="S28:S32" si="23">+R28+M28</f>
        <v>0.25</v>
      </c>
      <c r="T28" s="218"/>
      <c r="U28" s="237">
        <f t="shared" ref="U28:U36" si="24">+R28/H28</f>
        <v>0.5</v>
      </c>
      <c r="V28" s="218"/>
      <c r="W28" s="218">
        <f t="shared" ref="W28:W36" si="25">+U28*E28</f>
        <v>0.05</v>
      </c>
      <c r="X28" s="237"/>
      <c r="Y28" s="287">
        <f t="shared" ref="Y28:Y30" si="26">+S28/F28</f>
        <v>0.25</v>
      </c>
      <c r="Z28" s="287">
        <v>0</v>
      </c>
      <c r="AA28" s="287">
        <f t="shared" ref="AA28:AA32" si="27">+Y28*E28</f>
        <v>2.5000000000000001E-2</v>
      </c>
      <c r="AB28" s="222" t="s">
        <v>43</v>
      </c>
      <c r="AC28" s="752" t="s">
        <v>127</v>
      </c>
      <c r="AD28" s="752" t="s">
        <v>1215</v>
      </c>
      <c r="AE28" s="719" t="s">
        <v>885</v>
      </c>
      <c r="AF28" s="664"/>
    </row>
    <row r="29" spans="1:32" ht="105.6" customHeight="1" thickBot="1" x14ac:dyDescent="0.35">
      <c r="A29" s="191"/>
      <c r="B29" s="1075" t="s">
        <v>1216</v>
      </c>
      <c r="C29" s="1087" t="s">
        <v>1217</v>
      </c>
      <c r="D29" s="281" t="s">
        <v>716</v>
      </c>
      <c r="E29" s="285">
        <v>0.05</v>
      </c>
      <c r="F29" s="283">
        <v>2</v>
      </c>
      <c r="G29" s="213">
        <v>0</v>
      </c>
      <c r="H29" s="213">
        <v>1</v>
      </c>
      <c r="I29" s="218"/>
      <c r="J29" s="218">
        <f t="shared" si="20"/>
        <v>0.5</v>
      </c>
      <c r="K29" s="218"/>
      <c r="L29" s="218">
        <f t="shared" si="21"/>
        <v>2.5000000000000001E-2</v>
      </c>
      <c r="M29" s="213"/>
      <c r="N29" s="670">
        <v>0</v>
      </c>
      <c r="O29" s="670">
        <v>1</v>
      </c>
      <c r="P29" s="213"/>
      <c r="Q29" s="213"/>
      <c r="R29" s="213">
        <f t="shared" si="22"/>
        <v>1</v>
      </c>
      <c r="S29" s="213">
        <f t="shared" si="23"/>
        <v>1</v>
      </c>
      <c r="T29" s="218"/>
      <c r="U29" s="237">
        <f t="shared" si="24"/>
        <v>1</v>
      </c>
      <c r="V29" s="218"/>
      <c r="W29" s="218">
        <f t="shared" si="25"/>
        <v>0.05</v>
      </c>
      <c r="X29" s="237"/>
      <c r="Y29" s="287">
        <f t="shared" si="26"/>
        <v>0.5</v>
      </c>
      <c r="Z29" s="287">
        <v>0</v>
      </c>
      <c r="AA29" s="287">
        <f t="shared" si="27"/>
        <v>2.5000000000000001E-2</v>
      </c>
      <c r="AB29" s="222" t="s">
        <v>43</v>
      </c>
      <c r="AC29" s="752" t="s">
        <v>127</v>
      </c>
      <c r="AD29" s="752" t="s">
        <v>1218</v>
      </c>
      <c r="AE29" s="719" t="s">
        <v>885</v>
      </c>
      <c r="AF29" s="664"/>
    </row>
    <row r="30" spans="1:32" ht="81.599999999999994" customHeight="1" thickBot="1" x14ac:dyDescent="0.35">
      <c r="A30" s="191"/>
      <c r="B30" s="1075" t="s">
        <v>1219</v>
      </c>
      <c r="C30" s="1087" t="s">
        <v>1220</v>
      </c>
      <c r="D30" s="281" t="s">
        <v>716</v>
      </c>
      <c r="E30" s="285">
        <v>0.05</v>
      </c>
      <c r="F30" s="283">
        <v>1</v>
      </c>
      <c r="G30" s="213">
        <v>0</v>
      </c>
      <c r="H30" s="213">
        <v>0.5</v>
      </c>
      <c r="I30" s="218"/>
      <c r="J30" s="218">
        <f t="shared" si="20"/>
        <v>0.5</v>
      </c>
      <c r="K30" s="218"/>
      <c r="L30" s="218">
        <f t="shared" si="21"/>
        <v>2.5000000000000001E-2</v>
      </c>
      <c r="M30" s="213"/>
      <c r="N30" s="670">
        <v>0</v>
      </c>
      <c r="O30" s="670">
        <v>0.1</v>
      </c>
      <c r="P30" s="213"/>
      <c r="Q30" s="213"/>
      <c r="R30" s="213">
        <f t="shared" si="22"/>
        <v>0.1</v>
      </c>
      <c r="S30" s="213">
        <f t="shared" si="23"/>
        <v>0.1</v>
      </c>
      <c r="T30" s="218"/>
      <c r="U30" s="237">
        <f t="shared" si="24"/>
        <v>0.2</v>
      </c>
      <c r="V30" s="218"/>
      <c r="W30" s="218">
        <f t="shared" si="25"/>
        <v>1.0000000000000002E-2</v>
      </c>
      <c r="X30" s="237"/>
      <c r="Y30" s="287">
        <f t="shared" si="26"/>
        <v>0.1</v>
      </c>
      <c r="Z30" s="287">
        <v>0</v>
      </c>
      <c r="AA30" s="287">
        <f t="shared" si="27"/>
        <v>5.000000000000001E-3</v>
      </c>
      <c r="AB30" s="222" t="s">
        <v>43</v>
      </c>
      <c r="AC30" s="752" t="s">
        <v>127</v>
      </c>
      <c r="AD30" s="752" t="s">
        <v>1221</v>
      </c>
      <c r="AE30" s="719" t="s">
        <v>885</v>
      </c>
      <c r="AF30" s="664"/>
    </row>
    <row r="31" spans="1:32" ht="92.45" customHeight="1" thickBot="1" x14ac:dyDescent="0.35">
      <c r="A31" s="191"/>
      <c r="B31" s="1075" t="s">
        <v>1222</v>
      </c>
      <c r="C31" s="1087" t="s">
        <v>1223</v>
      </c>
      <c r="D31" s="281" t="s">
        <v>1224</v>
      </c>
      <c r="E31" s="285">
        <v>0.75</v>
      </c>
      <c r="F31" s="283">
        <v>8</v>
      </c>
      <c r="G31" s="213">
        <v>4</v>
      </c>
      <c r="H31" s="213">
        <v>2</v>
      </c>
      <c r="I31" s="218">
        <f>+G31/F31</f>
        <v>0.5</v>
      </c>
      <c r="J31" s="218">
        <f t="shared" si="20"/>
        <v>0.25</v>
      </c>
      <c r="K31" s="218">
        <f>+(G31/F31)*E31</f>
        <v>0.375</v>
      </c>
      <c r="L31" s="218">
        <f t="shared" si="21"/>
        <v>0.1875</v>
      </c>
      <c r="M31" s="213">
        <v>4</v>
      </c>
      <c r="N31" s="670">
        <v>0</v>
      </c>
      <c r="O31" s="670">
        <v>0</v>
      </c>
      <c r="P31" s="213"/>
      <c r="Q31" s="213"/>
      <c r="R31" s="213">
        <f t="shared" si="22"/>
        <v>0</v>
      </c>
      <c r="S31" s="213">
        <f t="shared" si="23"/>
        <v>4</v>
      </c>
      <c r="T31" s="218">
        <v>1</v>
      </c>
      <c r="U31" s="218">
        <f t="shared" si="24"/>
        <v>0</v>
      </c>
      <c r="V31" s="218">
        <f>+T31*E31</f>
        <v>0.75</v>
      </c>
      <c r="W31" s="218">
        <f t="shared" si="25"/>
        <v>0</v>
      </c>
      <c r="X31" s="218">
        <f>+M31/F31</f>
        <v>0.5</v>
      </c>
      <c r="Y31" s="284">
        <f t="shared" ref="Y31:Y34" si="28">+S31/F31</f>
        <v>0.5</v>
      </c>
      <c r="Z31" s="284">
        <f>+X31*E31</f>
        <v>0.375</v>
      </c>
      <c r="AA31" s="284">
        <f t="shared" si="27"/>
        <v>0.375</v>
      </c>
      <c r="AB31" s="222" t="s">
        <v>43</v>
      </c>
      <c r="AC31" s="719" t="s">
        <v>44</v>
      </c>
      <c r="AD31" s="719" t="s">
        <v>1169</v>
      </c>
      <c r="AE31" s="719" t="s">
        <v>885</v>
      </c>
      <c r="AF31" s="664"/>
    </row>
    <row r="32" spans="1:32" ht="97.9" customHeight="1" thickBot="1" x14ac:dyDescent="0.35">
      <c r="A32" s="191"/>
      <c r="B32" s="1137" t="s">
        <v>1225</v>
      </c>
      <c r="C32" s="1138" t="s">
        <v>1226</v>
      </c>
      <c r="D32" s="281" t="s">
        <v>716</v>
      </c>
      <c r="E32" s="285">
        <v>0.05</v>
      </c>
      <c r="F32" s="283">
        <v>1</v>
      </c>
      <c r="G32" s="213">
        <v>0</v>
      </c>
      <c r="H32" s="213">
        <v>0</v>
      </c>
      <c r="I32" s="218"/>
      <c r="J32" s="218">
        <f t="shared" si="20"/>
        <v>0</v>
      </c>
      <c r="K32" s="218"/>
      <c r="L32" s="218">
        <f t="shared" si="21"/>
        <v>0</v>
      </c>
      <c r="M32" s="213"/>
      <c r="N32" s="670"/>
      <c r="O32" s="213"/>
      <c r="P32" s="213"/>
      <c r="Q32" s="213"/>
      <c r="R32" s="213">
        <f t="shared" si="22"/>
        <v>0</v>
      </c>
      <c r="S32" s="213">
        <f t="shared" si="23"/>
        <v>0</v>
      </c>
      <c r="T32" s="218"/>
      <c r="U32" s="237"/>
      <c r="V32" s="218"/>
      <c r="W32" s="218"/>
      <c r="X32" s="237"/>
      <c r="Y32" s="287">
        <v>0</v>
      </c>
      <c r="Z32" s="287">
        <v>0</v>
      </c>
      <c r="AA32" s="287">
        <f t="shared" si="27"/>
        <v>0</v>
      </c>
      <c r="AB32" s="222" t="s">
        <v>43</v>
      </c>
      <c r="AC32" s="669" t="s">
        <v>1227</v>
      </c>
      <c r="AD32" s="719" t="s">
        <v>1169</v>
      </c>
      <c r="AE32" s="669" t="s">
        <v>1227</v>
      </c>
      <c r="AF32" s="664"/>
    </row>
    <row r="33" spans="1:32" ht="70.900000000000006" customHeight="1" thickBot="1" x14ac:dyDescent="0.35">
      <c r="A33" s="191"/>
      <c r="B33" s="1317" t="s">
        <v>1228</v>
      </c>
      <c r="C33" s="1327"/>
      <c r="D33" s="288"/>
      <c r="E33" s="289">
        <v>0.25</v>
      </c>
      <c r="F33" s="283"/>
      <c r="G33" s="206"/>
      <c r="H33" s="206"/>
      <c r="I33" s="212">
        <f>+AVERAGE(I34:I36)</f>
        <v>0.2142857142857143</v>
      </c>
      <c r="J33" s="212">
        <f>+AVERAGE(J34:J36)</f>
        <v>0.17476190476190476</v>
      </c>
      <c r="K33" s="212">
        <f>+K34+K35+K36</f>
        <v>0.11071428571428571</v>
      </c>
      <c r="L33" s="212">
        <f>+L34+L35+L36</f>
        <v>0.12985714285714287</v>
      </c>
      <c r="M33" s="211"/>
      <c r="N33" s="211"/>
      <c r="O33" s="211"/>
      <c r="P33" s="211"/>
      <c r="Q33" s="211"/>
      <c r="R33" s="211"/>
      <c r="S33" s="211"/>
      <c r="T33" s="235">
        <f>+AVERAGE(T34:T36)</f>
        <v>1</v>
      </c>
      <c r="U33" s="235">
        <f>+AVERAGE(U34:U36)</f>
        <v>0.55648437500000003</v>
      </c>
      <c r="V33" s="235">
        <f>+(V34+V35+V36)*E33</f>
        <v>0.125</v>
      </c>
      <c r="W33" s="235">
        <f>+(W34+W35+W36)*E33</f>
        <v>7.094010416666667E-2</v>
      </c>
      <c r="X33" s="212">
        <f>+AVERAGE(X34:X36)</f>
        <v>0.23345238095238097</v>
      </c>
      <c r="Y33" s="212">
        <f>+(Y34*0.33)+(Y36*0.33)</f>
        <v>0.24991607142857145</v>
      </c>
      <c r="Z33" s="278">
        <f>+(Z34+Z35+Z36)*E33</f>
        <v>2.9803571428571429E-2</v>
      </c>
      <c r="AA33" s="278">
        <f>+(AA34+AA35+AA36)</f>
        <v>0.19258928571428571</v>
      </c>
      <c r="AB33" s="279"/>
      <c r="AC33" s="664"/>
      <c r="AD33" s="664"/>
      <c r="AE33" s="664"/>
      <c r="AF33" s="664"/>
    </row>
    <row r="34" spans="1:32" ht="87.6" customHeight="1" thickBot="1" x14ac:dyDescent="0.35">
      <c r="A34" s="191"/>
      <c r="B34" s="1088" t="s">
        <v>1229</v>
      </c>
      <c r="C34" s="1089" t="s">
        <v>1230</v>
      </c>
      <c r="D34" s="281" t="s">
        <v>716</v>
      </c>
      <c r="E34" s="285">
        <v>0.2</v>
      </c>
      <c r="F34" s="283">
        <v>2800</v>
      </c>
      <c r="G34" s="213">
        <v>500</v>
      </c>
      <c r="H34" s="213">
        <v>768</v>
      </c>
      <c r="I34" s="218">
        <f>+G34/F34</f>
        <v>0.17857142857142858</v>
      </c>
      <c r="J34" s="218">
        <f t="shared" ref="J34:J36" si="29">+H34/F34</f>
        <v>0.2742857142857143</v>
      </c>
      <c r="K34" s="218">
        <f>+(G34/F34)*E34</f>
        <v>3.5714285714285719E-2</v>
      </c>
      <c r="L34" s="218">
        <f t="shared" ref="L34:L36" si="30">+(H34/F34)*E34</f>
        <v>5.4857142857142861E-2</v>
      </c>
      <c r="M34" s="294">
        <v>584</v>
      </c>
      <c r="N34" s="670">
        <v>67</v>
      </c>
      <c r="O34" s="294">
        <v>318</v>
      </c>
      <c r="P34" s="294"/>
      <c r="Q34" s="294"/>
      <c r="R34" s="294">
        <f t="shared" ref="R34:R36" si="31">+N34+O34+P34+Q34</f>
        <v>385</v>
      </c>
      <c r="S34" s="294">
        <f t="shared" ref="S34:S35" si="32">+R34+M34</f>
        <v>969</v>
      </c>
      <c r="T34" s="218">
        <v>1</v>
      </c>
      <c r="U34" s="237">
        <f t="shared" si="24"/>
        <v>0.50130208333333337</v>
      </c>
      <c r="V34" s="218">
        <f>+T34*E34</f>
        <v>0.2</v>
      </c>
      <c r="W34" s="218">
        <f t="shared" si="25"/>
        <v>0.10026041666666669</v>
      </c>
      <c r="X34" s="237">
        <f>+M34/F34</f>
        <v>0.20857142857142857</v>
      </c>
      <c r="Y34" s="287">
        <f t="shared" si="28"/>
        <v>0.34607142857142859</v>
      </c>
      <c r="Z34" s="287">
        <f>+X34*E34</f>
        <v>4.1714285714285718E-2</v>
      </c>
      <c r="AA34" s="287">
        <f>+Y34*E34</f>
        <v>6.9214285714285714E-2</v>
      </c>
      <c r="AB34" s="222" t="s">
        <v>43</v>
      </c>
      <c r="AC34" s="719" t="s">
        <v>44</v>
      </c>
      <c r="AD34" s="719" t="s">
        <v>1169</v>
      </c>
      <c r="AE34" s="719" t="s">
        <v>885</v>
      </c>
      <c r="AF34" s="664"/>
    </row>
    <row r="35" spans="1:32" ht="98.45" customHeight="1" thickBot="1" x14ac:dyDescent="0.35">
      <c r="A35" s="191"/>
      <c r="B35" s="1075" t="s">
        <v>1231</v>
      </c>
      <c r="C35" s="1087" t="s">
        <v>1232</v>
      </c>
      <c r="D35" s="281" t="s">
        <v>716</v>
      </c>
      <c r="E35" s="285">
        <v>0.5</v>
      </c>
      <c r="F35" s="283">
        <v>6</v>
      </c>
      <c r="G35" s="213">
        <v>0</v>
      </c>
      <c r="H35" s="213">
        <v>0</v>
      </c>
      <c r="I35" s="218"/>
      <c r="J35" s="218">
        <f t="shared" si="29"/>
        <v>0</v>
      </c>
      <c r="K35" s="218"/>
      <c r="L35" s="218">
        <f t="shared" si="30"/>
        <v>0</v>
      </c>
      <c r="M35" s="213"/>
      <c r="N35" s="670">
        <v>0</v>
      </c>
      <c r="O35" s="213"/>
      <c r="P35" s="213"/>
      <c r="Q35" s="213"/>
      <c r="R35" s="213">
        <f t="shared" si="31"/>
        <v>0</v>
      </c>
      <c r="S35" s="213">
        <f t="shared" si="32"/>
        <v>0</v>
      </c>
      <c r="T35" s="218"/>
      <c r="U35" s="237"/>
      <c r="V35" s="218"/>
      <c r="W35" s="218">
        <f t="shared" si="25"/>
        <v>0</v>
      </c>
      <c r="X35" s="237"/>
      <c r="Y35" s="287"/>
      <c r="Z35" s="287">
        <v>0</v>
      </c>
      <c r="AA35" s="287">
        <f t="shared" ref="AA35:AA36" si="33">+Y35*E35</f>
        <v>0</v>
      </c>
      <c r="AB35" s="222" t="s">
        <v>43</v>
      </c>
      <c r="AC35" s="752" t="s">
        <v>127</v>
      </c>
      <c r="AD35" s="752" t="s">
        <v>1233</v>
      </c>
      <c r="AE35" s="719" t="s">
        <v>885</v>
      </c>
      <c r="AF35" s="664"/>
    </row>
    <row r="36" spans="1:32" ht="75" customHeight="1" thickBot="1" x14ac:dyDescent="0.35">
      <c r="A36" s="191"/>
      <c r="B36" s="1075" t="s">
        <v>1234</v>
      </c>
      <c r="C36" s="1087" t="s">
        <v>1235</v>
      </c>
      <c r="D36" s="281" t="s">
        <v>716</v>
      </c>
      <c r="E36" s="285">
        <v>0.3</v>
      </c>
      <c r="F36" s="283">
        <v>2400</v>
      </c>
      <c r="G36" s="213">
        <v>600</v>
      </c>
      <c r="H36" s="213">
        <v>600</v>
      </c>
      <c r="I36" s="218">
        <f>+G36/F36</f>
        <v>0.25</v>
      </c>
      <c r="J36" s="218">
        <f t="shared" si="29"/>
        <v>0.25</v>
      </c>
      <c r="K36" s="218">
        <f>+(G36/F36)*E36</f>
        <v>7.4999999999999997E-2</v>
      </c>
      <c r="L36" s="218">
        <f t="shared" si="30"/>
        <v>7.4999999999999997E-2</v>
      </c>
      <c r="M36" s="294">
        <v>620</v>
      </c>
      <c r="N36" s="670">
        <v>270</v>
      </c>
      <c r="O36" s="294">
        <v>97</v>
      </c>
      <c r="P36" s="294"/>
      <c r="Q36" s="294"/>
      <c r="R36" s="294">
        <f t="shared" si="31"/>
        <v>367</v>
      </c>
      <c r="S36" s="294">
        <f>+R36+M36</f>
        <v>987</v>
      </c>
      <c r="T36" s="218">
        <v>1</v>
      </c>
      <c r="U36" s="237">
        <f t="shared" si="24"/>
        <v>0.61166666666666669</v>
      </c>
      <c r="V36" s="218">
        <f>+T36*E36</f>
        <v>0.3</v>
      </c>
      <c r="W36" s="218">
        <f t="shared" si="25"/>
        <v>0.1835</v>
      </c>
      <c r="X36" s="237">
        <f>+M36/F36</f>
        <v>0.25833333333333336</v>
      </c>
      <c r="Y36" s="287">
        <f>+S36/F36</f>
        <v>0.41125</v>
      </c>
      <c r="Z36" s="287">
        <f>+X36*E36</f>
        <v>7.7499999999999999E-2</v>
      </c>
      <c r="AA36" s="287">
        <f t="shared" si="33"/>
        <v>0.123375</v>
      </c>
      <c r="AB36" s="222" t="s">
        <v>43</v>
      </c>
      <c r="AC36" s="719" t="s">
        <v>44</v>
      </c>
      <c r="AD36" s="719" t="s">
        <v>1169</v>
      </c>
      <c r="AE36" s="719" t="s">
        <v>885</v>
      </c>
      <c r="AF36" s="664"/>
    </row>
    <row r="37" spans="1:32" ht="61.15" customHeight="1" thickBot="1" x14ac:dyDescent="0.35">
      <c r="A37" s="191"/>
      <c r="B37" s="1321" t="s">
        <v>1236</v>
      </c>
      <c r="C37" s="1327"/>
      <c r="D37" s="288"/>
      <c r="E37" s="291">
        <v>0.15</v>
      </c>
      <c r="F37" s="201">
        <f>+E37*V37</f>
        <v>6.8925749999999994E-2</v>
      </c>
      <c r="G37" s="206"/>
      <c r="H37" s="202">
        <f>+E37*W37</f>
        <v>4.4421305550416283E-2</v>
      </c>
      <c r="I37" s="204">
        <f>+(I38+I46+I50+I53+I57)/5</f>
        <v>0.17888888888888888</v>
      </c>
      <c r="J37" s="204">
        <f>+(J38+J46+J50+J53+J57)/5</f>
        <v>0.28607638888888887</v>
      </c>
      <c r="K37" s="205">
        <f>+(K38+K46+K50+K53+K57)/5</f>
        <v>0.13083333333333333</v>
      </c>
      <c r="L37" s="205">
        <f>+(L38+L46+L50+L53+L57)/5</f>
        <v>0.2434166666666667</v>
      </c>
      <c r="M37" s="206"/>
      <c r="N37" s="206"/>
      <c r="O37" s="206"/>
      <c r="P37" s="206"/>
      <c r="Q37" s="206"/>
      <c r="R37" s="206"/>
      <c r="S37" s="206"/>
      <c r="T37" s="204">
        <f>+(T38+T46+T50+T53+T57)/5</f>
        <v>0.75614000000000003</v>
      </c>
      <c r="U37" s="204">
        <f>+(U38+U46+U50+U53+U57)/5</f>
        <v>0.41495501284818587</v>
      </c>
      <c r="V37" s="205">
        <f>+V38+V46+V50+V53+V57</f>
        <v>0.45950499999999994</v>
      </c>
      <c r="W37" s="205">
        <f>+W38+W46+W50+W53+W57</f>
        <v>0.29614203700277525</v>
      </c>
      <c r="X37" s="274">
        <f>(X38+X46+X50+X53+X57)/5</f>
        <v>0.13760416666666669</v>
      </c>
      <c r="Y37" s="274">
        <f>(Y38+Y46+Y50+Y53+Y57)/5</f>
        <v>0.25526745502645498</v>
      </c>
      <c r="Z37" s="275">
        <f>+(Z38+Z46+Z50+Z53+Z57)</f>
        <v>8.7734791666666673E-2</v>
      </c>
      <c r="AA37" s="275">
        <f>+(AA38*E38+AA46*E46+AA50*E50+AA53*E53+AA57*E57)</f>
        <v>0.1902765833333333</v>
      </c>
      <c r="AB37" s="276"/>
      <c r="AC37" s="664"/>
      <c r="AD37" s="664"/>
      <c r="AE37" s="664"/>
      <c r="AF37" s="664"/>
    </row>
    <row r="38" spans="1:32" ht="42.75" customHeight="1" thickBot="1" x14ac:dyDescent="0.35">
      <c r="A38" s="191"/>
      <c r="B38" s="1317" t="s">
        <v>1237</v>
      </c>
      <c r="C38" s="1327"/>
      <c r="D38" s="288"/>
      <c r="E38" s="289">
        <v>0.25</v>
      </c>
      <c r="F38" s="283"/>
      <c r="G38" s="206"/>
      <c r="H38" s="206"/>
      <c r="I38" s="212">
        <f>+AVERAGE(I39:I45)</f>
        <v>0.23611111111111108</v>
      </c>
      <c r="J38" s="212">
        <f>+AVERAGE(J39:J45)</f>
        <v>0.30260416666666662</v>
      </c>
      <c r="K38" s="212">
        <f>+K39+K40+K41+K42+K43+K44+K45</f>
        <v>6.5833333333333327E-2</v>
      </c>
      <c r="L38" s="212">
        <f>+L39+L40+L41+L42+L43+L44+L45</f>
        <v>8.9583333333333334E-2</v>
      </c>
      <c r="M38" s="211"/>
      <c r="N38" s="211"/>
      <c r="O38" s="211"/>
      <c r="P38" s="211"/>
      <c r="Q38" s="211"/>
      <c r="R38" s="211"/>
      <c r="S38" s="211"/>
      <c r="T38" s="235">
        <f>+AVERAGE(T39:T45)</f>
        <v>0.66469999999999996</v>
      </c>
      <c r="U38" s="235">
        <f>+AVERAGE(U39:U45)</f>
        <v>0.34019148936170213</v>
      </c>
      <c r="V38" s="235">
        <f>+(V39+V40+V41+V42+V43+V44+V45)*E38</f>
        <v>5.7204999999999999E-2</v>
      </c>
      <c r="W38" s="235">
        <f>+(W39+W40+W41+W42+W43+W44+W45)*E38</f>
        <v>1.4913297872340425E-2</v>
      </c>
      <c r="X38" s="212">
        <f>+AVERAGE(X39:X45)</f>
        <v>0.12475416666666667</v>
      </c>
      <c r="Y38" s="212">
        <f>+X38+((Y39-X39)/7)+((Y40-X40)/9)+((Y45-X45)/9)+((Y41-X41)/9)</f>
        <v>0.17433505291005291</v>
      </c>
      <c r="Z38" s="278">
        <f>+(Z39+Z40+Z41+Z42+Z43+Z44+Z45)*E38</f>
        <v>8.0881249999999998E-3</v>
      </c>
      <c r="AA38" s="278">
        <f>+(AA39+AA40+AA41+AA42+AA43+AA44+AA45)</f>
        <v>5.0735000000000002E-2</v>
      </c>
      <c r="AB38" s="279"/>
      <c r="AC38" s="664"/>
      <c r="AD38" s="664"/>
      <c r="AE38" s="664"/>
      <c r="AF38" s="664"/>
    </row>
    <row r="39" spans="1:32" ht="88.15" customHeight="1" thickBot="1" x14ac:dyDescent="0.35">
      <c r="A39" s="191"/>
      <c r="B39" s="1075" t="s">
        <v>1238</v>
      </c>
      <c r="C39" s="1087" t="s">
        <v>1239</v>
      </c>
      <c r="D39" s="281" t="s">
        <v>1100</v>
      </c>
      <c r="E39" s="285">
        <v>0.03</v>
      </c>
      <c r="F39" s="283">
        <f>12*4</f>
        <v>48</v>
      </c>
      <c r="G39" s="213">
        <v>12</v>
      </c>
      <c r="H39" s="213">
        <v>12</v>
      </c>
      <c r="I39" s="218">
        <f t="shared" ref="I39:I45" si="34">+G39/F39</f>
        <v>0.25</v>
      </c>
      <c r="J39" s="218">
        <f t="shared" ref="J39:J43" si="35">+H39/F39</f>
        <v>0.25</v>
      </c>
      <c r="K39" s="218">
        <f t="shared" ref="K39:K45" si="36">+(G39/F39)*E39</f>
        <v>7.4999999999999997E-3</v>
      </c>
      <c r="L39" s="218">
        <f t="shared" ref="L39:L43" si="37">+(H39/F39)*E39</f>
        <v>7.4999999999999997E-3</v>
      </c>
      <c r="M39" s="213">
        <v>12</v>
      </c>
      <c r="N39" s="670">
        <v>0</v>
      </c>
      <c r="O39" s="670">
        <v>3</v>
      </c>
      <c r="P39" s="213"/>
      <c r="Q39" s="213"/>
      <c r="R39" s="213">
        <f t="shared" ref="R39:R45" si="38">+N39+O39+P39+Q39</f>
        <v>3</v>
      </c>
      <c r="S39" s="213">
        <f t="shared" ref="S39:S45" si="39">+R39+M39</f>
        <v>15</v>
      </c>
      <c r="T39" s="218">
        <f t="shared" ref="T39:T45" si="40">+(M39/G39)</f>
        <v>1</v>
      </c>
      <c r="U39" s="218">
        <f t="shared" ref="U39:U43" si="41">+R39/H39</f>
        <v>0.25</v>
      </c>
      <c r="V39" s="218">
        <f t="shared" ref="V39:V45" si="42">+T39*E39</f>
        <v>0.03</v>
      </c>
      <c r="W39" s="218">
        <f t="shared" ref="W39:W43" si="43">+U39*E39</f>
        <v>7.4999999999999997E-3</v>
      </c>
      <c r="X39" s="218">
        <f t="shared" ref="X39:X45" si="44">+M39/F39</f>
        <v>0.25</v>
      </c>
      <c r="Y39" s="284">
        <f t="shared" ref="Y39:Y59" si="45">+S39/F39</f>
        <v>0.3125</v>
      </c>
      <c r="Z39" s="287">
        <f>+X39*E39</f>
        <v>7.4999999999999997E-3</v>
      </c>
      <c r="AA39" s="287">
        <f>+Y39*E39</f>
        <v>9.3749999999999997E-3</v>
      </c>
      <c r="AB39" s="222" t="s">
        <v>43</v>
      </c>
      <c r="AC39" s="719" t="s">
        <v>44</v>
      </c>
      <c r="AD39" s="719" t="s">
        <v>1169</v>
      </c>
      <c r="AE39" s="719" t="s">
        <v>885</v>
      </c>
      <c r="AF39" s="664"/>
    </row>
    <row r="40" spans="1:32" ht="77.45" customHeight="1" thickBot="1" x14ac:dyDescent="0.35">
      <c r="A40" s="191"/>
      <c r="B40" s="1088" t="s">
        <v>1240</v>
      </c>
      <c r="C40" s="1089" t="s">
        <v>1241</v>
      </c>
      <c r="D40" s="281" t="s">
        <v>1100</v>
      </c>
      <c r="E40" s="285">
        <v>0.2</v>
      </c>
      <c r="F40" s="283">
        <v>80000</v>
      </c>
      <c r="G40" s="213">
        <v>10000</v>
      </c>
      <c r="H40" s="213">
        <v>23500</v>
      </c>
      <c r="I40" s="218">
        <f t="shared" si="34"/>
        <v>0.125</v>
      </c>
      <c r="J40" s="218">
        <f t="shared" si="35"/>
        <v>0.29375000000000001</v>
      </c>
      <c r="K40" s="218">
        <f t="shared" si="36"/>
        <v>2.5000000000000001E-2</v>
      </c>
      <c r="L40" s="218">
        <f t="shared" si="37"/>
        <v>5.8750000000000004E-2</v>
      </c>
      <c r="M40" s="213">
        <v>9941</v>
      </c>
      <c r="N40" s="670">
        <v>395</v>
      </c>
      <c r="O40" s="670">
        <v>2208</v>
      </c>
      <c r="P40" s="213"/>
      <c r="Q40" s="213"/>
      <c r="R40" s="213">
        <f t="shared" si="38"/>
        <v>2603</v>
      </c>
      <c r="S40" s="213">
        <f t="shared" si="39"/>
        <v>12544</v>
      </c>
      <c r="T40" s="218">
        <f t="shared" si="40"/>
        <v>0.99409999999999998</v>
      </c>
      <c r="U40" s="218">
        <f t="shared" si="41"/>
        <v>0.11076595744680851</v>
      </c>
      <c r="V40" s="218">
        <f t="shared" si="42"/>
        <v>0.19882</v>
      </c>
      <c r="W40" s="218">
        <f t="shared" si="43"/>
        <v>2.2153191489361703E-2</v>
      </c>
      <c r="X40" s="218">
        <f t="shared" si="44"/>
        <v>0.1242625</v>
      </c>
      <c r="Y40" s="284">
        <f t="shared" si="45"/>
        <v>0.15679999999999999</v>
      </c>
      <c r="Z40" s="287">
        <f>+X40*E40</f>
        <v>2.48525E-2</v>
      </c>
      <c r="AA40" s="287">
        <f>+Y40*E40</f>
        <v>3.1359999999999999E-2</v>
      </c>
      <c r="AB40" s="222" t="s">
        <v>43</v>
      </c>
      <c r="AC40" s="719" t="s">
        <v>44</v>
      </c>
      <c r="AD40" s="719" t="s">
        <v>1169</v>
      </c>
      <c r="AE40" s="719" t="s">
        <v>885</v>
      </c>
      <c r="AF40" s="664"/>
    </row>
    <row r="41" spans="1:32" ht="81" customHeight="1" thickBot="1" x14ac:dyDescent="0.35">
      <c r="A41" s="191"/>
      <c r="B41" s="1075" t="s">
        <v>1242</v>
      </c>
      <c r="C41" s="1087" t="s">
        <v>1243</v>
      </c>
      <c r="D41" s="281" t="s">
        <v>1100</v>
      </c>
      <c r="E41" s="285">
        <v>0.03</v>
      </c>
      <c r="F41" s="283">
        <v>3</v>
      </c>
      <c r="G41" s="213">
        <v>0</v>
      </c>
      <c r="H41" s="213">
        <v>1</v>
      </c>
      <c r="I41" s="218"/>
      <c r="J41" s="218">
        <f t="shared" si="35"/>
        <v>0.33333333333333331</v>
      </c>
      <c r="K41" s="218"/>
      <c r="L41" s="218">
        <f t="shared" si="37"/>
        <v>9.9999999999999985E-3</v>
      </c>
      <c r="M41" s="213"/>
      <c r="N41" s="670">
        <v>0</v>
      </c>
      <c r="O41" s="670">
        <v>1</v>
      </c>
      <c r="P41" s="213"/>
      <c r="Q41" s="213"/>
      <c r="R41" s="213">
        <f t="shared" si="38"/>
        <v>1</v>
      </c>
      <c r="S41" s="213">
        <f t="shared" si="39"/>
        <v>1</v>
      </c>
      <c r="T41" s="218"/>
      <c r="U41" s="218">
        <f t="shared" si="41"/>
        <v>1</v>
      </c>
      <c r="V41" s="218"/>
      <c r="W41" s="218">
        <f t="shared" si="43"/>
        <v>0.03</v>
      </c>
      <c r="X41" s="218"/>
      <c r="Y41" s="284">
        <f t="shared" si="45"/>
        <v>0.33333333333333331</v>
      </c>
      <c r="Z41" s="287"/>
      <c r="AA41" s="287">
        <f t="shared" ref="AA41:AA44" si="46">+Y41*E41</f>
        <v>9.9999999999999985E-3</v>
      </c>
      <c r="AB41" s="222" t="s">
        <v>43</v>
      </c>
      <c r="AC41" s="752" t="s">
        <v>127</v>
      </c>
      <c r="AD41" s="719" t="s">
        <v>1169</v>
      </c>
      <c r="AE41" s="719" t="s">
        <v>885</v>
      </c>
      <c r="AF41" s="664"/>
    </row>
    <row r="42" spans="1:32" ht="89.45" customHeight="1" thickBot="1" x14ac:dyDescent="0.35">
      <c r="A42" s="191"/>
      <c r="B42" s="1075" t="s">
        <v>1244</v>
      </c>
      <c r="C42" s="1087" t="s">
        <v>1245</v>
      </c>
      <c r="D42" s="281" t="s">
        <v>1100</v>
      </c>
      <c r="E42" s="285">
        <v>0.1</v>
      </c>
      <c r="F42" s="283">
        <v>100000</v>
      </c>
      <c r="G42" s="213">
        <v>0</v>
      </c>
      <c r="H42" s="213">
        <v>0</v>
      </c>
      <c r="I42" s="218"/>
      <c r="J42" s="218"/>
      <c r="K42" s="218"/>
      <c r="L42" s="218"/>
      <c r="M42" s="213"/>
      <c r="N42" s="670"/>
      <c r="O42" s="670"/>
      <c r="P42" s="213"/>
      <c r="Q42" s="213"/>
      <c r="R42" s="213">
        <f t="shared" si="38"/>
        <v>0</v>
      </c>
      <c r="S42" s="213">
        <f t="shared" si="39"/>
        <v>0</v>
      </c>
      <c r="T42" s="218"/>
      <c r="U42" s="218"/>
      <c r="V42" s="218"/>
      <c r="W42" s="218"/>
      <c r="X42" s="218"/>
      <c r="Y42" s="284"/>
      <c r="Z42" s="287"/>
      <c r="AA42" s="287">
        <f t="shared" si="46"/>
        <v>0</v>
      </c>
      <c r="AB42" s="222" t="s">
        <v>43</v>
      </c>
      <c r="AC42" s="719" t="s">
        <v>44</v>
      </c>
      <c r="AD42" s="719" t="s">
        <v>1169</v>
      </c>
      <c r="AE42" s="719" t="s">
        <v>885</v>
      </c>
      <c r="AF42" s="664"/>
    </row>
    <row r="43" spans="1:32" ht="96" customHeight="1" thickBot="1" x14ac:dyDescent="0.35">
      <c r="A43" s="191"/>
      <c r="B43" s="1075" t="s">
        <v>1246</v>
      </c>
      <c r="C43" s="1087" t="s">
        <v>1247</v>
      </c>
      <c r="D43" s="281" t="s">
        <v>1100</v>
      </c>
      <c r="E43" s="285">
        <v>0.04</v>
      </c>
      <c r="F43" s="283">
        <v>3</v>
      </c>
      <c r="G43" s="213">
        <v>0</v>
      </c>
      <c r="H43" s="213">
        <v>1</v>
      </c>
      <c r="I43" s="218"/>
      <c r="J43" s="218">
        <f t="shared" si="35"/>
        <v>0.33333333333333331</v>
      </c>
      <c r="K43" s="218"/>
      <c r="L43" s="218">
        <f t="shared" si="37"/>
        <v>1.3333333333333332E-2</v>
      </c>
      <c r="M43" s="213"/>
      <c r="N43" s="670">
        <v>0</v>
      </c>
      <c r="O43" s="670">
        <v>0</v>
      </c>
      <c r="P43" s="213"/>
      <c r="Q43" s="213"/>
      <c r="R43" s="213">
        <f t="shared" si="38"/>
        <v>0</v>
      </c>
      <c r="S43" s="213">
        <f t="shared" si="39"/>
        <v>0</v>
      </c>
      <c r="T43" s="218"/>
      <c r="U43" s="218">
        <f t="shared" si="41"/>
        <v>0</v>
      </c>
      <c r="V43" s="218"/>
      <c r="W43" s="218">
        <f t="shared" si="43"/>
        <v>0</v>
      </c>
      <c r="X43" s="218"/>
      <c r="Y43" s="284"/>
      <c r="Z43" s="287"/>
      <c r="AA43" s="287">
        <f t="shared" si="46"/>
        <v>0</v>
      </c>
      <c r="AB43" s="222" t="s">
        <v>43</v>
      </c>
      <c r="AC43" s="752" t="s">
        <v>127</v>
      </c>
      <c r="AD43" s="719" t="s">
        <v>1169</v>
      </c>
      <c r="AE43" s="719" t="s">
        <v>885</v>
      </c>
      <c r="AF43" s="664"/>
    </row>
    <row r="44" spans="1:32" ht="72.599999999999994" customHeight="1" thickBot="1" x14ac:dyDescent="0.35">
      <c r="A44" s="191"/>
      <c r="B44" s="1075" t="s">
        <v>1248</v>
      </c>
      <c r="C44" s="1087" t="s">
        <v>1249</v>
      </c>
      <c r="D44" s="281" t="s">
        <v>1250</v>
      </c>
      <c r="E44" s="285">
        <v>0.5</v>
      </c>
      <c r="F44" s="283">
        <v>1</v>
      </c>
      <c r="G44" s="213">
        <v>0</v>
      </c>
      <c r="H44" s="213">
        <v>0</v>
      </c>
      <c r="I44" s="218"/>
      <c r="J44" s="218"/>
      <c r="K44" s="218"/>
      <c r="L44" s="218"/>
      <c r="M44" s="213"/>
      <c r="N44" s="670"/>
      <c r="O44" s="670"/>
      <c r="P44" s="213"/>
      <c r="Q44" s="213"/>
      <c r="R44" s="213">
        <f t="shared" si="38"/>
        <v>0</v>
      </c>
      <c r="S44" s="213">
        <f t="shared" si="39"/>
        <v>0</v>
      </c>
      <c r="T44" s="218"/>
      <c r="U44" s="218"/>
      <c r="V44" s="218"/>
      <c r="W44" s="218"/>
      <c r="X44" s="218"/>
      <c r="Y44" s="284"/>
      <c r="Z44" s="287"/>
      <c r="AA44" s="287">
        <f t="shared" si="46"/>
        <v>0</v>
      </c>
      <c r="AB44" s="222" t="s">
        <v>43</v>
      </c>
      <c r="AC44" s="719" t="s">
        <v>44</v>
      </c>
      <c r="AD44" s="719" t="s">
        <v>1169</v>
      </c>
      <c r="AE44" s="719" t="s">
        <v>885</v>
      </c>
      <c r="AF44" s="664"/>
    </row>
    <row r="45" spans="1:32" ht="63" customHeight="1" thickBot="1" x14ac:dyDescent="0.35">
      <c r="A45" s="191"/>
      <c r="B45" s="1075" t="s">
        <v>1251</v>
      </c>
      <c r="C45" s="1087" t="s">
        <v>1252</v>
      </c>
      <c r="D45" s="281" t="s">
        <v>1145</v>
      </c>
      <c r="E45" s="285">
        <v>0.1</v>
      </c>
      <c r="F45" s="283">
        <v>3</v>
      </c>
      <c r="G45" s="213">
        <v>1</v>
      </c>
      <c r="H45" s="213">
        <v>0</v>
      </c>
      <c r="I45" s="218">
        <f t="shared" si="34"/>
        <v>0.33333333333333331</v>
      </c>
      <c r="J45" s="218"/>
      <c r="K45" s="218">
        <f t="shared" si="36"/>
        <v>3.3333333333333333E-2</v>
      </c>
      <c r="L45" s="218"/>
      <c r="M45" s="213">
        <v>0</v>
      </c>
      <c r="N45" s="670"/>
      <c r="O45" s="670"/>
      <c r="P45" s="213"/>
      <c r="Q45" s="213"/>
      <c r="R45" s="213">
        <f t="shared" si="38"/>
        <v>0</v>
      </c>
      <c r="S45" s="213">
        <f t="shared" si="39"/>
        <v>0</v>
      </c>
      <c r="T45" s="218">
        <f t="shared" si="40"/>
        <v>0</v>
      </c>
      <c r="U45" s="218"/>
      <c r="V45" s="218">
        <f t="shared" si="42"/>
        <v>0</v>
      </c>
      <c r="W45" s="218"/>
      <c r="X45" s="218">
        <f t="shared" si="44"/>
        <v>0</v>
      </c>
      <c r="Y45" s="284">
        <f t="shared" si="45"/>
        <v>0</v>
      </c>
      <c r="Z45" s="287">
        <f>+X45*E45</f>
        <v>0</v>
      </c>
      <c r="AA45" s="287">
        <f>+Y45*E45</f>
        <v>0</v>
      </c>
      <c r="AB45" s="295" t="s">
        <v>1253</v>
      </c>
      <c r="AC45" s="664"/>
      <c r="AD45" s="664"/>
      <c r="AE45" s="664"/>
      <c r="AF45" s="664"/>
    </row>
    <row r="46" spans="1:32" ht="57" customHeight="1" thickBot="1" x14ac:dyDescent="0.35">
      <c r="A46" s="191"/>
      <c r="B46" s="1317" t="s">
        <v>1254</v>
      </c>
      <c r="C46" s="1327"/>
      <c r="D46" s="288"/>
      <c r="E46" s="289">
        <v>0.25</v>
      </c>
      <c r="F46" s="283"/>
      <c r="G46" s="206"/>
      <c r="H46" s="206"/>
      <c r="I46" s="212">
        <f>+AVERAGE(I47:I49)</f>
        <v>0.15833333333333333</v>
      </c>
      <c r="J46" s="212">
        <f>+AVERAGE(J47:J49)</f>
        <v>0.33611111111111108</v>
      </c>
      <c r="K46" s="212">
        <f>+K47+K48+K49</f>
        <v>0.15250000000000002</v>
      </c>
      <c r="L46" s="212">
        <f>+L47+L48+L49</f>
        <v>0.34083333333333338</v>
      </c>
      <c r="M46" s="211"/>
      <c r="N46" s="211"/>
      <c r="O46" s="211"/>
      <c r="P46" s="211"/>
      <c r="Q46" s="211"/>
      <c r="R46" s="211"/>
      <c r="S46" s="211"/>
      <c r="T46" s="235">
        <f>+AVERAGE(T47:T49)</f>
        <v>0.61599999999999999</v>
      </c>
      <c r="U46" s="235">
        <f>+AVERAGE(U47:U49)</f>
        <v>0.5194502415458937</v>
      </c>
      <c r="V46" s="235">
        <f>+(V47+V48+V49)*E46</f>
        <v>0.14229999999999998</v>
      </c>
      <c r="W46" s="235">
        <f>+(W47+W48+W49)*E46</f>
        <v>0.11800173913043478</v>
      </c>
      <c r="X46" s="212">
        <f>+AVERAGE(X47:X49)</f>
        <v>0.10493333333333332</v>
      </c>
      <c r="Y46" s="212">
        <f>+AVERAGE(Y47:Y49)</f>
        <v>0.29218555555555553</v>
      </c>
      <c r="Z46" s="278">
        <f>+(Z47+Z48+Z49)*E46</f>
        <v>2.3980000000000001E-2</v>
      </c>
      <c r="AA46" s="278">
        <f>+(AA47+AA48+AA49)</f>
        <v>0.26617266666666661</v>
      </c>
      <c r="AB46" s="279"/>
      <c r="AC46" s="664"/>
      <c r="AD46" s="664"/>
      <c r="AE46" s="664"/>
      <c r="AF46" s="664"/>
    </row>
    <row r="47" spans="1:32" ht="70.900000000000006" customHeight="1" thickBot="1" x14ac:dyDescent="0.35">
      <c r="A47" s="191"/>
      <c r="B47" s="1075" t="s">
        <v>1255</v>
      </c>
      <c r="C47" s="1087" t="s">
        <v>1256</v>
      </c>
      <c r="D47" s="281" t="s">
        <v>1257</v>
      </c>
      <c r="E47" s="285">
        <v>0.4</v>
      </c>
      <c r="F47" s="283">
        <v>300000</v>
      </c>
      <c r="G47" s="213">
        <v>30000</v>
      </c>
      <c r="H47" s="213">
        <v>115000</v>
      </c>
      <c r="I47" s="219">
        <f>+G47/F47</f>
        <v>0.1</v>
      </c>
      <c r="J47" s="218">
        <f t="shared" ref="J47:J56" si="47">+H47/F47</f>
        <v>0.38333333333333336</v>
      </c>
      <c r="K47" s="218">
        <f>+(G47/F47)*E47</f>
        <v>4.0000000000000008E-2</v>
      </c>
      <c r="L47" s="218">
        <f t="shared" ref="L47:L59" si="48">+(H47/F47)*E47</f>
        <v>0.15333333333333335</v>
      </c>
      <c r="M47" s="213">
        <v>4440</v>
      </c>
      <c r="N47" s="670">
        <v>3037</v>
      </c>
      <c r="O47" s="670">
        <v>2140</v>
      </c>
      <c r="P47" s="213"/>
      <c r="Q47" s="213"/>
      <c r="R47" s="213">
        <f t="shared" ref="R47:R49" si="49">+N47+O47+P47+Q47</f>
        <v>5177</v>
      </c>
      <c r="S47" s="213">
        <f t="shared" ref="S47:S49" si="50">+R47+M47</f>
        <v>9617</v>
      </c>
      <c r="T47" s="237">
        <f>+(M47/G47)</f>
        <v>0.14799999999999999</v>
      </c>
      <c r="U47" s="237">
        <f t="shared" ref="U47:U59" si="51">+R47/H47</f>
        <v>4.5017391304347829E-2</v>
      </c>
      <c r="V47" s="237">
        <f>+T47*E47</f>
        <v>5.9200000000000003E-2</v>
      </c>
      <c r="W47" s="237">
        <f t="shared" ref="W47:W49" si="52">+U47*E47</f>
        <v>1.8006956521739132E-2</v>
      </c>
      <c r="X47" s="237">
        <f>+M47/F47</f>
        <v>1.4800000000000001E-2</v>
      </c>
      <c r="Y47" s="287">
        <f t="shared" si="45"/>
        <v>3.2056666666666664E-2</v>
      </c>
      <c r="Z47" s="287">
        <f>+X47*E47</f>
        <v>5.9200000000000008E-3</v>
      </c>
      <c r="AA47" s="287">
        <f>+Y47*E47</f>
        <v>1.2822666666666666E-2</v>
      </c>
      <c r="AB47" s="222" t="s">
        <v>43</v>
      </c>
      <c r="AC47" s="719" t="s">
        <v>44</v>
      </c>
      <c r="AD47" s="719" t="s">
        <v>1169</v>
      </c>
      <c r="AE47" s="719" t="s">
        <v>885</v>
      </c>
      <c r="AF47" s="664"/>
    </row>
    <row r="48" spans="1:32" ht="78" customHeight="1" thickBot="1" x14ac:dyDescent="0.35">
      <c r="A48" s="191"/>
      <c r="B48" s="1075" t="s">
        <v>1258</v>
      </c>
      <c r="C48" s="1087" t="s">
        <v>1259</v>
      </c>
      <c r="D48" s="281" t="s">
        <v>1257</v>
      </c>
      <c r="E48" s="285">
        <v>0.3</v>
      </c>
      <c r="F48" s="283">
        <v>8</v>
      </c>
      <c r="G48" s="213">
        <v>1</v>
      </c>
      <c r="H48" s="213">
        <v>3</v>
      </c>
      <c r="I48" s="219">
        <f>+G48/F48</f>
        <v>0.125</v>
      </c>
      <c r="J48" s="218">
        <f t="shared" si="47"/>
        <v>0.375</v>
      </c>
      <c r="K48" s="218">
        <f>+(G48/F48)*E48</f>
        <v>3.7499999999999999E-2</v>
      </c>
      <c r="L48" s="218">
        <f t="shared" si="48"/>
        <v>0.11249999999999999</v>
      </c>
      <c r="M48" s="213">
        <v>1</v>
      </c>
      <c r="N48" s="670">
        <v>0</v>
      </c>
      <c r="O48" s="670">
        <v>1.54</v>
      </c>
      <c r="P48" s="213"/>
      <c r="Q48" s="213"/>
      <c r="R48" s="213">
        <f t="shared" si="49"/>
        <v>1.54</v>
      </c>
      <c r="S48" s="213">
        <f t="shared" si="50"/>
        <v>2.54</v>
      </c>
      <c r="T48" s="237">
        <f>+(M48/G48)</f>
        <v>1</v>
      </c>
      <c r="U48" s="237">
        <f t="shared" si="51"/>
        <v>0.51333333333333331</v>
      </c>
      <c r="V48" s="237">
        <f>+T48*E48</f>
        <v>0.3</v>
      </c>
      <c r="W48" s="237">
        <f t="shared" si="52"/>
        <v>0.154</v>
      </c>
      <c r="X48" s="237">
        <f>+M48/F48</f>
        <v>0.125</v>
      </c>
      <c r="Y48" s="287">
        <f t="shared" si="45"/>
        <v>0.3175</v>
      </c>
      <c r="Z48" s="287">
        <f>+X48*E48</f>
        <v>3.7499999999999999E-2</v>
      </c>
      <c r="AA48" s="287">
        <f>+Y48*E48</f>
        <v>9.5250000000000001E-2</v>
      </c>
      <c r="AB48" s="222" t="s">
        <v>43</v>
      </c>
      <c r="AC48" s="719" t="s">
        <v>44</v>
      </c>
      <c r="AD48" s="719" t="s">
        <v>1169</v>
      </c>
      <c r="AE48" s="719" t="s">
        <v>885</v>
      </c>
      <c r="AF48" s="664"/>
    </row>
    <row r="49" spans="1:32" ht="69.599999999999994" customHeight="1" thickBot="1" x14ac:dyDescent="0.35">
      <c r="A49" s="191"/>
      <c r="B49" s="1075" t="s">
        <v>1260</v>
      </c>
      <c r="C49" s="1087" t="s">
        <v>1261</v>
      </c>
      <c r="D49" s="296" t="s">
        <v>1257</v>
      </c>
      <c r="E49" s="297">
        <v>0.3</v>
      </c>
      <c r="F49" s="283">
        <v>1</v>
      </c>
      <c r="G49" s="213">
        <v>0.25</v>
      </c>
      <c r="H49" s="213">
        <v>0.25</v>
      </c>
      <c r="I49" s="219">
        <f>+G49/F49</f>
        <v>0.25</v>
      </c>
      <c r="J49" s="218">
        <f t="shared" si="47"/>
        <v>0.25</v>
      </c>
      <c r="K49" s="218">
        <f>+(G49/F49)*E49</f>
        <v>7.4999999999999997E-2</v>
      </c>
      <c r="L49" s="218">
        <f t="shared" si="48"/>
        <v>7.4999999999999997E-2</v>
      </c>
      <c r="M49" s="213">
        <v>0.17499999999999999</v>
      </c>
      <c r="N49" s="670">
        <v>2E-3</v>
      </c>
      <c r="O49" s="670">
        <v>0.35</v>
      </c>
      <c r="P49" s="213"/>
      <c r="Q49" s="213"/>
      <c r="R49" s="213">
        <f t="shared" si="49"/>
        <v>0.35199999999999998</v>
      </c>
      <c r="S49" s="213">
        <f t="shared" si="50"/>
        <v>0.52699999999999991</v>
      </c>
      <c r="T49" s="237">
        <f>+M49/G49</f>
        <v>0.7</v>
      </c>
      <c r="U49" s="237">
        <v>1</v>
      </c>
      <c r="V49" s="237">
        <f>+T49*E49</f>
        <v>0.21</v>
      </c>
      <c r="W49" s="237">
        <f t="shared" si="52"/>
        <v>0.3</v>
      </c>
      <c r="X49" s="237">
        <f>+M49/F49</f>
        <v>0.17499999999999999</v>
      </c>
      <c r="Y49" s="287">
        <f t="shared" si="45"/>
        <v>0.52699999999999991</v>
      </c>
      <c r="Z49" s="287">
        <f>+X49*E49</f>
        <v>5.2499999999999998E-2</v>
      </c>
      <c r="AA49" s="287">
        <f>+Y49*E49</f>
        <v>0.15809999999999996</v>
      </c>
      <c r="AB49" s="222" t="s">
        <v>43</v>
      </c>
      <c r="AC49" s="719" t="s">
        <v>44</v>
      </c>
      <c r="AD49" s="719" t="s">
        <v>1169</v>
      </c>
      <c r="AE49" s="752" t="s">
        <v>1262</v>
      </c>
      <c r="AF49" s="664"/>
    </row>
    <row r="50" spans="1:32" ht="66" customHeight="1" thickBot="1" x14ac:dyDescent="0.35">
      <c r="A50" s="191"/>
      <c r="B50" s="1317" t="s">
        <v>1263</v>
      </c>
      <c r="C50" s="1327"/>
      <c r="D50" s="288"/>
      <c r="E50" s="289">
        <v>0.15</v>
      </c>
      <c r="F50" s="283"/>
      <c r="G50" s="206"/>
      <c r="H50" s="206"/>
      <c r="I50" s="212">
        <f>+AVERAGE(I51:I52)*0.5</f>
        <v>0.125</v>
      </c>
      <c r="J50" s="212">
        <f>+AVERAGE(J51:J52)</f>
        <v>0.22500000000000001</v>
      </c>
      <c r="K50" s="212">
        <f>+K51+K52</f>
        <v>0.1</v>
      </c>
      <c r="L50" s="212">
        <f>+L51+L52</f>
        <v>0.22</v>
      </c>
      <c r="M50" s="211"/>
      <c r="N50" s="211"/>
      <c r="O50" s="211"/>
      <c r="P50" s="211"/>
      <c r="Q50" s="211"/>
      <c r="R50" s="211"/>
      <c r="S50" s="211"/>
      <c r="T50" s="235">
        <f>+AVERAGE(T51:T52)</f>
        <v>1</v>
      </c>
      <c r="U50" s="235">
        <f>+AVERAGE(U51:U52)</f>
        <v>0.6</v>
      </c>
      <c r="V50" s="235">
        <f>+(V51+V52)*E50</f>
        <v>0.06</v>
      </c>
      <c r="W50" s="235">
        <f>+(W51+W52)*E50</f>
        <v>0.10199999999999999</v>
      </c>
      <c r="X50" s="212">
        <f>+AVERAGE(X51:X52)*0.5</f>
        <v>0.125</v>
      </c>
      <c r="Y50" s="212">
        <f>+AVERAGE(Y51:Y52)</f>
        <v>0.35</v>
      </c>
      <c r="Z50" s="278">
        <f>+(Z51+Z52)*E50</f>
        <v>1.4999999999999999E-2</v>
      </c>
      <c r="AA50" s="278">
        <f>+(AA51+AA52)</f>
        <v>0.36</v>
      </c>
      <c r="AB50" s="279"/>
      <c r="AC50" s="664"/>
      <c r="AD50" s="664"/>
      <c r="AE50" s="664"/>
      <c r="AF50" s="664"/>
    </row>
    <row r="51" spans="1:32" ht="84.6" customHeight="1" thickBot="1" x14ac:dyDescent="0.35">
      <c r="A51" s="191"/>
      <c r="B51" s="1075" t="s">
        <v>1264</v>
      </c>
      <c r="C51" s="1087" t="s">
        <v>1265</v>
      </c>
      <c r="D51" s="296" t="s">
        <v>1257</v>
      </c>
      <c r="E51" s="297">
        <v>0.6</v>
      </c>
      <c r="F51" s="283">
        <v>1</v>
      </c>
      <c r="G51" s="213">
        <v>0</v>
      </c>
      <c r="H51" s="213">
        <v>0.2</v>
      </c>
      <c r="I51" s="218"/>
      <c r="J51" s="218">
        <f t="shared" si="47"/>
        <v>0.2</v>
      </c>
      <c r="K51" s="218"/>
      <c r="L51" s="218">
        <f t="shared" si="48"/>
        <v>0.12</v>
      </c>
      <c r="M51" s="213"/>
      <c r="N51" s="670">
        <v>7.0000000000000007E-2</v>
      </c>
      <c r="O51" s="670">
        <v>0.33</v>
      </c>
      <c r="P51" s="213"/>
      <c r="Q51" s="213"/>
      <c r="R51" s="213">
        <f t="shared" ref="R51:R52" si="53">+N51+O51+P51+Q51</f>
        <v>0.4</v>
      </c>
      <c r="S51" s="249">
        <f t="shared" ref="S51:S52" si="54">+R51+M51</f>
        <v>0.4</v>
      </c>
      <c r="T51" s="218"/>
      <c r="U51" s="218">
        <v>1</v>
      </c>
      <c r="V51" s="218"/>
      <c r="W51" s="218">
        <f t="shared" ref="W51:W52" si="55">+U51*E51</f>
        <v>0.6</v>
      </c>
      <c r="X51" s="218"/>
      <c r="Y51" s="284">
        <f t="shared" si="45"/>
        <v>0.4</v>
      </c>
      <c r="Z51" s="284"/>
      <c r="AA51" s="284">
        <f>+Y51*E51</f>
        <v>0.24</v>
      </c>
      <c r="AB51" s="222" t="s">
        <v>43</v>
      </c>
      <c r="AC51" s="719" t="s">
        <v>44</v>
      </c>
      <c r="AD51" s="664"/>
      <c r="AE51" s="752" t="s">
        <v>1262</v>
      </c>
      <c r="AF51" s="664"/>
    </row>
    <row r="52" spans="1:32" ht="79.150000000000006" customHeight="1" thickBot="1" x14ac:dyDescent="0.35">
      <c r="A52" s="191"/>
      <c r="B52" s="1075" t="s">
        <v>1266</v>
      </c>
      <c r="C52" s="1087" t="s">
        <v>1267</v>
      </c>
      <c r="D52" s="296" t="s">
        <v>1257</v>
      </c>
      <c r="E52" s="297">
        <v>0.4</v>
      </c>
      <c r="F52" s="283">
        <v>2</v>
      </c>
      <c r="G52" s="213">
        <v>0.5</v>
      </c>
      <c r="H52" s="213">
        <v>0.5</v>
      </c>
      <c r="I52" s="218">
        <f>+G52/F52</f>
        <v>0.25</v>
      </c>
      <c r="J52" s="218">
        <f t="shared" si="47"/>
        <v>0.25</v>
      </c>
      <c r="K52" s="218">
        <f>+(G52/F52)*E52</f>
        <v>0.1</v>
      </c>
      <c r="L52" s="218">
        <f t="shared" si="48"/>
        <v>0.1</v>
      </c>
      <c r="M52" s="213">
        <v>0.5</v>
      </c>
      <c r="N52" s="670">
        <v>0.03</v>
      </c>
      <c r="O52" s="670">
        <v>7.0000000000000007E-2</v>
      </c>
      <c r="P52" s="213"/>
      <c r="Q52" s="213"/>
      <c r="R52" s="213">
        <f t="shared" si="53"/>
        <v>0.1</v>
      </c>
      <c r="S52" s="213">
        <f t="shared" si="54"/>
        <v>0.6</v>
      </c>
      <c r="T52" s="218">
        <f>+M52/G52</f>
        <v>1</v>
      </c>
      <c r="U52" s="218">
        <f t="shared" si="51"/>
        <v>0.2</v>
      </c>
      <c r="V52" s="218">
        <f>+T52*E52</f>
        <v>0.4</v>
      </c>
      <c r="W52" s="218">
        <f t="shared" si="55"/>
        <v>8.0000000000000016E-2</v>
      </c>
      <c r="X52" s="218">
        <f>+M52/F52</f>
        <v>0.25</v>
      </c>
      <c r="Y52" s="284">
        <f t="shared" si="45"/>
        <v>0.3</v>
      </c>
      <c r="Z52" s="284">
        <f>+X52*E52</f>
        <v>0.1</v>
      </c>
      <c r="AA52" s="284">
        <f>+Y52*E52</f>
        <v>0.12</v>
      </c>
      <c r="AB52" s="222" t="s">
        <v>43</v>
      </c>
      <c r="AC52" s="719" t="s">
        <v>44</v>
      </c>
      <c r="AD52" s="664"/>
      <c r="AE52" s="1157" t="s">
        <v>885</v>
      </c>
      <c r="AF52" s="664"/>
    </row>
    <row r="53" spans="1:32" ht="57" customHeight="1" thickBot="1" x14ac:dyDescent="0.35">
      <c r="A53" s="191"/>
      <c r="B53" s="1317" t="s">
        <v>1268</v>
      </c>
      <c r="C53" s="1327"/>
      <c r="D53" s="288"/>
      <c r="E53" s="289">
        <v>0.1</v>
      </c>
      <c r="F53" s="283"/>
      <c r="G53" s="206"/>
      <c r="H53" s="206"/>
      <c r="I53" s="212">
        <f>+AVERAGE(I54:I56)</f>
        <v>0.20833333333333334</v>
      </c>
      <c r="J53" s="212">
        <f>+AVERAGE(J54:J56)</f>
        <v>0.25</v>
      </c>
      <c r="K53" s="212">
        <f>+K54+K55+K56</f>
        <v>0.20250000000000001</v>
      </c>
      <c r="L53" s="212">
        <f>+L54+L55+L56</f>
        <v>0.24</v>
      </c>
      <c r="M53" s="211"/>
      <c r="N53" s="211"/>
      <c r="O53" s="211"/>
      <c r="P53" s="211"/>
      <c r="Q53" s="211"/>
      <c r="R53" s="211"/>
      <c r="S53" s="211"/>
      <c r="T53" s="235">
        <f>+AVERAGE(T54:T56)</f>
        <v>1</v>
      </c>
      <c r="U53" s="235">
        <f>+AVERAGE(U54:U56)</f>
        <v>0.34413333333333335</v>
      </c>
      <c r="V53" s="235">
        <f>+(V54+V55+V56)*E53</f>
        <v>0.1</v>
      </c>
      <c r="W53" s="235">
        <f>+(W54+W55+W56)*E53</f>
        <v>3.4127000000000005E-2</v>
      </c>
      <c r="X53" s="212">
        <f>+AVERAGE(X54:X56)</f>
        <v>0.25</v>
      </c>
      <c r="Y53" s="212">
        <f>+AVERAGE(Y54:Y56)</f>
        <v>0.33684999999999993</v>
      </c>
      <c r="Z53" s="278">
        <f>+(Z54+Z55+Z56)*E53</f>
        <v>2.4E-2</v>
      </c>
      <c r="AA53" s="278">
        <f>+(AA54+AA55+AA56)</f>
        <v>0.32252999999999998</v>
      </c>
      <c r="AB53" s="279"/>
      <c r="AC53" s="664"/>
      <c r="AD53" s="1152"/>
      <c r="AE53" s="664"/>
      <c r="AF53" s="664"/>
    </row>
    <row r="54" spans="1:32" ht="86.45" customHeight="1" thickBot="1" x14ac:dyDescent="0.35">
      <c r="A54" s="191"/>
      <c r="B54" s="1075" t="s">
        <v>1269</v>
      </c>
      <c r="C54" s="1087" t="s">
        <v>1270</v>
      </c>
      <c r="D54" s="281" t="s">
        <v>1257</v>
      </c>
      <c r="E54" s="285">
        <v>0.45</v>
      </c>
      <c r="F54" s="283">
        <v>5</v>
      </c>
      <c r="G54" s="213">
        <v>1</v>
      </c>
      <c r="H54" s="213">
        <v>1</v>
      </c>
      <c r="I54" s="218">
        <f>+G54/F54</f>
        <v>0.2</v>
      </c>
      <c r="J54" s="218">
        <f t="shared" si="47"/>
        <v>0.2</v>
      </c>
      <c r="K54" s="218">
        <f>+(G54/F54)*E54</f>
        <v>9.0000000000000011E-2</v>
      </c>
      <c r="L54" s="218">
        <f t="shared" si="48"/>
        <v>9.0000000000000011E-2</v>
      </c>
      <c r="M54" s="213">
        <v>1</v>
      </c>
      <c r="N54" s="670">
        <v>0.14000000000000001</v>
      </c>
      <c r="O54" s="670">
        <v>0.2</v>
      </c>
      <c r="P54" s="213"/>
      <c r="Q54" s="213"/>
      <c r="R54" s="213">
        <f t="shared" ref="R54:R56" si="56">+N54+O54+P54+Q54</f>
        <v>0.34</v>
      </c>
      <c r="S54" s="213">
        <f t="shared" ref="S54:S56" si="57">+R54+M54</f>
        <v>1.34</v>
      </c>
      <c r="T54" s="218">
        <f>+(M54/G54)</f>
        <v>1</v>
      </c>
      <c r="U54" s="218">
        <f t="shared" si="51"/>
        <v>0.34</v>
      </c>
      <c r="V54" s="218">
        <f>+T54*E54</f>
        <v>0.45</v>
      </c>
      <c r="W54" s="218">
        <f t="shared" ref="W54:W56" si="58">+U54*E54</f>
        <v>0.15300000000000002</v>
      </c>
      <c r="X54" s="218">
        <f>+M54/F54</f>
        <v>0.2</v>
      </c>
      <c r="Y54" s="284">
        <f t="shared" si="45"/>
        <v>0.26800000000000002</v>
      </c>
      <c r="Z54" s="284">
        <f>+X54*E54</f>
        <v>9.0000000000000011E-2</v>
      </c>
      <c r="AA54" s="284">
        <f>+Y54*E54</f>
        <v>0.12060000000000001</v>
      </c>
      <c r="AB54" s="222" t="s">
        <v>43</v>
      </c>
      <c r="AC54" s="1150" t="s">
        <v>44</v>
      </c>
      <c r="AD54" s="1159" t="s">
        <v>1169</v>
      </c>
      <c r="AE54" s="1157" t="s">
        <v>885</v>
      </c>
      <c r="AF54" s="664"/>
    </row>
    <row r="55" spans="1:32" ht="76.900000000000006" customHeight="1" thickBot="1" x14ac:dyDescent="0.35">
      <c r="A55" s="191"/>
      <c r="B55" s="1075" t="s">
        <v>1271</v>
      </c>
      <c r="C55" s="1087" t="s">
        <v>1272</v>
      </c>
      <c r="D55" s="281" t="s">
        <v>1257</v>
      </c>
      <c r="E55" s="285">
        <v>0.3</v>
      </c>
      <c r="F55" s="283">
        <v>4</v>
      </c>
      <c r="G55" s="213">
        <v>0.5</v>
      </c>
      <c r="H55" s="213">
        <v>1</v>
      </c>
      <c r="I55" s="218">
        <f>+G55/F55</f>
        <v>0.125</v>
      </c>
      <c r="J55" s="218">
        <f t="shared" si="47"/>
        <v>0.25</v>
      </c>
      <c r="K55" s="218">
        <f>+(G55/F55)*E55</f>
        <v>3.7499999999999999E-2</v>
      </c>
      <c r="L55" s="218">
        <f t="shared" si="48"/>
        <v>7.4999999999999997E-2</v>
      </c>
      <c r="M55" s="213">
        <v>1</v>
      </c>
      <c r="N55" s="671">
        <v>1.67E-2</v>
      </c>
      <c r="O55" s="671">
        <v>0.28670000000000001</v>
      </c>
      <c r="P55" s="213"/>
      <c r="Q55" s="213"/>
      <c r="R55" s="213">
        <f t="shared" si="56"/>
        <v>0.3034</v>
      </c>
      <c r="S55" s="213">
        <f t="shared" si="57"/>
        <v>1.3033999999999999</v>
      </c>
      <c r="T55" s="218">
        <v>1</v>
      </c>
      <c r="U55" s="218">
        <f t="shared" si="51"/>
        <v>0.3034</v>
      </c>
      <c r="V55" s="218">
        <f>+T55*E55</f>
        <v>0.3</v>
      </c>
      <c r="W55" s="218">
        <f t="shared" si="58"/>
        <v>9.1020000000000004E-2</v>
      </c>
      <c r="X55" s="218">
        <f>+M55/F55</f>
        <v>0.25</v>
      </c>
      <c r="Y55" s="284">
        <f t="shared" si="45"/>
        <v>0.32584999999999997</v>
      </c>
      <c r="Z55" s="284">
        <f>+X55*E55</f>
        <v>7.4999999999999997E-2</v>
      </c>
      <c r="AA55" s="284">
        <f>+Y55*E55</f>
        <v>9.7754999999999995E-2</v>
      </c>
      <c r="AB55" s="222" t="s">
        <v>43</v>
      </c>
      <c r="AC55" s="1150" t="s">
        <v>44</v>
      </c>
      <c r="AD55" s="1159" t="s">
        <v>1169</v>
      </c>
      <c r="AE55" s="1157" t="s">
        <v>885</v>
      </c>
      <c r="AF55" s="664"/>
    </row>
    <row r="56" spans="1:32" ht="56.45" customHeight="1" thickBot="1" x14ac:dyDescent="0.35">
      <c r="A56" s="191"/>
      <c r="B56" s="1075" t="s">
        <v>1273</v>
      </c>
      <c r="C56" s="1087" t="s">
        <v>1274</v>
      </c>
      <c r="D56" s="281" t="s">
        <v>1257</v>
      </c>
      <c r="E56" s="285">
        <v>0.25</v>
      </c>
      <c r="F56" s="283">
        <v>1</v>
      </c>
      <c r="G56" s="213">
        <v>0.3</v>
      </c>
      <c r="H56" s="213">
        <v>0.3</v>
      </c>
      <c r="I56" s="218">
        <f>+G56/F56</f>
        <v>0.3</v>
      </c>
      <c r="J56" s="218">
        <f t="shared" si="47"/>
        <v>0.3</v>
      </c>
      <c r="K56" s="218">
        <f>+(G56/F56)*E56</f>
        <v>7.4999999999999997E-2</v>
      </c>
      <c r="L56" s="218">
        <f t="shared" si="48"/>
        <v>7.4999999999999997E-2</v>
      </c>
      <c r="M56" s="213">
        <v>0.3</v>
      </c>
      <c r="N56" s="671">
        <v>1.67E-2</v>
      </c>
      <c r="O56" s="671">
        <v>0.1</v>
      </c>
      <c r="P56" s="213"/>
      <c r="Q56" s="213"/>
      <c r="R56" s="213">
        <f t="shared" si="56"/>
        <v>0.1167</v>
      </c>
      <c r="S56" s="213">
        <f t="shared" si="57"/>
        <v>0.41669999999999996</v>
      </c>
      <c r="T56" s="218">
        <f t="shared" ref="T56" si="59">+(M56/G56)</f>
        <v>1</v>
      </c>
      <c r="U56" s="218">
        <f t="shared" si="51"/>
        <v>0.38900000000000001</v>
      </c>
      <c r="V56" s="218">
        <f>+T56*E56</f>
        <v>0.25</v>
      </c>
      <c r="W56" s="218">
        <f t="shared" si="58"/>
        <v>9.7250000000000003E-2</v>
      </c>
      <c r="X56" s="218">
        <f>+M56/F56</f>
        <v>0.3</v>
      </c>
      <c r="Y56" s="284">
        <f t="shared" si="45"/>
        <v>0.41669999999999996</v>
      </c>
      <c r="Z56" s="284">
        <f>+X56*E56</f>
        <v>7.4999999999999997E-2</v>
      </c>
      <c r="AA56" s="284">
        <f>+Y56*E56</f>
        <v>0.10417499999999999</v>
      </c>
      <c r="AB56" s="222" t="s">
        <v>43</v>
      </c>
      <c r="AC56" s="1150" t="s">
        <v>44</v>
      </c>
      <c r="AD56" s="1159" t="s">
        <v>1169</v>
      </c>
      <c r="AE56" s="1157" t="s">
        <v>885</v>
      </c>
      <c r="AF56" s="664"/>
    </row>
    <row r="57" spans="1:32" ht="86.25" customHeight="1" thickBot="1" x14ac:dyDescent="0.35">
      <c r="A57" s="191"/>
      <c r="B57" s="1317" t="s">
        <v>1275</v>
      </c>
      <c r="C57" s="1327"/>
      <c r="D57" s="288"/>
      <c r="E57" s="289">
        <v>0.25</v>
      </c>
      <c r="F57" s="283"/>
      <c r="G57" s="206"/>
      <c r="H57" s="206"/>
      <c r="I57" s="212">
        <f>+AVERAGE(I58:I59)</f>
        <v>0.16666666666666666</v>
      </c>
      <c r="J57" s="212">
        <f>+AVERAGE(J58:J59)</f>
        <v>0.31666666666666665</v>
      </c>
      <c r="K57" s="212">
        <f>+K58+K59</f>
        <v>0.13333333333333333</v>
      </c>
      <c r="L57" s="212">
        <f>+L58+L59</f>
        <v>0.32666666666666666</v>
      </c>
      <c r="M57" s="211"/>
      <c r="N57" s="211"/>
      <c r="O57" s="211"/>
      <c r="P57" s="211"/>
      <c r="Q57" s="211"/>
      <c r="R57" s="211"/>
      <c r="S57" s="211"/>
      <c r="T57" s="235">
        <f>+AVERAGE(T58:T59)</f>
        <v>0.5</v>
      </c>
      <c r="U57" s="235">
        <f>+AVERAGE(U58:U59)</f>
        <v>0.27100000000000002</v>
      </c>
      <c r="V57" s="235">
        <f>+(V58+V59)*E57</f>
        <v>0.1</v>
      </c>
      <c r="W57" s="235">
        <f>+(W58+W59)*E57</f>
        <v>2.7100000000000003E-2</v>
      </c>
      <c r="X57" s="212">
        <f>+AVERAGE(X58:X59)</f>
        <v>8.3333333333333329E-2</v>
      </c>
      <c r="Y57" s="212">
        <f>+AVERAGE(Y58:Y59)</f>
        <v>0.12296666666666667</v>
      </c>
      <c r="Z57" s="278">
        <f>+(Z58+Z59)*E57</f>
        <v>1.6666666666666666E-2</v>
      </c>
      <c r="AA57" s="278">
        <f>+(AA58+AA59)</f>
        <v>9.9186666666666673E-2</v>
      </c>
      <c r="AB57" s="279"/>
      <c r="AC57" s="664"/>
      <c r="AD57" s="1158"/>
      <c r="AE57" s="1152"/>
      <c r="AF57" s="664"/>
    </row>
    <row r="58" spans="1:32" ht="78" customHeight="1" thickBot="1" x14ac:dyDescent="0.35">
      <c r="A58" s="191"/>
      <c r="B58" s="1088" t="s">
        <v>1276</v>
      </c>
      <c r="C58" s="1089" t="s">
        <v>1277</v>
      </c>
      <c r="D58" s="299" t="s">
        <v>1206</v>
      </c>
      <c r="E58" s="285">
        <v>0.2</v>
      </c>
      <c r="F58" s="283">
        <v>10000</v>
      </c>
      <c r="G58" s="213">
        <v>0</v>
      </c>
      <c r="H58" s="213">
        <v>3000</v>
      </c>
      <c r="I58" s="218"/>
      <c r="J58" s="218">
        <f t="shared" ref="J58:J59" si="60">+H58/F58</f>
        <v>0.3</v>
      </c>
      <c r="K58" s="218"/>
      <c r="L58" s="218">
        <f t="shared" si="48"/>
        <v>0.06</v>
      </c>
      <c r="M58" s="213"/>
      <c r="N58" s="670">
        <v>0</v>
      </c>
      <c r="O58" s="670">
        <v>1626</v>
      </c>
      <c r="P58" s="213"/>
      <c r="Q58" s="213"/>
      <c r="R58" s="213">
        <f t="shared" ref="R58:R59" si="61">+N58+O58+P58+Q58</f>
        <v>1626</v>
      </c>
      <c r="S58" s="213">
        <f t="shared" ref="S58:S59" si="62">+R58+M58</f>
        <v>1626</v>
      </c>
      <c r="T58" s="218"/>
      <c r="U58" s="218">
        <f t="shared" si="51"/>
        <v>0.54200000000000004</v>
      </c>
      <c r="V58" s="218"/>
      <c r="W58" s="218">
        <f t="shared" ref="W58:W59" si="63">+U58*E58</f>
        <v>0.10840000000000001</v>
      </c>
      <c r="X58" s="218"/>
      <c r="Y58" s="287">
        <f t="shared" si="45"/>
        <v>0.16259999999999999</v>
      </c>
      <c r="Z58" s="284"/>
      <c r="AA58" s="284">
        <f>+Y58*E58</f>
        <v>3.252E-2</v>
      </c>
      <c r="AB58" s="222" t="s">
        <v>43</v>
      </c>
      <c r="AC58" s="1154" t="s">
        <v>127</v>
      </c>
      <c r="AD58" s="1159" t="s">
        <v>1169</v>
      </c>
      <c r="AE58" s="1157" t="s">
        <v>885</v>
      </c>
      <c r="AF58" s="1151"/>
    </row>
    <row r="59" spans="1:32" ht="102.6" customHeight="1" thickBot="1" x14ac:dyDescent="0.35">
      <c r="A59" s="191"/>
      <c r="B59" s="1088" t="s">
        <v>1278</v>
      </c>
      <c r="C59" s="1089" t="s">
        <v>1279</v>
      </c>
      <c r="D59" s="299" t="s">
        <v>1206</v>
      </c>
      <c r="E59" s="285">
        <v>0.8</v>
      </c>
      <c r="F59" s="283">
        <v>6</v>
      </c>
      <c r="G59" s="213">
        <v>1</v>
      </c>
      <c r="H59" s="294">
        <v>2</v>
      </c>
      <c r="I59" s="218">
        <f>+G59/F59</f>
        <v>0.16666666666666666</v>
      </c>
      <c r="J59" s="218">
        <f t="shared" si="60"/>
        <v>0.33333333333333331</v>
      </c>
      <c r="K59" s="218">
        <f>+(G59/F59)*E59</f>
        <v>0.13333333333333333</v>
      </c>
      <c r="L59" s="218">
        <f t="shared" si="48"/>
        <v>0.26666666666666666</v>
      </c>
      <c r="M59" s="213">
        <v>0.5</v>
      </c>
      <c r="N59" s="670">
        <v>0</v>
      </c>
      <c r="O59" s="670">
        <v>0</v>
      </c>
      <c r="P59" s="213"/>
      <c r="Q59" s="213"/>
      <c r="R59" s="213">
        <f t="shared" si="61"/>
        <v>0</v>
      </c>
      <c r="S59" s="213">
        <f t="shared" si="62"/>
        <v>0.5</v>
      </c>
      <c r="T59" s="218">
        <f>+(M59/G59)</f>
        <v>0.5</v>
      </c>
      <c r="U59" s="218">
        <f t="shared" si="51"/>
        <v>0</v>
      </c>
      <c r="V59" s="218">
        <f>+T59*E59</f>
        <v>0.4</v>
      </c>
      <c r="W59" s="218">
        <f t="shared" si="63"/>
        <v>0</v>
      </c>
      <c r="X59" s="237">
        <f>+M59/F59</f>
        <v>8.3333333333333329E-2</v>
      </c>
      <c r="Y59" s="287">
        <f t="shared" si="45"/>
        <v>8.3333333333333329E-2</v>
      </c>
      <c r="Z59" s="287">
        <f>+X59*E59</f>
        <v>6.6666666666666666E-2</v>
      </c>
      <c r="AA59" s="287">
        <f>+Y59*E59</f>
        <v>6.6666666666666666E-2</v>
      </c>
      <c r="AB59" s="717" t="s">
        <v>43</v>
      </c>
      <c r="AC59" s="1153" t="s">
        <v>44</v>
      </c>
      <c r="AD59" s="1159" t="s">
        <v>1169</v>
      </c>
      <c r="AE59" s="1159" t="s">
        <v>885</v>
      </c>
      <c r="AF59" s="1151"/>
    </row>
    <row r="60" spans="1:32" ht="108.75" customHeight="1" thickBot="1" x14ac:dyDescent="0.35">
      <c r="A60" s="191"/>
      <c r="B60" s="1321" t="s">
        <v>1280</v>
      </c>
      <c r="C60" s="1327"/>
      <c r="D60" s="288"/>
      <c r="E60" s="291">
        <v>0.15</v>
      </c>
      <c r="F60" s="201">
        <f>+E60*V60</f>
        <v>0.12154551724137931</v>
      </c>
      <c r="G60" s="206"/>
      <c r="H60" s="202">
        <f>+E60*W60</f>
        <v>6.3061499999999993E-2</v>
      </c>
      <c r="I60" s="204">
        <f>+(I61+I64+I69+I73+I77+I79)/6</f>
        <v>0.25786840977058367</v>
      </c>
      <c r="J60" s="204">
        <f>+(J61+J64+J69+J73+J77+J79)/6</f>
        <v>0.2488091316895665</v>
      </c>
      <c r="K60" s="205">
        <f>+(K61+K64+K69+K73+K77+K79)/6</f>
        <v>0.23061672626890017</v>
      </c>
      <c r="L60" s="205">
        <f>+(L61+L64+L69+L73+L77+L79)/6</f>
        <v>0.24748337411380886</v>
      </c>
      <c r="M60" s="206"/>
      <c r="N60" s="206"/>
      <c r="O60" s="206"/>
      <c r="P60" s="206"/>
      <c r="Q60" s="206"/>
      <c r="R60" s="206"/>
      <c r="S60" s="206"/>
      <c r="T60" s="204">
        <f>+(T61+T64+T69+T73+T77+T79)/6</f>
        <v>0.89865134099616861</v>
      </c>
      <c r="U60" s="204">
        <f>+(U61+U64+U69+U73+U77+U79)/6</f>
        <v>0.44227777777777777</v>
      </c>
      <c r="V60" s="205">
        <f>+V61+V64+V69+V73+V77+V79</f>
        <v>0.81030344827586209</v>
      </c>
      <c r="W60" s="205">
        <f>+W61+W64+W69+W73+W77+W79</f>
        <v>0.42040999999999995</v>
      </c>
      <c r="X60" s="204">
        <f>(X61+X64+X69+X73+X77+X79)/6</f>
        <v>0.34751855340367338</v>
      </c>
      <c r="Y60" s="204">
        <f>(Y61+Y64+Y69+Y73+Y77+Y79)/6</f>
        <v>0.46996420327895211</v>
      </c>
      <c r="Z60" s="275">
        <f>+(Z61+Z64+Z69+Z73+Z77+Z79)</f>
        <v>0.30808632226094745</v>
      </c>
      <c r="AA60" s="275">
        <f>+(AA61*E61+AA64*E64+AA69*E69+AA73*E73+AA77*E77+AA79*E79)</f>
        <v>0.42063963005510235</v>
      </c>
      <c r="AB60" s="276"/>
      <c r="AC60" s="1105"/>
      <c r="AD60" s="1105"/>
      <c r="AE60" s="1105"/>
      <c r="AF60" s="664"/>
    </row>
    <row r="61" spans="1:32" ht="57" customHeight="1" thickBot="1" x14ac:dyDescent="0.35">
      <c r="A61" s="191"/>
      <c r="B61" s="1317" t="s">
        <v>1281</v>
      </c>
      <c r="C61" s="1327"/>
      <c r="D61" s="288"/>
      <c r="E61" s="289">
        <v>0.1</v>
      </c>
      <c r="F61" s="283"/>
      <c r="G61" s="206"/>
      <c r="H61" s="206"/>
      <c r="I61" s="212">
        <f>+AVERAGE(I62:I63)</f>
        <v>0.33333333333333331</v>
      </c>
      <c r="J61" s="212">
        <f>+AVERAGE(J62:J63)</f>
        <v>0.29166666666666663</v>
      </c>
      <c r="K61" s="212">
        <f>+K62+K63</f>
        <v>9.9999999999999992E-2</v>
      </c>
      <c r="L61" s="212">
        <f>+L62+L63</f>
        <v>0.27499999999999997</v>
      </c>
      <c r="M61" s="211"/>
      <c r="N61" s="211"/>
      <c r="O61" s="211"/>
      <c r="P61" s="211"/>
      <c r="Q61" s="211"/>
      <c r="R61" s="211"/>
      <c r="S61" s="211"/>
      <c r="T61" s="235">
        <f>+AVERAGE(T62:T63)</f>
        <v>0.9</v>
      </c>
      <c r="U61" s="235">
        <f>+AVERAGE(U62:U63)</f>
        <v>0.30249999999999999</v>
      </c>
      <c r="V61" s="235">
        <f>+(V62+V63)*E61</f>
        <v>2.7000000000000003E-2</v>
      </c>
      <c r="W61" s="235">
        <f>+(W62+W63)*E61</f>
        <v>2.1350000000000001E-2</v>
      </c>
      <c r="X61" s="212">
        <f>+AVERAGE(X62:X63)</f>
        <v>0.3</v>
      </c>
      <c r="Y61" s="212">
        <f>+X61+((Y62-X62)/2)+(Y63/2)</f>
        <v>0.39750000000000002</v>
      </c>
      <c r="Z61" s="278">
        <f>+(Z62+Z63)*E61</f>
        <v>8.9999999999999993E-3</v>
      </c>
      <c r="AA61" s="278">
        <f>+(AA62+AA63)</f>
        <v>0.15650000000000003</v>
      </c>
      <c r="AB61" s="279"/>
      <c r="AC61" s="664"/>
      <c r="AD61" s="1152"/>
      <c r="AE61" s="664"/>
      <c r="AF61" s="664"/>
    </row>
    <row r="62" spans="1:32" ht="90" customHeight="1" thickBot="1" x14ac:dyDescent="0.35">
      <c r="A62" s="191"/>
      <c r="B62" s="1137" t="s">
        <v>1282</v>
      </c>
      <c r="C62" s="1138" t="s">
        <v>1283</v>
      </c>
      <c r="D62" s="281" t="s">
        <v>1257</v>
      </c>
      <c r="E62" s="285">
        <v>0.3</v>
      </c>
      <c r="F62" s="283">
        <v>6</v>
      </c>
      <c r="G62" s="213">
        <v>2</v>
      </c>
      <c r="H62" s="213">
        <v>2</v>
      </c>
      <c r="I62" s="218">
        <f>+G62/F62</f>
        <v>0.33333333333333331</v>
      </c>
      <c r="J62" s="218">
        <f t="shared" ref="J62:J63" si="64">+H62/F62</f>
        <v>0.33333333333333331</v>
      </c>
      <c r="K62" s="218">
        <f>+(G62/F62)*E62</f>
        <v>9.9999999999999992E-2</v>
      </c>
      <c r="L62" s="218">
        <f t="shared" ref="L62:L81" si="65">+(H62/F62)*E62</f>
        <v>9.9999999999999992E-2</v>
      </c>
      <c r="M62" s="213">
        <v>1.8</v>
      </c>
      <c r="N62" s="670">
        <v>0.15</v>
      </c>
      <c r="O62" s="213">
        <v>0.9</v>
      </c>
      <c r="P62" s="213"/>
      <c r="Q62" s="213"/>
      <c r="R62" s="213">
        <f t="shared" ref="R62:R63" si="66">+N62+O62+P62+Q62</f>
        <v>1.05</v>
      </c>
      <c r="S62" s="213">
        <f t="shared" ref="S62:S63" si="67">+R62+M62</f>
        <v>2.85</v>
      </c>
      <c r="T62" s="218">
        <f>+(M62/G62)</f>
        <v>0.9</v>
      </c>
      <c r="U62" s="218">
        <f t="shared" ref="U62:U63" si="68">+R62/H62</f>
        <v>0.52500000000000002</v>
      </c>
      <c r="V62" s="218">
        <f>+T62*E62</f>
        <v>0.27</v>
      </c>
      <c r="W62" s="218">
        <f t="shared" ref="W62:W63" si="69">+U62*E62</f>
        <v>0.1575</v>
      </c>
      <c r="X62" s="218">
        <f>+M62/F62</f>
        <v>0.3</v>
      </c>
      <c r="Y62" s="284">
        <f t="shared" ref="Y62:Y63" si="70">+S62/F62</f>
        <v>0.47500000000000003</v>
      </c>
      <c r="Z62" s="284">
        <f>+X62*E62</f>
        <v>0.09</v>
      </c>
      <c r="AA62" s="284">
        <f>+Y62*E62</f>
        <v>0.14250000000000002</v>
      </c>
      <c r="AB62" s="222" t="s">
        <v>43</v>
      </c>
      <c r="AC62" s="1155" t="s">
        <v>44</v>
      </c>
      <c r="AD62" s="746" t="s">
        <v>1169</v>
      </c>
      <c r="AE62" s="1159" t="s">
        <v>885</v>
      </c>
      <c r="AF62" s="664"/>
    </row>
    <row r="63" spans="1:32" ht="88.15" customHeight="1" thickBot="1" x14ac:dyDescent="0.35">
      <c r="A63" s="191"/>
      <c r="B63" s="1075" t="s">
        <v>1284</v>
      </c>
      <c r="C63" s="1087" t="s">
        <v>1285</v>
      </c>
      <c r="D63" s="281" t="s">
        <v>1286</v>
      </c>
      <c r="E63" s="285">
        <v>0.7</v>
      </c>
      <c r="F63" s="283">
        <v>1</v>
      </c>
      <c r="G63" s="213">
        <v>0</v>
      </c>
      <c r="H63" s="213">
        <v>0.25</v>
      </c>
      <c r="I63" s="218"/>
      <c r="J63" s="218">
        <f t="shared" si="64"/>
        <v>0.25</v>
      </c>
      <c r="K63" s="218"/>
      <c r="L63" s="218">
        <f t="shared" si="65"/>
        <v>0.17499999999999999</v>
      </c>
      <c r="M63" s="213"/>
      <c r="N63" s="670">
        <v>0</v>
      </c>
      <c r="O63" s="670">
        <v>0.02</v>
      </c>
      <c r="P63" s="213"/>
      <c r="Q63" s="213"/>
      <c r="R63" s="213">
        <f t="shared" si="66"/>
        <v>0.02</v>
      </c>
      <c r="S63" s="213">
        <f t="shared" si="67"/>
        <v>0.02</v>
      </c>
      <c r="T63" s="218"/>
      <c r="U63" s="237">
        <f t="shared" si="68"/>
        <v>0.08</v>
      </c>
      <c r="V63" s="218"/>
      <c r="W63" s="218">
        <f t="shared" si="69"/>
        <v>5.5999999999999994E-2</v>
      </c>
      <c r="X63" s="237"/>
      <c r="Y63" s="287">
        <f t="shared" si="70"/>
        <v>0.02</v>
      </c>
      <c r="Z63" s="287">
        <v>0</v>
      </c>
      <c r="AA63" s="287">
        <f>+Y63*E63</f>
        <v>1.3999999999999999E-2</v>
      </c>
      <c r="AB63" s="222" t="s">
        <v>43</v>
      </c>
      <c r="AC63" s="1156" t="s">
        <v>127</v>
      </c>
      <c r="AD63" s="746" t="s">
        <v>1169</v>
      </c>
      <c r="AE63" s="1159" t="s">
        <v>885</v>
      </c>
      <c r="AF63" s="664"/>
    </row>
    <row r="64" spans="1:32" ht="42.75" customHeight="1" thickBot="1" x14ac:dyDescent="0.35">
      <c r="A64" s="191"/>
      <c r="B64" s="1317" t="s">
        <v>1287</v>
      </c>
      <c r="C64" s="1327"/>
      <c r="D64" s="288"/>
      <c r="E64" s="289">
        <v>0.15</v>
      </c>
      <c r="F64" s="283"/>
      <c r="G64" s="206"/>
      <c r="H64" s="206"/>
      <c r="I64" s="212">
        <f>+AVERAGE(I65:I68)</f>
        <v>0.23295454545454547</v>
      </c>
      <c r="J64" s="212">
        <f>+AVERAGE(J65:J68)</f>
        <v>0.25568181818181818</v>
      </c>
      <c r="K64" s="212">
        <f>+K65+K66+K67+K68</f>
        <v>0.22954545454545455</v>
      </c>
      <c r="L64" s="212">
        <f>+L65+L66+L67+L68</f>
        <v>0.25681818181818178</v>
      </c>
      <c r="M64" s="211"/>
      <c r="N64" s="211"/>
      <c r="O64" s="211"/>
      <c r="P64" s="211"/>
      <c r="Q64" s="211"/>
      <c r="R64" s="211"/>
      <c r="S64" s="211"/>
      <c r="T64" s="235">
        <f>+AVERAGE(T65:T68)</f>
        <v>1</v>
      </c>
      <c r="U64" s="235">
        <f>+AVERAGE(U65:U68)</f>
        <v>0.29894444444444446</v>
      </c>
      <c r="V64" s="235">
        <f>+(V65+V66+V67+V68)*E64</f>
        <v>0.15</v>
      </c>
      <c r="W64" s="235">
        <f>+(W65+W66+W67+W68)*E64</f>
        <v>5.1560000000000002E-2</v>
      </c>
      <c r="X64" s="212">
        <f>+AVERAGE(X65:X68)</f>
        <v>0.32170454545454552</v>
      </c>
      <c r="Y64" s="212">
        <f>+AVERAGE(Y65:Y68)</f>
        <v>0.3980189393939394</v>
      </c>
      <c r="Z64" s="278">
        <f>+(Z65+Z66+Z67+Z68)*E64</f>
        <v>4.8156818181818176E-2</v>
      </c>
      <c r="AA64" s="278">
        <f>+(AA65+AA66+AA67+AA68)</f>
        <v>0.40887272727272728</v>
      </c>
      <c r="AB64" s="279"/>
      <c r="AC64" s="664"/>
      <c r="AD64" s="1105"/>
      <c r="AE64" s="664"/>
      <c r="AF64" s="664"/>
    </row>
    <row r="65" spans="1:32" ht="75.599999999999994" customHeight="1" thickBot="1" x14ac:dyDescent="0.35">
      <c r="A65" s="191"/>
      <c r="B65" s="1137" t="s">
        <v>1288</v>
      </c>
      <c r="C65" s="1138" t="s">
        <v>1289</v>
      </c>
      <c r="D65" s="281" t="s">
        <v>1290</v>
      </c>
      <c r="E65" s="285">
        <v>0.3</v>
      </c>
      <c r="F65" s="283">
        <v>1</v>
      </c>
      <c r="G65" s="294">
        <v>0.25</v>
      </c>
      <c r="H65" s="294">
        <v>0.25</v>
      </c>
      <c r="I65" s="218">
        <f>+G65/F65</f>
        <v>0.25</v>
      </c>
      <c r="J65" s="218">
        <f t="shared" ref="J65:J68" si="71">+H65/F65</f>
        <v>0.25</v>
      </c>
      <c r="K65" s="218">
        <f>+(G65/F65)*E65</f>
        <v>7.4999999999999997E-2</v>
      </c>
      <c r="L65" s="218">
        <f t="shared" si="65"/>
        <v>7.4999999999999997E-2</v>
      </c>
      <c r="M65" s="300">
        <v>0.45500000000000002</v>
      </c>
      <c r="N65" s="671">
        <v>3.2000000000000001E-2</v>
      </c>
      <c r="O65" s="671">
        <v>0.16</v>
      </c>
      <c r="P65" s="300"/>
      <c r="Q65" s="300"/>
      <c r="R65" s="300">
        <f t="shared" ref="R65:R68" si="72">+N65+O65+P65+Q65</f>
        <v>0.192</v>
      </c>
      <c r="S65" s="300">
        <f t="shared" ref="S65:S68" si="73">+R65+M65</f>
        <v>0.64700000000000002</v>
      </c>
      <c r="T65" s="237">
        <v>1</v>
      </c>
      <c r="U65" s="237">
        <f t="shared" ref="U65:U68" si="74">+R65/H65</f>
        <v>0.76800000000000002</v>
      </c>
      <c r="V65" s="237">
        <f>+T65*E65</f>
        <v>0.3</v>
      </c>
      <c r="W65" s="237">
        <f t="shared" ref="W65:W68" si="75">+U65*E65</f>
        <v>0.23039999999999999</v>
      </c>
      <c r="X65" s="237">
        <f>+M65/F65</f>
        <v>0.45500000000000002</v>
      </c>
      <c r="Y65" s="287">
        <f t="shared" ref="Y65:Y68" si="76">+S65/F65</f>
        <v>0.64700000000000002</v>
      </c>
      <c r="Z65" s="284">
        <f>+X65*E65</f>
        <v>0.13650000000000001</v>
      </c>
      <c r="AA65" s="284">
        <f>+Y65*E65</f>
        <v>0.19409999999999999</v>
      </c>
      <c r="AB65" s="222" t="s">
        <v>43</v>
      </c>
      <c r="AC65" s="726" t="s">
        <v>44</v>
      </c>
      <c r="AD65" s="719" t="s">
        <v>1291</v>
      </c>
      <c r="AE65" s="1159" t="s">
        <v>885</v>
      </c>
      <c r="AF65" s="1151"/>
    </row>
    <row r="66" spans="1:32" ht="145.15" customHeight="1" thickBot="1" x14ac:dyDescent="0.35">
      <c r="A66" s="191"/>
      <c r="B66" s="1137" t="s">
        <v>1292</v>
      </c>
      <c r="C66" s="1138" t="s">
        <v>1293</v>
      </c>
      <c r="D66" s="281" t="s">
        <v>1294</v>
      </c>
      <c r="E66" s="285">
        <v>0.2</v>
      </c>
      <c r="F66" s="283">
        <v>4</v>
      </c>
      <c r="G66" s="294">
        <v>1</v>
      </c>
      <c r="H66" s="294">
        <v>1</v>
      </c>
      <c r="I66" s="301">
        <f>+G66/F66</f>
        <v>0.25</v>
      </c>
      <c r="J66" s="301">
        <f t="shared" si="71"/>
        <v>0.25</v>
      </c>
      <c r="K66" s="301">
        <f>+(G66/F66)*E66</f>
        <v>0.05</v>
      </c>
      <c r="L66" s="301">
        <f t="shared" si="65"/>
        <v>0.05</v>
      </c>
      <c r="M66" s="300">
        <v>1</v>
      </c>
      <c r="N66" s="671">
        <v>0.05</v>
      </c>
      <c r="O66" s="671">
        <v>0.02</v>
      </c>
      <c r="P66" s="300"/>
      <c r="Q66" s="300"/>
      <c r="R66" s="300">
        <f t="shared" si="72"/>
        <v>7.0000000000000007E-2</v>
      </c>
      <c r="S66" s="300">
        <f t="shared" si="73"/>
        <v>1.07</v>
      </c>
      <c r="T66" s="237">
        <f>+(M66/G66)</f>
        <v>1</v>
      </c>
      <c r="U66" s="237">
        <f t="shared" si="74"/>
        <v>7.0000000000000007E-2</v>
      </c>
      <c r="V66" s="237">
        <f>+T66*E66</f>
        <v>0.2</v>
      </c>
      <c r="W66" s="237">
        <f t="shared" si="75"/>
        <v>1.4000000000000002E-2</v>
      </c>
      <c r="X66" s="237">
        <f>+M66/F66</f>
        <v>0.25</v>
      </c>
      <c r="Y66" s="287">
        <f t="shared" si="76"/>
        <v>0.26750000000000002</v>
      </c>
      <c r="Z66" s="284">
        <f>+X66*E66</f>
        <v>0.05</v>
      </c>
      <c r="AA66" s="284">
        <f>+Y66*E66</f>
        <v>5.3500000000000006E-2</v>
      </c>
      <c r="AB66" s="222" t="s">
        <v>43</v>
      </c>
      <c r="AC66" s="726" t="s">
        <v>44</v>
      </c>
      <c r="AD66" s="719" t="s">
        <v>1291</v>
      </c>
      <c r="AE66" s="1159" t="s">
        <v>885</v>
      </c>
      <c r="AF66" s="1151"/>
    </row>
    <row r="67" spans="1:32" ht="85.15" customHeight="1" thickBot="1" x14ac:dyDescent="0.35">
      <c r="A67" s="191"/>
      <c r="B67" s="1137" t="s">
        <v>1295</v>
      </c>
      <c r="C67" s="1138" t="s">
        <v>1296</v>
      </c>
      <c r="D67" s="281" t="s">
        <v>1290</v>
      </c>
      <c r="E67" s="285">
        <v>0.3</v>
      </c>
      <c r="F67" s="283">
        <v>33</v>
      </c>
      <c r="G67" s="213">
        <v>6</v>
      </c>
      <c r="H67" s="213">
        <v>9</v>
      </c>
      <c r="I67" s="218">
        <f>+G67/F67</f>
        <v>0.18181818181818182</v>
      </c>
      <c r="J67" s="218">
        <f t="shared" si="71"/>
        <v>0.27272727272727271</v>
      </c>
      <c r="K67" s="218">
        <f>+(G67/F67)*E67</f>
        <v>5.4545454545454543E-2</v>
      </c>
      <c r="L67" s="218">
        <f t="shared" si="65"/>
        <v>8.1818181818181804E-2</v>
      </c>
      <c r="M67" s="249">
        <v>6</v>
      </c>
      <c r="N67" s="671">
        <v>2</v>
      </c>
      <c r="O67" s="671">
        <v>0.5</v>
      </c>
      <c r="P67" s="249"/>
      <c r="Q67" s="249"/>
      <c r="R67" s="249">
        <f t="shared" si="72"/>
        <v>2.5</v>
      </c>
      <c r="S67" s="249">
        <f t="shared" si="73"/>
        <v>8.5</v>
      </c>
      <c r="T67" s="237">
        <f>+(M67/G67)</f>
        <v>1</v>
      </c>
      <c r="U67" s="237">
        <f t="shared" si="74"/>
        <v>0.27777777777777779</v>
      </c>
      <c r="V67" s="237">
        <f>+T67*E67</f>
        <v>0.3</v>
      </c>
      <c r="W67" s="237">
        <f t="shared" si="75"/>
        <v>8.3333333333333329E-2</v>
      </c>
      <c r="X67" s="237">
        <f>+M67/F67</f>
        <v>0.18181818181818182</v>
      </c>
      <c r="Y67" s="287">
        <f t="shared" si="76"/>
        <v>0.25757575757575757</v>
      </c>
      <c r="Z67" s="284">
        <f>+X67*E67</f>
        <v>5.4545454545454543E-2</v>
      </c>
      <c r="AA67" s="284">
        <f>+Y67*E67</f>
        <v>7.7272727272727271E-2</v>
      </c>
      <c r="AB67" s="222" t="s">
        <v>43</v>
      </c>
      <c r="AC67" s="726" t="s">
        <v>44</v>
      </c>
      <c r="AD67" s="719" t="s">
        <v>1291</v>
      </c>
      <c r="AE67" s="1159" t="s">
        <v>885</v>
      </c>
      <c r="AF67" s="664"/>
    </row>
    <row r="68" spans="1:32" ht="90" customHeight="1" thickBot="1" x14ac:dyDescent="0.35">
      <c r="A68" s="191"/>
      <c r="B68" s="1137" t="s">
        <v>1297</v>
      </c>
      <c r="C68" s="1138" t="s">
        <v>1298</v>
      </c>
      <c r="D68" s="281" t="s">
        <v>1290</v>
      </c>
      <c r="E68" s="285">
        <v>0.2</v>
      </c>
      <c r="F68" s="283">
        <v>1</v>
      </c>
      <c r="G68" s="302">
        <v>0.25</v>
      </c>
      <c r="H68" s="302">
        <v>0.25</v>
      </c>
      <c r="I68" s="218">
        <f>+G68/F68</f>
        <v>0.25</v>
      </c>
      <c r="J68" s="218">
        <f t="shared" si="71"/>
        <v>0.25</v>
      </c>
      <c r="K68" s="218">
        <f>+(G68/F68)*E68</f>
        <v>0.05</v>
      </c>
      <c r="L68" s="218">
        <f t="shared" si="65"/>
        <v>0.05</v>
      </c>
      <c r="M68" s="249">
        <v>0.4</v>
      </c>
      <c r="N68" s="671">
        <v>0.02</v>
      </c>
      <c r="O68" s="671">
        <v>0</v>
      </c>
      <c r="P68" s="249"/>
      <c r="Q68" s="249"/>
      <c r="R68" s="249">
        <f t="shared" si="72"/>
        <v>0.02</v>
      </c>
      <c r="S68" s="249">
        <f t="shared" si="73"/>
        <v>0.42000000000000004</v>
      </c>
      <c r="T68" s="237">
        <v>1</v>
      </c>
      <c r="U68" s="237">
        <f t="shared" si="74"/>
        <v>0.08</v>
      </c>
      <c r="V68" s="237">
        <f>+T68*E68</f>
        <v>0.2</v>
      </c>
      <c r="W68" s="237">
        <f t="shared" si="75"/>
        <v>1.6E-2</v>
      </c>
      <c r="X68" s="237">
        <f>+M68/F68</f>
        <v>0.4</v>
      </c>
      <c r="Y68" s="287">
        <f t="shared" si="76"/>
        <v>0.42000000000000004</v>
      </c>
      <c r="Z68" s="284">
        <f>+X68*E68</f>
        <v>8.0000000000000016E-2</v>
      </c>
      <c r="AA68" s="284">
        <f>+Y68*E68</f>
        <v>8.4000000000000019E-2</v>
      </c>
      <c r="AB68" s="222" t="s">
        <v>43</v>
      </c>
      <c r="AC68" s="726" t="s">
        <v>44</v>
      </c>
      <c r="AD68" s="719" t="s">
        <v>1291</v>
      </c>
      <c r="AE68" s="1159" t="s">
        <v>885</v>
      </c>
      <c r="AF68" s="664"/>
    </row>
    <row r="69" spans="1:32" ht="28.5" customHeight="1" thickBot="1" x14ac:dyDescent="0.35">
      <c r="A69" s="191"/>
      <c r="B69" s="1317" t="s">
        <v>1299</v>
      </c>
      <c r="C69" s="1327"/>
      <c r="D69" s="288"/>
      <c r="E69" s="289">
        <v>0.15</v>
      </c>
      <c r="F69" s="283"/>
      <c r="G69" s="206"/>
      <c r="H69" s="206"/>
      <c r="I69" s="212">
        <f>+AVERAGE(I70:I72)</f>
        <v>0.26306543697848045</v>
      </c>
      <c r="J69" s="212">
        <f>+AVERAGE(J70:J72)</f>
        <v>0.29907773386034253</v>
      </c>
      <c r="K69" s="212">
        <f>+K70+K71+K72</f>
        <v>0.30629776021080368</v>
      </c>
      <c r="L69" s="212">
        <f>+L70+L71+L72</f>
        <v>0.31665349143610011</v>
      </c>
      <c r="M69" s="211"/>
      <c r="N69" s="211"/>
      <c r="O69" s="211"/>
      <c r="P69" s="211"/>
      <c r="Q69" s="211"/>
      <c r="R69" s="211"/>
      <c r="S69" s="211"/>
      <c r="T69" s="235">
        <f>+AVERAGE(T70:T72)</f>
        <v>1</v>
      </c>
      <c r="U69" s="235">
        <f>+AVERAGE(U70:U72)</f>
        <v>0.88888888888888884</v>
      </c>
      <c r="V69" s="235">
        <f>+(V70+V71+V72)*E69</f>
        <v>0.15</v>
      </c>
      <c r="W69" s="235">
        <f>+(W70+W71+W72)*E69</f>
        <v>0.14099999999999999</v>
      </c>
      <c r="X69" s="212">
        <f>+AVERAGE(X70:X72)</f>
        <v>0.38614404918752743</v>
      </c>
      <c r="Y69" s="212">
        <f>+AVERAGE(Y70:Y72)</f>
        <v>0.67138779095300827</v>
      </c>
      <c r="Z69" s="278">
        <f>+(Z70+Z71+Z72)*E69</f>
        <v>5.2982213438735173E-2</v>
      </c>
      <c r="AA69" s="278">
        <f>+(AA70+AA71+AA72)</f>
        <v>0.65967061923583659</v>
      </c>
      <c r="AB69" s="279"/>
      <c r="AC69" s="664"/>
      <c r="AD69" s="664"/>
      <c r="AE69" s="664"/>
      <c r="AF69" s="664"/>
    </row>
    <row r="70" spans="1:32" ht="150.6" customHeight="1" thickBot="1" x14ac:dyDescent="0.35">
      <c r="A70" s="191"/>
      <c r="B70" s="1075" t="s">
        <v>1300</v>
      </c>
      <c r="C70" s="1087" t="s">
        <v>1301</v>
      </c>
      <c r="D70" s="296" t="s">
        <v>1302</v>
      </c>
      <c r="E70" s="285">
        <v>0.18</v>
      </c>
      <c r="F70" s="283">
        <v>23</v>
      </c>
      <c r="G70" s="213">
        <f>2+5</f>
        <v>7</v>
      </c>
      <c r="H70" s="213">
        <f>2+4</f>
        <v>6</v>
      </c>
      <c r="I70" s="218">
        <f>+G70/F70</f>
        <v>0.30434782608695654</v>
      </c>
      <c r="J70" s="218">
        <f t="shared" ref="J70:J72" si="77">+H70/F70</f>
        <v>0.2608695652173913</v>
      </c>
      <c r="K70" s="218">
        <f>+(G70/F70)*E70</f>
        <v>5.4782608695652178E-2</v>
      </c>
      <c r="L70" s="218">
        <f t="shared" si="65"/>
        <v>4.6956521739130432E-2</v>
      </c>
      <c r="M70" s="213">
        <v>8</v>
      </c>
      <c r="N70" s="670">
        <v>3</v>
      </c>
      <c r="O70" s="671">
        <v>1</v>
      </c>
      <c r="P70" s="213"/>
      <c r="Q70" s="213"/>
      <c r="R70" s="213">
        <f t="shared" ref="R70:R72" si="78">+N70+O70+P70+Q70</f>
        <v>4</v>
      </c>
      <c r="S70" s="213">
        <f t="shared" ref="S70:S72" si="79">+R70+M70</f>
        <v>12</v>
      </c>
      <c r="T70" s="237">
        <v>1</v>
      </c>
      <c r="U70" s="237">
        <f t="shared" ref="U70:U72" si="80">+R70/H70</f>
        <v>0.66666666666666663</v>
      </c>
      <c r="V70" s="237">
        <f>+T70*E70</f>
        <v>0.18</v>
      </c>
      <c r="W70" s="237">
        <f t="shared" ref="W70:W72" si="81">+U70*E70</f>
        <v>0.12</v>
      </c>
      <c r="X70" s="237">
        <f>+M70/F70</f>
        <v>0.34782608695652173</v>
      </c>
      <c r="Y70" s="287">
        <f t="shared" ref="Y70:Y72" si="82">+S70/F70</f>
        <v>0.52173913043478259</v>
      </c>
      <c r="Z70" s="284">
        <f>+X70*E70</f>
        <v>6.2608695652173904E-2</v>
      </c>
      <c r="AA70" s="284">
        <f>+Y70*E70</f>
        <v>9.3913043478260863E-2</v>
      </c>
      <c r="AB70" s="303" t="s">
        <v>1303</v>
      </c>
      <c r="AC70" s="904" t="s">
        <v>1304</v>
      </c>
      <c r="AD70" s="719" t="s">
        <v>1291</v>
      </c>
      <c r="AE70" s="753" t="s">
        <v>1305</v>
      </c>
      <c r="AF70" s="664"/>
    </row>
    <row r="71" spans="1:32" ht="85.9" customHeight="1" thickBot="1" x14ac:dyDescent="0.35">
      <c r="A71" s="191"/>
      <c r="B71" s="1137" t="s">
        <v>1306</v>
      </c>
      <c r="C71" s="1138" t="s">
        <v>1307</v>
      </c>
      <c r="D71" s="281" t="s">
        <v>1290</v>
      </c>
      <c r="E71" s="285">
        <v>0.12</v>
      </c>
      <c r="F71" s="283">
        <v>132</v>
      </c>
      <c r="G71" s="213">
        <v>20</v>
      </c>
      <c r="H71" s="213">
        <v>40</v>
      </c>
      <c r="I71" s="218">
        <f>+G71/F71</f>
        <v>0.15151515151515152</v>
      </c>
      <c r="J71" s="218">
        <f t="shared" si="77"/>
        <v>0.30303030303030304</v>
      </c>
      <c r="K71" s="218">
        <f>+(G71/F71)*E71</f>
        <v>1.8181818181818181E-2</v>
      </c>
      <c r="L71" s="218">
        <f t="shared" si="65"/>
        <v>3.6363636363636362E-2</v>
      </c>
      <c r="M71" s="213">
        <v>63</v>
      </c>
      <c r="N71" s="670">
        <v>17</v>
      </c>
      <c r="O71" s="670">
        <v>29</v>
      </c>
      <c r="P71" s="213"/>
      <c r="Q71" s="213"/>
      <c r="R71" s="213">
        <f t="shared" si="78"/>
        <v>46</v>
      </c>
      <c r="S71" s="213">
        <f t="shared" si="79"/>
        <v>109</v>
      </c>
      <c r="T71" s="237">
        <v>1</v>
      </c>
      <c r="U71" s="237">
        <v>1</v>
      </c>
      <c r="V71" s="237">
        <f>+T71*E71</f>
        <v>0.12</v>
      </c>
      <c r="W71" s="237">
        <f t="shared" si="81"/>
        <v>0.12</v>
      </c>
      <c r="X71" s="237">
        <f>+M71/F71</f>
        <v>0.47727272727272729</v>
      </c>
      <c r="Y71" s="287">
        <f t="shared" si="82"/>
        <v>0.8257575757575758</v>
      </c>
      <c r="Z71" s="284">
        <f>+X71*E71</f>
        <v>5.7272727272727274E-2</v>
      </c>
      <c r="AA71" s="284">
        <f>+Y71*E71</f>
        <v>9.9090909090909091E-2</v>
      </c>
      <c r="AB71" s="222" t="s">
        <v>43</v>
      </c>
      <c r="AC71" s="719" t="s">
        <v>44</v>
      </c>
      <c r="AD71" s="719" t="s">
        <v>1291</v>
      </c>
      <c r="AE71" s="1159" t="s">
        <v>885</v>
      </c>
      <c r="AF71" s="664"/>
    </row>
    <row r="72" spans="1:32" s="744" customFormat="1" ht="70.150000000000006" customHeight="1" thickBot="1" x14ac:dyDescent="0.35">
      <c r="A72" s="905"/>
      <c r="B72" s="1075" t="s">
        <v>1308</v>
      </c>
      <c r="C72" s="1087" t="s">
        <v>1309</v>
      </c>
      <c r="D72" s="281" t="s">
        <v>1224</v>
      </c>
      <c r="E72" s="285">
        <v>0.7</v>
      </c>
      <c r="F72" s="283">
        <v>3</v>
      </c>
      <c r="G72" s="213">
        <v>1</v>
      </c>
      <c r="H72" s="213">
        <v>1</v>
      </c>
      <c r="I72" s="218">
        <f>+G72/F72</f>
        <v>0.33333333333333331</v>
      </c>
      <c r="J72" s="218">
        <f t="shared" si="77"/>
        <v>0.33333333333333331</v>
      </c>
      <c r="K72" s="218">
        <f>+(G72/F72)*E72</f>
        <v>0.23333333333333331</v>
      </c>
      <c r="L72" s="218">
        <f t="shared" si="65"/>
        <v>0.23333333333333331</v>
      </c>
      <c r="M72" s="213">
        <v>1</v>
      </c>
      <c r="N72" s="670">
        <v>1</v>
      </c>
      <c r="O72" s="670">
        <v>0</v>
      </c>
      <c r="P72" s="213"/>
      <c r="Q72" s="213"/>
      <c r="R72" s="213">
        <f t="shared" si="78"/>
        <v>1</v>
      </c>
      <c r="S72" s="213">
        <f t="shared" si="79"/>
        <v>2</v>
      </c>
      <c r="T72" s="237">
        <f>+(M72/G72)</f>
        <v>1</v>
      </c>
      <c r="U72" s="237">
        <f t="shared" si="80"/>
        <v>1</v>
      </c>
      <c r="V72" s="237">
        <f>+T72*E72</f>
        <v>0.7</v>
      </c>
      <c r="W72" s="237">
        <f t="shared" si="81"/>
        <v>0.7</v>
      </c>
      <c r="X72" s="237">
        <f>+M72/F72</f>
        <v>0.33333333333333331</v>
      </c>
      <c r="Y72" s="287">
        <f t="shared" si="82"/>
        <v>0.66666666666666663</v>
      </c>
      <c r="Z72" s="284">
        <f>+X72*E72</f>
        <v>0.23333333333333331</v>
      </c>
      <c r="AA72" s="284">
        <f>+Y72*E72</f>
        <v>0.46666666666666662</v>
      </c>
      <c r="AB72" s="908" t="s">
        <v>43</v>
      </c>
      <c r="AC72" s="909"/>
      <c r="AD72" s="909"/>
      <c r="AE72" s="1159" t="s">
        <v>885</v>
      </c>
      <c r="AF72" s="909"/>
    </row>
    <row r="73" spans="1:32" ht="28.5" customHeight="1" thickBot="1" x14ac:dyDescent="0.35">
      <c r="A73" s="191"/>
      <c r="B73" s="1317" t="s">
        <v>1310</v>
      </c>
      <c r="C73" s="1327"/>
      <c r="D73" s="288"/>
      <c r="E73" s="289">
        <v>0.2</v>
      </c>
      <c r="F73" s="283"/>
      <c r="G73" s="206"/>
      <c r="H73" s="206"/>
      <c r="I73" s="212">
        <f>+AVERAGE(I74:I76)</f>
        <v>0.25</v>
      </c>
      <c r="J73" s="212">
        <f>+AVERAGE(J74:J76)</f>
        <v>0.25</v>
      </c>
      <c r="K73" s="212">
        <f>+K74+K75+K76</f>
        <v>0.25</v>
      </c>
      <c r="L73" s="212">
        <f>+L74+L75+L76</f>
        <v>0.25</v>
      </c>
      <c r="M73" s="211"/>
      <c r="N73" s="211"/>
      <c r="O73" s="211"/>
      <c r="P73" s="211"/>
      <c r="Q73" s="211"/>
      <c r="R73" s="211"/>
      <c r="S73" s="211"/>
      <c r="T73" s="235">
        <f>+AVERAGE(T74:T76)</f>
        <v>0.75190804597701144</v>
      </c>
      <c r="U73" s="235">
        <f>+AVERAGE(U74:U76)</f>
        <v>0.47333333333333333</v>
      </c>
      <c r="V73" s="235">
        <f>+(V74+V75+V76)*E73</f>
        <v>0.13870344827586209</v>
      </c>
      <c r="W73" s="235">
        <f>+(W74+W75+W76)*E73</f>
        <v>9.2399999999999996E-2</v>
      </c>
      <c r="X73" s="212">
        <f>+AVERAGE(X74:X76)</f>
        <v>0.35297701149425292</v>
      </c>
      <c r="Y73" s="212">
        <f>+AVERAGE(Y74:Y76)</f>
        <v>0.50073563218390804</v>
      </c>
      <c r="Z73" s="278">
        <f>+(Z74+Z75+Z76)*E73</f>
        <v>5.4475862068965514E-2</v>
      </c>
      <c r="AA73" s="278">
        <f>+(AA74+AA75+AA76)</f>
        <v>0.41436206896551725</v>
      </c>
      <c r="AB73" s="279"/>
      <c r="AC73" s="664"/>
      <c r="AD73" s="664"/>
      <c r="AE73" s="664"/>
      <c r="AF73" s="664"/>
    </row>
    <row r="74" spans="1:32" ht="88.9" customHeight="1" thickBot="1" x14ac:dyDescent="0.35">
      <c r="A74" s="191"/>
      <c r="B74" s="1137" t="s">
        <v>1311</v>
      </c>
      <c r="C74" s="1138" t="s">
        <v>1312</v>
      </c>
      <c r="D74" s="281" t="s">
        <v>1290</v>
      </c>
      <c r="E74" s="285">
        <v>0.2</v>
      </c>
      <c r="F74" s="283">
        <v>1</v>
      </c>
      <c r="G74" s="304">
        <v>0.25</v>
      </c>
      <c r="H74" s="304">
        <v>0.25</v>
      </c>
      <c r="I74" s="218">
        <f>+G74/F74</f>
        <v>0.25</v>
      </c>
      <c r="J74" s="218">
        <f t="shared" ref="J74:J76" si="83">+H74/F74</f>
        <v>0.25</v>
      </c>
      <c r="K74" s="218">
        <f>+(G74/F74)*E74</f>
        <v>0.05</v>
      </c>
      <c r="L74" s="218">
        <f t="shared" si="65"/>
        <v>0.05</v>
      </c>
      <c r="M74" s="186">
        <v>0.745</v>
      </c>
      <c r="N74" s="672">
        <v>0.03</v>
      </c>
      <c r="O74" s="672">
        <v>0.01</v>
      </c>
      <c r="P74" s="186"/>
      <c r="Q74" s="186"/>
      <c r="R74" s="186">
        <f t="shared" ref="R74:R76" si="84">+N74+O74+P74+Q74</f>
        <v>0.04</v>
      </c>
      <c r="S74" s="186">
        <f t="shared" ref="S74:S76" si="85">+R74+M74</f>
        <v>0.78500000000000003</v>
      </c>
      <c r="T74" s="237">
        <v>1</v>
      </c>
      <c r="U74" s="237">
        <f t="shared" ref="U74:U75" si="86">+R74/H74</f>
        <v>0.16</v>
      </c>
      <c r="V74" s="237">
        <f>+T74*E74</f>
        <v>0.2</v>
      </c>
      <c r="W74" s="237">
        <f>+U74*E74</f>
        <v>3.2000000000000001E-2</v>
      </c>
      <c r="X74" s="237">
        <f>+M74/F74</f>
        <v>0.745</v>
      </c>
      <c r="Y74" s="287">
        <f t="shared" ref="Y74:Y76" si="87">+S74/F74</f>
        <v>0.78500000000000003</v>
      </c>
      <c r="Z74" s="284">
        <f>+X74*E74</f>
        <v>0.14899999999999999</v>
      </c>
      <c r="AA74" s="284">
        <f>+Y74*E74</f>
        <v>0.15700000000000003</v>
      </c>
      <c r="AB74" s="222" t="s">
        <v>43</v>
      </c>
      <c r="AC74" s="721" t="s">
        <v>71</v>
      </c>
      <c r="AD74" s="719" t="s">
        <v>1291</v>
      </c>
      <c r="AE74" s="1159" t="s">
        <v>885</v>
      </c>
      <c r="AF74" s="664"/>
    </row>
    <row r="75" spans="1:32" ht="78" customHeight="1" thickBot="1" x14ac:dyDescent="0.35">
      <c r="A75" s="191"/>
      <c r="B75" s="1137" t="s">
        <v>1313</v>
      </c>
      <c r="C75" s="1138" t="s">
        <v>1314</v>
      </c>
      <c r="D75" s="281" t="s">
        <v>1290</v>
      </c>
      <c r="E75" s="285">
        <v>0.5</v>
      </c>
      <c r="F75" s="283">
        <v>2000</v>
      </c>
      <c r="G75" s="304">
        <v>500</v>
      </c>
      <c r="H75" s="304">
        <v>500</v>
      </c>
      <c r="I75" s="218">
        <f>+G75/F75</f>
        <v>0.25</v>
      </c>
      <c r="J75" s="218">
        <f t="shared" si="83"/>
        <v>0.25</v>
      </c>
      <c r="K75" s="218">
        <f>+(G75/F75)*E75</f>
        <v>0.125</v>
      </c>
      <c r="L75" s="218">
        <f t="shared" si="65"/>
        <v>0.125</v>
      </c>
      <c r="M75" s="186">
        <v>292</v>
      </c>
      <c r="N75" s="672">
        <v>49</v>
      </c>
      <c r="O75" s="672">
        <v>81</v>
      </c>
      <c r="P75" s="186"/>
      <c r="Q75" s="186"/>
      <c r="R75" s="186">
        <f t="shared" si="84"/>
        <v>130</v>
      </c>
      <c r="S75" s="186">
        <f t="shared" si="85"/>
        <v>422</v>
      </c>
      <c r="T75" s="218">
        <f>+(M75/G75)</f>
        <v>0.58399999999999996</v>
      </c>
      <c r="U75" s="218">
        <f t="shared" si="86"/>
        <v>0.26</v>
      </c>
      <c r="V75" s="218">
        <f>+T75*E75</f>
        <v>0.29199999999999998</v>
      </c>
      <c r="W75" s="218">
        <f t="shared" ref="W75:W76" si="88">+U75*E75</f>
        <v>0.13</v>
      </c>
      <c r="X75" s="218">
        <f>+M75/F75</f>
        <v>0.14599999999999999</v>
      </c>
      <c r="Y75" s="284">
        <f t="shared" si="87"/>
        <v>0.21099999999999999</v>
      </c>
      <c r="Z75" s="284">
        <f>+X75*E75</f>
        <v>7.2999999999999995E-2</v>
      </c>
      <c r="AA75" s="284">
        <f>+Y75*E75</f>
        <v>0.1055</v>
      </c>
      <c r="AB75" s="222" t="s">
        <v>43</v>
      </c>
      <c r="AC75" s="719" t="s">
        <v>44</v>
      </c>
      <c r="AD75" s="719" t="s">
        <v>1291</v>
      </c>
      <c r="AE75" s="1159" t="s">
        <v>885</v>
      </c>
      <c r="AF75" s="664"/>
    </row>
    <row r="76" spans="1:32" ht="106.9" customHeight="1" thickBot="1" x14ac:dyDescent="0.35">
      <c r="A76" s="191"/>
      <c r="B76" s="1137" t="s">
        <v>1315</v>
      </c>
      <c r="C76" s="1138" t="s">
        <v>1316</v>
      </c>
      <c r="D76" s="281" t="s">
        <v>1290</v>
      </c>
      <c r="E76" s="285">
        <v>0.3</v>
      </c>
      <c r="F76" s="283">
        <f>1450*4</f>
        <v>5800</v>
      </c>
      <c r="G76" s="304">
        <v>1450</v>
      </c>
      <c r="H76" s="304">
        <v>1450</v>
      </c>
      <c r="I76" s="218">
        <f>+G76/F76</f>
        <v>0.25</v>
      </c>
      <c r="J76" s="218">
        <f t="shared" si="83"/>
        <v>0.25</v>
      </c>
      <c r="K76" s="218">
        <f>+(G76/F76)*E76</f>
        <v>7.4999999999999997E-2</v>
      </c>
      <c r="L76" s="218">
        <f t="shared" si="65"/>
        <v>7.4999999999999997E-2</v>
      </c>
      <c r="M76" s="186">
        <v>974</v>
      </c>
      <c r="N76" s="672">
        <v>974</v>
      </c>
      <c r="O76" s="672">
        <v>988</v>
      </c>
      <c r="P76" s="186"/>
      <c r="Q76" s="186"/>
      <c r="R76" s="186">
        <f t="shared" si="84"/>
        <v>1962</v>
      </c>
      <c r="S76" s="186">
        <f t="shared" si="85"/>
        <v>2936</v>
      </c>
      <c r="T76" s="237">
        <f>+(M76/G76)</f>
        <v>0.67172413793103447</v>
      </c>
      <c r="U76" s="237">
        <v>1</v>
      </c>
      <c r="V76" s="237">
        <f>+T76*E76</f>
        <v>0.20151724137931035</v>
      </c>
      <c r="W76" s="237">
        <f t="shared" si="88"/>
        <v>0.3</v>
      </c>
      <c r="X76" s="237">
        <f>+M76/F76</f>
        <v>0.16793103448275862</v>
      </c>
      <c r="Y76" s="287">
        <f t="shared" si="87"/>
        <v>0.50620689655172413</v>
      </c>
      <c r="Z76" s="284">
        <f>+X76*E76</f>
        <v>5.0379310344827587E-2</v>
      </c>
      <c r="AA76" s="284">
        <f>+Y76*E76</f>
        <v>0.15186206896551724</v>
      </c>
      <c r="AB76" s="222" t="s">
        <v>43</v>
      </c>
      <c r="AC76" s="719" t="s">
        <v>44</v>
      </c>
      <c r="AD76" s="719" t="s">
        <v>1291</v>
      </c>
      <c r="AE76" s="1159" t="s">
        <v>885</v>
      </c>
      <c r="AF76" s="664"/>
    </row>
    <row r="77" spans="1:32" ht="28.5" customHeight="1" thickBot="1" x14ac:dyDescent="0.35">
      <c r="A77" s="191"/>
      <c r="B77" s="1317" t="s">
        <v>1317</v>
      </c>
      <c r="C77" s="1327"/>
      <c r="D77" s="288"/>
      <c r="E77" s="289">
        <v>0.25</v>
      </c>
      <c r="F77" s="283"/>
      <c r="G77" s="206"/>
      <c r="H77" s="206"/>
      <c r="I77" s="212">
        <f>+AVERAGE(I78)</f>
        <v>0.14285714285714285</v>
      </c>
      <c r="J77" s="212">
        <f>+AVERAGE(J78)</f>
        <v>0.17142857142857143</v>
      </c>
      <c r="K77" s="212">
        <f>+K78</f>
        <v>0.14285714285714285</v>
      </c>
      <c r="L77" s="212">
        <f>+L78</f>
        <v>0.17142857142857143</v>
      </c>
      <c r="M77" s="211"/>
      <c r="N77" s="211"/>
      <c r="O77" s="211"/>
      <c r="P77" s="211"/>
      <c r="Q77" s="211"/>
      <c r="R77" s="211"/>
      <c r="S77" s="211"/>
      <c r="T77" s="235">
        <f>+AVERAGE(T78)</f>
        <v>0.8</v>
      </c>
      <c r="U77" s="235">
        <f>+AVERAGE(U78)</f>
        <v>0.25000000000000006</v>
      </c>
      <c r="V77" s="235">
        <f>+(V78)*E77</f>
        <v>0.2</v>
      </c>
      <c r="W77" s="235">
        <f>+(W78)*E77</f>
        <v>6.2500000000000014E-2</v>
      </c>
      <c r="X77" s="212">
        <f>+AVERAGE(X78)</f>
        <v>0.1142857142857143</v>
      </c>
      <c r="Y77" s="212">
        <f>+AVERAGE(Y78)</f>
        <v>0.15714285714285717</v>
      </c>
      <c r="Z77" s="278">
        <f>+(Z78)*E77</f>
        <v>2.8571428571428574E-2</v>
      </c>
      <c r="AA77" s="278">
        <f>+(AA78)</f>
        <v>0.15714285714285717</v>
      </c>
      <c r="AB77" s="279"/>
      <c r="AC77" s="664"/>
      <c r="AD77" s="664"/>
      <c r="AE77" s="664"/>
      <c r="AF77" s="664"/>
    </row>
    <row r="78" spans="1:32" ht="67.150000000000006" customHeight="1" thickBot="1" x14ac:dyDescent="0.35">
      <c r="A78" s="191"/>
      <c r="B78" s="1075" t="s">
        <v>1318</v>
      </c>
      <c r="C78" s="1087" t="s">
        <v>1319</v>
      </c>
      <c r="D78" s="288" t="s">
        <v>1320</v>
      </c>
      <c r="E78" s="285">
        <v>1</v>
      </c>
      <c r="F78" s="283">
        <v>7</v>
      </c>
      <c r="G78" s="213">
        <v>1</v>
      </c>
      <c r="H78" s="213">
        <v>1.2</v>
      </c>
      <c r="I78" s="218">
        <f>+G78/F78</f>
        <v>0.14285714285714285</v>
      </c>
      <c r="J78" s="218">
        <f t="shared" ref="J78" si="89">+H78/F78</f>
        <v>0.17142857142857143</v>
      </c>
      <c r="K78" s="218">
        <f>+(G78/F78)*E78</f>
        <v>0.14285714285714285</v>
      </c>
      <c r="L78" s="218">
        <f t="shared" si="65"/>
        <v>0.17142857142857143</v>
      </c>
      <c r="M78" s="213">
        <v>0.8</v>
      </c>
      <c r="N78" s="670">
        <v>0.2</v>
      </c>
      <c r="O78" s="213">
        <v>0.1</v>
      </c>
      <c r="P78" s="213"/>
      <c r="Q78" s="213"/>
      <c r="R78" s="213">
        <f t="shared" ref="R78" si="90">+N78+O78+P78+Q78</f>
        <v>0.30000000000000004</v>
      </c>
      <c r="S78" s="213">
        <f t="shared" ref="S78" si="91">+R78+M78</f>
        <v>1.1000000000000001</v>
      </c>
      <c r="T78" s="218">
        <f>+(M78/G78)</f>
        <v>0.8</v>
      </c>
      <c r="U78" s="218">
        <f t="shared" ref="U78" si="92">+R78/H78</f>
        <v>0.25000000000000006</v>
      </c>
      <c r="V78" s="218">
        <f>+T78*E78</f>
        <v>0.8</v>
      </c>
      <c r="W78" s="218">
        <f t="shared" ref="W78" si="93">+U78*E78</f>
        <v>0.25000000000000006</v>
      </c>
      <c r="X78" s="218">
        <f>+M78/F78</f>
        <v>0.1142857142857143</v>
      </c>
      <c r="Y78" s="284">
        <f t="shared" ref="Y78" si="94">+S78/F78</f>
        <v>0.15714285714285717</v>
      </c>
      <c r="Z78" s="284">
        <f>+X78*E78</f>
        <v>0.1142857142857143</v>
      </c>
      <c r="AA78" s="284">
        <f>+Y78*E78</f>
        <v>0.15714285714285717</v>
      </c>
      <c r="AB78" s="222" t="s">
        <v>1321</v>
      </c>
      <c r="AC78" s="719" t="s">
        <v>44</v>
      </c>
      <c r="AD78" s="719" t="s">
        <v>1291</v>
      </c>
      <c r="AE78" s="1159" t="s">
        <v>885</v>
      </c>
      <c r="AF78" s="664"/>
    </row>
    <row r="79" spans="1:32" ht="57" customHeight="1" thickBot="1" x14ac:dyDescent="0.35">
      <c r="A79" s="191"/>
      <c r="B79" s="1317" t="s">
        <v>1322</v>
      </c>
      <c r="C79" s="1327"/>
      <c r="D79" s="288"/>
      <c r="E79" s="289">
        <v>0.15</v>
      </c>
      <c r="F79" s="283"/>
      <c r="G79" s="206"/>
      <c r="H79" s="206"/>
      <c r="I79" s="212">
        <f>+AVERAGE(I80:I81)</f>
        <v>0.32500000000000001</v>
      </c>
      <c r="J79" s="212">
        <f>+AVERAGE(J80:J81)</f>
        <v>0.22500000000000001</v>
      </c>
      <c r="K79" s="212">
        <f>+K80+K81</f>
        <v>0.35499999999999998</v>
      </c>
      <c r="L79" s="212">
        <f>+L80+L81</f>
        <v>0.21499999999999997</v>
      </c>
      <c r="M79" s="211"/>
      <c r="N79" s="211"/>
      <c r="O79" s="211"/>
      <c r="P79" s="211"/>
      <c r="Q79" s="211"/>
      <c r="R79" s="211"/>
      <c r="S79" s="211"/>
      <c r="T79" s="235">
        <f>+AVERAGE(T80:T81)</f>
        <v>0.94</v>
      </c>
      <c r="U79" s="235">
        <f>+AVERAGE(U80:U81)</f>
        <v>0.43999999999999995</v>
      </c>
      <c r="V79" s="235">
        <f>+(V80+V81)*E79</f>
        <v>0.14459999999999998</v>
      </c>
      <c r="W79" s="235">
        <f>+(W80+W81)*E79</f>
        <v>5.1599999999999993E-2</v>
      </c>
      <c r="X79" s="212">
        <f>+AVERAGE(X80:X81)</f>
        <v>0.61</v>
      </c>
      <c r="Y79" s="212">
        <f>+AVERAGE(Y80:Y81)</f>
        <v>0.69500000000000006</v>
      </c>
      <c r="Z79" s="278">
        <f>+(Z80+Z81)*E79</f>
        <v>0.1149</v>
      </c>
      <c r="AA79" s="278">
        <f>+(AA80+AA81)</f>
        <v>0.81699999999999995</v>
      </c>
      <c r="AB79" s="279"/>
      <c r="AC79" s="664"/>
      <c r="AD79" s="664"/>
      <c r="AE79" s="664"/>
      <c r="AF79" s="664"/>
    </row>
    <row r="80" spans="1:32" ht="117.6" customHeight="1" thickBot="1" x14ac:dyDescent="0.35">
      <c r="A80" s="191"/>
      <c r="B80" s="1075" t="s">
        <v>1323</v>
      </c>
      <c r="C80" s="1087" t="s">
        <v>1324</v>
      </c>
      <c r="D80" s="288" t="s">
        <v>1325</v>
      </c>
      <c r="E80" s="285">
        <v>0.3</v>
      </c>
      <c r="F80" s="283">
        <v>1</v>
      </c>
      <c r="G80" s="213">
        <v>0.25</v>
      </c>
      <c r="H80" s="213">
        <v>0.25</v>
      </c>
      <c r="I80" s="218">
        <f>+G80/F80</f>
        <v>0.25</v>
      </c>
      <c r="J80" s="218">
        <f t="shared" ref="J80:J81" si="95">+H80/F80</f>
        <v>0.25</v>
      </c>
      <c r="K80" s="218">
        <f>+(G80/F80)*E80</f>
        <v>7.4999999999999997E-2</v>
      </c>
      <c r="L80" s="218">
        <f t="shared" si="65"/>
        <v>7.4999999999999997E-2</v>
      </c>
      <c r="M80" s="213">
        <v>0.22</v>
      </c>
      <c r="N80" s="670">
        <v>0.05</v>
      </c>
      <c r="O80" s="670">
        <v>0.12</v>
      </c>
      <c r="P80" s="213"/>
      <c r="Q80" s="213"/>
      <c r="R80" s="213">
        <f t="shared" ref="R80:R81" si="96">+N80+O80+P80+Q80</f>
        <v>0.16999999999999998</v>
      </c>
      <c r="S80" s="213">
        <f t="shared" ref="S80:S81" si="97">+R80+M80</f>
        <v>0.39</v>
      </c>
      <c r="T80" s="218">
        <f>+(M80/G80)</f>
        <v>0.88</v>
      </c>
      <c r="U80" s="218">
        <f t="shared" ref="U80:U81" si="98">+R80/H80</f>
        <v>0.67999999999999994</v>
      </c>
      <c r="V80" s="218">
        <f>+T80*E80</f>
        <v>0.26400000000000001</v>
      </c>
      <c r="W80" s="218">
        <f t="shared" ref="W80:W81" si="99">+U80*E80</f>
        <v>0.20399999999999999</v>
      </c>
      <c r="X80" s="218">
        <f>+M80/F80</f>
        <v>0.22</v>
      </c>
      <c r="Y80" s="284">
        <f t="shared" ref="Y80" si="100">+S80/F80</f>
        <v>0.39</v>
      </c>
      <c r="Z80" s="287">
        <f>+X80*E80</f>
        <v>6.6000000000000003E-2</v>
      </c>
      <c r="AA80" s="287">
        <f>+Y80*E80</f>
        <v>0.11699999999999999</v>
      </c>
      <c r="AB80" s="222" t="s">
        <v>1321</v>
      </c>
      <c r="AC80" s="719" t="s">
        <v>44</v>
      </c>
      <c r="AD80" s="719" t="s">
        <v>1169</v>
      </c>
      <c r="AE80" s="1159" t="s">
        <v>885</v>
      </c>
      <c r="AF80" s="664"/>
    </row>
    <row r="81" spans="1:32" ht="85.15" customHeight="1" thickBot="1" x14ac:dyDescent="0.35">
      <c r="A81" s="191"/>
      <c r="B81" s="1075" t="s">
        <v>1326</v>
      </c>
      <c r="C81" s="1087" t="s">
        <v>1327</v>
      </c>
      <c r="D81" s="288" t="s">
        <v>1206</v>
      </c>
      <c r="E81" s="285">
        <v>0.7</v>
      </c>
      <c r="F81" s="283">
        <v>5</v>
      </c>
      <c r="G81" s="213">
        <v>2</v>
      </c>
      <c r="H81" s="294">
        <v>1</v>
      </c>
      <c r="I81" s="218">
        <f>+G81/F81</f>
        <v>0.4</v>
      </c>
      <c r="J81" s="218">
        <f t="shared" si="95"/>
        <v>0.2</v>
      </c>
      <c r="K81" s="218">
        <f>+(G81/F81)*E81</f>
        <v>0.27999999999999997</v>
      </c>
      <c r="L81" s="218">
        <f t="shared" si="65"/>
        <v>0.13999999999999999</v>
      </c>
      <c r="M81" s="213">
        <v>5</v>
      </c>
      <c r="N81" s="670">
        <v>0.1</v>
      </c>
      <c r="O81" s="670">
        <v>0.1</v>
      </c>
      <c r="P81" s="213"/>
      <c r="Q81" s="213"/>
      <c r="R81" s="213">
        <f t="shared" si="96"/>
        <v>0.2</v>
      </c>
      <c r="S81" s="213">
        <f t="shared" si="97"/>
        <v>5.2</v>
      </c>
      <c r="T81" s="218">
        <v>1</v>
      </c>
      <c r="U81" s="218">
        <f t="shared" si="98"/>
        <v>0.2</v>
      </c>
      <c r="V81" s="218">
        <f>+T81*E81</f>
        <v>0.7</v>
      </c>
      <c r="W81" s="218">
        <f t="shared" si="99"/>
        <v>0.13999999999999999</v>
      </c>
      <c r="X81" s="218">
        <f>+M81/F81</f>
        <v>1</v>
      </c>
      <c r="Y81" s="284">
        <v>1</v>
      </c>
      <c r="Z81" s="287">
        <f>+X81*E81</f>
        <v>0.7</v>
      </c>
      <c r="AA81" s="287">
        <f>+Y81*E81</f>
        <v>0.7</v>
      </c>
      <c r="AB81" s="292" t="s">
        <v>1328</v>
      </c>
      <c r="AC81" s="721" t="s">
        <v>71</v>
      </c>
      <c r="AD81" s="721" t="s">
        <v>71</v>
      </c>
      <c r="AE81" s="1159" t="s">
        <v>885</v>
      </c>
      <c r="AF81" s="664"/>
    </row>
    <row r="82" spans="1:32" ht="78" customHeight="1" thickBot="1" x14ac:dyDescent="0.35">
      <c r="A82" s="191"/>
      <c r="B82" s="1321" t="s">
        <v>1329</v>
      </c>
      <c r="C82" s="1327"/>
      <c r="D82" s="288"/>
      <c r="E82" s="291">
        <v>0.1</v>
      </c>
      <c r="F82" s="201">
        <f>+E82*V82</f>
        <v>2.0506728571428573E-2</v>
      </c>
      <c r="G82" s="206"/>
      <c r="H82" s="202">
        <f>+E82*W82</f>
        <v>2.3462850000000004E-2</v>
      </c>
      <c r="I82" s="204">
        <f>+(I83+I91+I95)/3</f>
        <v>0.23703703703703705</v>
      </c>
      <c r="J82" s="204">
        <f>+(J83+J91+J95)/3</f>
        <v>0.27380952380952378</v>
      </c>
      <c r="K82" s="205">
        <f>+(K83+K91+K95)/3</f>
        <v>0.17777777777777778</v>
      </c>
      <c r="L82" s="205">
        <f>+(L83+L91+L95)/3</f>
        <v>0.24236111111111111</v>
      </c>
      <c r="M82" s="206"/>
      <c r="N82" s="206"/>
      <c r="O82" s="206"/>
      <c r="P82" s="206"/>
      <c r="Q82" s="206"/>
      <c r="R82" s="206"/>
      <c r="S82" s="206"/>
      <c r="T82" s="204">
        <f>+(T83+T91+T95)/3</f>
        <v>0.43832698412698412</v>
      </c>
      <c r="U82" s="204">
        <f>+(U83+U91+U95)/3</f>
        <v>0.22272777777777777</v>
      </c>
      <c r="V82" s="205">
        <f>+V83+V91+V95</f>
        <v>0.20506728571428573</v>
      </c>
      <c r="W82" s="205">
        <f>+W83+W91+W95</f>
        <v>0.23462850000000002</v>
      </c>
      <c r="X82" s="204">
        <f>(X83+X91+X95)/3</f>
        <v>0.15124841269841269</v>
      </c>
      <c r="Y82" s="204">
        <f>(Y83+Y91+Y95)/3</f>
        <v>0.19436479591836733</v>
      </c>
      <c r="Z82" s="305">
        <f>+(Z83+Z91+Z95)</f>
        <v>6.376682142857143E-2</v>
      </c>
      <c r="AA82" s="305">
        <f>+(AA83*E83+AA91*E91+AA95*E95)</f>
        <v>0.12696144642857143</v>
      </c>
      <c r="AB82" s="276"/>
      <c r="AC82" s="664"/>
      <c r="AD82" s="664"/>
      <c r="AE82" s="664"/>
      <c r="AF82" s="664"/>
    </row>
    <row r="83" spans="1:32" ht="72" customHeight="1" thickBot="1" x14ac:dyDescent="0.35">
      <c r="A83" s="191"/>
      <c r="B83" s="1317" t="s">
        <v>1330</v>
      </c>
      <c r="C83" s="1327"/>
      <c r="D83" s="288"/>
      <c r="E83" s="289">
        <v>0.45</v>
      </c>
      <c r="F83" s="283"/>
      <c r="G83" s="206"/>
      <c r="H83" s="206"/>
      <c r="I83" s="212">
        <f>+AVERAGE(I84:I90)</f>
        <v>0.21111111111111111</v>
      </c>
      <c r="J83" s="212">
        <f>+AVERAGE(J84:J90)</f>
        <v>0.27976190476190477</v>
      </c>
      <c r="K83" s="212">
        <f>+K84+K85+K86+K87+K88+K89+K90</f>
        <v>0.15833333333333333</v>
      </c>
      <c r="L83" s="212">
        <f>+L84+L85+L86+L87+L88+L89+L90</f>
        <v>0.25833333333333336</v>
      </c>
      <c r="M83" s="211"/>
      <c r="N83" s="211"/>
      <c r="O83" s="211"/>
      <c r="P83" s="211"/>
      <c r="Q83" s="211"/>
      <c r="R83" s="211"/>
      <c r="S83" s="211"/>
      <c r="T83" s="235">
        <f>+AVERAGE(T84:T90)</f>
        <v>0.31498095238095236</v>
      </c>
      <c r="U83" s="235">
        <f>+AVERAGE(U84:U90)</f>
        <v>0.51485000000000003</v>
      </c>
      <c r="V83" s="235">
        <f>+(V84+V85+V86+V87+V88+V89+V90)*E83</f>
        <v>0.10506728571428571</v>
      </c>
      <c r="W83" s="235">
        <f>+(W84+W85+W86+W87+W88+W89+W90)*E83</f>
        <v>0.20012850000000001</v>
      </c>
      <c r="X83" s="212">
        <f>+AVERAGE(X84:X90)</f>
        <v>7.874523809523809E-2</v>
      </c>
      <c r="Y83" s="212">
        <f>+AVERAGE(Y84:Y90)</f>
        <v>0.17014438775510204</v>
      </c>
      <c r="Z83" s="306">
        <f>+(Z84+Z85+Z86+Z87+Z88+Z89+Z90)*E83</f>
        <v>2.6266821428571428E-2</v>
      </c>
      <c r="AA83" s="306">
        <f>+(AA84+AA85+AA86+AA87+AA88+AA89+AA90)</f>
        <v>0.17005321428571429</v>
      </c>
      <c r="AB83" s="279"/>
      <c r="AC83" s="664"/>
      <c r="AD83" s="664"/>
      <c r="AE83" s="664"/>
      <c r="AF83" s="664"/>
    </row>
    <row r="84" spans="1:32" ht="94.15" customHeight="1" thickBot="1" x14ac:dyDescent="0.35">
      <c r="A84" s="191"/>
      <c r="B84" s="1075" t="s">
        <v>1331</v>
      </c>
      <c r="C84" s="1087" t="s">
        <v>1332</v>
      </c>
      <c r="D84" s="307" t="s">
        <v>1333</v>
      </c>
      <c r="E84" s="285">
        <v>0.1</v>
      </c>
      <c r="F84" s="283">
        <v>1</v>
      </c>
      <c r="G84" s="213">
        <v>0</v>
      </c>
      <c r="H84" s="213">
        <v>0.25</v>
      </c>
      <c r="I84" s="218"/>
      <c r="J84" s="218">
        <f>+H84/F84</f>
        <v>0.25</v>
      </c>
      <c r="K84" s="218"/>
      <c r="L84" s="218">
        <f t="shared" ref="L84:L90" si="101">+(H84/F84)*E84</f>
        <v>2.5000000000000001E-2</v>
      </c>
      <c r="M84" s="213"/>
      <c r="N84" s="670">
        <v>0.05</v>
      </c>
      <c r="O84" s="670">
        <v>0.12</v>
      </c>
      <c r="P84" s="213"/>
      <c r="Q84" s="213"/>
      <c r="R84" s="213">
        <f t="shared" ref="R84:R90" si="102">+N84+O84+P84+Q84</f>
        <v>0.16999999999999998</v>
      </c>
      <c r="S84" s="213">
        <f t="shared" ref="S84:S89" si="103">+R84+M84</f>
        <v>0.16999999999999998</v>
      </c>
      <c r="T84" s="218"/>
      <c r="U84" s="218">
        <f t="shared" ref="U84:U90" si="104">+R84/H84</f>
        <v>0.67999999999999994</v>
      </c>
      <c r="V84" s="218"/>
      <c r="W84" s="218">
        <f t="shared" ref="W84:W90" si="105">+U84*E84</f>
        <v>6.7999999999999991E-2</v>
      </c>
      <c r="X84" s="218"/>
      <c r="Y84" s="284">
        <f t="shared" ref="Y84:Y89" si="106">+S84/F84</f>
        <v>0.16999999999999998</v>
      </c>
      <c r="Z84" s="284">
        <v>0</v>
      </c>
      <c r="AA84" s="284">
        <f t="shared" ref="AA84:AA90" si="107">+Y84*E84</f>
        <v>1.6999999999999998E-2</v>
      </c>
      <c r="AB84" s="308" t="s">
        <v>1321</v>
      </c>
      <c r="AC84" s="724" t="s">
        <v>44</v>
      </c>
      <c r="AD84" s="724" t="s">
        <v>1169</v>
      </c>
      <c r="AE84" s="1159" t="s">
        <v>885</v>
      </c>
      <c r="AF84" s="664"/>
    </row>
    <row r="85" spans="1:32" ht="55.9" customHeight="1" thickBot="1" x14ac:dyDescent="0.35">
      <c r="A85" s="191"/>
      <c r="B85" s="1075" t="s">
        <v>1334</v>
      </c>
      <c r="C85" s="1087" t="s">
        <v>1335</v>
      </c>
      <c r="D85" s="307" t="s">
        <v>1224</v>
      </c>
      <c r="E85" s="285">
        <v>0.3</v>
      </c>
      <c r="F85" s="283">
        <v>14000</v>
      </c>
      <c r="G85" s="213">
        <v>3500</v>
      </c>
      <c r="H85" s="213">
        <v>3500</v>
      </c>
      <c r="I85" s="218">
        <f t="shared" ref="I85:I90" si="108">+G85/F85</f>
        <v>0.25</v>
      </c>
      <c r="J85" s="218">
        <f t="shared" ref="J85:J96" si="109">+H85/F85</f>
        <v>0.25</v>
      </c>
      <c r="K85" s="218">
        <f t="shared" ref="K85:K90" si="110">+(G85/F85)*E85</f>
        <v>7.4999999999999997E-2</v>
      </c>
      <c r="L85" s="218">
        <f t="shared" si="101"/>
        <v>7.4999999999999997E-2</v>
      </c>
      <c r="M85" s="213">
        <v>1557.3</v>
      </c>
      <c r="N85" s="670">
        <v>941.85</v>
      </c>
      <c r="O85" s="213">
        <v>0</v>
      </c>
      <c r="P85" s="213"/>
      <c r="Q85" s="213"/>
      <c r="R85" s="213">
        <f t="shared" si="102"/>
        <v>941.85</v>
      </c>
      <c r="S85" s="213">
        <f t="shared" si="103"/>
        <v>2499.15</v>
      </c>
      <c r="T85" s="218">
        <f t="shared" ref="T85:T90" si="111">+(M85/G85)</f>
        <v>0.44494285714285714</v>
      </c>
      <c r="U85" s="218">
        <f t="shared" si="104"/>
        <v>0.26910000000000001</v>
      </c>
      <c r="V85" s="218">
        <f t="shared" ref="V85:V90" si="112">+T85*E85</f>
        <v>0.13348285714285713</v>
      </c>
      <c r="W85" s="218">
        <f t="shared" si="105"/>
        <v>8.0729999999999996E-2</v>
      </c>
      <c r="X85" s="218">
        <f t="shared" ref="X85:X90" si="113">+M85/F85</f>
        <v>0.11123571428571428</v>
      </c>
      <c r="Y85" s="284">
        <f t="shared" si="106"/>
        <v>0.1785107142857143</v>
      </c>
      <c r="Z85" s="284">
        <f t="shared" ref="Z85:Z90" si="114">+X85*E85</f>
        <v>3.3370714285714281E-2</v>
      </c>
      <c r="AA85" s="284">
        <f t="shared" si="107"/>
        <v>5.3553214285714287E-2</v>
      </c>
      <c r="AB85" s="308" t="s">
        <v>1321</v>
      </c>
      <c r="AC85" s="664"/>
      <c r="AD85" s="724" t="s">
        <v>1169</v>
      </c>
      <c r="AE85" s="1159" t="s">
        <v>885</v>
      </c>
      <c r="AF85" s="664"/>
    </row>
    <row r="86" spans="1:32" ht="56.45" customHeight="1" thickBot="1" x14ac:dyDescent="0.35">
      <c r="A86" s="191"/>
      <c r="B86" s="1075" t="s">
        <v>1336</v>
      </c>
      <c r="C86" s="1087" t="s">
        <v>1337</v>
      </c>
      <c r="D86" s="307" t="s">
        <v>1338</v>
      </c>
      <c r="E86" s="285">
        <v>0.25</v>
      </c>
      <c r="F86" s="283">
        <v>15</v>
      </c>
      <c r="G86" s="213">
        <v>2</v>
      </c>
      <c r="H86" s="213">
        <v>5</v>
      </c>
      <c r="I86" s="218">
        <f t="shared" si="108"/>
        <v>0.13333333333333333</v>
      </c>
      <c r="J86" s="218">
        <f t="shared" si="109"/>
        <v>0.33333333333333331</v>
      </c>
      <c r="K86" s="218">
        <f t="shared" si="110"/>
        <v>3.3333333333333333E-2</v>
      </c>
      <c r="L86" s="218">
        <f t="shared" si="101"/>
        <v>8.3333333333333329E-2</v>
      </c>
      <c r="M86" s="213">
        <v>0</v>
      </c>
      <c r="N86" s="670">
        <v>0.9</v>
      </c>
      <c r="O86" s="670">
        <v>0.9</v>
      </c>
      <c r="P86" s="213"/>
      <c r="Q86" s="213"/>
      <c r="R86" s="213">
        <f t="shared" si="102"/>
        <v>1.8</v>
      </c>
      <c r="S86" s="213">
        <f t="shared" si="103"/>
        <v>1.8</v>
      </c>
      <c r="T86" s="218">
        <f t="shared" si="111"/>
        <v>0</v>
      </c>
      <c r="U86" s="218">
        <f t="shared" si="104"/>
        <v>0.36</v>
      </c>
      <c r="V86" s="218">
        <f t="shared" si="112"/>
        <v>0</v>
      </c>
      <c r="W86" s="218">
        <f t="shared" si="105"/>
        <v>0.09</v>
      </c>
      <c r="X86" s="218">
        <f t="shared" si="113"/>
        <v>0</v>
      </c>
      <c r="Y86" s="284">
        <f t="shared" si="106"/>
        <v>0.12000000000000001</v>
      </c>
      <c r="Z86" s="284">
        <f t="shared" si="114"/>
        <v>0</v>
      </c>
      <c r="AA86" s="284">
        <f t="shared" si="107"/>
        <v>3.0000000000000002E-2</v>
      </c>
      <c r="AB86" s="308" t="s">
        <v>1321</v>
      </c>
      <c r="AC86" s="724" t="s">
        <v>44</v>
      </c>
      <c r="AD86" s="724" t="s">
        <v>1169</v>
      </c>
      <c r="AE86" s="1159" t="s">
        <v>885</v>
      </c>
      <c r="AF86" s="664"/>
    </row>
    <row r="87" spans="1:32" ht="66.599999999999994" customHeight="1" thickBot="1" x14ac:dyDescent="0.35">
      <c r="A87" s="191"/>
      <c r="B87" s="1075" t="s">
        <v>1339</v>
      </c>
      <c r="C87" s="1087" t="s">
        <v>1340</v>
      </c>
      <c r="D87" s="307" t="s">
        <v>1341</v>
      </c>
      <c r="E87" s="285">
        <v>0.08</v>
      </c>
      <c r="F87" s="283">
        <v>1</v>
      </c>
      <c r="G87" s="213">
        <v>0</v>
      </c>
      <c r="H87" s="213">
        <v>0.5</v>
      </c>
      <c r="I87" s="218"/>
      <c r="J87" s="218">
        <f>+H87/F87</f>
        <v>0.5</v>
      </c>
      <c r="K87" s="218"/>
      <c r="L87" s="218">
        <f t="shared" si="101"/>
        <v>0.04</v>
      </c>
      <c r="M87" s="213"/>
      <c r="N87" s="670">
        <v>0.1</v>
      </c>
      <c r="O87" s="670">
        <v>0.15</v>
      </c>
      <c r="P87" s="213"/>
      <c r="Q87" s="213"/>
      <c r="R87" s="213">
        <f t="shared" si="102"/>
        <v>0.25</v>
      </c>
      <c r="S87" s="213">
        <f t="shared" si="103"/>
        <v>0.25</v>
      </c>
      <c r="T87" s="218"/>
      <c r="U87" s="218">
        <f t="shared" si="104"/>
        <v>0.5</v>
      </c>
      <c r="V87" s="218"/>
      <c r="W87" s="218">
        <f t="shared" si="105"/>
        <v>0.04</v>
      </c>
      <c r="X87" s="218"/>
      <c r="Y87" s="284">
        <f t="shared" si="106"/>
        <v>0.25</v>
      </c>
      <c r="Z87" s="284">
        <v>0</v>
      </c>
      <c r="AA87" s="284">
        <f t="shared" si="107"/>
        <v>0.02</v>
      </c>
      <c r="AB87" s="308" t="s">
        <v>1321</v>
      </c>
      <c r="AC87" s="724" t="s">
        <v>44</v>
      </c>
      <c r="AD87" s="724" t="s">
        <v>1169</v>
      </c>
      <c r="AE87" s="1159" t="s">
        <v>885</v>
      </c>
      <c r="AF87" s="664"/>
    </row>
    <row r="88" spans="1:32" ht="78.599999999999994" customHeight="1" thickBot="1" x14ac:dyDescent="0.35">
      <c r="A88" s="191"/>
      <c r="B88" s="1075" t="s">
        <v>1342</v>
      </c>
      <c r="C88" s="1087" t="s">
        <v>1343</v>
      </c>
      <c r="D88" s="307" t="s">
        <v>1344</v>
      </c>
      <c r="E88" s="285">
        <v>0.05</v>
      </c>
      <c r="F88" s="283">
        <v>1</v>
      </c>
      <c r="G88" s="213">
        <v>0</v>
      </c>
      <c r="H88" s="213">
        <v>0</v>
      </c>
      <c r="I88" s="218"/>
      <c r="J88" s="218">
        <f t="shared" si="109"/>
        <v>0</v>
      </c>
      <c r="K88" s="218"/>
      <c r="L88" s="218">
        <f t="shared" si="101"/>
        <v>0</v>
      </c>
      <c r="M88" s="213"/>
      <c r="N88" s="670"/>
      <c r="O88" s="670"/>
      <c r="P88" s="213"/>
      <c r="Q88" s="213"/>
      <c r="R88" s="213">
        <f t="shared" si="102"/>
        <v>0</v>
      </c>
      <c r="S88" s="213">
        <f t="shared" si="103"/>
        <v>0</v>
      </c>
      <c r="T88" s="218"/>
      <c r="U88" s="237"/>
      <c r="V88" s="218"/>
      <c r="W88" s="218"/>
      <c r="X88" s="237"/>
      <c r="Y88" s="287">
        <f t="shared" si="106"/>
        <v>0</v>
      </c>
      <c r="Z88" s="287">
        <v>0</v>
      </c>
      <c r="AA88" s="287">
        <f t="shared" si="107"/>
        <v>0</v>
      </c>
      <c r="AB88" s="308" t="s">
        <v>1321</v>
      </c>
      <c r="AC88" s="724" t="s">
        <v>44</v>
      </c>
      <c r="AD88" s="724" t="s">
        <v>1169</v>
      </c>
      <c r="AE88" s="1159" t="s">
        <v>885</v>
      </c>
      <c r="AF88" s="664"/>
    </row>
    <row r="89" spans="1:32" ht="124.9" customHeight="1" thickBot="1" x14ac:dyDescent="0.35">
      <c r="A89" s="191"/>
      <c r="B89" s="1075" t="s">
        <v>1345</v>
      </c>
      <c r="C89" s="1087" t="s">
        <v>1346</v>
      </c>
      <c r="D89" s="307" t="s">
        <v>1347</v>
      </c>
      <c r="E89" s="285">
        <v>0.02</v>
      </c>
      <c r="F89" s="283">
        <v>1</v>
      </c>
      <c r="G89" s="213">
        <v>0</v>
      </c>
      <c r="H89" s="213">
        <v>0.5</v>
      </c>
      <c r="I89" s="218"/>
      <c r="J89" s="218">
        <f t="shared" si="109"/>
        <v>0.5</v>
      </c>
      <c r="K89" s="218"/>
      <c r="L89" s="218">
        <f t="shared" si="101"/>
        <v>0.01</v>
      </c>
      <c r="M89" s="213"/>
      <c r="N89" s="670">
        <v>0.1</v>
      </c>
      <c r="O89" s="670">
        <v>0.15</v>
      </c>
      <c r="P89" s="213"/>
      <c r="Q89" s="213"/>
      <c r="R89" s="213">
        <f t="shared" si="102"/>
        <v>0.25</v>
      </c>
      <c r="S89" s="213">
        <f t="shared" si="103"/>
        <v>0.25</v>
      </c>
      <c r="T89" s="218"/>
      <c r="U89" s="218">
        <f t="shared" si="104"/>
        <v>0.5</v>
      </c>
      <c r="V89" s="218"/>
      <c r="W89" s="218">
        <f t="shared" si="105"/>
        <v>0.01</v>
      </c>
      <c r="X89" s="218"/>
      <c r="Y89" s="284">
        <f t="shared" si="106"/>
        <v>0.25</v>
      </c>
      <c r="Z89" s="284">
        <v>0</v>
      </c>
      <c r="AA89" s="284">
        <f t="shared" si="107"/>
        <v>5.0000000000000001E-3</v>
      </c>
      <c r="AB89" s="308" t="s">
        <v>1321</v>
      </c>
      <c r="AC89" s="724" t="s">
        <v>44</v>
      </c>
      <c r="AD89" s="724" t="s">
        <v>1169</v>
      </c>
      <c r="AE89" s="1159" t="s">
        <v>885</v>
      </c>
      <c r="AF89" s="664"/>
    </row>
    <row r="90" spans="1:32" ht="50.45" customHeight="1" thickBot="1" x14ac:dyDescent="0.35">
      <c r="A90" s="191"/>
      <c r="B90" s="1075" t="s">
        <v>1348</v>
      </c>
      <c r="C90" s="1087" t="s">
        <v>1349</v>
      </c>
      <c r="D90" s="313" t="s">
        <v>1350</v>
      </c>
      <c r="E90" s="297">
        <v>0.2</v>
      </c>
      <c r="F90" s="283">
        <v>8</v>
      </c>
      <c r="G90" s="213">
        <v>2</v>
      </c>
      <c r="H90" s="213">
        <v>1</v>
      </c>
      <c r="I90" s="218">
        <f t="shared" si="108"/>
        <v>0.25</v>
      </c>
      <c r="J90" s="218">
        <f t="shared" si="109"/>
        <v>0.125</v>
      </c>
      <c r="K90" s="218">
        <f t="shared" si="110"/>
        <v>0.05</v>
      </c>
      <c r="L90" s="218">
        <f t="shared" si="101"/>
        <v>2.5000000000000001E-2</v>
      </c>
      <c r="M90" s="213">
        <v>1</v>
      </c>
      <c r="N90" s="670">
        <v>0.38</v>
      </c>
      <c r="O90" s="670">
        <v>0.4</v>
      </c>
      <c r="P90" s="213"/>
      <c r="Q90" s="213"/>
      <c r="R90" s="213">
        <f t="shared" si="102"/>
        <v>0.78</v>
      </c>
      <c r="S90" s="213">
        <f>+R90+M90</f>
        <v>1.78</v>
      </c>
      <c r="T90" s="218">
        <f t="shared" si="111"/>
        <v>0.5</v>
      </c>
      <c r="U90" s="218">
        <f t="shared" si="104"/>
        <v>0.78</v>
      </c>
      <c r="V90" s="218">
        <f t="shared" si="112"/>
        <v>0.1</v>
      </c>
      <c r="W90" s="218">
        <f t="shared" si="105"/>
        <v>0.15600000000000003</v>
      </c>
      <c r="X90" s="218">
        <f t="shared" si="113"/>
        <v>0.125</v>
      </c>
      <c r="Y90" s="287">
        <f>+S90/F90</f>
        <v>0.2225</v>
      </c>
      <c r="Z90" s="284">
        <f t="shared" si="114"/>
        <v>2.5000000000000001E-2</v>
      </c>
      <c r="AA90" s="284">
        <f t="shared" si="107"/>
        <v>4.4500000000000005E-2</v>
      </c>
      <c r="AB90" s="292" t="s">
        <v>1351</v>
      </c>
      <c r="AC90" s="727" t="s">
        <v>1351</v>
      </c>
      <c r="AD90" s="724" t="s">
        <v>1169</v>
      </c>
      <c r="AE90" s="1159" t="s">
        <v>885</v>
      </c>
      <c r="AF90" s="664"/>
    </row>
    <row r="91" spans="1:32" ht="114.75" customHeight="1" thickBot="1" x14ac:dyDescent="0.35">
      <c r="A91" s="191"/>
      <c r="B91" s="1317" t="s">
        <v>1352</v>
      </c>
      <c r="C91" s="1327"/>
      <c r="D91" s="288"/>
      <c r="E91" s="289">
        <v>0.45</v>
      </c>
      <c r="F91" s="283"/>
      <c r="G91" s="206"/>
      <c r="H91" s="206"/>
      <c r="I91" s="212">
        <f>+AVERAGE(I92:I94)</f>
        <v>0.25</v>
      </c>
      <c r="J91" s="212">
        <f>+AVERAGE(J92:J94)</f>
        <v>0.29166666666666669</v>
      </c>
      <c r="K91" s="212">
        <f>+K92+K93+K94</f>
        <v>0.125</v>
      </c>
      <c r="L91" s="212">
        <f>+L92+L93+L94</f>
        <v>0.21875</v>
      </c>
      <c r="M91" s="211"/>
      <c r="N91" s="211"/>
      <c r="O91" s="211"/>
      <c r="P91" s="211"/>
      <c r="Q91" s="211"/>
      <c r="R91" s="211"/>
      <c r="S91" s="211"/>
      <c r="T91" s="235">
        <f>+AVERAGE(T92:T94)</f>
        <v>0</v>
      </c>
      <c r="U91" s="235">
        <f>+AVERAGE(U92:U94)</f>
        <v>0.15333333333333332</v>
      </c>
      <c r="V91" s="235">
        <f>+(V92+V93+V94)*E91</f>
        <v>0</v>
      </c>
      <c r="W91" s="235">
        <f>+(W92+W93+W94)*E91</f>
        <v>3.4499999999999996E-2</v>
      </c>
      <c r="X91" s="212">
        <f>+AVERAGE(X92:X94)</f>
        <v>0</v>
      </c>
      <c r="Y91" s="212">
        <f>+(Y92*0.33)+(Y93*0.33)+(Y94*0.33)</f>
        <v>3.7949999999999998E-2</v>
      </c>
      <c r="Z91" s="278">
        <f>+(Z92+Z93+Z94)*E91</f>
        <v>0</v>
      </c>
      <c r="AA91" s="278">
        <f>+(AA92+AA93+AA94)</f>
        <v>2.8749999999999998E-2</v>
      </c>
      <c r="AB91" s="279"/>
      <c r="AC91" s="664"/>
      <c r="AD91" s="664"/>
      <c r="AE91" s="664"/>
      <c r="AF91" s="664"/>
    </row>
    <row r="92" spans="1:32" ht="144.6" customHeight="1" thickBot="1" x14ac:dyDescent="0.35">
      <c r="A92" s="191"/>
      <c r="B92" s="1075" t="s">
        <v>1353</v>
      </c>
      <c r="C92" s="1087" t="s">
        <v>1354</v>
      </c>
      <c r="D92" s="288" t="s">
        <v>1355</v>
      </c>
      <c r="E92" s="285">
        <v>0.25</v>
      </c>
      <c r="F92" s="283">
        <v>4</v>
      </c>
      <c r="G92" s="213">
        <v>1</v>
      </c>
      <c r="H92" s="213">
        <v>2</v>
      </c>
      <c r="I92" s="218">
        <f>+G92/F92</f>
        <v>0.25</v>
      </c>
      <c r="J92" s="218">
        <f t="shared" si="109"/>
        <v>0.5</v>
      </c>
      <c r="K92" s="218">
        <f>+(G92/F92)*E92</f>
        <v>6.25E-2</v>
      </c>
      <c r="L92" s="218">
        <f t="shared" ref="L92:L94" si="115">+(H92/F92)*E92</f>
        <v>0.125</v>
      </c>
      <c r="M92" s="213">
        <v>0</v>
      </c>
      <c r="N92" s="670">
        <v>0</v>
      </c>
      <c r="O92" s="213">
        <v>0</v>
      </c>
      <c r="P92" s="213"/>
      <c r="Q92" s="213"/>
      <c r="R92" s="213">
        <f t="shared" ref="R92:R94" si="116">+N92+O92+P92+Q92</f>
        <v>0</v>
      </c>
      <c r="S92" s="213">
        <f t="shared" ref="S92:S94" si="117">+R92+M92</f>
        <v>0</v>
      </c>
      <c r="T92" s="218">
        <f>+(M92/G92)</f>
        <v>0</v>
      </c>
      <c r="U92" s="218">
        <f t="shared" ref="U92:U94" si="118">+R92/H92</f>
        <v>0</v>
      </c>
      <c r="V92" s="218">
        <f>+T92*E92</f>
        <v>0</v>
      </c>
      <c r="W92" s="218">
        <f t="shared" ref="W92:W94" si="119">+U92*E92</f>
        <v>0</v>
      </c>
      <c r="X92" s="218">
        <f>+M92/F92</f>
        <v>0</v>
      </c>
      <c r="Y92" s="284">
        <f t="shared" ref="Y92:Y94" si="120">+S92/F92</f>
        <v>0</v>
      </c>
      <c r="Z92" s="284">
        <f>+X92*E92</f>
        <v>0</v>
      </c>
      <c r="AA92" s="284">
        <f>+Y92*E92</f>
        <v>0</v>
      </c>
      <c r="AB92" s="308" t="s">
        <v>1356</v>
      </c>
      <c r="AC92" s="722" t="s">
        <v>1357</v>
      </c>
      <c r="AD92" s="724" t="s">
        <v>1169</v>
      </c>
      <c r="AE92" s="1159" t="s">
        <v>885</v>
      </c>
      <c r="AF92" s="664"/>
    </row>
    <row r="93" spans="1:32" ht="184.9" customHeight="1" thickBot="1" x14ac:dyDescent="0.35">
      <c r="A93" s="191"/>
      <c r="B93" s="216" t="s">
        <v>1358</v>
      </c>
      <c r="C93" s="280" t="s">
        <v>1359</v>
      </c>
      <c r="D93" s="288" t="s">
        <v>1360</v>
      </c>
      <c r="E93" s="285">
        <v>0.5</v>
      </c>
      <c r="F93" s="283">
        <v>3</v>
      </c>
      <c r="G93" s="213">
        <v>0</v>
      </c>
      <c r="H93" s="213">
        <v>0</v>
      </c>
      <c r="I93" s="218"/>
      <c r="J93" s="218">
        <f t="shared" si="109"/>
        <v>0</v>
      </c>
      <c r="K93" s="218"/>
      <c r="L93" s="218">
        <f t="shared" si="115"/>
        <v>0</v>
      </c>
      <c r="M93" s="213"/>
      <c r="N93" s="670"/>
      <c r="O93" s="213"/>
      <c r="P93" s="213"/>
      <c r="Q93" s="213"/>
      <c r="R93" s="213">
        <f t="shared" si="116"/>
        <v>0</v>
      </c>
      <c r="S93" s="213">
        <f t="shared" si="117"/>
        <v>0</v>
      </c>
      <c r="T93" s="218"/>
      <c r="U93" s="218"/>
      <c r="V93" s="218"/>
      <c r="W93" s="218">
        <f t="shared" si="119"/>
        <v>0</v>
      </c>
      <c r="X93" s="218"/>
      <c r="Y93" s="284">
        <v>0</v>
      </c>
      <c r="Z93" s="284"/>
      <c r="AA93" s="284">
        <f>+Y93*E93</f>
        <v>0</v>
      </c>
      <c r="AB93" s="308" t="s">
        <v>1361</v>
      </c>
      <c r="AC93" s="669" t="s">
        <v>1362</v>
      </c>
      <c r="AD93" s="664"/>
      <c r="AE93" s="664"/>
      <c r="AF93" s="664"/>
    </row>
    <row r="94" spans="1:32" ht="147.6" customHeight="1" thickBot="1" x14ac:dyDescent="0.35">
      <c r="A94" s="191"/>
      <c r="B94" s="1137" t="s">
        <v>1363</v>
      </c>
      <c r="C94" s="1138" t="s">
        <v>1364</v>
      </c>
      <c r="D94" s="309" t="s">
        <v>1365</v>
      </c>
      <c r="E94" s="298">
        <v>0.25</v>
      </c>
      <c r="F94" s="283">
        <v>2</v>
      </c>
      <c r="G94" s="213">
        <v>0.5</v>
      </c>
      <c r="H94" s="213">
        <v>0.75</v>
      </c>
      <c r="I94" s="218">
        <f>+G94/F94</f>
        <v>0.25</v>
      </c>
      <c r="J94" s="218">
        <f t="shared" si="109"/>
        <v>0.375</v>
      </c>
      <c r="K94" s="218">
        <f>+(G94/F94)*E94</f>
        <v>6.25E-2</v>
      </c>
      <c r="L94" s="218">
        <f t="shared" si="115"/>
        <v>9.375E-2</v>
      </c>
      <c r="M94" s="213">
        <v>0</v>
      </c>
      <c r="N94" s="670">
        <v>0.08</v>
      </c>
      <c r="O94" s="213">
        <v>0.15</v>
      </c>
      <c r="P94" s="213"/>
      <c r="Q94" s="213"/>
      <c r="R94" s="213">
        <f t="shared" si="116"/>
        <v>0.22999999999999998</v>
      </c>
      <c r="S94" s="213">
        <f t="shared" si="117"/>
        <v>0.22999999999999998</v>
      </c>
      <c r="T94" s="218">
        <f>+(M94/G94)</f>
        <v>0</v>
      </c>
      <c r="U94" s="218">
        <f t="shared" si="118"/>
        <v>0.30666666666666664</v>
      </c>
      <c r="V94" s="218">
        <f>+T94*E94</f>
        <v>0</v>
      </c>
      <c r="W94" s="218">
        <f t="shared" si="119"/>
        <v>7.6666666666666661E-2</v>
      </c>
      <c r="X94" s="218">
        <f>+M94/F94</f>
        <v>0</v>
      </c>
      <c r="Y94" s="284">
        <f t="shared" si="120"/>
        <v>0.11499999999999999</v>
      </c>
      <c r="Z94" s="284">
        <f>+X94*E94</f>
        <v>0</v>
      </c>
      <c r="AA94" s="284">
        <f>+Y94*E94</f>
        <v>2.8749999999999998E-2</v>
      </c>
      <c r="AB94" s="292" t="s">
        <v>1366</v>
      </c>
      <c r="AC94" s="669" t="s">
        <v>1357</v>
      </c>
      <c r="AD94" s="724" t="s">
        <v>1169</v>
      </c>
      <c r="AE94" s="1251" t="s">
        <v>1357</v>
      </c>
      <c r="AF94" s="664"/>
    </row>
    <row r="95" spans="1:32" ht="28.15" customHeight="1" thickBot="1" x14ac:dyDescent="0.35">
      <c r="A95" s="191"/>
      <c r="B95" s="1317" t="s">
        <v>1367</v>
      </c>
      <c r="C95" s="1327"/>
      <c r="D95" s="288"/>
      <c r="E95" s="289">
        <v>0.1</v>
      </c>
      <c r="F95" s="283"/>
      <c r="G95" s="206"/>
      <c r="H95" s="206"/>
      <c r="I95" s="212">
        <f>+AVERAGE(I96)</f>
        <v>0.25</v>
      </c>
      <c r="J95" s="212">
        <f>+AVERAGE(J96)</f>
        <v>0.25</v>
      </c>
      <c r="K95" s="212">
        <f>+K96</f>
        <v>0.25</v>
      </c>
      <c r="L95" s="212">
        <f>+L96</f>
        <v>0.25</v>
      </c>
      <c r="M95" s="211"/>
      <c r="N95" s="211"/>
      <c r="O95" s="211"/>
      <c r="P95" s="211"/>
      <c r="Q95" s="211"/>
      <c r="R95" s="211"/>
      <c r="S95" s="211"/>
      <c r="T95" s="235">
        <f>+AVERAGE(T96)</f>
        <v>1</v>
      </c>
      <c r="U95" s="235">
        <f>+AVERAGE(U96)</f>
        <v>0</v>
      </c>
      <c r="V95" s="235">
        <f>+(V96)*E95</f>
        <v>0.1</v>
      </c>
      <c r="W95" s="235">
        <f>+(W96)*E95</f>
        <v>0</v>
      </c>
      <c r="X95" s="212">
        <f>+AVERAGE(X96)</f>
        <v>0.375</v>
      </c>
      <c r="Y95" s="212">
        <f>+AVERAGE(Y96)</f>
        <v>0.375</v>
      </c>
      <c r="Z95" s="278">
        <f>+(Z96)*E95</f>
        <v>3.7500000000000006E-2</v>
      </c>
      <c r="AA95" s="278">
        <f>+(AA96)</f>
        <v>0.375</v>
      </c>
      <c r="AB95" s="279"/>
      <c r="AC95" s="664"/>
      <c r="AD95" s="664"/>
      <c r="AE95" s="664"/>
      <c r="AF95" s="664"/>
    </row>
    <row r="96" spans="1:32" ht="108" customHeight="1" thickBot="1" x14ac:dyDescent="0.35">
      <c r="A96" s="191"/>
      <c r="B96" s="1075" t="s">
        <v>1368</v>
      </c>
      <c r="C96" s="1087" t="s">
        <v>1369</v>
      </c>
      <c r="D96" s="288" t="s">
        <v>1370</v>
      </c>
      <c r="E96" s="285">
        <v>1</v>
      </c>
      <c r="F96" s="283">
        <v>16</v>
      </c>
      <c r="G96" s="213">
        <v>4</v>
      </c>
      <c r="H96" s="213">
        <v>4</v>
      </c>
      <c r="I96" s="218">
        <f>+G96/F96</f>
        <v>0.25</v>
      </c>
      <c r="J96" s="218">
        <f t="shared" si="109"/>
        <v>0.25</v>
      </c>
      <c r="K96" s="218">
        <f>+(G96/F96)*E96</f>
        <v>0.25</v>
      </c>
      <c r="L96" s="218">
        <f t="shared" ref="L96" si="121">+(H96/F96)*E96</f>
        <v>0.25</v>
      </c>
      <c r="M96" s="213">
        <v>6</v>
      </c>
      <c r="N96" s="670">
        <v>0</v>
      </c>
      <c r="O96" s="670">
        <v>0</v>
      </c>
      <c r="P96" s="213"/>
      <c r="Q96" s="213"/>
      <c r="R96" s="213">
        <f t="shared" ref="R96" si="122">+N96+O96+P96+Q96</f>
        <v>0</v>
      </c>
      <c r="S96" s="213">
        <f t="shared" ref="S96" si="123">+R96+M96</f>
        <v>6</v>
      </c>
      <c r="T96" s="218">
        <v>1</v>
      </c>
      <c r="U96" s="218">
        <f t="shared" ref="U96" si="124">+R96/H96</f>
        <v>0</v>
      </c>
      <c r="V96" s="218">
        <f>+T96*E96</f>
        <v>1</v>
      </c>
      <c r="W96" s="218">
        <f t="shared" ref="W96" si="125">+U96*E96</f>
        <v>0</v>
      </c>
      <c r="X96" s="237">
        <f>+M96/F96</f>
        <v>0.375</v>
      </c>
      <c r="Y96" s="287">
        <f t="shared" ref="Y96" si="126">+S96/F96</f>
        <v>0.375</v>
      </c>
      <c r="Z96" s="284">
        <f>+X96*E96</f>
        <v>0.375</v>
      </c>
      <c r="AA96" s="284">
        <f>+Y96*E96</f>
        <v>0.375</v>
      </c>
      <c r="AB96" s="308" t="s">
        <v>1321</v>
      </c>
      <c r="AC96" s="724" t="s">
        <v>44</v>
      </c>
      <c r="AD96" s="664"/>
      <c r="AE96" s="1159" t="s">
        <v>885</v>
      </c>
      <c r="AF96" s="664"/>
    </row>
    <row r="97" spans="1:32" ht="103.15" customHeight="1" thickBot="1" x14ac:dyDescent="0.35">
      <c r="A97" s="191"/>
      <c r="B97" s="1321" t="s">
        <v>1371</v>
      </c>
      <c r="C97" s="1327"/>
      <c r="D97" s="288"/>
      <c r="E97" s="291">
        <v>0.2</v>
      </c>
      <c r="F97" s="201">
        <f>+E97*V97</f>
        <v>7.2980616242112467E-2</v>
      </c>
      <c r="G97" s="206"/>
      <c r="H97" s="202">
        <f>+E97*W97</f>
        <v>6.5500267978025051E-2</v>
      </c>
      <c r="I97" s="204">
        <f>+(I98+I100+I105+I109+I121)/4</f>
        <v>0.32233213614481815</v>
      </c>
      <c r="J97" s="204">
        <f>+(J98+J100+J105+J109+J121)/4</f>
        <v>0.33444883091858213</v>
      </c>
      <c r="K97" s="205">
        <f>+(K98+K100+K105+K109+K121)/4</f>
        <v>0.24677777425020778</v>
      </c>
      <c r="L97" s="205">
        <f>+(L98+L100+L105+L109+L121)/4</f>
        <v>0.31886324614094053</v>
      </c>
      <c r="M97" s="206"/>
      <c r="N97" s="206"/>
      <c r="O97" s="206"/>
      <c r="P97" s="206"/>
      <c r="Q97" s="206"/>
      <c r="R97" s="206"/>
      <c r="S97" s="206"/>
      <c r="T97" s="204">
        <f>+(T98+T100+T105+T109+T121)/4</f>
        <v>0.71155118289486519</v>
      </c>
      <c r="U97" s="204">
        <f>+(U98+U100+U105+U109+U121)/4</f>
        <v>0.50171683478499085</v>
      </c>
      <c r="V97" s="205">
        <f>+V98+V100+V105+V109+V121</f>
        <v>0.36490308121056231</v>
      </c>
      <c r="W97" s="205">
        <f>+W98+W100+W105+W109+W121</f>
        <v>0.32750133989012525</v>
      </c>
      <c r="X97" s="204">
        <f>(X98+X100+X105+X109+X121)/4</f>
        <v>0.28704669626851897</v>
      </c>
      <c r="Y97" s="657">
        <f>(Y98+Y100+Y105+Y109+Y121)/5</f>
        <v>0.41689992752210825</v>
      </c>
      <c r="Z97" s="305">
        <f>+(Z98+Z100+Z105+Z109+Z121)</f>
        <v>0.14970787104537839</v>
      </c>
      <c r="AA97" s="305">
        <f>+(AA98*E98+AA100*E100*+AA105*E105+AA109*E109+AA121*E121)</f>
        <v>0.1631294882215743</v>
      </c>
      <c r="AB97" s="276"/>
      <c r="AC97" s="664"/>
      <c r="AD97" s="664"/>
      <c r="AE97" s="664"/>
      <c r="AF97" s="664"/>
    </row>
    <row r="98" spans="1:32" ht="42.75" customHeight="1" thickBot="1" x14ac:dyDescent="0.35">
      <c r="A98" s="191"/>
      <c r="B98" s="1317" t="s">
        <v>1372</v>
      </c>
      <c r="C98" s="1327"/>
      <c r="D98" s="288"/>
      <c r="E98" s="289">
        <v>0.3</v>
      </c>
      <c r="F98" s="283"/>
      <c r="G98" s="206"/>
      <c r="H98" s="206"/>
      <c r="I98" s="212">
        <f>+AVERAGE(I99)</f>
        <v>0</v>
      </c>
      <c r="J98" s="212">
        <f>+AVERAGE(J99)</f>
        <v>0.2</v>
      </c>
      <c r="K98" s="212">
        <f>+K99</f>
        <v>0</v>
      </c>
      <c r="L98" s="212">
        <f>+L99</f>
        <v>0.2</v>
      </c>
      <c r="M98" s="211"/>
      <c r="N98" s="211"/>
      <c r="O98" s="211"/>
      <c r="P98" s="211"/>
      <c r="Q98" s="211"/>
      <c r="R98" s="211"/>
      <c r="S98" s="211"/>
      <c r="T98" s="214"/>
      <c r="U98" s="235">
        <f>+AVERAGE(U99)</f>
        <v>0</v>
      </c>
      <c r="V98" s="235"/>
      <c r="W98" s="235">
        <f>+(W99)*E98</f>
        <v>0</v>
      </c>
      <c r="X98" s="212"/>
      <c r="Y98" s="278">
        <f>+AVERAGE(Y99)</f>
        <v>0</v>
      </c>
      <c r="Z98" s="278">
        <f>+(Z99)*E98</f>
        <v>0</v>
      </c>
      <c r="AA98" s="278">
        <f>+(AA99)</f>
        <v>0</v>
      </c>
      <c r="AB98" s="279"/>
      <c r="AC98" s="664"/>
      <c r="AD98" s="664"/>
      <c r="AE98" s="664"/>
      <c r="AF98" s="664"/>
    </row>
    <row r="99" spans="1:32" ht="54.75" customHeight="1" thickBot="1" x14ac:dyDescent="0.35">
      <c r="A99" s="191"/>
      <c r="B99" s="1088" t="s">
        <v>1373</v>
      </c>
      <c r="C99" s="1089" t="s">
        <v>1374</v>
      </c>
      <c r="D99" s="281" t="s">
        <v>1224</v>
      </c>
      <c r="E99" s="285">
        <v>1</v>
      </c>
      <c r="F99" s="283">
        <v>10</v>
      </c>
      <c r="G99" s="213">
        <v>0</v>
      </c>
      <c r="H99" s="213">
        <v>2</v>
      </c>
      <c r="I99" s="218">
        <f>+G99/F99</f>
        <v>0</v>
      </c>
      <c r="J99" s="218">
        <f t="shared" ref="J99:J134" si="127">+H99/F99</f>
        <v>0.2</v>
      </c>
      <c r="K99" s="218">
        <f>+(G99/F99)*E99</f>
        <v>0</v>
      </c>
      <c r="L99" s="218">
        <f t="shared" ref="L99:L134" si="128">+(H99/F99)*E99</f>
        <v>0.2</v>
      </c>
      <c r="M99" s="213"/>
      <c r="N99" s="670">
        <v>0</v>
      </c>
      <c r="O99" s="213"/>
      <c r="P99" s="213"/>
      <c r="Q99" s="213"/>
      <c r="R99" s="213">
        <f t="shared" ref="R99" si="129">+N99+O99+P99+Q99</f>
        <v>0</v>
      </c>
      <c r="S99" s="213">
        <f t="shared" ref="S99" si="130">+R99+M99</f>
        <v>0</v>
      </c>
      <c r="T99" s="218"/>
      <c r="U99" s="218">
        <f t="shared" ref="U99" si="131">+R99/H99</f>
        <v>0</v>
      </c>
      <c r="V99" s="218"/>
      <c r="W99" s="218">
        <f t="shared" ref="W99" si="132">+U99*E99</f>
        <v>0</v>
      </c>
      <c r="X99" s="218"/>
      <c r="Y99" s="284">
        <f t="shared" ref="Y99" si="133">+S99/F99</f>
        <v>0</v>
      </c>
      <c r="Z99" s="284"/>
      <c r="AA99" s="284">
        <f>+Y99*E99</f>
        <v>0</v>
      </c>
      <c r="AB99" s="310" t="s">
        <v>1375</v>
      </c>
      <c r="AC99" s="724" t="s">
        <v>44</v>
      </c>
      <c r="AD99" s="664"/>
      <c r="AE99" s="1159" t="s">
        <v>885</v>
      </c>
      <c r="AF99" s="664"/>
    </row>
    <row r="100" spans="1:32" ht="100.5" customHeight="1" thickBot="1" x14ac:dyDescent="0.35">
      <c r="A100" s="191"/>
      <c r="B100" s="1317" t="s">
        <v>1376</v>
      </c>
      <c r="C100" s="1327"/>
      <c r="D100" s="288"/>
      <c r="E100" s="289">
        <v>0.2</v>
      </c>
      <c r="F100" s="283"/>
      <c r="G100" s="206"/>
      <c r="H100" s="206"/>
      <c r="I100" s="212">
        <f>+AVERAGE(I101:I104)</f>
        <v>0.1875</v>
      </c>
      <c r="J100" s="212">
        <f>+AVERAGE(J101:J104)</f>
        <v>0.27083333333333331</v>
      </c>
      <c r="K100" s="212">
        <f>+K101+K102+K103+K104</f>
        <v>0.2</v>
      </c>
      <c r="L100" s="212">
        <f>+L101+L102+L103+L104</f>
        <v>0.26666666666666666</v>
      </c>
      <c r="M100" s="211"/>
      <c r="N100" s="211"/>
      <c r="O100" s="211"/>
      <c r="P100" s="211"/>
      <c r="Q100" s="211"/>
      <c r="R100" s="211"/>
      <c r="S100" s="211"/>
      <c r="T100" s="235">
        <f>+AVERAGE(T101:T104)</f>
        <v>1</v>
      </c>
      <c r="U100" s="235">
        <f>+AVERAGE(U101:U104)</f>
        <v>1</v>
      </c>
      <c r="V100" s="235">
        <f>+(V101+V102+V103+V104)*E100</f>
        <v>0.16000000000000003</v>
      </c>
      <c r="W100" s="235">
        <f>+(W101+W102+W103+W104)*E100</f>
        <v>0.2</v>
      </c>
      <c r="X100" s="212">
        <f>+AVERAGE(X101:X104)</f>
        <v>0.25510535714285715</v>
      </c>
      <c r="Y100" s="212">
        <f>+AVERAGE(Y101:Y104)</f>
        <v>0.93191666666666662</v>
      </c>
      <c r="Z100" s="278">
        <f>+(Z101+Z102+Z103+Z104)*E100</f>
        <v>5.427928571428571E-2</v>
      </c>
      <c r="AA100" s="278">
        <f>+(AA101+AA102+AA103+AA104)</f>
        <v>0.92996499999999993</v>
      </c>
      <c r="AB100" s="279"/>
      <c r="AC100" s="664"/>
      <c r="AD100" s="664"/>
      <c r="AE100" s="664"/>
      <c r="AF100" s="664"/>
    </row>
    <row r="101" spans="1:32" ht="69.599999999999994" customHeight="1" thickBot="1" x14ac:dyDescent="0.35">
      <c r="A101" s="191"/>
      <c r="B101" s="1075" t="s">
        <v>1377</v>
      </c>
      <c r="C101" s="1087" t="s">
        <v>1378</v>
      </c>
      <c r="D101" s="281" t="s">
        <v>1224</v>
      </c>
      <c r="E101" s="285">
        <v>0.3</v>
      </c>
      <c r="F101" s="283">
        <v>60</v>
      </c>
      <c r="G101" s="213">
        <v>15</v>
      </c>
      <c r="H101" s="213">
        <v>15</v>
      </c>
      <c r="I101" s="218">
        <f>+G101/F101</f>
        <v>0.25</v>
      </c>
      <c r="J101" s="218">
        <f t="shared" si="127"/>
        <v>0.25</v>
      </c>
      <c r="K101" s="218">
        <f>+(G101/F101)*E101</f>
        <v>7.4999999999999997E-2</v>
      </c>
      <c r="L101" s="218">
        <f t="shared" si="128"/>
        <v>7.4999999999999997E-2</v>
      </c>
      <c r="M101" s="213">
        <v>17.672999999999998</v>
      </c>
      <c r="N101" s="670">
        <v>10.196</v>
      </c>
      <c r="O101" s="213">
        <v>22.79</v>
      </c>
      <c r="P101" s="213"/>
      <c r="Q101" s="213"/>
      <c r="R101" s="213">
        <f>+N101+O101+P101+Q101</f>
        <v>32.985999999999997</v>
      </c>
      <c r="S101" s="213">
        <f>+R101+M101</f>
        <v>50.658999999999992</v>
      </c>
      <c r="T101" s="218">
        <v>1</v>
      </c>
      <c r="U101" s="218">
        <v>1</v>
      </c>
      <c r="V101" s="218">
        <f>+T101*E101</f>
        <v>0.3</v>
      </c>
      <c r="W101" s="218">
        <f t="shared" ref="W101:W134" si="134">+U101*E101</f>
        <v>0.3</v>
      </c>
      <c r="X101" s="218">
        <f>+M101/F101</f>
        <v>0.29454999999999998</v>
      </c>
      <c r="Y101" s="284">
        <f>+S101/F101</f>
        <v>0.84431666666666649</v>
      </c>
      <c r="Z101" s="284">
        <f>+X101*E101</f>
        <v>8.8364999999999985E-2</v>
      </c>
      <c r="AA101" s="284">
        <f>+Y101*E101</f>
        <v>0.25329499999999994</v>
      </c>
      <c r="AB101" s="308" t="s">
        <v>1321</v>
      </c>
      <c r="AC101" s="724" t="s">
        <v>44</v>
      </c>
      <c r="AD101" s="719" t="s">
        <v>1291</v>
      </c>
      <c r="AE101" s="724" t="s">
        <v>885</v>
      </c>
      <c r="AF101" s="664"/>
    </row>
    <row r="102" spans="1:32" ht="68.45" customHeight="1" thickBot="1" x14ac:dyDescent="0.35">
      <c r="A102" s="191"/>
      <c r="B102" s="1137" t="s">
        <v>1379</v>
      </c>
      <c r="C102" s="1138" t="s">
        <v>1380</v>
      </c>
      <c r="D102" s="281" t="s">
        <v>1224</v>
      </c>
      <c r="E102" s="285">
        <v>0.2</v>
      </c>
      <c r="F102" s="283">
        <v>4</v>
      </c>
      <c r="G102" s="213">
        <v>1</v>
      </c>
      <c r="H102" s="213">
        <v>1</v>
      </c>
      <c r="I102" s="218">
        <f>+G102/F102</f>
        <v>0.25</v>
      </c>
      <c r="J102" s="218">
        <f t="shared" si="127"/>
        <v>0.25</v>
      </c>
      <c r="K102" s="218">
        <f>+(G102/F102)*E102</f>
        <v>0.05</v>
      </c>
      <c r="L102" s="218">
        <f t="shared" si="128"/>
        <v>0.05</v>
      </c>
      <c r="M102" s="213">
        <v>1.3892</v>
      </c>
      <c r="N102" s="670">
        <v>2.1442000000000001</v>
      </c>
      <c r="O102" s="720"/>
      <c r="P102" s="213"/>
      <c r="Q102" s="213"/>
      <c r="R102" s="213">
        <f t="shared" ref="R102:R103" si="135">+N102+O102+P102+Q102</f>
        <v>2.1442000000000001</v>
      </c>
      <c r="S102" s="213">
        <f t="shared" ref="S102:S103" si="136">+R102+M102</f>
        <v>3.5334000000000003</v>
      </c>
      <c r="T102" s="218">
        <v>1</v>
      </c>
      <c r="U102" s="218">
        <v>1</v>
      </c>
      <c r="V102" s="218">
        <f>+T102*E102</f>
        <v>0.2</v>
      </c>
      <c r="W102" s="218">
        <f t="shared" si="134"/>
        <v>0.2</v>
      </c>
      <c r="X102" s="218">
        <f>+M102/F102</f>
        <v>0.3473</v>
      </c>
      <c r="Y102" s="284">
        <f t="shared" ref="Y102:Y133" si="137">+S102/F102</f>
        <v>0.88335000000000008</v>
      </c>
      <c r="Z102" s="284">
        <f>+X102*E102</f>
        <v>6.9460000000000008E-2</v>
      </c>
      <c r="AA102" s="284">
        <f>+Y102*E102</f>
        <v>0.17667000000000002</v>
      </c>
      <c r="AB102" s="308" t="s">
        <v>1321</v>
      </c>
      <c r="AC102" s="727" t="s">
        <v>71</v>
      </c>
      <c r="AD102" s="664"/>
      <c r="AE102" s="727" t="s">
        <v>1381</v>
      </c>
      <c r="AF102" s="664"/>
    </row>
    <row r="103" spans="1:32" ht="118.9" customHeight="1" thickBot="1" x14ac:dyDescent="0.35">
      <c r="A103" s="191"/>
      <c r="B103" s="1088" t="s">
        <v>1382</v>
      </c>
      <c r="C103" s="1089" t="s">
        <v>1383</v>
      </c>
      <c r="D103" s="281" t="s">
        <v>1224</v>
      </c>
      <c r="E103" s="285">
        <v>0.2</v>
      </c>
      <c r="F103" s="283">
        <v>3</v>
      </c>
      <c r="G103" s="213">
        <v>0</v>
      </c>
      <c r="H103" s="213">
        <v>1</v>
      </c>
      <c r="I103" s="218">
        <v>0</v>
      </c>
      <c r="J103" s="218">
        <f t="shared" si="127"/>
        <v>0.33333333333333331</v>
      </c>
      <c r="K103" s="218"/>
      <c r="L103" s="218">
        <f t="shared" si="128"/>
        <v>6.6666666666666666E-2</v>
      </c>
      <c r="M103" s="213"/>
      <c r="N103" s="670">
        <v>0</v>
      </c>
      <c r="O103" s="294">
        <v>3</v>
      </c>
      <c r="P103" s="213"/>
      <c r="Q103" s="213"/>
      <c r="R103" s="213">
        <f t="shared" si="135"/>
        <v>3</v>
      </c>
      <c r="S103" s="213">
        <f t="shared" si="136"/>
        <v>3</v>
      </c>
      <c r="T103" s="218"/>
      <c r="U103" s="218">
        <v>1</v>
      </c>
      <c r="V103" s="218">
        <v>0</v>
      </c>
      <c r="W103" s="218">
        <f t="shared" si="134"/>
        <v>0.2</v>
      </c>
      <c r="X103" s="218">
        <v>0</v>
      </c>
      <c r="Y103" s="284">
        <f t="shared" si="137"/>
        <v>1</v>
      </c>
      <c r="Z103" s="284">
        <v>0</v>
      </c>
      <c r="AA103" s="284">
        <f>+Y103*E103</f>
        <v>0.2</v>
      </c>
      <c r="AB103" s="308" t="s">
        <v>1321</v>
      </c>
      <c r="AC103" s="724" t="s">
        <v>44</v>
      </c>
      <c r="AD103" s="719" t="s">
        <v>1291</v>
      </c>
      <c r="AE103" s="724" t="s">
        <v>1384</v>
      </c>
      <c r="AF103" s="664"/>
    </row>
    <row r="104" spans="1:32" ht="82.9" customHeight="1" thickBot="1" x14ac:dyDescent="0.35">
      <c r="A104" s="191"/>
      <c r="B104" s="1075" t="s">
        <v>1385</v>
      </c>
      <c r="C104" s="1087" t="s">
        <v>1386</v>
      </c>
      <c r="D104" s="281" t="s">
        <v>1224</v>
      </c>
      <c r="E104" s="285">
        <v>0.3</v>
      </c>
      <c r="F104" s="283">
        <v>7</v>
      </c>
      <c r="G104" s="213">
        <v>1.75</v>
      </c>
      <c r="H104" s="213">
        <v>1.75</v>
      </c>
      <c r="I104" s="218">
        <f>+G104/F104</f>
        <v>0.25</v>
      </c>
      <c r="J104" s="218">
        <f t="shared" si="127"/>
        <v>0.25</v>
      </c>
      <c r="K104" s="218">
        <f>+(G104/F104)*E104</f>
        <v>7.4999999999999997E-2</v>
      </c>
      <c r="L104" s="218">
        <f t="shared" si="128"/>
        <v>7.4999999999999997E-2</v>
      </c>
      <c r="M104" s="213">
        <v>2.65</v>
      </c>
      <c r="N104" s="670">
        <v>3.198</v>
      </c>
      <c r="O104" s="670">
        <v>7.8051000000000004</v>
      </c>
      <c r="P104" s="213"/>
      <c r="Q104" s="213"/>
      <c r="R104" s="213">
        <f>+N104+O104</f>
        <v>11.0031</v>
      </c>
      <c r="S104" s="213">
        <f>+R104+M104</f>
        <v>13.6531</v>
      </c>
      <c r="T104" s="218">
        <v>1</v>
      </c>
      <c r="U104" s="218">
        <v>1</v>
      </c>
      <c r="V104" s="218">
        <f>+T104*E104</f>
        <v>0.3</v>
      </c>
      <c r="W104" s="218">
        <f t="shared" si="134"/>
        <v>0.3</v>
      </c>
      <c r="X104" s="218">
        <f>+M104/F104</f>
        <v>0.37857142857142856</v>
      </c>
      <c r="Y104" s="284">
        <v>1</v>
      </c>
      <c r="Z104" s="284">
        <f>+X104*E104</f>
        <v>0.11357142857142856</v>
      </c>
      <c r="AA104" s="284">
        <f>+Y104*E104</f>
        <v>0.3</v>
      </c>
      <c r="AB104" s="308" t="s">
        <v>1321</v>
      </c>
      <c r="AC104" s="724" t="s">
        <v>44</v>
      </c>
      <c r="AD104" s="664"/>
      <c r="AE104" s="724" t="s">
        <v>1384</v>
      </c>
      <c r="AF104" s="664"/>
    </row>
    <row r="105" spans="1:32" ht="86.25" customHeight="1" thickBot="1" x14ac:dyDescent="0.35">
      <c r="A105" s="191"/>
      <c r="B105" s="1317" t="s">
        <v>1387</v>
      </c>
      <c r="C105" s="1327"/>
      <c r="D105" s="288"/>
      <c r="E105" s="289">
        <v>0.15</v>
      </c>
      <c r="F105" s="283"/>
      <c r="G105" s="206"/>
      <c r="H105" s="206"/>
      <c r="I105" s="212">
        <f>+AVERAGE(I106:I108)</f>
        <v>0.25</v>
      </c>
      <c r="J105" s="212"/>
      <c r="K105" s="212">
        <f>+K106+K107+K108</f>
        <v>0.25</v>
      </c>
      <c r="L105" s="212"/>
      <c r="M105" s="211"/>
      <c r="N105" s="211"/>
      <c r="O105" s="211"/>
      <c r="P105" s="211"/>
      <c r="Q105" s="211"/>
      <c r="R105" s="211"/>
      <c r="S105" s="211"/>
      <c r="T105" s="235">
        <f>+AVERAGE(T106:T108)</f>
        <v>0</v>
      </c>
      <c r="U105" s="235"/>
      <c r="V105" s="235">
        <f>+(V106+V107+V108)*E105</f>
        <v>0</v>
      </c>
      <c r="W105" s="235"/>
      <c r="X105" s="212">
        <f>+AVERAGE(X106:X108)</f>
        <v>0</v>
      </c>
      <c r="Y105" s="212">
        <f>+AVERAGE(Y106:Y108)</f>
        <v>0</v>
      </c>
      <c r="Z105" s="278">
        <f>+(Z106+Z107+Z108)*E105</f>
        <v>0</v>
      </c>
      <c r="AA105" s="278">
        <f>+(AA106+AA107+AA108)</f>
        <v>0</v>
      </c>
      <c r="AB105" s="279"/>
      <c r="AC105" s="664"/>
      <c r="AD105" s="664"/>
      <c r="AE105" s="664"/>
      <c r="AF105" s="664"/>
    </row>
    <row r="106" spans="1:32" ht="88.9" customHeight="1" thickBot="1" x14ac:dyDescent="0.35">
      <c r="A106" s="191"/>
      <c r="B106" s="1075" t="s">
        <v>1388</v>
      </c>
      <c r="C106" s="1087" t="s">
        <v>1389</v>
      </c>
      <c r="D106" s="288" t="s">
        <v>1320</v>
      </c>
      <c r="E106" s="285">
        <v>0.3</v>
      </c>
      <c r="F106" s="283">
        <v>2</v>
      </c>
      <c r="G106" s="790">
        <v>0.5</v>
      </c>
      <c r="H106" s="791">
        <v>0</v>
      </c>
      <c r="I106" s="218">
        <f>+G106/F106</f>
        <v>0.25</v>
      </c>
      <c r="J106" s="218"/>
      <c r="K106" s="218">
        <f>+(G106/F106)*E106</f>
        <v>7.4999999999999997E-2</v>
      </c>
      <c r="L106" s="218"/>
      <c r="M106" s="213">
        <v>0</v>
      </c>
      <c r="N106" s="670"/>
      <c r="O106" s="670">
        <v>0</v>
      </c>
      <c r="P106" s="213"/>
      <c r="Q106" s="213"/>
      <c r="R106" s="213">
        <f t="shared" ref="R106:R108" si="138">+N106+O106+P106+Q106</f>
        <v>0</v>
      </c>
      <c r="S106" s="213">
        <f t="shared" ref="S106:S108" si="139">+R106+M106</f>
        <v>0</v>
      </c>
      <c r="T106" s="218">
        <f>+(M106/G106)</f>
        <v>0</v>
      </c>
      <c r="U106" s="218"/>
      <c r="V106" s="218">
        <f>+T106*E106</f>
        <v>0</v>
      </c>
      <c r="W106" s="218"/>
      <c r="X106" s="218">
        <f>+M106/F106</f>
        <v>0</v>
      </c>
      <c r="Y106" s="284">
        <f>+S106/F106</f>
        <v>0</v>
      </c>
      <c r="Z106" s="284">
        <f>+X106*E106</f>
        <v>0</v>
      </c>
      <c r="AA106" s="284">
        <f>+Y106*E106</f>
        <v>0</v>
      </c>
      <c r="AB106" s="308" t="s">
        <v>1321</v>
      </c>
      <c r="AC106" s="724" t="s">
        <v>44</v>
      </c>
      <c r="AD106" s="719" t="s">
        <v>1291</v>
      </c>
      <c r="AE106" s="724" t="s">
        <v>885</v>
      </c>
      <c r="AF106" s="664"/>
    </row>
    <row r="107" spans="1:32" ht="54" customHeight="1" thickBot="1" x14ac:dyDescent="0.35">
      <c r="A107" s="191"/>
      <c r="B107" s="1075" t="s">
        <v>1390</v>
      </c>
      <c r="C107" s="1087" t="s">
        <v>1391</v>
      </c>
      <c r="D107" s="288" t="s">
        <v>1320</v>
      </c>
      <c r="E107" s="285">
        <v>0.45</v>
      </c>
      <c r="F107" s="283">
        <v>10</v>
      </c>
      <c r="G107" s="311">
        <v>2.5</v>
      </c>
      <c r="H107" s="659">
        <v>0</v>
      </c>
      <c r="I107" s="218">
        <f>+G107/F107</f>
        <v>0.25</v>
      </c>
      <c r="J107" s="218"/>
      <c r="K107" s="218">
        <f>+(G107/F107)*E107</f>
        <v>0.1125</v>
      </c>
      <c r="L107" s="218"/>
      <c r="M107" s="213">
        <v>0</v>
      </c>
      <c r="N107" s="670"/>
      <c r="O107" s="670">
        <v>0</v>
      </c>
      <c r="P107" s="213"/>
      <c r="Q107" s="213"/>
      <c r="R107" s="213">
        <f t="shared" si="138"/>
        <v>0</v>
      </c>
      <c r="S107" s="213">
        <f t="shared" si="139"/>
        <v>0</v>
      </c>
      <c r="T107" s="218">
        <f>+(M107/G107)</f>
        <v>0</v>
      </c>
      <c r="U107" s="218"/>
      <c r="V107" s="218">
        <f>+T107*E107</f>
        <v>0</v>
      </c>
      <c r="W107" s="218"/>
      <c r="X107" s="218">
        <f>+M107/F107</f>
        <v>0</v>
      </c>
      <c r="Y107" s="284">
        <f t="shared" si="137"/>
        <v>0</v>
      </c>
      <c r="Z107" s="284">
        <f>+X107*E107</f>
        <v>0</v>
      </c>
      <c r="AA107" s="284">
        <f>+Y107*E107</f>
        <v>0</v>
      </c>
      <c r="AB107" s="308" t="s">
        <v>1321</v>
      </c>
      <c r="AC107" s="724" t="s">
        <v>44</v>
      </c>
      <c r="AD107" s="719" t="s">
        <v>1291</v>
      </c>
      <c r="AE107" s="724" t="s">
        <v>885</v>
      </c>
      <c r="AF107" s="664"/>
    </row>
    <row r="108" spans="1:32" ht="79.150000000000006" customHeight="1" thickBot="1" x14ac:dyDescent="0.35">
      <c r="A108" s="191"/>
      <c r="B108" s="1075" t="s">
        <v>1392</v>
      </c>
      <c r="C108" s="1087" t="s">
        <v>1393</v>
      </c>
      <c r="D108" s="288" t="s">
        <v>1320</v>
      </c>
      <c r="E108" s="285">
        <v>0.25</v>
      </c>
      <c r="F108" s="283">
        <v>10000</v>
      </c>
      <c r="G108" s="790">
        <v>2500</v>
      </c>
      <c r="H108" s="791">
        <v>0</v>
      </c>
      <c r="I108" s="218">
        <f>+G108/F108</f>
        <v>0.25</v>
      </c>
      <c r="J108" s="218"/>
      <c r="K108" s="218">
        <f>+(G108/F108)*E108</f>
        <v>6.25E-2</v>
      </c>
      <c r="L108" s="218"/>
      <c r="M108" s="213">
        <v>0</v>
      </c>
      <c r="N108" s="670"/>
      <c r="O108" s="670">
        <v>0</v>
      </c>
      <c r="P108" s="213"/>
      <c r="Q108" s="213"/>
      <c r="R108" s="213">
        <f t="shared" si="138"/>
        <v>0</v>
      </c>
      <c r="S108" s="213">
        <f t="shared" si="139"/>
        <v>0</v>
      </c>
      <c r="T108" s="218">
        <f>+(M108/G108)</f>
        <v>0</v>
      </c>
      <c r="U108" s="218"/>
      <c r="V108" s="218">
        <f>+T108*E108</f>
        <v>0</v>
      </c>
      <c r="W108" s="218"/>
      <c r="X108" s="218">
        <f>+M108/F108</f>
        <v>0</v>
      </c>
      <c r="Y108" s="284">
        <f t="shared" si="137"/>
        <v>0</v>
      </c>
      <c r="Z108" s="284">
        <f>+X108*E108</f>
        <v>0</v>
      </c>
      <c r="AA108" s="284">
        <f>+Y108*E108</f>
        <v>0</v>
      </c>
      <c r="AB108" s="308" t="s">
        <v>1321</v>
      </c>
      <c r="AC108" s="724" t="s">
        <v>44</v>
      </c>
      <c r="AD108" s="719" t="s">
        <v>1291</v>
      </c>
      <c r="AE108" s="724" t="s">
        <v>885</v>
      </c>
      <c r="AF108" s="664"/>
    </row>
    <row r="109" spans="1:32" ht="57" customHeight="1" thickBot="1" x14ac:dyDescent="0.35">
      <c r="A109" s="191"/>
      <c r="B109" s="1317" t="s">
        <v>1394</v>
      </c>
      <c r="C109" s="1327"/>
      <c r="D109" s="288"/>
      <c r="E109" s="289">
        <v>0.15</v>
      </c>
      <c r="F109" s="283"/>
      <c r="G109" s="206"/>
      <c r="H109" s="206"/>
      <c r="I109" s="212">
        <f>+AVERAGE(I110:I120)</f>
        <v>0.30482468088463477</v>
      </c>
      <c r="J109" s="212">
        <f>+AVERAGE(J110:J120)</f>
        <v>0.43500887121099618</v>
      </c>
      <c r="K109" s="212">
        <f>+K110+K111+K112+K113+K114+K115+K116+K117+K118+K119+K120</f>
        <v>0.23385974470770779</v>
      </c>
      <c r="L109" s="212">
        <f>+L110+L111+L112+L113+L114+L115+L116+L117+L118+L119+L120</f>
        <v>0.41100975833209585</v>
      </c>
      <c r="M109" s="211"/>
      <c r="N109" s="211"/>
      <c r="O109" s="211"/>
      <c r="P109" s="211"/>
      <c r="Q109" s="211"/>
      <c r="R109" s="211"/>
      <c r="S109" s="211"/>
      <c r="T109" s="235">
        <f>+AVERAGE(T110:T120)</f>
        <v>0.87337500000000001</v>
      </c>
      <c r="U109" s="235">
        <f>+AVERAGE(U110:U120)</f>
        <v>0.43169664310223549</v>
      </c>
      <c r="V109" s="235">
        <f>+(V110+V111+V112+V113+V114+V115+V116+V117+V118+V119+V120)*E109</f>
        <v>0.104805</v>
      </c>
      <c r="W109" s="235">
        <f>+(W110+W111+W112+W113+W114+W115+W116+W117+W118+W119+W120)*E109</f>
        <v>6.8487684207106964E-2</v>
      </c>
      <c r="X109" s="212">
        <f>+AVERAGE(X110:X120)</f>
        <v>0.296857707518147</v>
      </c>
      <c r="Y109" s="212">
        <f>+AVERAGE(Y110:Y120)</f>
        <v>0.35413214924728281</v>
      </c>
      <c r="Z109" s="278">
        <f>+(Z110+Z111+Z112+Z113+Z114+Z115+Z116+Z117+Z118+Z119+Z120)*E109</f>
        <v>3.3372924902177636E-2</v>
      </c>
      <c r="AA109" s="278">
        <f>+(AA110+AA111+AA112+AA113+AA114+AA115+AA116+AA117+AA118+AA119+AA120)</f>
        <v>0.35429536417201102</v>
      </c>
      <c r="AB109" s="279"/>
      <c r="AC109" s="1004"/>
      <c r="AD109" s="664"/>
      <c r="AE109" s="664"/>
      <c r="AF109" s="664"/>
    </row>
    <row r="110" spans="1:32" ht="65.45" customHeight="1" thickBot="1" x14ac:dyDescent="0.35">
      <c r="A110" s="191"/>
      <c r="B110" s="1075" t="s">
        <v>1395</v>
      </c>
      <c r="C110" s="1087" t="s">
        <v>1396</v>
      </c>
      <c r="D110" s="288" t="s">
        <v>92</v>
      </c>
      <c r="E110" s="285">
        <v>0.1</v>
      </c>
      <c r="F110" s="283">
        <v>2289</v>
      </c>
      <c r="G110" s="213">
        <v>570</v>
      </c>
      <c r="H110" s="213">
        <v>493</v>
      </c>
      <c r="I110" s="218">
        <f t="shared" ref="I110:I120" si="140">+G110/F110</f>
        <v>0.24901703800786371</v>
      </c>
      <c r="J110" s="218">
        <f t="shared" si="127"/>
        <v>0.21537789427697684</v>
      </c>
      <c r="K110" s="218">
        <f t="shared" ref="K110:K120" si="141">+(G110/F110)*E110</f>
        <v>2.4901703800786372E-2</v>
      </c>
      <c r="L110" s="218">
        <f t="shared" si="128"/>
        <v>2.1537789427697684E-2</v>
      </c>
      <c r="M110" s="213">
        <v>647</v>
      </c>
      <c r="N110" s="670">
        <v>153</v>
      </c>
      <c r="O110" s="670">
        <v>238</v>
      </c>
      <c r="P110" s="213"/>
      <c r="Q110" s="213"/>
      <c r="R110" s="213">
        <f t="shared" ref="R110:R120" si="142">+N110+O110+P110+Q110</f>
        <v>391</v>
      </c>
      <c r="S110" s="213">
        <f t="shared" ref="S110:S120" si="143">+R110+M110</f>
        <v>1038</v>
      </c>
      <c r="T110" s="218">
        <v>1</v>
      </c>
      <c r="U110" s="218">
        <f t="shared" ref="U110:U120" si="144">+R110/H110</f>
        <v>0.7931034482758621</v>
      </c>
      <c r="V110" s="218">
        <f t="shared" ref="V110:V120" si="145">+T110*E110</f>
        <v>0.1</v>
      </c>
      <c r="W110" s="218">
        <f t="shared" si="134"/>
        <v>7.9310344827586213E-2</v>
      </c>
      <c r="X110" s="218">
        <f t="shared" ref="X110:X120" si="146">+M110/F110</f>
        <v>0.28265618173875057</v>
      </c>
      <c r="Y110" s="284">
        <f t="shared" si="137"/>
        <v>0.45347313237221493</v>
      </c>
      <c r="Z110" s="287">
        <f>+X110*E110</f>
        <v>2.8265618173875059E-2</v>
      </c>
      <c r="AA110" s="287">
        <f t="shared" ref="AA110:AA120" si="147">+Y110*E110</f>
        <v>4.5347313237221493E-2</v>
      </c>
      <c r="AB110" s="308" t="s">
        <v>1321</v>
      </c>
      <c r="AC110" s="724" t="s">
        <v>44</v>
      </c>
      <c r="AD110" s="724" t="s">
        <v>1169</v>
      </c>
      <c r="AE110" s="724" t="s">
        <v>885</v>
      </c>
      <c r="AF110" s="664"/>
    </row>
    <row r="111" spans="1:32" ht="69" customHeight="1" thickBot="1" x14ac:dyDescent="0.35">
      <c r="A111" s="191"/>
      <c r="B111" s="1075" t="s">
        <v>1397</v>
      </c>
      <c r="C111" s="1087" t="s">
        <v>1398</v>
      </c>
      <c r="D111" s="288" t="s">
        <v>92</v>
      </c>
      <c r="E111" s="285">
        <v>0.1</v>
      </c>
      <c r="F111" s="283">
        <v>190.58</v>
      </c>
      <c r="G111" s="213">
        <v>30</v>
      </c>
      <c r="H111" s="213">
        <v>70.39</v>
      </c>
      <c r="I111" s="218">
        <f t="shared" si="140"/>
        <v>0.15741420925595551</v>
      </c>
      <c r="J111" s="218">
        <f t="shared" si="127"/>
        <v>0.36934620631755694</v>
      </c>
      <c r="K111" s="218">
        <f t="shared" si="141"/>
        <v>1.5741420925595551E-2</v>
      </c>
      <c r="L111" s="218">
        <f t="shared" si="128"/>
        <v>3.6934620631755698E-2</v>
      </c>
      <c r="M111" s="213">
        <v>19.61</v>
      </c>
      <c r="N111" s="670">
        <v>3</v>
      </c>
      <c r="O111" s="670">
        <v>16</v>
      </c>
      <c r="P111" s="213"/>
      <c r="Q111" s="213"/>
      <c r="R111" s="213">
        <f t="shared" si="142"/>
        <v>19</v>
      </c>
      <c r="S111" s="213">
        <f t="shared" si="143"/>
        <v>38.61</v>
      </c>
      <c r="T111" s="218">
        <f>+(M111/G111)</f>
        <v>0.65366666666666662</v>
      </c>
      <c r="U111" s="218">
        <f t="shared" si="144"/>
        <v>0.26992470521380879</v>
      </c>
      <c r="V111" s="218">
        <f t="shared" si="145"/>
        <v>6.536666666666667E-2</v>
      </c>
      <c r="W111" s="218">
        <f t="shared" si="134"/>
        <v>2.699247052138088E-2</v>
      </c>
      <c r="X111" s="218">
        <f t="shared" si="146"/>
        <v>0.10289642145030957</v>
      </c>
      <c r="Y111" s="284">
        <f t="shared" si="137"/>
        <v>0.20259208731241471</v>
      </c>
      <c r="Z111" s="287">
        <f t="shared" ref="Z111:Z120" si="148">+X111*E111</f>
        <v>1.0289642145030958E-2</v>
      </c>
      <c r="AA111" s="287">
        <f t="shared" si="147"/>
        <v>2.0259208731241471E-2</v>
      </c>
      <c r="AB111" s="308" t="s">
        <v>1321</v>
      </c>
      <c r="AC111" s="724" t="s">
        <v>44</v>
      </c>
      <c r="AD111" s="724" t="s">
        <v>1169</v>
      </c>
      <c r="AE111" s="724" t="s">
        <v>885</v>
      </c>
      <c r="AF111" s="664"/>
    </row>
    <row r="112" spans="1:32" ht="127.9" customHeight="1" thickBot="1" x14ac:dyDescent="0.35">
      <c r="A112" s="191"/>
      <c r="B112" s="1137" t="s">
        <v>1399</v>
      </c>
      <c r="C112" s="1138" t="s">
        <v>1400</v>
      </c>
      <c r="D112" s="288" t="s">
        <v>1401</v>
      </c>
      <c r="E112" s="285">
        <v>0.05</v>
      </c>
      <c r="F112" s="283">
        <v>20</v>
      </c>
      <c r="G112" s="213">
        <v>0</v>
      </c>
      <c r="H112" s="213">
        <f>4+10</f>
        <v>14</v>
      </c>
      <c r="I112" s="218"/>
      <c r="J112" s="218">
        <f t="shared" si="127"/>
        <v>0.7</v>
      </c>
      <c r="K112" s="218"/>
      <c r="L112" s="218">
        <f t="shared" si="128"/>
        <v>3.4999999999999996E-2</v>
      </c>
      <c r="M112" s="213"/>
      <c r="N112" s="670">
        <v>0.1</v>
      </c>
      <c r="O112" s="670">
        <v>0.15</v>
      </c>
      <c r="P112" s="213"/>
      <c r="Q112" s="213"/>
      <c r="R112" s="213">
        <f t="shared" si="142"/>
        <v>0.25</v>
      </c>
      <c r="S112" s="213">
        <f t="shared" si="143"/>
        <v>0.25</v>
      </c>
      <c r="T112" s="218"/>
      <c r="U112" s="218">
        <f t="shared" si="144"/>
        <v>1.7857142857142856E-2</v>
      </c>
      <c r="V112" s="218"/>
      <c r="W112" s="218">
        <f t="shared" si="134"/>
        <v>8.9285714285714283E-4</v>
      </c>
      <c r="X112" s="218"/>
      <c r="Y112" s="284">
        <f t="shared" si="137"/>
        <v>1.2500000000000001E-2</v>
      </c>
      <c r="Z112" s="287">
        <v>0</v>
      </c>
      <c r="AA112" s="287">
        <f t="shared" si="147"/>
        <v>6.2500000000000012E-4</v>
      </c>
      <c r="AB112" s="308" t="s">
        <v>1402</v>
      </c>
      <c r="AC112" s="727" t="s">
        <v>1403</v>
      </c>
      <c r="AD112" s="724" t="s">
        <v>1404</v>
      </c>
      <c r="AE112" s="724" t="s">
        <v>1405</v>
      </c>
    </row>
    <row r="113" spans="1:32" ht="40.15" customHeight="1" thickBot="1" x14ac:dyDescent="0.35">
      <c r="A113" s="191"/>
      <c r="B113" s="1075" t="s">
        <v>1406</v>
      </c>
      <c r="C113" s="1087" t="s">
        <v>1407</v>
      </c>
      <c r="D113" s="288" t="s">
        <v>92</v>
      </c>
      <c r="E113" s="285">
        <v>0.2</v>
      </c>
      <c r="F113" s="283">
        <v>1</v>
      </c>
      <c r="G113" s="213">
        <v>0.25</v>
      </c>
      <c r="H113" s="213">
        <v>0.25</v>
      </c>
      <c r="I113" s="218">
        <f t="shared" si="140"/>
        <v>0.25</v>
      </c>
      <c r="J113" s="218">
        <f t="shared" si="127"/>
        <v>0.25</v>
      </c>
      <c r="K113" s="218">
        <f t="shared" si="141"/>
        <v>0.05</v>
      </c>
      <c r="L113" s="218">
        <f t="shared" si="128"/>
        <v>0.05</v>
      </c>
      <c r="M113" s="213">
        <v>0.25</v>
      </c>
      <c r="N113" s="670">
        <v>0.15</v>
      </c>
      <c r="O113" s="670">
        <v>0.01</v>
      </c>
      <c r="P113" s="213"/>
      <c r="Q113" s="213"/>
      <c r="R113" s="213">
        <f t="shared" si="142"/>
        <v>0.16</v>
      </c>
      <c r="S113" s="213">
        <f t="shared" si="143"/>
        <v>0.41000000000000003</v>
      </c>
      <c r="T113" s="218">
        <f t="shared" ref="T113:T118" si="149">+(M113/G113)</f>
        <v>1</v>
      </c>
      <c r="U113" s="218">
        <f t="shared" si="144"/>
        <v>0.64</v>
      </c>
      <c r="V113" s="218">
        <f t="shared" si="145"/>
        <v>0.2</v>
      </c>
      <c r="W113" s="218">
        <f t="shared" si="134"/>
        <v>0.128</v>
      </c>
      <c r="X113" s="218">
        <f t="shared" si="146"/>
        <v>0.25</v>
      </c>
      <c r="Y113" s="284">
        <f t="shared" si="137"/>
        <v>0.41000000000000003</v>
      </c>
      <c r="Z113" s="287">
        <f t="shared" si="148"/>
        <v>0.05</v>
      </c>
      <c r="AA113" s="287">
        <f t="shared" si="147"/>
        <v>8.2000000000000017E-2</v>
      </c>
      <c r="AB113" s="308" t="s">
        <v>1321</v>
      </c>
      <c r="AC113" s="724" t="s">
        <v>44</v>
      </c>
      <c r="AD113" s="724" t="s">
        <v>1169</v>
      </c>
      <c r="AE113" s="724" t="s">
        <v>885</v>
      </c>
      <c r="AF113" s="664"/>
    </row>
    <row r="114" spans="1:32" ht="58.15" customHeight="1" thickBot="1" x14ac:dyDescent="0.35">
      <c r="A114" s="191"/>
      <c r="B114" s="1075" t="s">
        <v>1408</v>
      </c>
      <c r="C114" s="1087" t="s">
        <v>1409</v>
      </c>
      <c r="D114" s="288" t="s">
        <v>92</v>
      </c>
      <c r="E114" s="285">
        <v>0.1</v>
      </c>
      <c r="F114" s="283">
        <v>14</v>
      </c>
      <c r="G114" s="213">
        <v>3</v>
      </c>
      <c r="H114" s="213">
        <v>5</v>
      </c>
      <c r="I114" s="218">
        <f t="shared" si="140"/>
        <v>0.21428571428571427</v>
      </c>
      <c r="J114" s="218">
        <f t="shared" si="127"/>
        <v>0.35714285714285715</v>
      </c>
      <c r="K114" s="218">
        <f t="shared" si="141"/>
        <v>2.1428571428571429E-2</v>
      </c>
      <c r="L114" s="218">
        <f t="shared" si="128"/>
        <v>3.5714285714285719E-2</v>
      </c>
      <c r="M114" s="213">
        <v>1</v>
      </c>
      <c r="N114" s="670">
        <v>0</v>
      </c>
      <c r="O114" s="670">
        <v>2</v>
      </c>
      <c r="P114" s="213"/>
      <c r="Q114" s="213"/>
      <c r="R114" s="213">
        <f t="shared" si="142"/>
        <v>2</v>
      </c>
      <c r="S114" s="213">
        <f t="shared" si="143"/>
        <v>3</v>
      </c>
      <c r="T114" s="218">
        <f t="shared" si="149"/>
        <v>0.33333333333333331</v>
      </c>
      <c r="U114" s="218">
        <f t="shared" si="144"/>
        <v>0.4</v>
      </c>
      <c r="V114" s="218">
        <f t="shared" si="145"/>
        <v>3.3333333333333333E-2</v>
      </c>
      <c r="W114" s="218">
        <f t="shared" si="134"/>
        <v>4.0000000000000008E-2</v>
      </c>
      <c r="X114" s="218">
        <f t="shared" si="146"/>
        <v>7.1428571428571425E-2</v>
      </c>
      <c r="Y114" s="284">
        <f t="shared" si="137"/>
        <v>0.21428571428571427</v>
      </c>
      <c r="Z114" s="287">
        <f t="shared" si="148"/>
        <v>7.1428571428571426E-3</v>
      </c>
      <c r="AA114" s="287">
        <f t="shared" si="147"/>
        <v>2.1428571428571429E-2</v>
      </c>
      <c r="AB114" s="308" t="s">
        <v>1321</v>
      </c>
      <c r="AC114" s="724" t="s">
        <v>1410</v>
      </c>
      <c r="AD114" s="724" t="s">
        <v>1169</v>
      </c>
      <c r="AE114" s="724" t="s">
        <v>885</v>
      </c>
      <c r="AF114" s="664"/>
    </row>
    <row r="115" spans="1:32" ht="54" customHeight="1" thickBot="1" x14ac:dyDescent="0.35">
      <c r="A115" s="191"/>
      <c r="B115" s="1075" t="s">
        <v>1411</v>
      </c>
      <c r="C115" s="1087" t="s">
        <v>1412</v>
      </c>
      <c r="D115" s="288" t="s">
        <v>92</v>
      </c>
      <c r="E115" s="285">
        <v>0.05</v>
      </c>
      <c r="F115" s="283">
        <v>10</v>
      </c>
      <c r="G115" s="213">
        <v>2</v>
      </c>
      <c r="H115" s="213">
        <v>2</v>
      </c>
      <c r="I115" s="218">
        <f t="shared" si="140"/>
        <v>0.2</v>
      </c>
      <c r="J115" s="218">
        <f t="shared" si="127"/>
        <v>0.2</v>
      </c>
      <c r="K115" s="218">
        <f t="shared" si="141"/>
        <v>1.0000000000000002E-2</v>
      </c>
      <c r="L115" s="218">
        <f t="shared" si="128"/>
        <v>1.0000000000000002E-2</v>
      </c>
      <c r="M115" s="213">
        <v>3</v>
      </c>
      <c r="N115" s="670">
        <v>0</v>
      </c>
      <c r="O115" s="670">
        <v>4</v>
      </c>
      <c r="P115" s="213"/>
      <c r="Q115" s="213"/>
      <c r="R115" s="213">
        <f t="shared" si="142"/>
        <v>4</v>
      </c>
      <c r="S115" s="213">
        <f t="shared" si="143"/>
        <v>7</v>
      </c>
      <c r="T115" s="218">
        <v>1</v>
      </c>
      <c r="U115" s="218">
        <v>1</v>
      </c>
      <c r="V115" s="218">
        <f t="shared" si="145"/>
        <v>0.05</v>
      </c>
      <c r="W115" s="218">
        <f t="shared" si="134"/>
        <v>0.05</v>
      </c>
      <c r="X115" s="218">
        <f t="shared" si="146"/>
        <v>0.3</v>
      </c>
      <c r="Y115" s="284">
        <f t="shared" si="137"/>
        <v>0.7</v>
      </c>
      <c r="Z115" s="287">
        <f>+X115*E115</f>
        <v>1.4999999999999999E-2</v>
      </c>
      <c r="AA115" s="287">
        <f t="shared" si="147"/>
        <v>3.4999999999999996E-2</v>
      </c>
      <c r="AB115" s="308" t="s">
        <v>1321</v>
      </c>
      <c r="AC115" s="724" t="s">
        <v>1413</v>
      </c>
      <c r="AD115" s="724" t="s">
        <v>1169</v>
      </c>
      <c r="AE115" s="724" t="s">
        <v>885</v>
      </c>
      <c r="AF115" s="664"/>
    </row>
    <row r="116" spans="1:32" ht="64.900000000000006" customHeight="1" thickBot="1" x14ac:dyDescent="0.35">
      <c r="A116" s="191"/>
      <c r="B116" s="1075" t="s">
        <v>1414</v>
      </c>
      <c r="C116" s="1087" t="s">
        <v>1415</v>
      </c>
      <c r="D116" s="288" t="s">
        <v>92</v>
      </c>
      <c r="E116" s="285">
        <v>0.1</v>
      </c>
      <c r="F116" s="283">
        <v>18</v>
      </c>
      <c r="G116" s="213">
        <v>7</v>
      </c>
      <c r="H116" s="213">
        <v>4</v>
      </c>
      <c r="I116" s="218">
        <f>+G116/F116</f>
        <v>0.3888888888888889</v>
      </c>
      <c r="J116" s="218">
        <f t="shared" si="127"/>
        <v>0.22222222222222221</v>
      </c>
      <c r="K116" s="218">
        <f t="shared" si="141"/>
        <v>3.888888888888889E-2</v>
      </c>
      <c r="L116" s="218">
        <f t="shared" si="128"/>
        <v>2.2222222222222223E-2</v>
      </c>
      <c r="M116" s="213">
        <v>7</v>
      </c>
      <c r="N116" s="670">
        <v>3</v>
      </c>
      <c r="O116" s="670">
        <v>1</v>
      </c>
      <c r="P116" s="213"/>
      <c r="Q116" s="213"/>
      <c r="R116" s="213">
        <f t="shared" si="142"/>
        <v>4</v>
      </c>
      <c r="S116" s="213">
        <f t="shared" si="143"/>
        <v>11</v>
      </c>
      <c r="T116" s="218">
        <f t="shared" si="149"/>
        <v>1</v>
      </c>
      <c r="U116" s="218">
        <f t="shared" si="144"/>
        <v>1</v>
      </c>
      <c r="V116" s="218">
        <f t="shared" si="145"/>
        <v>0.1</v>
      </c>
      <c r="W116" s="218">
        <f t="shared" si="134"/>
        <v>0.1</v>
      </c>
      <c r="X116" s="218">
        <f t="shared" si="146"/>
        <v>0.3888888888888889</v>
      </c>
      <c r="Y116" s="284">
        <f t="shared" si="137"/>
        <v>0.61111111111111116</v>
      </c>
      <c r="Z116" s="287">
        <f t="shared" si="148"/>
        <v>3.888888888888889E-2</v>
      </c>
      <c r="AA116" s="287">
        <f t="shared" si="147"/>
        <v>6.1111111111111116E-2</v>
      </c>
      <c r="AB116" s="308" t="s">
        <v>1321</v>
      </c>
      <c r="AC116" s="724" t="s">
        <v>1416</v>
      </c>
      <c r="AD116" s="724" t="s">
        <v>1169</v>
      </c>
      <c r="AE116" s="724" t="s">
        <v>885</v>
      </c>
      <c r="AF116" s="664"/>
    </row>
    <row r="117" spans="1:32" ht="156.6" customHeight="1" thickBot="1" x14ac:dyDescent="0.35">
      <c r="A117" s="191"/>
      <c r="B117" s="1137" t="s">
        <v>1417</v>
      </c>
      <c r="C117" s="1138" t="s">
        <v>1418</v>
      </c>
      <c r="D117" s="288" t="s">
        <v>1401</v>
      </c>
      <c r="E117" s="285">
        <v>0.05</v>
      </c>
      <c r="F117" s="283">
        <v>20</v>
      </c>
      <c r="G117" s="213">
        <v>0</v>
      </c>
      <c r="H117" s="213">
        <f>4+5</f>
        <v>9</v>
      </c>
      <c r="I117" s="218"/>
      <c r="J117" s="218">
        <f t="shared" si="127"/>
        <v>0.45</v>
      </c>
      <c r="K117" s="218"/>
      <c r="L117" s="218">
        <f t="shared" si="128"/>
        <v>2.2500000000000003E-2</v>
      </c>
      <c r="M117" s="213"/>
      <c r="N117" s="670">
        <v>0.1</v>
      </c>
      <c r="O117" s="670">
        <v>0.15</v>
      </c>
      <c r="P117" s="213"/>
      <c r="Q117" s="213"/>
      <c r="R117" s="213">
        <f t="shared" si="142"/>
        <v>0.25</v>
      </c>
      <c r="S117" s="213">
        <f t="shared" si="143"/>
        <v>0.25</v>
      </c>
      <c r="T117" s="218"/>
      <c r="U117" s="218">
        <f t="shared" si="144"/>
        <v>2.7777777777777776E-2</v>
      </c>
      <c r="V117" s="218"/>
      <c r="W117" s="218">
        <f t="shared" si="134"/>
        <v>1.3888888888888889E-3</v>
      </c>
      <c r="X117" s="218"/>
      <c r="Y117" s="284">
        <f t="shared" si="137"/>
        <v>1.2500000000000001E-2</v>
      </c>
      <c r="Z117" s="287">
        <v>0</v>
      </c>
      <c r="AA117" s="287">
        <f t="shared" si="147"/>
        <v>6.2500000000000012E-4</v>
      </c>
      <c r="AB117" s="308" t="s">
        <v>1419</v>
      </c>
      <c r="AC117" s="727" t="s">
        <v>1420</v>
      </c>
      <c r="AD117" s="724" t="s">
        <v>1404</v>
      </c>
      <c r="AE117" s="724" t="s">
        <v>1405</v>
      </c>
    </row>
    <row r="118" spans="1:32" ht="67.150000000000006" customHeight="1" thickBot="1" x14ac:dyDescent="0.35">
      <c r="A118" s="191"/>
      <c r="B118" s="1075" t="s">
        <v>1421</v>
      </c>
      <c r="C118" s="1087" t="s">
        <v>1422</v>
      </c>
      <c r="D118" s="288" t="s">
        <v>92</v>
      </c>
      <c r="E118" s="285">
        <v>0.1</v>
      </c>
      <c r="F118" s="283">
        <v>119</v>
      </c>
      <c r="G118" s="213">
        <v>57</v>
      </c>
      <c r="H118" s="213">
        <v>62</v>
      </c>
      <c r="I118" s="218">
        <f t="shared" si="140"/>
        <v>0.47899159663865548</v>
      </c>
      <c r="J118" s="218">
        <f t="shared" si="127"/>
        <v>0.52100840336134457</v>
      </c>
      <c r="K118" s="218">
        <f t="shared" si="141"/>
        <v>4.789915966386555E-2</v>
      </c>
      <c r="L118" s="218">
        <f t="shared" si="128"/>
        <v>5.2100840336134463E-2</v>
      </c>
      <c r="M118" s="213">
        <v>57</v>
      </c>
      <c r="N118" s="670">
        <v>0</v>
      </c>
      <c r="O118" s="670">
        <v>0</v>
      </c>
      <c r="P118" s="213"/>
      <c r="Q118" s="213"/>
      <c r="R118" s="213">
        <f t="shared" si="142"/>
        <v>0</v>
      </c>
      <c r="S118" s="213">
        <f t="shared" si="143"/>
        <v>57</v>
      </c>
      <c r="T118" s="218">
        <f t="shared" si="149"/>
        <v>1</v>
      </c>
      <c r="U118" s="218">
        <f t="shared" si="144"/>
        <v>0</v>
      </c>
      <c r="V118" s="218">
        <f t="shared" si="145"/>
        <v>0.1</v>
      </c>
      <c r="W118" s="218">
        <f t="shared" si="134"/>
        <v>0</v>
      </c>
      <c r="X118" s="218">
        <f t="shared" si="146"/>
        <v>0.47899159663865548</v>
      </c>
      <c r="Y118" s="284">
        <f t="shared" si="137"/>
        <v>0.47899159663865548</v>
      </c>
      <c r="Z118" s="287">
        <f t="shared" si="148"/>
        <v>4.789915966386555E-2</v>
      </c>
      <c r="AA118" s="287">
        <f t="shared" si="147"/>
        <v>4.789915966386555E-2</v>
      </c>
      <c r="AB118" s="308" t="s">
        <v>1321</v>
      </c>
      <c r="AC118" s="724" t="s">
        <v>44</v>
      </c>
      <c r="AD118" s="724" t="s">
        <v>1169</v>
      </c>
      <c r="AE118" s="724" t="s">
        <v>885</v>
      </c>
      <c r="AF118" s="664"/>
    </row>
    <row r="119" spans="1:32" ht="121.15" customHeight="1" thickBot="1" x14ac:dyDescent="0.35">
      <c r="A119" s="191"/>
      <c r="B119" s="1075" t="s">
        <v>1423</v>
      </c>
      <c r="C119" s="1087" t="s">
        <v>1424</v>
      </c>
      <c r="D119" s="288" t="s">
        <v>92</v>
      </c>
      <c r="E119" s="285">
        <v>0.1</v>
      </c>
      <c r="F119" s="283">
        <v>60</v>
      </c>
      <c r="G119" s="213">
        <v>0</v>
      </c>
      <c r="H119" s="213">
        <v>60</v>
      </c>
      <c r="I119" s="218"/>
      <c r="J119" s="218">
        <f t="shared" si="127"/>
        <v>1</v>
      </c>
      <c r="K119" s="218"/>
      <c r="L119" s="218">
        <f t="shared" si="128"/>
        <v>0.1</v>
      </c>
      <c r="M119" s="213"/>
      <c r="N119" s="670">
        <v>0</v>
      </c>
      <c r="O119" s="670">
        <v>0</v>
      </c>
      <c r="P119" s="213"/>
      <c r="Q119" s="213"/>
      <c r="R119" s="213">
        <f t="shared" si="142"/>
        <v>0</v>
      </c>
      <c r="S119" s="213">
        <f t="shared" si="143"/>
        <v>0</v>
      </c>
      <c r="T119" s="218"/>
      <c r="U119" s="218">
        <f t="shared" si="144"/>
        <v>0</v>
      </c>
      <c r="V119" s="218"/>
      <c r="W119" s="218">
        <f t="shared" si="134"/>
        <v>0</v>
      </c>
      <c r="X119" s="218"/>
      <c r="Y119" s="284">
        <v>0</v>
      </c>
      <c r="Z119" s="287">
        <f t="shared" si="148"/>
        <v>0</v>
      </c>
      <c r="AA119" s="287">
        <f t="shared" si="147"/>
        <v>0</v>
      </c>
      <c r="AB119" s="308" t="s">
        <v>1425</v>
      </c>
      <c r="AC119" s="752" t="s">
        <v>127</v>
      </c>
      <c r="AD119" s="886" t="s">
        <v>1169</v>
      </c>
      <c r="AE119" s="724" t="s">
        <v>885</v>
      </c>
      <c r="AF119" s="664"/>
    </row>
    <row r="120" spans="1:32" ht="73.150000000000006" customHeight="1" thickBot="1" x14ac:dyDescent="0.35">
      <c r="A120" s="191"/>
      <c r="B120" s="1075" t="s">
        <v>1426</v>
      </c>
      <c r="C120" s="1087" t="s">
        <v>1427</v>
      </c>
      <c r="D120" s="288" t="s">
        <v>92</v>
      </c>
      <c r="E120" s="285">
        <v>0.05</v>
      </c>
      <c r="F120" s="283">
        <v>1</v>
      </c>
      <c r="G120" s="213">
        <v>0.5</v>
      </c>
      <c r="H120" s="213">
        <v>0.5</v>
      </c>
      <c r="I120" s="218">
        <f t="shared" si="140"/>
        <v>0.5</v>
      </c>
      <c r="J120" s="218">
        <f t="shared" si="127"/>
        <v>0.5</v>
      </c>
      <c r="K120" s="218">
        <f t="shared" si="141"/>
        <v>2.5000000000000001E-2</v>
      </c>
      <c r="L120" s="218">
        <f t="shared" si="128"/>
        <v>2.5000000000000001E-2</v>
      </c>
      <c r="M120" s="213">
        <v>0.5</v>
      </c>
      <c r="N120" s="670">
        <v>0</v>
      </c>
      <c r="O120" s="670">
        <v>0.3</v>
      </c>
      <c r="P120" s="213"/>
      <c r="Q120" s="213"/>
      <c r="R120" s="213">
        <f t="shared" si="142"/>
        <v>0.3</v>
      </c>
      <c r="S120" s="213">
        <f t="shared" si="143"/>
        <v>0.8</v>
      </c>
      <c r="T120" s="218">
        <f>+(M120/G120)</f>
        <v>1</v>
      </c>
      <c r="U120" s="218">
        <f t="shared" si="144"/>
        <v>0.6</v>
      </c>
      <c r="V120" s="218">
        <f t="shared" si="145"/>
        <v>0.05</v>
      </c>
      <c r="W120" s="218">
        <f t="shared" si="134"/>
        <v>0.03</v>
      </c>
      <c r="X120" s="218">
        <f t="shared" si="146"/>
        <v>0.5</v>
      </c>
      <c r="Y120" s="284">
        <f t="shared" si="137"/>
        <v>0.8</v>
      </c>
      <c r="Z120" s="287">
        <f t="shared" si="148"/>
        <v>2.5000000000000001E-2</v>
      </c>
      <c r="AA120" s="287">
        <f t="shared" si="147"/>
        <v>4.0000000000000008E-2</v>
      </c>
      <c r="AB120" s="308" t="s">
        <v>1321</v>
      </c>
      <c r="AC120" s="724" t="s">
        <v>1416</v>
      </c>
      <c r="AD120" s="724" t="s">
        <v>1169</v>
      </c>
      <c r="AE120" s="724" t="s">
        <v>885</v>
      </c>
      <c r="AF120" s="664"/>
    </row>
    <row r="121" spans="1:32" ht="57" customHeight="1" thickBot="1" x14ac:dyDescent="0.35">
      <c r="A121" s="191"/>
      <c r="B121" s="1317" t="s">
        <v>1428</v>
      </c>
      <c r="C121" s="1327"/>
      <c r="D121" s="288"/>
      <c r="E121" s="289">
        <v>0.2</v>
      </c>
      <c r="F121" s="283"/>
      <c r="G121" s="206"/>
      <c r="H121" s="206"/>
      <c r="I121" s="212">
        <f>+AVERAGE(I122:I134)</f>
        <v>0.54700386369463794</v>
      </c>
      <c r="J121" s="212">
        <f>+AVERAGE(J122:J134)</f>
        <v>0.43195311912999895</v>
      </c>
      <c r="K121" s="212">
        <f>+K122+K123+K124+K125+K126+K127+K128+K129+K130+K131+K132+K133+K134</f>
        <v>0.30325135229312328</v>
      </c>
      <c r="L121" s="212">
        <f>+L122+L123+L124+L125+L126+L127+L128+L129+L130+L131+L132+L133+L134</f>
        <v>0.39777655956499952</v>
      </c>
      <c r="M121" s="211"/>
      <c r="N121" s="211"/>
      <c r="O121" s="211"/>
      <c r="P121" s="211"/>
      <c r="Q121" s="211"/>
      <c r="R121" s="211"/>
      <c r="S121" s="1195"/>
      <c r="T121" s="235">
        <f>+AVERAGE(T122:T134)</f>
        <v>0.97282973157946084</v>
      </c>
      <c r="U121" s="235">
        <f>+AVERAGE(U122:U134)</f>
        <v>0.57517069603772797</v>
      </c>
      <c r="V121" s="235">
        <f>+(V122+V123+V124+V125+V126+V127+V128+V129+V130+V131+V132+V133+V134)*E121</f>
        <v>0.10009808121056228</v>
      </c>
      <c r="W121" s="235">
        <f>+(W122+W123+W124+W125+W126+W127+W128+W129+W130+W131+W132+W133+W134)*E121</f>
        <v>5.9013655683018251E-2</v>
      </c>
      <c r="X121" s="212">
        <f>+AVERAGE(X122:X134)</f>
        <v>0.59622372041307181</v>
      </c>
      <c r="Y121" s="212">
        <f>+X121+((Y122-X122)/13)+((Y123-X123)/13)+((Y125-X125)/13)+((Y127-X127)/13)+((Y128-X128)/13)+((Y129-X129)/13)+((Y131-X131)/13)+((Y132-X132)/13)+((Y133-X133)/13)+((Y134-X134)/13)</f>
        <v>0.79845082169659176</v>
      </c>
      <c r="Z121" s="278">
        <f>+(Z122+Z123+Z124+Z125+Z126+Z127+Z128+Z129+Z130+Z131+Z132+Z133+Z134)*E121</f>
        <v>6.2055660428915041E-2</v>
      </c>
      <c r="AA121" s="278">
        <f>+(AA122+AA123+AA124+AA125+AA126+AA127+AA128+AA129+AA130+AA131+AA132+AA133+AA134)</f>
        <v>0.54992591797886314</v>
      </c>
      <c r="AB121" s="279"/>
      <c r="AC121" s="664"/>
      <c r="AD121" s="664"/>
      <c r="AE121" s="664"/>
      <c r="AF121" s="664"/>
    </row>
    <row r="122" spans="1:32" ht="42.6" customHeight="1" thickBot="1" x14ac:dyDescent="0.35">
      <c r="A122" s="191"/>
      <c r="B122" s="1075" t="s">
        <v>1429</v>
      </c>
      <c r="C122" s="1087" t="s">
        <v>1430</v>
      </c>
      <c r="D122" s="281" t="s">
        <v>1431</v>
      </c>
      <c r="E122" s="285">
        <v>0.2</v>
      </c>
      <c r="F122" s="283">
        <v>18</v>
      </c>
      <c r="G122" s="213">
        <v>18</v>
      </c>
      <c r="H122" s="213"/>
      <c r="I122" s="218">
        <f t="shared" ref="I122:I134" si="150">+G122/F122</f>
        <v>1</v>
      </c>
      <c r="J122" s="218"/>
      <c r="K122" s="218">
        <f t="shared" ref="K122:K134" si="151">+(G122/F122)*E122</f>
        <v>0.2</v>
      </c>
      <c r="L122" s="218"/>
      <c r="M122" s="213">
        <v>18</v>
      </c>
      <c r="N122" s="670"/>
      <c r="O122" s="670"/>
      <c r="P122" s="213"/>
      <c r="Q122" s="213"/>
      <c r="R122" s="213">
        <f t="shared" ref="R122:R134" si="152">+N122+O122+P122+Q122</f>
        <v>0</v>
      </c>
      <c r="S122" s="213">
        <f t="shared" ref="S122:S133" si="153">+R122+M122</f>
        <v>18</v>
      </c>
      <c r="T122" s="218">
        <f t="shared" ref="T122:T134" si="154">+(M122/G122)</f>
        <v>1</v>
      </c>
      <c r="U122" s="218"/>
      <c r="V122" s="218">
        <f t="shared" ref="V122:V134" si="155">+T122*E122</f>
        <v>0.2</v>
      </c>
      <c r="W122" s="218"/>
      <c r="X122" s="218">
        <f t="shared" ref="X122:X134" si="156">+M122/F122</f>
        <v>1</v>
      </c>
      <c r="Y122" s="284">
        <f t="shared" si="137"/>
        <v>1</v>
      </c>
      <c r="Z122" s="284">
        <f>+X122*E122</f>
        <v>0.2</v>
      </c>
      <c r="AA122" s="284">
        <f>+Y122*E122</f>
        <v>0.2</v>
      </c>
      <c r="AB122" s="724" t="s">
        <v>1432</v>
      </c>
      <c r="AC122" s="664"/>
      <c r="AD122" s="664"/>
      <c r="AE122" s="724" t="s">
        <v>885</v>
      </c>
      <c r="AF122" s="664"/>
    </row>
    <row r="123" spans="1:32" ht="51.6" customHeight="1" thickBot="1" x14ac:dyDescent="0.35">
      <c r="A123" s="191"/>
      <c r="B123" s="1088" t="s">
        <v>1433</v>
      </c>
      <c r="C123" s="1089" t="s">
        <v>1434</v>
      </c>
      <c r="D123" s="281" t="s">
        <v>1431</v>
      </c>
      <c r="E123" s="285">
        <v>0.2</v>
      </c>
      <c r="F123" s="283">
        <v>1</v>
      </c>
      <c r="G123" s="213">
        <v>0</v>
      </c>
      <c r="H123" s="213">
        <v>1</v>
      </c>
      <c r="I123" s="218"/>
      <c r="J123" s="218">
        <f t="shared" si="127"/>
        <v>1</v>
      </c>
      <c r="K123" s="218"/>
      <c r="L123" s="218">
        <f t="shared" si="128"/>
        <v>0.2</v>
      </c>
      <c r="M123" s="213"/>
      <c r="N123" s="670">
        <v>0.8</v>
      </c>
      <c r="O123" s="670">
        <v>0.2</v>
      </c>
      <c r="P123" s="213"/>
      <c r="Q123" s="213"/>
      <c r="R123" s="213">
        <f t="shared" si="152"/>
        <v>1</v>
      </c>
      <c r="S123" s="213">
        <f t="shared" si="153"/>
        <v>1</v>
      </c>
      <c r="T123" s="218"/>
      <c r="U123" s="218">
        <f t="shared" ref="U123:U134" si="157">+R123/H123</f>
        <v>1</v>
      </c>
      <c r="V123" s="218"/>
      <c r="W123" s="218">
        <f t="shared" si="134"/>
        <v>0.2</v>
      </c>
      <c r="X123" s="218"/>
      <c r="Y123" s="284">
        <f t="shared" si="137"/>
        <v>1</v>
      </c>
      <c r="Z123" s="284"/>
      <c r="AA123" s="284">
        <f t="shared" ref="AA123:AA134" si="158">+Y123*E123</f>
        <v>0.2</v>
      </c>
      <c r="AB123" s="724" t="s">
        <v>1432</v>
      </c>
      <c r="AC123" s="724" t="s">
        <v>1416</v>
      </c>
      <c r="AD123" s="724" t="s">
        <v>1169</v>
      </c>
      <c r="AE123" s="724" t="s">
        <v>885</v>
      </c>
      <c r="AF123" s="664"/>
    </row>
    <row r="124" spans="1:32" ht="108.6" customHeight="1" thickBot="1" x14ac:dyDescent="0.35">
      <c r="A124" s="191"/>
      <c r="B124" s="1088" t="s">
        <v>1435</v>
      </c>
      <c r="C124" s="1089" t="s">
        <v>1436</v>
      </c>
      <c r="D124" s="281" t="s">
        <v>1431</v>
      </c>
      <c r="E124" s="285">
        <v>0.1</v>
      </c>
      <c r="F124" s="283">
        <v>1</v>
      </c>
      <c r="G124" s="213">
        <v>0</v>
      </c>
      <c r="H124" s="213">
        <v>1</v>
      </c>
      <c r="I124" s="218"/>
      <c r="J124" s="218">
        <f t="shared" si="127"/>
        <v>1</v>
      </c>
      <c r="K124" s="218"/>
      <c r="L124" s="218">
        <f t="shared" si="128"/>
        <v>0.1</v>
      </c>
      <c r="M124" s="213"/>
      <c r="N124" s="670">
        <v>0</v>
      </c>
      <c r="O124" s="670">
        <v>0</v>
      </c>
      <c r="P124" s="213"/>
      <c r="Q124" s="213"/>
      <c r="R124" s="213">
        <f t="shared" si="152"/>
        <v>0</v>
      </c>
      <c r="S124" s="213">
        <f t="shared" si="153"/>
        <v>0</v>
      </c>
      <c r="T124" s="218"/>
      <c r="U124" s="218">
        <f t="shared" si="157"/>
        <v>0</v>
      </c>
      <c r="V124" s="218"/>
      <c r="W124" s="218">
        <f t="shared" si="134"/>
        <v>0</v>
      </c>
      <c r="X124" s="218"/>
      <c r="Y124" s="284"/>
      <c r="Z124" s="284"/>
      <c r="AA124" s="284">
        <f t="shared" si="158"/>
        <v>0</v>
      </c>
      <c r="AB124" s="308" t="s">
        <v>1321</v>
      </c>
      <c r="AC124" s="752" t="s">
        <v>127</v>
      </c>
      <c r="AD124" s="724" t="s">
        <v>1169</v>
      </c>
      <c r="AE124" s="724" t="s">
        <v>885</v>
      </c>
      <c r="AF124" s="664"/>
    </row>
    <row r="125" spans="1:32" ht="78.599999999999994" customHeight="1" thickBot="1" x14ac:dyDescent="0.35">
      <c r="A125" s="191"/>
      <c r="B125" s="1170" t="s">
        <v>1437</v>
      </c>
      <c r="C125" s="1171" t="s">
        <v>1438</v>
      </c>
      <c r="D125" s="281" t="s">
        <v>1431</v>
      </c>
      <c r="E125" s="285">
        <v>0.03</v>
      </c>
      <c r="F125" s="283">
        <v>1</v>
      </c>
      <c r="G125" s="213">
        <v>1</v>
      </c>
      <c r="H125" s="213">
        <v>0</v>
      </c>
      <c r="I125" s="218">
        <f t="shared" si="150"/>
        <v>1</v>
      </c>
      <c r="J125" s="218"/>
      <c r="K125" s="218">
        <f t="shared" si="151"/>
        <v>0.03</v>
      </c>
      <c r="L125" s="218"/>
      <c r="M125" s="213">
        <v>1</v>
      </c>
      <c r="N125" s="670"/>
      <c r="O125" s="213"/>
      <c r="P125" s="213"/>
      <c r="Q125" s="213"/>
      <c r="R125" s="213">
        <f t="shared" si="152"/>
        <v>0</v>
      </c>
      <c r="S125" s="213">
        <f t="shared" si="153"/>
        <v>1</v>
      </c>
      <c r="T125" s="218">
        <f t="shared" si="154"/>
        <v>1</v>
      </c>
      <c r="U125" s="218"/>
      <c r="V125" s="218">
        <f t="shared" si="155"/>
        <v>0.03</v>
      </c>
      <c r="W125" s="218"/>
      <c r="X125" s="237">
        <f t="shared" si="156"/>
        <v>1</v>
      </c>
      <c r="Y125" s="287">
        <f t="shared" si="137"/>
        <v>1</v>
      </c>
      <c r="Z125" s="284">
        <f>+X125*E125</f>
        <v>0.03</v>
      </c>
      <c r="AA125" s="284">
        <f t="shared" si="158"/>
        <v>0.03</v>
      </c>
      <c r="AB125" s="724" t="s">
        <v>1432</v>
      </c>
      <c r="AC125" s="752" t="s">
        <v>1439</v>
      </c>
      <c r="AD125" s="724" t="s">
        <v>1169</v>
      </c>
      <c r="AE125" s="752" t="s">
        <v>1440</v>
      </c>
      <c r="AF125" s="664"/>
    </row>
    <row r="126" spans="1:32" ht="61.9" customHeight="1" thickBot="1" x14ac:dyDescent="0.35">
      <c r="A126" s="191"/>
      <c r="B126" s="1170" t="s">
        <v>1441</v>
      </c>
      <c r="C126" s="1171" t="s">
        <v>1442</v>
      </c>
      <c r="D126" s="281" t="s">
        <v>1431</v>
      </c>
      <c r="E126" s="285">
        <v>0.1</v>
      </c>
      <c r="F126" s="283">
        <v>482</v>
      </c>
      <c r="G126" s="213">
        <v>0</v>
      </c>
      <c r="H126" s="213">
        <v>0</v>
      </c>
      <c r="I126" s="218"/>
      <c r="J126" s="218">
        <f t="shared" si="127"/>
        <v>0</v>
      </c>
      <c r="K126" s="218"/>
      <c r="L126" s="218">
        <f t="shared" si="128"/>
        <v>0</v>
      </c>
      <c r="M126" s="213"/>
      <c r="N126" s="670"/>
      <c r="O126" s="213"/>
      <c r="P126" s="213"/>
      <c r="Q126" s="213"/>
      <c r="R126" s="213">
        <f t="shared" si="152"/>
        <v>0</v>
      </c>
      <c r="S126" s="213">
        <f t="shared" si="153"/>
        <v>0</v>
      </c>
      <c r="T126" s="218"/>
      <c r="U126" s="218"/>
      <c r="V126" s="218"/>
      <c r="W126" s="218"/>
      <c r="X126" s="218"/>
      <c r="Y126" s="284"/>
      <c r="Z126" s="284"/>
      <c r="AA126" s="284">
        <f t="shared" si="158"/>
        <v>0</v>
      </c>
      <c r="AB126" s="308" t="s">
        <v>1321</v>
      </c>
      <c r="AC126" s="752" t="s">
        <v>1362</v>
      </c>
      <c r="AD126" s="664"/>
      <c r="AE126" s="752" t="s">
        <v>1443</v>
      </c>
      <c r="AF126" s="664"/>
    </row>
    <row r="127" spans="1:32" ht="68.45" customHeight="1" thickBot="1" x14ac:dyDescent="0.35">
      <c r="A127" s="191"/>
      <c r="B127" s="1088" t="s">
        <v>1444</v>
      </c>
      <c r="C127" s="1089" t="s">
        <v>1445</v>
      </c>
      <c r="D127" s="281" t="s">
        <v>1431</v>
      </c>
      <c r="E127" s="285">
        <v>0.03</v>
      </c>
      <c r="F127" s="283">
        <v>1</v>
      </c>
      <c r="G127" s="213">
        <v>0.15</v>
      </c>
      <c r="H127" s="213">
        <v>0.2</v>
      </c>
      <c r="I127" s="218">
        <f t="shared" si="150"/>
        <v>0.15</v>
      </c>
      <c r="J127" s="218">
        <f t="shared" si="127"/>
        <v>0.2</v>
      </c>
      <c r="K127" s="218">
        <f t="shared" si="151"/>
        <v>4.4999999999999997E-3</v>
      </c>
      <c r="L127" s="218">
        <f t="shared" si="128"/>
        <v>6.0000000000000001E-3</v>
      </c>
      <c r="M127" s="213">
        <v>0.3</v>
      </c>
      <c r="N127" s="670">
        <v>0.2</v>
      </c>
      <c r="O127" s="670">
        <v>0.1</v>
      </c>
      <c r="P127" s="213"/>
      <c r="Q127" s="213"/>
      <c r="R127" s="213">
        <f t="shared" si="152"/>
        <v>0.30000000000000004</v>
      </c>
      <c r="S127" s="213">
        <f t="shared" si="153"/>
        <v>0.60000000000000009</v>
      </c>
      <c r="T127" s="218">
        <v>1</v>
      </c>
      <c r="U127" s="218">
        <v>1</v>
      </c>
      <c r="V127" s="218">
        <f t="shared" si="155"/>
        <v>0.03</v>
      </c>
      <c r="W127" s="218">
        <f t="shared" si="134"/>
        <v>0.03</v>
      </c>
      <c r="X127" s="218">
        <f t="shared" si="156"/>
        <v>0.3</v>
      </c>
      <c r="Y127" s="284">
        <f t="shared" si="137"/>
        <v>0.60000000000000009</v>
      </c>
      <c r="Z127" s="284">
        <f t="shared" ref="Z127:Z134" si="159">+X127*E127</f>
        <v>8.9999999999999993E-3</v>
      </c>
      <c r="AA127" s="284">
        <f t="shared" si="158"/>
        <v>1.8000000000000002E-2</v>
      </c>
      <c r="AB127" s="308" t="s">
        <v>1321</v>
      </c>
      <c r="AC127" s="724" t="s">
        <v>1416</v>
      </c>
      <c r="AD127" s="664"/>
      <c r="AE127" s="724" t="s">
        <v>885</v>
      </c>
      <c r="AF127" s="664"/>
    </row>
    <row r="128" spans="1:32" ht="72" customHeight="1" thickBot="1" x14ac:dyDescent="0.35">
      <c r="A128" s="191"/>
      <c r="B128" s="1170" t="s">
        <v>1446</v>
      </c>
      <c r="C128" s="1171" t="s">
        <v>1447</v>
      </c>
      <c r="D128" s="281" t="s">
        <v>1431</v>
      </c>
      <c r="E128" s="285">
        <v>0.02</v>
      </c>
      <c r="F128" s="283">
        <v>25</v>
      </c>
      <c r="G128" s="213">
        <v>6</v>
      </c>
      <c r="H128" s="213">
        <v>6</v>
      </c>
      <c r="I128" s="218">
        <f t="shared" si="150"/>
        <v>0.24</v>
      </c>
      <c r="J128" s="218">
        <f t="shared" si="127"/>
        <v>0.24</v>
      </c>
      <c r="K128" s="218">
        <f t="shared" si="151"/>
        <v>4.7999999999999996E-3</v>
      </c>
      <c r="L128" s="218">
        <f t="shared" si="128"/>
        <v>4.7999999999999996E-3</v>
      </c>
      <c r="M128" s="720">
        <v>12</v>
      </c>
      <c r="N128" s="670">
        <v>3</v>
      </c>
      <c r="O128" s="670">
        <v>1</v>
      </c>
      <c r="P128" s="213"/>
      <c r="Q128" s="213"/>
      <c r="R128" s="213">
        <f t="shared" si="152"/>
        <v>4</v>
      </c>
      <c r="S128" s="213">
        <f t="shared" si="153"/>
        <v>16</v>
      </c>
      <c r="T128" s="218">
        <v>1</v>
      </c>
      <c r="U128" s="218">
        <f t="shared" si="157"/>
        <v>0.66666666666666663</v>
      </c>
      <c r="V128" s="218">
        <f t="shared" si="155"/>
        <v>0.02</v>
      </c>
      <c r="W128" s="218">
        <f t="shared" si="134"/>
        <v>1.3333333333333332E-2</v>
      </c>
      <c r="X128" s="218">
        <f t="shared" si="156"/>
        <v>0.48</v>
      </c>
      <c r="Y128" s="284">
        <f t="shared" si="137"/>
        <v>0.64</v>
      </c>
      <c r="Z128" s="284">
        <f t="shared" si="159"/>
        <v>9.5999999999999992E-3</v>
      </c>
      <c r="AA128" s="284">
        <f t="shared" si="158"/>
        <v>1.2800000000000001E-2</v>
      </c>
      <c r="AB128" s="308" t="s">
        <v>1321</v>
      </c>
      <c r="AC128" s="752" t="s">
        <v>1448</v>
      </c>
      <c r="AD128" s="664"/>
      <c r="AE128" s="724" t="s">
        <v>885</v>
      </c>
      <c r="AF128" s="664"/>
    </row>
    <row r="129" spans="1:32" ht="88.15" customHeight="1" thickBot="1" x14ac:dyDescent="0.35">
      <c r="A129" s="191"/>
      <c r="B129" s="1088" t="s">
        <v>1449</v>
      </c>
      <c r="C129" s="1089" t="s">
        <v>1450</v>
      </c>
      <c r="D129" s="281" t="s">
        <v>1451</v>
      </c>
      <c r="E129" s="285">
        <v>0.02</v>
      </c>
      <c r="F129" s="283">
        <v>3</v>
      </c>
      <c r="G129" s="213">
        <v>0</v>
      </c>
      <c r="H129" s="213">
        <v>1</v>
      </c>
      <c r="I129" s="218"/>
      <c r="J129" s="218">
        <f t="shared" si="127"/>
        <v>0.33333333333333331</v>
      </c>
      <c r="K129" s="218"/>
      <c r="L129" s="218">
        <f t="shared" si="128"/>
        <v>6.6666666666666662E-3</v>
      </c>
      <c r="M129" s="213"/>
      <c r="N129" s="670">
        <v>0.3</v>
      </c>
      <c r="O129" s="670">
        <v>0.4</v>
      </c>
      <c r="P129" s="213"/>
      <c r="Q129" s="213"/>
      <c r="R129" s="213">
        <f t="shared" si="152"/>
        <v>0.7</v>
      </c>
      <c r="S129" s="213">
        <f t="shared" si="153"/>
        <v>0.7</v>
      </c>
      <c r="T129" s="218"/>
      <c r="U129" s="218">
        <f t="shared" si="157"/>
        <v>0.7</v>
      </c>
      <c r="V129" s="218"/>
      <c r="W129" s="218">
        <f t="shared" si="134"/>
        <v>1.3999999999999999E-2</v>
      </c>
      <c r="X129" s="218"/>
      <c r="Y129" s="284">
        <f t="shared" si="137"/>
        <v>0.23333333333333331</v>
      </c>
      <c r="Z129" s="284"/>
      <c r="AA129" s="284">
        <f t="shared" si="158"/>
        <v>4.6666666666666662E-3</v>
      </c>
      <c r="AB129" s="308" t="s">
        <v>1321</v>
      </c>
      <c r="AC129" s="724" t="s">
        <v>1416</v>
      </c>
      <c r="AD129" s="664"/>
      <c r="AE129" s="724" t="s">
        <v>885</v>
      </c>
      <c r="AF129" s="664"/>
    </row>
    <row r="130" spans="1:32" ht="82.15" customHeight="1" thickBot="1" x14ac:dyDescent="0.35">
      <c r="A130" s="191"/>
      <c r="B130" s="223" t="s">
        <v>1452</v>
      </c>
      <c r="C130" s="293" t="s">
        <v>1453</v>
      </c>
      <c r="D130" s="281" t="s">
        <v>1454</v>
      </c>
      <c r="E130" s="285">
        <v>0.05</v>
      </c>
      <c r="F130" s="283">
        <v>3</v>
      </c>
      <c r="G130" s="213">
        <v>0</v>
      </c>
      <c r="H130" s="213">
        <v>0</v>
      </c>
      <c r="I130" s="218"/>
      <c r="J130" s="218">
        <f t="shared" si="127"/>
        <v>0</v>
      </c>
      <c r="K130" s="218"/>
      <c r="L130" s="218">
        <f t="shared" si="128"/>
        <v>0</v>
      </c>
      <c r="M130" s="213"/>
      <c r="N130" s="670"/>
      <c r="O130" s="213"/>
      <c r="P130" s="213"/>
      <c r="Q130" s="213"/>
      <c r="R130" s="213">
        <f t="shared" si="152"/>
        <v>0</v>
      </c>
      <c r="S130" s="213">
        <f t="shared" si="153"/>
        <v>0</v>
      </c>
      <c r="T130" s="218"/>
      <c r="U130" s="218"/>
      <c r="V130" s="218"/>
      <c r="W130" s="218"/>
      <c r="X130" s="218"/>
      <c r="Y130" s="284"/>
      <c r="Z130" s="284"/>
      <c r="AA130" s="284">
        <f t="shared" si="158"/>
        <v>0</v>
      </c>
      <c r="AB130" s="308" t="s">
        <v>1455</v>
      </c>
      <c r="AC130" s="752" t="s">
        <v>1362</v>
      </c>
      <c r="AD130" s="664"/>
      <c r="AE130" s="664"/>
      <c r="AF130" s="664"/>
    </row>
    <row r="131" spans="1:32" ht="84" customHeight="1" thickBot="1" x14ac:dyDescent="0.35">
      <c r="A131" s="191"/>
      <c r="B131" s="1088" t="s">
        <v>1456</v>
      </c>
      <c r="C131" s="1089" t="s">
        <v>1457</v>
      </c>
      <c r="D131" s="281" t="s">
        <v>1454</v>
      </c>
      <c r="E131" s="285">
        <v>0.16</v>
      </c>
      <c r="F131" s="283">
        <v>10</v>
      </c>
      <c r="G131" s="213">
        <v>2</v>
      </c>
      <c r="H131" s="213">
        <v>3</v>
      </c>
      <c r="I131" s="218">
        <f t="shared" si="150"/>
        <v>0.2</v>
      </c>
      <c r="J131" s="218">
        <f t="shared" si="127"/>
        <v>0.3</v>
      </c>
      <c r="K131" s="218">
        <f t="shared" si="151"/>
        <v>3.2000000000000001E-2</v>
      </c>
      <c r="L131" s="218">
        <f t="shared" si="128"/>
        <v>4.8000000000000001E-2</v>
      </c>
      <c r="M131" s="213">
        <v>2</v>
      </c>
      <c r="N131" s="670">
        <v>0</v>
      </c>
      <c r="O131" s="213">
        <v>0</v>
      </c>
      <c r="P131" s="213"/>
      <c r="Q131" s="213"/>
      <c r="R131" s="213">
        <f t="shared" si="152"/>
        <v>0</v>
      </c>
      <c r="S131" s="213">
        <f t="shared" si="153"/>
        <v>2</v>
      </c>
      <c r="T131" s="218">
        <f>+(M131/G131)</f>
        <v>1</v>
      </c>
      <c r="U131" s="218">
        <f t="shared" si="157"/>
        <v>0</v>
      </c>
      <c r="V131" s="218">
        <f>+T131*E131</f>
        <v>0.16</v>
      </c>
      <c r="W131" s="218">
        <f t="shared" si="134"/>
        <v>0</v>
      </c>
      <c r="X131" s="218">
        <f>+M131/F131</f>
        <v>0.2</v>
      </c>
      <c r="Y131" s="284">
        <f t="shared" si="137"/>
        <v>0.2</v>
      </c>
      <c r="Z131" s="284">
        <f>+X131*E131</f>
        <v>3.2000000000000001E-2</v>
      </c>
      <c r="AA131" s="284">
        <f t="shared" si="158"/>
        <v>3.2000000000000001E-2</v>
      </c>
      <c r="AB131" s="308" t="s">
        <v>1321</v>
      </c>
      <c r="AC131" s="724" t="s">
        <v>1416</v>
      </c>
      <c r="AD131" s="724" t="s">
        <v>1169</v>
      </c>
      <c r="AE131" s="724" t="s">
        <v>885</v>
      </c>
      <c r="AF131" s="664"/>
    </row>
    <row r="132" spans="1:32" ht="54" customHeight="1" thickBot="1" x14ac:dyDescent="0.35">
      <c r="A132" s="191"/>
      <c r="B132" s="1088" t="s">
        <v>1458</v>
      </c>
      <c r="C132" s="1089" t="s">
        <v>1459</v>
      </c>
      <c r="D132" s="281" t="s">
        <v>1431</v>
      </c>
      <c r="E132" s="285">
        <v>0.02</v>
      </c>
      <c r="F132" s="283">
        <v>1</v>
      </c>
      <c r="G132" s="213">
        <v>0</v>
      </c>
      <c r="H132" s="213">
        <v>1</v>
      </c>
      <c r="I132" s="218"/>
      <c r="J132" s="218">
        <f t="shared" si="127"/>
        <v>1</v>
      </c>
      <c r="K132" s="218"/>
      <c r="L132" s="218">
        <f t="shared" si="128"/>
        <v>0.02</v>
      </c>
      <c r="M132" s="213"/>
      <c r="N132" s="670">
        <v>0.8</v>
      </c>
      <c r="O132" s="670">
        <v>0</v>
      </c>
      <c r="P132" s="213"/>
      <c r="Q132" s="213"/>
      <c r="R132" s="213">
        <f t="shared" si="152"/>
        <v>0.8</v>
      </c>
      <c r="S132" s="213">
        <f t="shared" si="153"/>
        <v>0.8</v>
      </c>
      <c r="T132" s="218"/>
      <c r="U132" s="218">
        <f t="shared" si="157"/>
        <v>0.8</v>
      </c>
      <c r="V132" s="218"/>
      <c r="W132" s="218">
        <f t="shared" si="134"/>
        <v>1.6E-2</v>
      </c>
      <c r="X132" s="218"/>
      <c r="Y132" s="284">
        <f t="shared" si="137"/>
        <v>0.8</v>
      </c>
      <c r="Z132" s="284"/>
      <c r="AA132" s="284">
        <f t="shared" si="158"/>
        <v>1.6E-2</v>
      </c>
      <c r="AB132" s="308" t="s">
        <v>1321</v>
      </c>
      <c r="AC132" s="724" t="s">
        <v>1416</v>
      </c>
      <c r="AD132" s="724" t="s">
        <v>1169</v>
      </c>
      <c r="AE132" s="724" t="s">
        <v>885</v>
      </c>
      <c r="AF132" s="664"/>
    </row>
    <row r="133" spans="1:32" ht="90.6" customHeight="1" thickBot="1" x14ac:dyDescent="0.35">
      <c r="A133" s="191"/>
      <c r="B133" s="1088" t="s">
        <v>1460</v>
      </c>
      <c r="C133" s="1089" t="s">
        <v>1461</v>
      </c>
      <c r="D133" s="281" t="s">
        <v>1431</v>
      </c>
      <c r="E133" s="285">
        <v>0.02</v>
      </c>
      <c r="F133" s="283">
        <v>1</v>
      </c>
      <c r="G133" s="213">
        <v>1</v>
      </c>
      <c r="H133" s="213">
        <v>0</v>
      </c>
      <c r="I133" s="218">
        <f t="shared" si="150"/>
        <v>1</v>
      </c>
      <c r="J133" s="218"/>
      <c r="K133" s="218">
        <f t="shared" si="151"/>
        <v>0.02</v>
      </c>
      <c r="L133" s="218"/>
      <c r="M133" s="213">
        <v>1</v>
      </c>
      <c r="N133" s="670"/>
      <c r="O133" s="670"/>
      <c r="P133" s="213"/>
      <c r="Q133" s="213"/>
      <c r="R133" s="213">
        <f t="shared" si="152"/>
        <v>0</v>
      </c>
      <c r="S133" s="213">
        <f t="shared" si="153"/>
        <v>1</v>
      </c>
      <c r="T133" s="218">
        <f t="shared" si="154"/>
        <v>1</v>
      </c>
      <c r="U133" s="218"/>
      <c r="V133" s="218">
        <f t="shared" si="155"/>
        <v>0.02</v>
      </c>
      <c r="W133" s="218"/>
      <c r="X133" s="218">
        <f t="shared" si="156"/>
        <v>1</v>
      </c>
      <c r="Y133" s="284">
        <f t="shared" si="137"/>
        <v>1</v>
      </c>
      <c r="Z133" s="284">
        <f t="shared" si="159"/>
        <v>0.02</v>
      </c>
      <c r="AA133" s="284">
        <f t="shared" si="158"/>
        <v>0.02</v>
      </c>
      <c r="AB133" s="724" t="s">
        <v>1432</v>
      </c>
      <c r="AC133" s="752" t="s">
        <v>1439</v>
      </c>
      <c r="AD133" s="664"/>
      <c r="AE133" s="724" t="s">
        <v>885</v>
      </c>
      <c r="AF133" s="664"/>
    </row>
    <row r="134" spans="1:32" ht="100.9" customHeight="1" thickBot="1" x14ac:dyDescent="0.35">
      <c r="A134" s="191"/>
      <c r="B134" s="1170" t="s">
        <v>1462</v>
      </c>
      <c r="C134" s="1171" t="s">
        <v>1463</v>
      </c>
      <c r="D134" s="296" t="s">
        <v>1431</v>
      </c>
      <c r="E134" s="297">
        <v>0.05</v>
      </c>
      <c r="F134" s="283">
        <v>137302998</v>
      </c>
      <c r="G134" s="312">
        <v>32819130</v>
      </c>
      <c r="H134" s="312">
        <v>33803704</v>
      </c>
      <c r="I134" s="218">
        <f t="shared" si="150"/>
        <v>0.23902704586246543</v>
      </c>
      <c r="J134" s="218">
        <f t="shared" si="127"/>
        <v>0.24619785796665561</v>
      </c>
      <c r="K134" s="218">
        <f t="shared" si="151"/>
        <v>1.1951352293123272E-2</v>
      </c>
      <c r="L134" s="218">
        <f t="shared" si="128"/>
        <v>1.2309892898332781E-2</v>
      </c>
      <c r="M134" s="312">
        <v>26577198</v>
      </c>
      <c r="N134" s="673">
        <v>7665351</v>
      </c>
      <c r="O134" s="673">
        <v>7029082</v>
      </c>
      <c r="P134" s="312"/>
      <c r="Q134" s="312"/>
      <c r="R134" s="312">
        <f t="shared" si="152"/>
        <v>14694433</v>
      </c>
      <c r="S134" s="1104">
        <f>+R134+30503658</f>
        <v>45198091</v>
      </c>
      <c r="T134" s="218">
        <f t="shared" si="154"/>
        <v>0.80980812105622546</v>
      </c>
      <c r="U134" s="218">
        <f t="shared" si="157"/>
        <v>0.43469890163515806</v>
      </c>
      <c r="V134" s="218">
        <f t="shared" si="155"/>
        <v>4.0490406052811276E-2</v>
      </c>
      <c r="W134" s="218">
        <f t="shared" si="134"/>
        <v>2.1734945081757905E-2</v>
      </c>
      <c r="X134" s="218">
        <f t="shared" si="156"/>
        <v>0.19356604289150336</v>
      </c>
      <c r="Y134" s="284">
        <f>+S134/F134</f>
        <v>0.32918502624392804</v>
      </c>
      <c r="Z134" s="284">
        <f t="shared" si="159"/>
        <v>9.6783021445751693E-3</v>
      </c>
      <c r="AA134" s="284">
        <f t="shared" si="158"/>
        <v>1.6459251312196402E-2</v>
      </c>
      <c r="AB134" s="295" t="s">
        <v>71</v>
      </c>
      <c r="AC134" s="752" t="s">
        <v>1362</v>
      </c>
      <c r="AD134" s="664"/>
      <c r="AE134" s="752" t="s">
        <v>1464</v>
      </c>
      <c r="AF134" s="664"/>
    </row>
    <row r="135" spans="1:32" ht="93" customHeight="1" thickBot="1" x14ac:dyDescent="0.35">
      <c r="A135" s="191"/>
      <c r="B135" s="1321" t="s">
        <v>1465</v>
      </c>
      <c r="C135" s="1327"/>
      <c r="D135" s="288"/>
      <c r="E135" s="291">
        <v>0.1</v>
      </c>
      <c r="F135" s="201">
        <f>+E135*V135</f>
        <v>5.3999446153846158E-2</v>
      </c>
      <c r="G135" s="206"/>
      <c r="H135" s="202">
        <f>+E135*W135</f>
        <v>3.7141410517241381E-2</v>
      </c>
      <c r="I135" s="204">
        <f>+(I136+I140+I144+I150+I159)/4</f>
        <v>0.23930555555555558</v>
      </c>
      <c r="J135" s="204">
        <f>+(J136+J140+J144+J150+J159)/5</f>
        <v>0.17171428571428571</v>
      </c>
      <c r="K135" s="205">
        <f>+(K136+K140+K144+K150+K159)/4</f>
        <v>0.17302083333333335</v>
      </c>
      <c r="L135" s="205">
        <f>+(L136+L140+L144+L150+L159)/5</f>
        <v>0.19463333333333335</v>
      </c>
      <c r="M135" s="206"/>
      <c r="N135" s="206"/>
      <c r="O135" s="206"/>
      <c r="P135" s="206"/>
      <c r="Q135" s="206"/>
      <c r="R135" s="206"/>
      <c r="S135" s="206"/>
      <c r="T135" s="204">
        <f>+(T136+T140+T144+T150+T159)/4</f>
        <v>0.90415128205128203</v>
      </c>
      <c r="U135" s="204">
        <f>+(U136+U140+U144+U150+U159)/4</f>
        <v>0.47302161877394633</v>
      </c>
      <c r="V135" s="205">
        <f>+V136+V140+V144+V150+V159</f>
        <v>0.53999446153846153</v>
      </c>
      <c r="W135" s="205">
        <f>+W136+W140+W144+W150+W159</f>
        <v>0.3714141051724138</v>
      </c>
      <c r="X135" s="204">
        <f>(X136+X140+X144+X150+X159)/4</f>
        <v>0.22665666666666667</v>
      </c>
      <c r="Y135" s="204">
        <f>(Y136+Y140+Y144+Y150+Y159)/4</f>
        <v>0.34193255555555557</v>
      </c>
      <c r="Z135" s="275">
        <f>+(Z136+Z140+Z144+Z150+Z159)</f>
        <v>0.15220140000000001</v>
      </c>
      <c r="AA135" s="275">
        <f>+(AA136*E136+AA140*E140+AA144*E144+AA150*E150+AA159*E159)</f>
        <v>0.27291636750000003</v>
      </c>
      <c r="AB135" s="276"/>
      <c r="AC135" s="664"/>
      <c r="AD135" s="664"/>
      <c r="AE135" s="664"/>
      <c r="AF135" s="664"/>
    </row>
    <row r="136" spans="1:32" ht="42.75" customHeight="1" thickBot="1" x14ac:dyDescent="0.35">
      <c r="A136" s="191"/>
      <c r="B136" s="1317" t="s">
        <v>1466</v>
      </c>
      <c r="C136" s="1327"/>
      <c r="D136" s="288"/>
      <c r="E136" s="289">
        <v>0.2</v>
      </c>
      <c r="F136" s="283"/>
      <c r="G136" s="206"/>
      <c r="H136" s="206"/>
      <c r="I136" s="212">
        <f>+AVERAGE(I137:I139)</f>
        <v>0.125</v>
      </c>
      <c r="J136" s="212">
        <f>+AVERAGE(J137:J139)</f>
        <v>0.25</v>
      </c>
      <c r="K136" s="212">
        <f>+K137+K138+K139</f>
        <v>5.6250000000000001E-2</v>
      </c>
      <c r="L136" s="212">
        <f>+L137+L138+L139</f>
        <v>0.36249999999999999</v>
      </c>
      <c r="M136" s="211"/>
      <c r="N136" s="211"/>
      <c r="O136" s="211"/>
      <c r="P136" s="211"/>
      <c r="Q136" s="211"/>
      <c r="R136" s="211"/>
      <c r="S136" s="211"/>
      <c r="T136" s="235">
        <f>+AVERAGE(T137:T139)</f>
        <v>1</v>
      </c>
      <c r="U136" s="235">
        <f>+AVERAGE(U137:U139)</f>
        <v>0.11015000000000001</v>
      </c>
      <c r="V136" s="235">
        <f>+(V137+V138+V139)*E136</f>
        <v>9.0000000000000011E-2</v>
      </c>
      <c r="W136" s="235">
        <f>+(W137+W138+W139)*E136</f>
        <v>1.9827000000000004E-2</v>
      </c>
      <c r="X136" s="212">
        <f>+AVERAGE(X137:X139)</f>
        <v>0.185</v>
      </c>
      <c r="Y136" s="212">
        <f>+X136+((Y137-X137)/3)</f>
        <v>0.20335833333333334</v>
      </c>
      <c r="Z136" s="278">
        <f>+(Z137+Z138+Z139)*E136</f>
        <v>1.6650000000000002E-2</v>
      </c>
      <c r="AA136" s="278">
        <f>+(AA137+AA138+AA139)</f>
        <v>0.10803375000000003</v>
      </c>
      <c r="AB136" s="279"/>
      <c r="AC136" s="664"/>
      <c r="AD136" s="664"/>
      <c r="AE136" s="664"/>
      <c r="AF136" s="664"/>
    </row>
    <row r="137" spans="1:32" ht="74.45" customHeight="1" thickBot="1" x14ac:dyDescent="0.35">
      <c r="A137" s="191"/>
      <c r="B137" s="1088" t="s">
        <v>1467</v>
      </c>
      <c r="C137" s="1089" t="s">
        <v>1468</v>
      </c>
      <c r="D137" s="288" t="s">
        <v>1257</v>
      </c>
      <c r="E137" s="285">
        <v>0.45</v>
      </c>
      <c r="F137" s="283">
        <v>40</v>
      </c>
      <c r="G137" s="213">
        <v>5</v>
      </c>
      <c r="H137" s="213">
        <v>10</v>
      </c>
      <c r="I137" s="218">
        <f>+G137/F137</f>
        <v>0.125</v>
      </c>
      <c r="J137" s="218">
        <f t="shared" ref="J137:J139" si="160">+H137/F137</f>
        <v>0.25</v>
      </c>
      <c r="K137" s="218">
        <f>+(G137/F137)*E137</f>
        <v>5.6250000000000001E-2</v>
      </c>
      <c r="L137" s="218">
        <f t="shared" ref="L137:L139" si="161">+(H137/F137)*E137</f>
        <v>0.1125</v>
      </c>
      <c r="M137" s="213">
        <v>7.4</v>
      </c>
      <c r="N137" s="670">
        <v>3.0000000000000001E-3</v>
      </c>
      <c r="O137" s="213">
        <v>2.2000000000000002</v>
      </c>
      <c r="P137" s="213"/>
      <c r="Q137" s="213"/>
      <c r="R137" s="213">
        <f t="shared" ref="R137:R139" si="162">+N137+O137+P137+Q137</f>
        <v>2.2030000000000003</v>
      </c>
      <c r="S137" s="213">
        <f t="shared" ref="S137:S139" si="163">+R137+M137</f>
        <v>9.6030000000000015</v>
      </c>
      <c r="T137" s="218">
        <v>1</v>
      </c>
      <c r="U137" s="218">
        <f t="shared" ref="U137:U154" si="164">+R137/H137</f>
        <v>0.22030000000000002</v>
      </c>
      <c r="V137" s="218">
        <f>+T137*E137</f>
        <v>0.45</v>
      </c>
      <c r="W137" s="218">
        <f t="shared" ref="W137:W139" si="165">+U137*E137</f>
        <v>9.9135000000000015E-2</v>
      </c>
      <c r="X137" s="218">
        <f>+M137/F137</f>
        <v>0.185</v>
      </c>
      <c r="Y137" s="284">
        <f t="shared" ref="Y137" si="166">+S137/F137</f>
        <v>0.24007500000000004</v>
      </c>
      <c r="Z137" s="284">
        <f t="shared" ref="Z137:Z143" si="167">+X137*E137</f>
        <v>8.3250000000000005E-2</v>
      </c>
      <c r="AA137" s="284">
        <f>+Y137*E137</f>
        <v>0.10803375000000003</v>
      </c>
      <c r="AB137" s="308" t="s">
        <v>1321</v>
      </c>
      <c r="AC137" s="664"/>
      <c r="AD137" s="723" t="s">
        <v>1169</v>
      </c>
      <c r="AE137" s="752" t="s">
        <v>1464</v>
      </c>
      <c r="AF137" s="664"/>
    </row>
    <row r="138" spans="1:32" ht="88.15" customHeight="1" thickBot="1" x14ac:dyDescent="0.35">
      <c r="A138" s="191"/>
      <c r="B138" s="1088" t="s">
        <v>1469</v>
      </c>
      <c r="C138" s="1089" t="s">
        <v>1470</v>
      </c>
      <c r="D138" s="288" t="s">
        <v>1471</v>
      </c>
      <c r="E138" s="285">
        <v>0.5</v>
      </c>
      <c r="F138" s="283">
        <v>140000</v>
      </c>
      <c r="G138" s="213">
        <v>0</v>
      </c>
      <c r="H138" s="213">
        <v>70000</v>
      </c>
      <c r="I138" s="218"/>
      <c r="J138" s="218">
        <f t="shared" si="160"/>
        <v>0.5</v>
      </c>
      <c r="K138" s="218"/>
      <c r="L138" s="218">
        <f t="shared" si="161"/>
        <v>0.25</v>
      </c>
      <c r="M138" s="213"/>
      <c r="N138" s="670">
        <v>0</v>
      </c>
      <c r="O138" s="213">
        <v>0</v>
      </c>
      <c r="P138" s="213"/>
      <c r="Q138" s="213"/>
      <c r="R138" s="213">
        <f t="shared" si="162"/>
        <v>0</v>
      </c>
      <c r="S138" s="213">
        <f t="shared" si="163"/>
        <v>0</v>
      </c>
      <c r="T138" s="218"/>
      <c r="U138" s="218">
        <f t="shared" si="164"/>
        <v>0</v>
      </c>
      <c r="V138" s="218"/>
      <c r="W138" s="218">
        <f t="shared" si="165"/>
        <v>0</v>
      </c>
      <c r="X138" s="218"/>
      <c r="Y138" s="284"/>
      <c r="Z138" s="284"/>
      <c r="AA138" s="284">
        <f t="shared" ref="AA138:AA139" si="168">+Y138*E138</f>
        <v>0</v>
      </c>
      <c r="AB138" s="295" t="s">
        <v>1472</v>
      </c>
      <c r="AC138" s="752" t="s">
        <v>127</v>
      </c>
      <c r="AD138" s="1103"/>
      <c r="AE138" s="724" t="s">
        <v>1473</v>
      </c>
      <c r="AF138" s="664"/>
    </row>
    <row r="139" spans="1:32" ht="106.9" customHeight="1" thickBot="1" x14ac:dyDescent="0.35">
      <c r="A139" s="191"/>
      <c r="B139" s="216" t="s">
        <v>1474</v>
      </c>
      <c r="C139" s="280" t="s">
        <v>1475</v>
      </c>
      <c r="D139" s="288" t="s">
        <v>1476</v>
      </c>
      <c r="E139" s="285">
        <v>0.05</v>
      </c>
      <c r="F139" s="283">
        <v>1</v>
      </c>
      <c r="G139" s="213">
        <v>0</v>
      </c>
      <c r="H139" s="213">
        <v>0</v>
      </c>
      <c r="I139" s="218"/>
      <c r="J139" s="218">
        <f t="shared" si="160"/>
        <v>0</v>
      </c>
      <c r="K139" s="218"/>
      <c r="L139" s="218">
        <f t="shared" si="161"/>
        <v>0</v>
      </c>
      <c r="M139" s="213"/>
      <c r="N139" s="670"/>
      <c r="O139" s="213"/>
      <c r="P139" s="213"/>
      <c r="Q139" s="213"/>
      <c r="R139" s="213">
        <f t="shared" si="162"/>
        <v>0</v>
      </c>
      <c r="S139" s="213">
        <f t="shared" si="163"/>
        <v>0</v>
      </c>
      <c r="T139" s="218"/>
      <c r="U139" s="218"/>
      <c r="V139" s="218"/>
      <c r="W139" s="218">
        <f t="shared" si="165"/>
        <v>0</v>
      </c>
      <c r="X139" s="218"/>
      <c r="Y139" s="284"/>
      <c r="Z139" s="284"/>
      <c r="AA139" s="284">
        <f t="shared" si="168"/>
        <v>0</v>
      </c>
      <c r="AB139" s="308" t="s">
        <v>1321</v>
      </c>
      <c r="AC139" s="752" t="s">
        <v>1362</v>
      </c>
      <c r="AD139" s="664"/>
      <c r="AE139" s="752" t="s">
        <v>1477</v>
      </c>
      <c r="AF139" s="664"/>
    </row>
    <row r="140" spans="1:32" ht="57" customHeight="1" thickBot="1" x14ac:dyDescent="0.35">
      <c r="A140" s="191"/>
      <c r="B140" s="1317" t="s">
        <v>1478</v>
      </c>
      <c r="C140" s="1327"/>
      <c r="D140" s="288"/>
      <c r="E140" s="289">
        <v>0.15</v>
      </c>
      <c r="F140" s="283"/>
      <c r="G140" s="206"/>
      <c r="H140" s="206"/>
      <c r="I140" s="212">
        <f>+AVERAGE(I141:I143)</f>
        <v>0.27</v>
      </c>
      <c r="J140" s="212">
        <f>+AVERAGE(J141:J143)</f>
        <v>0.17333333333333334</v>
      </c>
      <c r="K140" s="212">
        <f>+K141+K142+K143</f>
        <v>0.22900000000000001</v>
      </c>
      <c r="L140" s="212">
        <f>+L141+L142+L143</f>
        <v>0.14750000000000002</v>
      </c>
      <c r="M140" s="211"/>
      <c r="N140" s="211"/>
      <c r="O140" s="211"/>
      <c r="P140" s="211"/>
      <c r="Q140" s="211"/>
      <c r="R140" s="211"/>
      <c r="S140" s="211"/>
      <c r="T140" s="235">
        <f>+AVERAGE(T141:T143)</f>
        <v>0.84660512820512823</v>
      </c>
      <c r="U140" s="235">
        <f>+AVERAGE(U141:U143)</f>
        <v>0.66210888888888886</v>
      </c>
      <c r="V140" s="235">
        <f>+(V141+V142+V143)*E140</f>
        <v>0.13619446153846154</v>
      </c>
      <c r="W140" s="235">
        <f>+(W141+W142+W143)*E140</f>
        <v>0.10039744999999997</v>
      </c>
      <c r="X140" s="212">
        <f>+AVERAGE(X141:X143)</f>
        <v>0.2016266666666667</v>
      </c>
      <c r="Y140" s="212">
        <f>+AVERAGE(Y141:Y143)</f>
        <v>0.46131633333333327</v>
      </c>
      <c r="Z140" s="278">
        <f>+(Z141+Z142+Z143)*E140</f>
        <v>3.5951400000000001E-2</v>
      </c>
      <c r="AA140" s="278">
        <f>+(AA141+AA142+AA143)</f>
        <v>0.42639744999999996</v>
      </c>
      <c r="AB140" s="279"/>
      <c r="AC140" s="664"/>
      <c r="AD140" s="664"/>
      <c r="AE140" s="664"/>
      <c r="AF140" s="664"/>
    </row>
    <row r="141" spans="1:32" ht="78" customHeight="1" thickBot="1" x14ac:dyDescent="0.35">
      <c r="A141" s="191"/>
      <c r="B141" s="1075" t="s">
        <v>1479</v>
      </c>
      <c r="C141" s="1087" t="s">
        <v>1480</v>
      </c>
      <c r="D141" s="288" t="s">
        <v>1481</v>
      </c>
      <c r="E141" s="285">
        <v>0.05</v>
      </c>
      <c r="F141" s="283">
        <v>10</v>
      </c>
      <c r="G141" s="213">
        <v>0.3</v>
      </c>
      <c r="H141" s="213">
        <v>1.5</v>
      </c>
      <c r="I141" s="218">
        <f>+G141/F141</f>
        <v>0.03</v>
      </c>
      <c r="J141" s="218">
        <f t="shared" ref="J141:J143" si="169">+H141/F141</f>
        <v>0.15</v>
      </c>
      <c r="K141" s="218">
        <f>+(G141/F141)*E141</f>
        <v>1.5E-3</v>
      </c>
      <c r="L141" s="218">
        <f t="shared" ref="L141:L143" si="170">+(H141/F141)*E141</f>
        <v>7.4999999999999997E-3</v>
      </c>
      <c r="M141" s="213">
        <v>0.3</v>
      </c>
      <c r="N141" s="670">
        <v>0</v>
      </c>
      <c r="O141" s="213">
        <v>0.57948999999999995</v>
      </c>
      <c r="P141" s="213"/>
      <c r="Q141" s="213"/>
      <c r="R141" s="213">
        <f t="shared" ref="R141:R143" si="171">+N141+O141+P141+Q141</f>
        <v>0.57948999999999995</v>
      </c>
      <c r="S141" s="213">
        <f t="shared" ref="S141" si="172">+R141+M141</f>
        <v>0.87948999999999988</v>
      </c>
      <c r="T141" s="218">
        <f>+(M141/G141)</f>
        <v>1</v>
      </c>
      <c r="U141" s="218">
        <f>+R141/H141</f>
        <v>0.38632666666666665</v>
      </c>
      <c r="V141" s="218">
        <f>+T141*E141</f>
        <v>0.05</v>
      </c>
      <c r="W141" s="218">
        <f>+U141*E141</f>
        <v>1.9316333333333335E-2</v>
      </c>
      <c r="X141" s="218">
        <f>+M141/F141</f>
        <v>0.03</v>
      </c>
      <c r="Y141" s="284">
        <f t="shared" ref="Y141" si="173">+S141/F141</f>
        <v>8.7948999999999986E-2</v>
      </c>
      <c r="Z141" s="284">
        <f t="shared" si="167"/>
        <v>1.5E-3</v>
      </c>
      <c r="AA141" s="284">
        <f>+Y141*E141</f>
        <v>4.3974499999999998E-3</v>
      </c>
      <c r="AB141" s="308" t="s">
        <v>1321</v>
      </c>
      <c r="AC141" s="723" t="s">
        <v>44</v>
      </c>
      <c r="AD141" s="719" t="s">
        <v>1291</v>
      </c>
      <c r="AE141" s="724" t="s">
        <v>885</v>
      </c>
      <c r="AF141" s="664"/>
    </row>
    <row r="142" spans="1:32" ht="95.45" customHeight="1" thickBot="1" x14ac:dyDescent="0.35">
      <c r="A142" s="191"/>
      <c r="B142" s="1170" t="s">
        <v>1482</v>
      </c>
      <c r="C142" s="1171" t="s">
        <v>1483</v>
      </c>
      <c r="D142" s="288" t="s">
        <v>1481</v>
      </c>
      <c r="E142" s="285">
        <v>0.75</v>
      </c>
      <c r="F142" s="283">
        <v>1</v>
      </c>
      <c r="G142" s="213">
        <v>0.13</v>
      </c>
      <c r="H142" s="213">
        <v>0.12</v>
      </c>
      <c r="I142" s="218">
        <f>+G142/F142</f>
        <v>0.13</v>
      </c>
      <c r="J142" s="218">
        <f t="shared" si="169"/>
        <v>0.12</v>
      </c>
      <c r="K142" s="218">
        <f>+(G142/F142)*E142</f>
        <v>9.7500000000000003E-2</v>
      </c>
      <c r="L142" s="218">
        <f t="shared" si="170"/>
        <v>0.09</v>
      </c>
      <c r="M142" s="213">
        <v>0.224</v>
      </c>
      <c r="N142" s="670">
        <f>0.296-M142</f>
        <v>7.1999999999999981E-2</v>
      </c>
      <c r="O142" s="213">
        <v>0</v>
      </c>
      <c r="P142" s="213"/>
      <c r="Q142" s="213"/>
      <c r="R142" s="213">
        <f t="shared" si="171"/>
        <v>7.1999999999999981E-2</v>
      </c>
      <c r="S142" s="213">
        <f>+R142+M142</f>
        <v>0.29599999999999999</v>
      </c>
      <c r="T142" s="218">
        <v>1</v>
      </c>
      <c r="U142" s="218">
        <f>+R142/H142</f>
        <v>0.59999999999999987</v>
      </c>
      <c r="V142" s="218">
        <f>+T142*E142</f>
        <v>0.75</v>
      </c>
      <c r="W142" s="218">
        <f t="shared" ref="W142:W143" si="174">+U142*E142</f>
        <v>0.4499999999999999</v>
      </c>
      <c r="X142" s="218">
        <f>+M142/F142</f>
        <v>0.224</v>
      </c>
      <c r="Y142" s="284">
        <f>+S142/F142</f>
        <v>0.29599999999999999</v>
      </c>
      <c r="Z142" s="284">
        <f>+X142*E142</f>
        <v>0.16800000000000001</v>
      </c>
      <c r="AA142" s="284">
        <f>+Y142*E142</f>
        <v>0.22199999999999998</v>
      </c>
      <c r="AB142" s="308" t="s">
        <v>1321</v>
      </c>
      <c r="AC142" s="752" t="s">
        <v>1484</v>
      </c>
      <c r="AD142" s="752" t="s">
        <v>1485</v>
      </c>
      <c r="AE142" s="752" t="s">
        <v>1477</v>
      </c>
      <c r="AF142" s="664"/>
    </row>
    <row r="143" spans="1:32" ht="108.6" customHeight="1" thickBot="1" x14ac:dyDescent="0.35">
      <c r="A143" s="191"/>
      <c r="B143" s="1137" t="s">
        <v>1486</v>
      </c>
      <c r="C143" s="1138" t="s">
        <v>1487</v>
      </c>
      <c r="D143" s="313" t="s">
        <v>1481</v>
      </c>
      <c r="E143" s="285">
        <v>0.2</v>
      </c>
      <c r="F143" s="283">
        <v>100000</v>
      </c>
      <c r="G143" s="213">
        <f>40000+25000</f>
        <v>65000</v>
      </c>
      <c r="H143" s="213">
        <v>25000</v>
      </c>
      <c r="I143" s="218">
        <f>+G143/F143</f>
        <v>0.65</v>
      </c>
      <c r="J143" s="218">
        <f t="shared" si="169"/>
        <v>0.25</v>
      </c>
      <c r="K143" s="218">
        <f>+(G143/F143)*E143</f>
        <v>0.13</v>
      </c>
      <c r="L143" s="218">
        <f t="shared" si="170"/>
        <v>0.05</v>
      </c>
      <c r="M143" s="213">
        <v>35088</v>
      </c>
      <c r="N143" s="670">
        <v>28873</v>
      </c>
      <c r="O143" s="213">
        <v>694</v>
      </c>
      <c r="P143" s="213"/>
      <c r="Q143" s="213"/>
      <c r="R143" s="213">
        <f t="shared" si="171"/>
        <v>29567</v>
      </c>
      <c r="S143" s="312">
        <f>+R143+M143+19455+28873</f>
        <v>112983</v>
      </c>
      <c r="T143" s="218">
        <f>+(M143/G143)</f>
        <v>0.53981538461538459</v>
      </c>
      <c r="U143" s="218">
        <v>1</v>
      </c>
      <c r="V143" s="218">
        <f>+T143*E143</f>
        <v>0.10796307692307693</v>
      </c>
      <c r="W143" s="218">
        <f t="shared" si="174"/>
        <v>0.2</v>
      </c>
      <c r="X143" s="218">
        <f>+M143/F143</f>
        <v>0.35088000000000003</v>
      </c>
      <c r="Y143" s="284">
        <v>1</v>
      </c>
      <c r="Z143" s="284">
        <f t="shared" si="167"/>
        <v>7.0176000000000002E-2</v>
      </c>
      <c r="AA143" s="284">
        <f>+Y143*E143</f>
        <v>0.2</v>
      </c>
      <c r="AB143" s="308" t="s">
        <v>1321</v>
      </c>
      <c r="AC143" s="903" t="s">
        <v>483</v>
      </c>
      <c r="AD143" s="664"/>
      <c r="AE143" s="724" t="s">
        <v>885</v>
      </c>
      <c r="AF143" s="664"/>
    </row>
    <row r="144" spans="1:32" ht="121.9" customHeight="1" thickBot="1" x14ac:dyDescent="0.35">
      <c r="A144" s="191"/>
      <c r="B144" s="1317" t="s">
        <v>1488</v>
      </c>
      <c r="C144" s="1327"/>
      <c r="D144" s="288"/>
      <c r="E144" s="289">
        <v>0.25</v>
      </c>
      <c r="F144" s="283"/>
      <c r="G144" s="206"/>
      <c r="H144" s="206"/>
      <c r="I144" s="212">
        <f>+AVERAGE(I145:I149)</f>
        <v>0.42000000000000004</v>
      </c>
      <c r="J144" s="212">
        <f>+AVERAGE(J145:J149)</f>
        <v>0.25</v>
      </c>
      <c r="K144" s="212">
        <f>+K145+K146+K147+K148+K149</f>
        <v>0.30500000000000005</v>
      </c>
      <c r="L144" s="212">
        <f>+L145+L146+L147+L148+L149</f>
        <v>0.21500000000000002</v>
      </c>
      <c r="M144" s="211"/>
      <c r="N144" s="211"/>
      <c r="O144" s="211"/>
      <c r="P144" s="211"/>
      <c r="Q144" s="211"/>
      <c r="R144" s="211"/>
      <c r="S144" s="211"/>
      <c r="T144" s="235">
        <f>+AVERAGE(T145:T149)</f>
        <v>0.96666666666666667</v>
      </c>
      <c r="U144" s="235">
        <f>+AVERAGE(U145:U149)</f>
        <v>0.55000000000000004</v>
      </c>
      <c r="V144" s="235">
        <f>+(V145+V146+V147+V148+V149)*E144</f>
        <v>8.2500000000000004E-2</v>
      </c>
      <c r="W144" s="235">
        <f>+(W145+W146+W147+W148+W149)*E144</f>
        <v>7.7500000000000013E-2</v>
      </c>
      <c r="X144" s="212">
        <f>+AVERAGE(X145:X149)</f>
        <v>0.4</v>
      </c>
      <c r="Y144" s="212">
        <f>+AVERAGE(Y145:Y149)</f>
        <v>0.43200000000000005</v>
      </c>
      <c r="Z144" s="278">
        <f>+(Z145+Z146+Z147+Z148+Z149)*E144</f>
        <v>7.1250000000000008E-2</v>
      </c>
      <c r="AA144" s="278">
        <f>+(AA145+AA146+AA147+AA148+AA149)</f>
        <v>0.30800000000000005</v>
      </c>
      <c r="AB144" s="314" t="s">
        <v>1489</v>
      </c>
      <c r="AC144" s="664"/>
      <c r="AD144" s="664"/>
      <c r="AE144" s="664"/>
      <c r="AF144" s="664"/>
    </row>
    <row r="145" spans="1:32" ht="120.6" customHeight="1" thickBot="1" x14ac:dyDescent="0.35">
      <c r="A145" s="191"/>
      <c r="B145" s="1075" t="s">
        <v>1490</v>
      </c>
      <c r="C145" s="1087" t="s">
        <v>1491</v>
      </c>
      <c r="D145" s="281" t="s">
        <v>1492</v>
      </c>
      <c r="E145" s="285">
        <v>0.5</v>
      </c>
      <c r="F145" s="283">
        <v>10</v>
      </c>
      <c r="G145" s="213">
        <v>0</v>
      </c>
      <c r="H145" s="213">
        <v>2</v>
      </c>
      <c r="I145" s="218">
        <v>0</v>
      </c>
      <c r="J145" s="218">
        <f t="shared" ref="J145:J149" si="175">+H145/F145</f>
        <v>0.2</v>
      </c>
      <c r="K145" s="218"/>
      <c r="L145" s="218">
        <f t="shared" ref="L145:L149" si="176">+(H145/F145)*E145</f>
        <v>0.1</v>
      </c>
      <c r="M145" s="213"/>
      <c r="N145" s="670">
        <v>0</v>
      </c>
      <c r="O145" s="670">
        <v>0</v>
      </c>
      <c r="P145" s="213"/>
      <c r="Q145" s="213"/>
      <c r="R145" s="213">
        <f t="shared" ref="R145:R149" si="177">+N145+O145+P145+Q145</f>
        <v>0</v>
      </c>
      <c r="S145" s="213">
        <f t="shared" ref="S145:S149" si="178">+R145+M145</f>
        <v>0</v>
      </c>
      <c r="T145" s="237"/>
      <c r="U145" s="237">
        <f t="shared" si="164"/>
        <v>0</v>
      </c>
      <c r="V145" s="237"/>
      <c r="W145" s="237">
        <f t="shared" ref="W145:W148" si="179">+U145*E145</f>
        <v>0</v>
      </c>
      <c r="X145" s="237">
        <v>0</v>
      </c>
      <c r="Y145" s="287">
        <f t="shared" ref="Y145:Y149" si="180">+S145/F145</f>
        <v>0</v>
      </c>
      <c r="Z145" s="287">
        <v>0</v>
      </c>
      <c r="AA145" s="287">
        <f t="shared" ref="AA145" si="181">+Y145*E145</f>
        <v>0</v>
      </c>
      <c r="AB145" s="308" t="s">
        <v>1321</v>
      </c>
      <c r="AC145" s="723" t="s">
        <v>44</v>
      </c>
      <c r="AD145" s="664"/>
      <c r="AE145" s="724" t="s">
        <v>885</v>
      </c>
      <c r="AF145" s="664"/>
    </row>
    <row r="146" spans="1:32" ht="55.15" customHeight="1" thickBot="1" x14ac:dyDescent="0.35">
      <c r="A146" s="191"/>
      <c r="B146" s="1075" t="s">
        <v>1493</v>
      </c>
      <c r="C146" s="1087" t="s">
        <v>1494</v>
      </c>
      <c r="D146" s="281" t="s">
        <v>1257</v>
      </c>
      <c r="E146" s="285">
        <v>0.1</v>
      </c>
      <c r="F146" s="283">
        <v>1</v>
      </c>
      <c r="G146" s="213">
        <v>1</v>
      </c>
      <c r="H146" s="213">
        <v>0.5</v>
      </c>
      <c r="I146" s="218">
        <f>+G146/F146</f>
        <v>1</v>
      </c>
      <c r="J146" s="218">
        <f t="shared" si="175"/>
        <v>0.5</v>
      </c>
      <c r="K146" s="218">
        <f>+(G146/F146)*E146</f>
        <v>0.1</v>
      </c>
      <c r="L146" s="218">
        <f t="shared" si="176"/>
        <v>0.05</v>
      </c>
      <c r="M146" s="249">
        <v>1</v>
      </c>
      <c r="N146" s="670">
        <v>0</v>
      </c>
      <c r="O146" s="670">
        <v>0.8</v>
      </c>
      <c r="P146" s="213"/>
      <c r="Q146" s="213"/>
      <c r="R146" s="213">
        <f t="shared" si="177"/>
        <v>0.8</v>
      </c>
      <c r="S146" s="213">
        <f t="shared" si="178"/>
        <v>1.8</v>
      </c>
      <c r="T146" s="237">
        <f>+(M146/G146)</f>
        <v>1</v>
      </c>
      <c r="U146" s="237">
        <v>1</v>
      </c>
      <c r="V146" s="237">
        <f>+T146*E146</f>
        <v>0.1</v>
      </c>
      <c r="W146" s="237">
        <f t="shared" si="179"/>
        <v>0.1</v>
      </c>
      <c r="X146" s="237">
        <f>+M146/F146</f>
        <v>1</v>
      </c>
      <c r="Y146" s="287">
        <v>1</v>
      </c>
      <c r="Z146" s="287">
        <f>+X146*E146</f>
        <v>0.1</v>
      </c>
      <c r="AA146" s="287">
        <f>+Y146*E146</f>
        <v>0.1</v>
      </c>
      <c r="AB146" s="308" t="s">
        <v>36</v>
      </c>
      <c r="AC146" s="723" t="s">
        <v>44</v>
      </c>
      <c r="AD146" s="723" t="s">
        <v>1169</v>
      </c>
      <c r="AE146" s="724" t="s">
        <v>885</v>
      </c>
      <c r="AF146" s="664"/>
    </row>
    <row r="147" spans="1:32" ht="54.6" customHeight="1" thickBot="1" x14ac:dyDescent="0.35">
      <c r="A147" s="191"/>
      <c r="B147" s="1075" t="s">
        <v>1495</v>
      </c>
      <c r="C147" s="1087" t="s">
        <v>1496</v>
      </c>
      <c r="D147" s="281" t="s">
        <v>1257</v>
      </c>
      <c r="E147" s="285">
        <v>0.2</v>
      </c>
      <c r="F147" s="283">
        <v>1</v>
      </c>
      <c r="G147" s="213">
        <v>1</v>
      </c>
      <c r="H147" s="213">
        <v>0.25</v>
      </c>
      <c r="I147" s="218">
        <f>+G147/F147</f>
        <v>1</v>
      </c>
      <c r="J147" s="218">
        <f t="shared" si="175"/>
        <v>0.25</v>
      </c>
      <c r="K147" s="218">
        <f>+(G147/F147)*E147</f>
        <v>0.2</v>
      </c>
      <c r="L147" s="218">
        <f t="shared" si="176"/>
        <v>0.05</v>
      </c>
      <c r="M147" s="213">
        <v>0.9</v>
      </c>
      <c r="N147" s="670">
        <v>0.15</v>
      </c>
      <c r="O147" s="670">
        <v>0.26</v>
      </c>
      <c r="P147" s="213"/>
      <c r="Q147" s="213"/>
      <c r="R147" s="213">
        <f t="shared" si="177"/>
        <v>0.41000000000000003</v>
      </c>
      <c r="S147" s="213">
        <f t="shared" si="178"/>
        <v>1.31</v>
      </c>
      <c r="T147" s="237">
        <f>+(M147/G147)</f>
        <v>0.9</v>
      </c>
      <c r="U147" s="237">
        <v>1</v>
      </c>
      <c r="V147" s="237">
        <f>+T147*E147</f>
        <v>0.18000000000000002</v>
      </c>
      <c r="W147" s="237">
        <f t="shared" si="179"/>
        <v>0.2</v>
      </c>
      <c r="X147" s="237">
        <f>+M147/F147</f>
        <v>0.9</v>
      </c>
      <c r="Y147" s="287">
        <v>1</v>
      </c>
      <c r="Z147" s="287">
        <f>+X147*E147</f>
        <v>0.18000000000000002</v>
      </c>
      <c r="AA147" s="287">
        <f t="shared" ref="AA147:AA149" si="182">+Y147*E147</f>
        <v>0.2</v>
      </c>
      <c r="AB147" s="308" t="s">
        <v>1321</v>
      </c>
      <c r="AC147" s="723" t="s">
        <v>44</v>
      </c>
      <c r="AD147" s="723" t="s">
        <v>1169</v>
      </c>
      <c r="AE147" s="752" t="s">
        <v>1497</v>
      </c>
      <c r="AF147" s="664"/>
    </row>
    <row r="148" spans="1:32" ht="78.599999999999994" customHeight="1" thickBot="1" x14ac:dyDescent="0.35">
      <c r="A148" s="191"/>
      <c r="B148" s="1075" t="s">
        <v>1498</v>
      </c>
      <c r="C148" s="1087" t="s">
        <v>1499</v>
      </c>
      <c r="D148" s="281" t="s">
        <v>716</v>
      </c>
      <c r="E148" s="285">
        <v>0.05</v>
      </c>
      <c r="F148" s="283">
        <v>1</v>
      </c>
      <c r="G148" s="304">
        <v>0.1</v>
      </c>
      <c r="H148" s="304">
        <v>0.3</v>
      </c>
      <c r="I148" s="218">
        <f>+G148/F148</f>
        <v>0.1</v>
      </c>
      <c r="J148" s="218">
        <f t="shared" si="175"/>
        <v>0.3</v>
      </c>
      <c r="K148" s="218">
        <f>+(G148/F148)*E148</f>
        <v>5.000000000000001E-3</v>
      </c>
      <c r="L148" s="218">
        <f t="shared" si="176"/>
        <v>1.4999999999999999E-2</v>
      </c>
      <c r="M148" s="315">
        <v>0.1</v>
      </c>
      <c r="N148" s="674">
        <v>0.02</v>
      </c>
      <c r="O148" s="674">
        <v>0.04</v>
      </c>
      <c r="P148" s="315"/>
      <c r="Q148" s="315"/>
      <c r="R148" s="315">
        <f t="shared" si="177"/>
        <v>0.06</v>
      </c>
      <c r="S148" s="315">
        <f t="shared" si="178"/>
        <v>0.16</v>
      </c>
      <c r="T148" s="237">
        <f>+(M148/G148)</f>
        <v>1</v>
      </c>
      <c r="U148" s="237">
        <f t="shared" si="164"/>
        <v>0.2</v>
      </c>
      <c r="V148" s="237">
        <f>+T148*E148</f>
        <v>0.05</v>
      </c>
      <c r="W148" s="237">
        <f t="shared" si="179"/>
        <v>1.0000000000000002E-2</v>
      </c>
      <c r="X148" s="237">
        <f>+M148/F148</f>
        <v>0.1</v>
      </c>
      <c r="Y148" s="287">
        <f t="shared" si="180"/>
        <v>0.16</v>
      </c>
      <c r="Z148" s="287">
        <f>+X148*E148</f>
        <v>5.000000000000001E-3</v>
      </c>
      <c r="AA148" s="287">
        <f t="shared" si="182"/>
        <v>8.0000000000000002E-3</v>
      </c>
      <c r="AB148" s="308" t="s">
        <v>1321</v>
      </c>
      <c r="AC148" s="723" t="s">
        <v>44</v>
      </c>
      <c r="AD148" s="723" t="s">
        <v>1169</v>
      </c>
      <c r="AE148" s="724" t="s">
        <v>885</v>
      </c>
      <c r="AF148" s="664"/>
    </row>
    <row r="149" spans="1:32" ht="70.900000000000006" customHeight="1" thickBot="1" x14ac:dyDescent="0.35">
      <c r="A149" s="191"/>
      <c r="B149" s="216" t="s">
        <v>1500</v>
      </c>
      <c r="C149" s="280" t="s">
        <v>1501</v>
      </c>
      <c r="D149" s="281" t="s">
        <v>1502</v>
      </c>
      <c r="E149" s="285">
        <v>0.15</v>
      </c>
      <c r="F149" s="283">
        <v>1</v>
      </c>
      <c r="G149" s="304">
        <v>0</v>
      </c>
      <c r="H149" s="304">
        <v>0</v>
      </c>
      <c r="I149" s="218">
        <v>0</v>
      </c>
      <c r="J149" s="218">
        <f t="shared" si="175"/>
        <v>0</v>
      </c>
      <c r="K149" s="218"/>
      <c r="L149" s="218">
        <f t="shared" si="176"/>
        <v>0</v>
      </c>
      <c r="M149" s="317"/>
      <c r="N149" s="675"/>
      <c r="O149" s="317"/>
      <c r="P149" s="317"/>
      <c r="Q149" s="317"/>
      <c r="R149" s="317">
        <f t="shared" si="177"/>
        <v>0</v>
      </c>
      <c r="S149" s="317">
        <f t="shared" si="178"/>
        <v>0</v>
      </c>
      <c r="T149" s="237"/>
      <c r="U149" s="237"/>
      <c r="V149" s="237"/>
      <c r="W149" s="237">
        <f>+U149*E149</f>
        <v>0</v>
      </c>
      <c r="X149" s="237">
        <v>0</v>
      </c>
      <c r="Y149" s="287">
        <f t="shared" si="180"/>
        <v>0</v>
      </c>
      <c r="Z149" s="287"/>
      <c r="AA149" s="287">
        <f t="shared" si="182"/>
        <v>0</v>
      </c>
      <c r="AB149" s="308" t="s">
        <v>1321</v>
      </c>
      <c r="AC149" s="752" t="s">
        <v>1362</v>
      </c>
      <c r="AD149" s="664"/>
      <c r="AE149" s="752" t="s">
        <v>1477</v>
      </c>
      <c r="AF149" s="664"/>
    </row>
    <row r="150" spans="1:32" ht="57" customHeight="1" thickBot="1" x14ac:dyDescent="0.35">
      <c r="A150" s="191"/>
      <c r="B150" s="1317" t="s">
        <v>1503</v>
      </c>
      <c r="C150" s="1327"/>
      <c r="D150" s="288"/>
      <c r="E150" s="289">
        <v>0.3</v>
      </c>
      <c r="F150" s="283"/>
      <c r="G150" s="206"/>
      <c r="H150" s="206"/>
      <c r="I150" s="212">
        <f>+AVERAGE(I151:I158)</f>
        <v>0.14222222222222222</v>
      </c>
      <c r="J150" s="212">
        <f>+AVERAGE(J151:J158)</f>
        <v>0.18523809523809523</v>
      </c>
      <c r="K150" s="212">
        <f>+K151+K152+K153+K154+K155+K156+K157+K158</f>
        <v>0.10183333333333333</v>
      </c>
      <c r="L150" s="212">
        <f>+L151+L152+L153+L154+L155+L156+L157+L158</f>
        <v>0.24816666666666667</v>
      </c>
      <c r="M150" s="211"/>
      <c r="N150" s="211"/>
      <c r="O150" s="211"/>
      <c r="P150" s="211"/>
      <c r="Q150" s="211"/>
      <c r="R150" s="211"/>
      <c r="S150" s="211"/>
      <c r="T150" s="235">
        <f>+AVERAGE(T151:T158)</f>
        <v>0.80333333333333323</v>
      </c>
      <c r="U150" s="235">
        <f>+AVERAGE(U151:U158)</f>
        <v>0.56982758620689655</v>
      </c>
      <c r="V150" s="235">
        <f>+(V151+V152+V153+V154+V155+V156+V157+V158)*E150</f>
        <v>0.23130000000000001</v>
      </c>
      <c r="W150" s="235">
        <f>+(W151+W152+W153+W154+W155+W156+W157+W158)*E150</f>
        <v>0.1736896551724138</v>
      </c>
      <c r="X150" s="212">
        <f>+AVERAGE(X151:X158)</f>
        <v>0.12000000000000001</v>
      </c>
      <c r="Y150" s="212">
        <f>+AVERAGE(Y151:Y158)</f>
        <v>0.27105555555555549</v>
      </c>
      <c r="Z150" s="278">
        <f>+(Z151+Z152+Z153+Z154+Z155+Z156+Z157)*E150</f>
        <v>2.8350000000000004E-2</v>
      </c>
      <c r="AA150" s="278">
        <f>+(AA151+AA152+AA153+AA154+AA155+AA156+AA157)</f>
        <v>0.3678333333333334</v>
      </c>
      <c r="AB150" s="279"/>
      <c r="AC150" s="664"/>
      <c r="AD150" s="664"/>
      <c r="AE150" s="664"/>
      <c r="AF150" s="664"/>
    </row>
    <row r="151" spans="1:32" ht="87.6" customHeight="1" thickBot="1" x14ac:dyDescent="0.35">
      <c r="A151" s="191"/>
      <c r="B151" s="1075" t="s">
        <v>1504</v>
      </c>
      <c r="C151" s="1087" t="s">
        <v>1505</v>
      </c>
      <c r="D151" s="318" t="s">
        <v>1506</v>
      </c>
      <c r="E151" s="319">
        <v>0.5</v>
      </c>
      <c r="F151" s="283">
        <v>10</v>
      </c>
      <c r="G151" s="213">
        <v>1</v>
      </c>
      <c r="H151" s="213">
        <v>4</v>
      </c>
      <c r="I151" s="218">
        <f t="shared" ref="I151:I157" si="183">+G151/F151</f>
        <v>0.1</v>
      </c>
      <c r="J151" s="218">
        <f t="shared" ref="J151:J158" si="184">+H151/F151</f>
        <v>0.4</v>
      </c>
      <c r="K151" s="218">
        <f t="shared" ref="K151:K157" si="185">+(G151/F151)*E151</f>
        <v>0.05</v>
      </c>
      <c r="L151" s="218">
        <f t="shared" ref="L151:L158" si="186">+(H151/F151)*E151</f>
        <v>0.2</v>
      </c>
      <c r="M151" s="670">
        <v>1</v>
      </c>
      <c r="N151" s="670">
        <v>0.03</v>
      </c>
      <c r="O151" s="670">
        <v>5</v>
      </c>
      <c r="P151" s="213"/>
      <c r="Q151" s="213"/>
      <c r="R151" s="213">
        <f t="shared" ref="R151:R158" si="187">+N151+O151+P151+Q151</f>
        <v>5.03</v>
      </c>
      <c r="S151" s="213">
        <f t="shared" ref="S151:S158" si="188">+R151+M151</f>
        <v>6.03</v>
      </c>
      <c r="T151" s="237">
        <f t="shared" ref="T151:T157" si="189">+(M151/G151)</f>
        <v>1</v>
      </c>
      <c r="U151" s="237">
        <v>1</v>
      </c>
      <c r="V151" s="237">
        <f t="shared" ref="V151:V157" si="190">+T151*E151</f>
        <v>0.5</v>
      </c>
      <c r="W151" s="237">
        <f t="shared" ref="W151:W158" si="191">+U151*E151</f>
        <v>0.5</v>
      </c>
      <c r="X151" s="237">
        <f t="shared" ref="X151:X157" si="192">+M151/F151</f>
        <v>0.1</v>
      </c>
      <c r="Y151" s="287">
        <f t="shared" ref="Y151:Y157" si="193">+S151/F151</f>
        <v>0.60299999999999998</v>
      </c>
      <c r="Z151" s="287">
        <f>+X151*E151</f>
        <v>0.05</v>
      </c>
      <c r="AA151" s="287">
        <f t="shared" ref="AA151:AA158" si="194">+Y151*E151</f>
        <v>0.30149999999999999</v>
      </c>
      <c r="AB151" s="308" t="s">
        <v>1321</v>
      </c>
      <c r="AC151" s="723" t="s">
        <v>44</v>
      </c>
      <c r="AD151" s="723" t="s">
        <v>1169</v>
      </c>
      <c r="AE151" s="724" t="s">
        <v>885</v>
      </c>
      <c r="AF151" s="664"/>
    </row>
    <row r="152" spans="1:32" ht="121.15" customHeight="1" thickBot="1" x14ac:dyDescent="0.35">
      <c r="A152" s="191"/>
      <c r="B152" s="1075" t="s">
        <v>1507</v>
      </c>
      <c r="C152" s="1087" t="s">
        <v>1508</v>
      </c>
      <c r="D152" s="281" t="s">
        <v>1506</v>
      </c>
      <c r="E152" s="285">
        <v>0.05</v>
      </c>
      <c r="F152" s="283">
        <v>20</v>
      </c>
      <c r="G152" s="213">
        <v>5</v>
      </c>
      <c r="H152" s="213">
        <v>5</v>
      </c>
      <c r="I152" s="218">
        <f t="shared" si="183"/>
        <v>0.25</v>
      </c>
      <c r="J152" s="218">
        <f t="shared" si="184"/>
        <v>0.25</v>
      </c>
      <c r="K152" s="218">
        <f t="shared" si="185"/>
        <v>1.2500000000000001E-2</v>
      </c>
      <c r="L152" s="218">
        <f t="shared" si="186"/>
        <v>1.2500000000000001E-2</v>
      </c>
      <c r="M152" s="670">
        <v>3.6</v>
      </c>
      <c r="N152" s="670">
        <v>0</v>
      </c>
      <c r="O152" s="670">
        <v>3</v>
      </c>
      <c r="P152" s="213"/>
      <c r="Q152" s="213"/>
      <c r="R152" s="213">
        <f t="shared" si="187"/>
        <v>3</v>
      </c>
      <c r="S152" s="213">
        <f t="shared" si="188"/>
        <v>6.6</v>
      </c>
      <c r="T152" s="237">
        <f t="shared" si="189"/>
        <v>0.72</v>
      </c>
      <c r="U152" s="237">
        <f t="shared" si="164"/>
        <v>0.6</v>
      </c>
      <c r="V152" s="237">
        <f t="shared" si="190"/>
        <v>3.5999999999999997E-2</v>
      </c>
      <c r="W152" s="237">
        <f t="shared" si="191"/>
        <v>0.03</v>
      </c>
      <c r="X152" s="237">
        <f t="shared" si="192"/>
        <v>0.18</v>
      </c>
      <c r="Y152" s="287">
        <f t="shared" si="193"/>
        <v>0.32999999999999996</v>
      </c>
      <c r="Z152" s="287">
        <f t="shared" ref="Z152:Z157" si="195">+X152*E152</f>
        <v>8.9999999999999993E-3</v>
      </c>
      <c r="AA152" s="287">
        <f t="shared" si="194"/>
        <v>1.6499999999999997E-2</v>
      </c>
      <c r="AB152" s="308" t="s">
        <v>1321</v>
      </c>
      <c r="AC152" s="723" t="s">
        <v>44</v>
      </c>
      <c r="AD152" s="723" t="s">
        <v>1169</v>
      </c>
      <c r="AE152" s="724" t="s">
        <v>885</v>
      </c>
      <c r="AF152" s="664"/>
    </row>
    <row r="153" spans="1:32" ht="108" customHeight="1" thickBot="1" x14ac:dyDescent="0.35">
      <c r="A153" s="191"/>
      <c r="B153" s="1075" t="s">
        <v>1509</v>
      </c>
      <c r="C153" s="1087" t="s">
        <v>1510</v>
      </c>
      <c r="D153" s="281" t="s">
        <v>1257</v>
      </c>
      <c r="E153" s="285">
        <v>0.1</v>
      </c>
      <c r="F153" s="283">
        <v>2</v>
      </c>
      <c r="G153" s="213">
        <v>0.5</v>
      </c>
      <c r="H153" s="213">
        <v>0</v>
      </c>
      <c r="I153" s="218">
        <f t="shared" ref="I153" si="196">+G153/F153</f>
        <v>0.25</v>
      </c>
      <c r="J153" s="218"/>
      <c r="K153" s="218">
        <f t="shared" ref="K153" si="197">+(G153/F153)*E153</f>
        <v>2.5000000000000001E-2</v>
      </c>
      <c r="L153" s="218"/>
      <c r="M153" s="670">
        <v>0.5</v>
      </c>
      <c r="N153" s="670">
        <v>0</v>
      </c>
      <c r="O153" s="670">
        <v>0</v>
      </c>
      <c r="P153" s="213"/>
      <c r="Q153" s="213"/>
      <c r="R153" s="213">
        <f t="shared" si="187"/>
        <v>0</v>
      </c>
      <c r="S153" s="213">
        <f t="shared" si="188"/>
        <v>0.5</v>
      </c>
      <c r="T153" s="237">
        <f t="shared" ref="T153" si="198">+(M153/G153)</f>
        <v>1</v>
      </c>
      <c r="U153" s="237"/>
      <c r="V153" s="237">
        <f t="shared" ref="V153" si="199">+T153*E153</f>
        <v>0.1</v>
      </c>
      <c r="W153" s="237"/>
      <c r="X153" s="237">
        <f t="shared" ref="X153" si="200">+M153/F153</f>
        <v>0.25</v>
      </c>
      <c r="Y153" s="287">
        <f t="shared" si="193"/>
        <v>0.25</v>
      </c>
      <c r="Z153" s="287">
        <f t="shared" ref="Z153" si="201">+X153*E153</f>
        <v>2.5000000000000001E-2</v>
      </c>
      <c r="AA153" s="287">
        <f t="shared" si="194"/>
        <v>2.5000000000000001E-2</v>
      </c>
      <c r="AB153" s="301"/>
      <c r="AC153" s="723" t="s">
        <v>44</v>
      </c>
      <c r="AD153" s="723" t="s">
        <v>1169</v>
      </c>
      <c r="AE153" s="724" t="s">
        <v>885</v>
      </c>
      <c r="AF153" s="664"/>
    </row>
    <row r="154" spans="1:32" ht="78" customHeight="1" thickBot="1" x14ac:dyDescent="0.35">
      <c r="A154" s="191"/>
      <c r="B154" s="1088" t="s">
        <v>1511</v>
      </c>
      <c r="C154" s="1089" t="s">
        <v>1512</v>
      </c>
      <c r="D154" s="281" t="s">
        <v>716</v>
      </c>
      <c r="E154" s="285">
        <v>0.05</v>
      </c>
      <c r="F154" s="283">
        <v>1</v>
      </c>
      <c r="G154" s="304">
        <v>0.12</v>
      </c>
      <c r="H154" s="304">
        <v>0.57999999999999996</v>
      </c>
      <c r="I154" s="218">
        <f t="shared" si="183"/>
        <v>0.12</v>
      </c>
      <c r="J154" s="218">
        <f t="shared" si="184"/>
        <v>0.57999999999999996</v>
      </c>
      <c r="K154" s="218">
        <f t="shared" si="185"/>
        <v>6.0000000000000001E-3</v>
      </c>
      <c r="L154" s="218">
        <f t="shared" si="186"/>
        <v>2.8999999999999998E-2</v>
      </c>
      <c r="M154" s="674">
        <v>0.12</v>
      </c>
      <c r="N154" s="674">
        <v>7.0000000000000007E-2</v>
      </c>
      <c r="O154" s="315">
        <v>0.15</v>
      </c>
      <c r="P154" s="315"/>
      <c r="Q154" s="315"/>
      <c r="R154" s="315">
        <f t="shared" si="187"/>
        <v>0.22</v>
      </c>
      <c r="S154" s="315">
        <f t="shared" si="188"/>
        <v>0.33999999999999997</v>
      </c>
      <c r="T154" s="237">
        <f t="shared" si="189"/>
        <v>1</v>
      </c>
      <c r="U154" s="237">
        <f t="shared" si="164"/>
        <v>0.37931034482758624</v>
      </c>
      <c r="V154" s="237">
        <f t="shared" si="190"/>
        <v>0.05</v>
      </c>
      <c r="W154" s="237">
        <f t="shared" si="191"/>
        <v>1.8965517241379314E-2</v>
      </c>
      <c r="X154" s="237">
        <f t="shared" si="192"/>
        <v>0.12</v>
      </c>
      <c r="Y154" s="287">
        <f t="shared" si="193"/>
        <v>0.33999999999999997</v>
      </c>
      <c r="Z154" s="287">
        <f t="shared" si="195"/>
        <v>6.0000000000000001E-3</v>
      </c>
      <c r="AA154" s="287">
        <f t="shared" si="194"/>
        <v>1.6999999999999998E-2</v>
      </c>
      <c r="AB154" s="308" t="s">
        <v>1321</v>
      </c>
      <c r="AC154" s="723" t="s">
        <v>44</v>
      </c>
      <c r="AD154" s="723" t="s">
        <v>1169</v>
      </c>
      <c r="AE154" s="724" t="s">
        <v>885</v>
      </c>
      <c r="AF154" s="664"/>
    </row>
    <row r="155" spans="1:32" ht="67.150000000000006" customHeight="1" thickBot="1" x14ac:dyDescent="0.35">
      <c r="A155" s="191"/>
      <c r="B155" s="1075" t="s">
        <v>1513</v>
      </c>
      <c r="C155" s="1087" t="s">
        <v>1514</v>
      </c>
      <c r="D155" s="281" t="s">
        <v>716</v>
      </c>
      <c r="E155" s="285">
        <v>0.1</v>
      </c>
      <c r="F155" s="283">
        <v>1</v>
      </c>
      <c r="G155" s="213">
        <v>0</v>
      </c>
      <c r="H155" s="213">
        <v>0</v>
      </c>
      <c r="I155" s="218"/>
      <c r="J155" s="218">
        <f t="shared" si="184"/>
        <v>0</v>
      </c>
      <c r="K155" s="218"/>
      <c r="L155" s="218">
        <f t="shared" si="186"/>
        <v>0</v>
      </c>
      <c r="M155" s="670"/>
      <c r="N155" s="670"/>
      <c r="O155" s="213"/>
      <c r="P155" s="213"/>
      <c r="Q155" s="213"/>
      <c r="R155" s="213">
        <f t="shared" si="187"/>
        <v>0</v>
      </c>
      <c r="S155" s="213">
        <f t="shared" si="188"/>
        <v>0</v>
      </c>
      <c r="T155" s="237"/>
      <c r="U155" s="237"/>
      <c r="V155" s="237"/>
      <c r="W155" s="237">
        <f t="shared" si="191"/>
        <v>0</v>
      </c>
      <c r="X155" s="237"/>
      <c r="Y155" s="287"/>
      <c r="Z155" s="287">
        <v>0</v>
      </c>
      <c r="AA155" s="287">
        <f t="shared" si="194"/>
        <v>0</v>
      </c>
      <c r="AB155" s="308" t="s">
        <v>1321</v>
      </c>
      <c r="AC155" s="723" t="s">
        <v>44</v>
      </c>
      <c r="AD155" s="723" t="s">
        <v>1169</v>
      </c>
      <c r="AE155" s="724" t="s">
        <v>885</v>
      </c>
      <c r="AF155" s="664"/>
    </row>
    <row r="156" spans="1:32" ht="80.45" customHeight="1" thickBot="1" x14ac:dyDescent="0.35">
      <c r="A156" s="191"/>
      <c r="B156" s="1075" t="s">
        <v>1515</v>
      </c>
      <c r="C156" s="1087" t="s">
        <v>1516</v>
      </c>
      <c r="D156" s="281" t="s">
        <v>716</v>
      </c>
      <c r="E156" s="285">
        <v>0.1</v>
      </c>
      <c r="F156" s="283">
        <v>3</v>
      </c>
      <c r="G156" s="304">
        <v>0.1</v>
      </c>
      <c r="H156" s="304">
        <v>0.2</v>
      </c>
      <c r="I156" s="218">
        <f t="shared" si="183"/>
        <v>3.3333333333333333E-2</v>
      </c>
      <c r="J156" s="218">
        <f t="shared" si="184"/>
        <v>6.6666666666666666E-2</v>
      </c>
      <c r="K156" s="218">
        <f t="shared" si="185"/>
        <v>3.3333333333333335E-3</v>
      </c>
      <c r="L156" s="218">
        <f t="shared" si="186"/>
        <v>6.6666666666666671E-3</v>
      </c>
      <c r="M156" s="1201">
        <v>0.06</v>
      </c>
      <c r="N156" s="674">
        <v>0.05</v>
      </c>
      <c r="O156" s="315">
        <v>0.01</v>
      </c>
      <c r="P156" s="315"/>
      <c r="Q156" s="315"/>
      <c r="R156" s="315">
        <f t="shared" si="187"/>
        <v>6.0000000000000005E-2</v>
      </c>
      <c r="S156" s="1200">
        <f>+R156+M156+0.04</f>
        <v>0.16</v>
      </c>
      <c r="T156" s="218">
        <f t="shared" si="189"/>
        <v>0.6</v>
      </c>
      <c r="U156" s="237">
        <f>+R156/H156</f>
        <v>0.3</v>
      </c>
      <c r="V156" s="218">
        <f t="shared" si="190"/>
        <v>0.06</v>
      </c>
      <c r="W156" s="218">
        <f t="shared" si="191"/>
        <v>0.03</v>
      </c>
      <c r="X156" s="237">
        <f t="shared" si="192"/>
        <v>0.02</v>
      </c>
      <c r="Y156" s="287">
        <f t="shared" si="193"/>
        <v>5.3333333333333337E-2</v>
      </c>
      <c r="Z156" s="287">
        <f>+X156*E156</f>
        <v>2E-3</v>
      </c>
      <c r="AA156" s="287">
        <f t="shared" si="194"/>
        <v>5.333333333333334E-3</v>
      </c>
      <c r="AB156" s="308" t="s">
        <v>1321</v>
      </c>
      <c r="AC156" s="723" t="s">
        <v>44</v>
      </c>
      <c r="AD156" s="723" t="s">
        <v>1169</v>
      </c>
      <c r="AE156" s="724" t="s">
        <v>885</v>
      </c>
      <c r="AF156" s="664"/>
    </row>
    <row r="157" spans="1:32" ht="68.45" customHeight="1" thickBot="1" x14ac:dyDescent="0.35">
      <c r="A157" s="191"/>
      <c r="B157" s="1075" t="s">
        <v>1517</v>
      </c>
      <c r="C157" s="1087" t="s">
        <v>1518</v>
      </c>
      <c r="D157" s="281" t="s">
        <v>716</v>
      </c>
      <c r="E157" s="285">
        <v>0.05</v>
      </c>
      <c r="F157" s="283">
        <v>1</v>
      </c>
      <c r="G157" s="304">
        <v>0.1</v>
      </c>
      <c r="H157" s="304">
        <v>0</v>
      </c>
      <c r="I157" s="218">
        <f t="shared" si="183"/>
        <v>0.1</v>
      </c>
      <c r="J157" s="218">
        <f t="shared" si="184"/>
        <v>0</v>
      </c>
      <c r="K157" s="218">
        <f t="shared" si="185"/>
        <v>5.000000000000001E-3</v>
      </c>
      <c r="L157" s="218">
        <f t="shared" si="186"/>
        <v>0</v>
      </c>
      <c r="M157" s="674">
        <v>0.05</v>
      </c>
      <c r="N157" s="674"/>
      <c r="O157" s="315"/>
      <c r="P157" s="315"/>
      <c r="Q157" s="315"/>
      <c r="R157" s="315">
        <f t="shared" si="187"/>
        <v>0</v>
      </c>
      <c r="S157" s="315">
        <f t="shared" si="188"/>
        <v>0.05</v>
      </c>
      <c r="T157" s="218">
        <f t="shared" si="189"/>
        <v>0.5</v>
      </c>
      <c r="U157" s="237"/>
      <c r="V157" s="218">
        <f t="shared" si="190"/>
        <v>2.5000000000000001E-2</v>
      </c>
      <c r="W157" s="218">
        <f t="shared" si="191"/>
        <v>0</v>
      </c>
      <c r="X157" s="237">
        <f t="shared" si="192"/>
        <v>0.05</v>
      </c>
      <c r="Y157" s="287">
        <f t="shared" si="193"/>
        <v>0.05</v>
      </c>
      <c r="Z157" s="287">
        <f t="shared" si="195"/>
        <v>2.5000000000000005E-3</v>
      </c>
      <c r="AA157" s="287">
        <f t="shared" si="194"/>
        <v>2.5000000000000005E-3</v>
      </c>
      <c r="AB157" s="308" t="s">
        <v>1519</v>
      </c>
      <c r="AC157" s="723" t="s">
        <v>44</v>
      </c>
      <c r="AD157" s="723" t="s">
        <v>1169</v>
      </c>
      <c r="AE157" s="724" t="s">
        <v>885</v>
      </c>
      <c r="AF157" s="664"/>
    </row>
    <row r="158" spans="1:32" ht="93.6" customHeight="1" thickBot="1" x14ac:dyDescent="0.35">
      <c r="A158" s="191"/>
      <c r="B158" s="1075" t="s">
        <v>1520</v>
      </c>
      <c r="C158" s="1087" t="s">
        <v>1521</v>
      </c>
      <c r="D158" s="281" t="s">
        <v>716</v>
      </c>
      <c r="E158" s="285">
        <v>0.05</v>
      </c>
      <c r="F158" s="283">
        <v>5</v>
      </c>
      <c r="G158" s="213">
        <v>0</v>
      </c>
      <c r="H158" s="213">
        <v>0</v>
      </c>
      <c r="I158" s="218"/>
      <c r="J158" s="218">
        <f t="shared" si="184"/>
        <v>0</v>
      </c>
      <c r="K158" s="218"/>
      <c r="L158" s="218">
        <f t="shared" si="186"/>
        <v>0</v>
      </c>
      <c r="M158" s="670"/>
      <c r="N158" s="670"/>
      <c r="O158" s="213"/>
      <c r="P158" s="213"/>
      <c r="Q158" s="213"/>
      <c r="R158" s="213">
        <f t="shared" si="187"/>
        <v>0</v>
      </c>
      <c r="S158" s="213">
        <f t="shared" si="188"/>
        <v>0</v>
      </c>
      <c r="T158" s="218"/>
      <c r="U158" s="237"/>
      <c r="V158" s="218"/>
      <c r="W158" s="218">
        <f t="shared" si="191"/>
        <v>0</v>
      </c>
      <c r="X158" s="237"/>
      <c r="Y158" s="287"/>
      <c r="Z158" s="287">
        <v>0</v>
      </c>
      <c r="AA158" s="287">
        <f t="shared" si="194"/>
        <v>0</v>
      </c>
      <c r="AB158" s="308" t="s">
        <v>1321</v>
      </c>
      <c r="AC158" s="723" t="s">
        <v>44</v>
      </c>
      <c r="AD158" s="723" t="s">
        <v>1169</v>
      </c>
      <c r="AE158" s="724" t="s">
        <v>885</v>
      </c>
      <c r="AF158" s="664"/>
    </row>
    <row r="159" spans="1:32" ht="42.75" customHeight="1" thickBot="1" x14ac:dyDescent="0.35">
      <c r="A159" s="191"/>
      <c r="B159" s="1317" t="s">
        <v>1522</v>
      </c>
      <c r="C159" s="1327"/>
      <c r="D159" s="288"/>
      <c r="E159" s="289">
        <v>0.1</v>
      </c>
      <c r="F159" s="283"/>
      <c r="G159" s="206"/>
      <c r="H159" s="206"/>
      <c r="I159" s="212"/>
      <c r="J159" s="212">
        <f>+AVERAGE(J160:J166)</f>
        <v>0</v>
      </c>
      <c r="K159" s="212"/>
      <c r="L159" s="212">
        <f>+L160+L161+L162+L163+L164+L165+L166</f>
        <v>0</v>
      </c>
      <c r="M159" s="211"/>
      <c r="N159" s="211"/>
      <c r="O159" s="211"/>
      <c r="P159" s="211"/>
      <c r="Q159" s="211"/>
      <c r="R159" s="211"/>
      <c r="S159" s="211"/>
      <c r="T159" s="235"/>
      <c r="U159" s="235"/>
      <c r="V159" s="235"/>
      <c r="W159" s="235">
        <f>+(W160+W161+W162+W163+W164+W165+W166)*E159</f>
        <v>0</v>
      </c>
      <c r="X159" s="212"/>
      <c r="Y159" s="278"/>
      <c r="Z159" s="278"/>
      <c r="AA159" s="278">
        <f>+(AA160+AA161+AA162+AA163+AA164+AA165+AA166)</f>
        <v>0</v>
      </c>
      <c r="AB159" s="279"/>
      <c r="AC159" s="664"/>
      <c r="AD159" s="664"/>
      <c r="AE159" s="664"/>
      <c r="AF159" s="664"/>
    </row>
    <row r="160" spans="1:32" ht="87" customHeight="1" thickBot="1" x14ac:dyDescent="0.35">
      <c r="A160" s="191"/>
      <c r="B160" s="1075" t="s">
        <v>1523</v>
      </c>
      <c r="C160" s="1087" t="s">
        <v>1524</v>
      </c>
      <c r="D160" s="281" t="s">
        <v>716</v>
      </c>
      <c r="E160" s="285">
        <v>0.06</v>
      </c>
      <c r="F160" s="283">
        <v>1</v>
      </c>
      <c r="G160" s="213">
        <v>0</v>
      </c>
      <c r="H160" s="213">
        <v>0</v>
      </c>
      <c r="I160" s="218"/>
      <c r="J160" s="218">
        <f t="shared" ref="J160:J166" si="202">+H160/F160</f>
        <v>0</v>
      </c>
      <c r="K160" s="218"/>
      <c r="L160" s="218">
        <f t="shared" ref="L160:L166" si="203">+(H160/F160)*E160</f>
        <v>0</v>
      </c>
      <c r="M160" s="213"/>
      <c r="N160" s="670"/>
      <c r="O160" s="670"/>
      <c r="P160" s="213"/>
      <c r="Q160" s="213"/>
      <c r="R160" s="213">
        <f t="shared" ref="R160:R166" si="204">+N160+O160+P160+Q160</f>
        <v>0</v>
      </c>
      <c r="S160" s="213">
        <f t="shared" ref="S160:S166" si="205">+R160+M160</f>
        <v>0</v>
      </c>
      <c r="T160" s="218"/>
      <c r="U160" s="237"/>
      <c r="V160" s="218"/>
      <c r="W160" s="218">
        <f t="shared" ref="W160:W166" si="206">+U160*E160</f>
        <v>0</v>
      </c>
      <c r="X160" s="237"/>
      <c r="Y160" s="287"/>
      <c r="Z160" s="287"/>
      <c r="AA160" s="287">
        <f>+Y160*E160</f>
        <v>0</v>
      </c>
      <c r="AB160" s="308" t="s">
        <v>1321</v>
      </c>
      <c r="AC160" s="723" t="s">
        <v>44</v>
      </c>
      <c r="AD160" s="723" t="s">
        <v>1169</v>
      </c>
      <c r="AE160" s="724" t="s">
        <v>885</v>
      </c>
      <c r="AF160" s="664"/>
    </row>
    <row r="161" spans="1:32" ht="66" customHeight="1" thickBot="1" x14ac:dyDescent="0.35">
      <c r="A161" s="191"/>
      <c r="B161" s="1075" t="s">
        <v>1525</v>
      </c>
      <c r="C161" s="1087" t="s">
        <v>1526</v>
      </c>
      <c r="D161" s="281" t="s">
        <v>716</v>
      </c>
      <c r="E161" s="285">
        <v>0.06</v>
      </c>
      <c r="F161" s="283">
        <v>1</v>
      </c>
      <c r="G161" s="213">
        <v>0</v>
      </c>
      <c r="H161" s="213">
        <v>0</v>
      </c>
      <c r="I161" s="218"/>
      <c r="J161" s="218">
        <f t="shared" si="202"/>
        <v>0</v>
      </c>
      <c r="K161" s="218"/>
      <c r="L161" s="218">
        <f t="shared" si="203"/>
        <v>0</v>
      </c>
      <c r="M161" s="213"/>
      <c r="N161" s="670"/>
      <c r="O161" s="670"/>
      <c r="P161" s="213"/>
      <c r="Q161" s="213"/>
      <c r="R161" s="213">
        <f t="shared" si="204"/>
        <v>0</v>
      </c>
      <c r="S161" s="213">
        <f t="shared" si="205"/>
        <v>0</v>
      </c>
      <c r="T161" s="218"/>
      <c r="U161" s="237"/>
      <c r="V161" s="218"/>
      <c r="W161" s="218">
        <f t="shared" si="206"/>
        <v>0</v>
      </c>
      <c r="X161" s="237"/>
      <c r="Y161" s="287"/>
      <c r="Z161" s="287"/>
      <c r="AA161" s="287">
        <f t="shared" ref="AA161:AA166" si="207">+Y161*E161</f>
        <v>0</v>
      </c>
      <c r="AB161" s="308" t="s">
        <v>1321</v>
      </c>
      <c r="AC161" s="723" t="s">
        <v>44</v>
      </c>
      <c r="AD161" s="723" t="s">
        <v>1169</v>
      </c>
      <c r="AE161" s="724" t="s">
        <v>885</v>
      </c>
      <c r="AF161" s="664"/>
    </row>
    <row r="162" spans="1:32" ht="91.15" customHeight="1" thickBot="1" x14ac:dyDescent="0.35">
      <c r="A162" s="191"/>
      <c r="B162" s="1075" t="s">
        <v>1527</v>
      </c>
      <c r="C162" s="1087" t="s">
        <v>1528</v>
      </c>
      <c r="D162" s="281" t="s">
        <v>716</v>
      </c>
      <c r="E162" s="285">
        <v>0.06</v>
      </c>
      <c r="F162" s="283">
        <v>1</v>
      </c>
      <c r="G162" s="213">
        <v>0</v>
      </c>
      <c r="H162" s="213">
        <v>0</v>
      </c>
      <c r="I162" s="218"/>
      <c r="J162" s="218">
        <f t="shared" si="202"/>
        <v>0</v>
      </c>
      <c r="K162" s="218"/>
      <c r="L162" s="218">
        <f t="shared" si="203"/>
        <v>0</v>
      </c>
      <c r="M162" s="213"/>
      <c r="N162" s="670"/>
      <c r="O162" s="670"/>
      <c r="P162" s="213"/>
      <c r="Q162" s="213"/>
      <c r="R162" s="213">
        <f t="shared" si="204"/>
        <v>0</v>
      </c>
      <c r="S162" s="213">
        <f t="shared" si="205"/>
        <v>0</v>
      </c>
      <c r="T162" s="218"/>
      <c r="U162" s="237"/>
      <c r="V162" s="218"/>
      <c r="W162" s="218">
        <f t="shared" si="206"/>
        <v>0</v>
      </c>
      <c r="X162" s="237"/>
      <c r="Y162" s="287"/>
      <c r="Z162" s="287"/>
      <c r="AA162" s="287">
        <f t="shared" si="207"/>
        <v>0</v>
      </c>
      <c r="AB162" s="308" t="s">
        <v>1321</v>
      </c>
      <c r="AC162" s="723" t="s">
        <v>44</v>
      </c>
      <c r="AD162" s="723" t="s">
        <v>1169</v>
      </c>
      <c r="AE162" s="724" t="s">
        <v>885</v>
      </c>
      <c r="AF162" s="664"/>
    </row>
    <row r="163" spans="1:32" ht="109.15" customHeight="1" thickBot="1" x14ac:dyDescent="0.35">
      <c r="A163" s="191"/>
      <c r="B163" s="1075" t="s">
        <v>1529</v>
      </c>
      <c r="C163" s="1087" t="s">
        <v>1530</v>
      </c>
      <c r="D163" s="281" t="s">
        <v>716</v>
      </c>
      <c r="E163" s="285">
        <v>0.3</v>
      </c>
      <c r="F163" s="283">
        <v>7</v>
      </c>
      <c r="G163" s="213">
        <v>0</v>
      </c>
      <c r="H163" s="213">
        <v>0</v>
      </c>
      <c r="I163" s="218"/>
      <c r="J163" s="218">
        <f t="shared" si="202"/>
        <v>0</v>
      </c>
      <c r="K163" s="218"/>
      <c r="L163" s="218">
        <f t="shared" si="203"/>
        <v>0</v>
      </c>
      <c r="M163" s="213"/>
      <c r="N163" s="670"/>
      <c r="O163" s="670"/>
      <c r="P163" s="213"/>
      <c r="Q163" s="213"/>
      <c r="R163" s="213">
        <f t="shared" si="204"/>
        <v>0</v>
      </c>
      <c r="S163" s="213">
        <f t="shared" si="205"/>
        <v>0</v>
      </c>
      <c r="T163" s="218"/>
      <c r="U163" s="237"/>
      <c r="V163" s="218"/>
      <c r="W163" s="218">
        <f t="shared" si="206"/>
        <v>0</v>
      </c>
      <c r="X163" s="237"/>
      <c r="Y163" s="287"/>
      <c r="Z163" s="287"/>
      <c r="AA163" s="287">
        <f t="shared" si="207"/>
        <v>0</v>
      </c>
      <c r="AB163" s="308" t="s">
        <v>1321</v>
      </c>
      <c r="AC163" s="723" t="s">
        <v>44</v>
      </c>
      <c r="AD163" s="723" t="s">
        <v>1169</v>
      </c>
      <c r="AE163" s="724" t="s">
        <v>885</v>
      </c>
      <c r="AF163" s="664"/>
    </row>
    <row r="164" spans="1:32" ht="72.599999999999994" customHeight="1" thickBot="1" x14ac:dyDescent="0.35">
      <c r="A164" s="191"/>
      <c r="B164" s="1088" t="s">
        <v>1531</v>
      </c>
      <c r="C164" s="1089" t="s">
        <v>1532</v>
      </c>
      <c r="D164" s="281" t="s">
        <v>1191</v>
      </c>
      <c r="E164" s="285">
        <v>0.02</v>
      </c>
      <c r="F164" s="283">
        <v>1</v>
      </c>
      <c r="G164" s="213">
        <v>0</v>
      </c>
      <c r="H164" s="213">
        <v>0</v>
      </c>
      <c r="I164" s="218"/>
      <c r="J164" s="218">
        <f t="shared" si="202"/>
        <v>0</v>
      </c>
      <c r="K164" s="218"/>
      <c r="L164" s="218">
        <f t="shared" si="203"/>
        <v>0</v>
      </c>
      <c r="M164" s="213"/>
      <c r="N164" s="670"/>
      <c r="O164" s="670"/>
      <c r="P164" s="213"/>
      <c r="Q164" s="213"/>
      <c r="R164" s="213">
        <f t="shared" si="204"/>
        <v>0</v>
      </c>
      <c r="S164" s="213">
        <f t="shared" si="205"/>
        <v>0</v>
      </c>
      <c r="T164" s="218"/>
      <c r="U164" s="237"/>
      <c r="V164" s="218"/>
      <c r="W164" s="218">
        <f t="shared" si="206"/>
        <v>0</v>
      </c>
      <c r="X164" s="237"/>
      <c r="Y164" s="287"/>
      <c r="Z164" s="287"/>
      <c r="AA164" s="287">
        <f t="shared" si="207"/>
        <v>0</v>
      </c>
      <c r="AB164" s="308" t="s">
        <v>1321</v>
      </c>
      <c r="AC164" s="723" t="s">
        <v>44</v>
      </c>
      <c r="AD164" s="723" t="s">
        <v>1169</v>
      </c>
      <c r="AE164" s="724" t="s">
        <v>885</v>
      </c>
      <c r="AF164" s="664"/>
    </row>
    <row r="165" spans="1:32" ht="100.9" customHeight="1" thickBot="1" x14ac:dyDescent="0.35">
      <c r="A165" s="191"/>
      <c r="B165" s="223" t="s">
        <v>1533</v>
      </c>
      <c r="C165" s="293" t="s">
        <v>1534</v>
      </c>
      <c r="D165" s="281" t="s">
        <v>1224</v>
      </c>
      <c r="E165" s="285">
        <v>0.4</v>
      </c>
      <c r="F165" s="283">
        <v>2</v>
      </c>
      <c r="G165" s="213">
        <v>0</v>
      </c>
      <c r="H165" s="213">
        <v>0</v>
      </c>
      <c r="I165" s="218"/>
      <c r="J165" s="218">
        <f t="shared" si="202"/>
        <v>0</v>
      </c>
      <c r="K165" s="218"/>
      <c r="L165" s="218">
        <f t="shared" si="203"/>
        <v>0</v>
      </c>
      <c r="M165" s="213"/>
      <c r="N165" s="670"/>
      <c r="O165" s="213"/>
      <c r="P165" s="213"/>
      <c r="Q165" s="213"/>
      <c r="R165" s="213">
        <f t="shared" si="204"/>
        <v>0</v>
      </c>
      <c r="S165" s="213">
        <f t="shared" si="205"/>
        <v>0</v>
      </c>
      <c r="T165" s="218"/>
      <c r="U165" s="218"/>
      <c r="V165" s="218"/>
      <c r="W165" s="218">
        <f t="shared" si="206"/>
        <v>0</v>
      </c>
      <c r="X165" s="218"/>
      <c r="Y165" s="284"/>
      <c r="Z165" s="284"/>
      <c r="AA165" s="284">
        <f t="shared" si="207"/>
        <v>0</v>
      </c>
      <c r="AB165" s="308" t="s">
        <v>1321</v>
      </c>
      <c r="AC165" s="727" t="s">
        <v>1535</v>
      </c>
      <c r="AD165" s="664"/>
      <c r="AE165" s="752" t="s">
        <v>1477</v>
      </c>
      <c r="AF165" s="664"/>
    </row>
    <row r="166" spans="1:32" ht="127.15" customHeight="1" thickBot="1" x14ac:dyDescent="0.35">
      <c r="A166" s="191"/>
      <c r="B166" s="223" t="s">
        <v>1536</v>
      </c>
      <c r="C166" s="293" t="s">
        <v>1537</v>
      </c>
      <c r="D166" s="281" t="s">
        <v>1538</v>
      </c>
      <c r="E166" s="285">
        <v>0.1</v>
      </c>
      <c r="F166" s="283">
        <v>4</v>
      </c>
      <c r="G166" s="213">
        <v>0</v>
      </c>
      <c r="H166" s="213">
        <v>0</v>
      </c>
      <c r="I166" s="218"/>
      <c r="J166" s="218">
        <f t="shared" si="202"/>
        <v>0</v>
      </c>
      <c r="K166" s="218"/>
      <c r="L166" s="218">
        <f t="shared" si="203"/>
        <v>0</v>
      </c>
      <c r="M166" s="213"/>
      <c r="N166" s="670"/>
      <c r="O166" s="213"/>
      <c r="P166" s="213"/>
      <c r="Q166" s="213"/>
      <c r="R166" s="213">
        <f t="shared" si="204"/>
        <v>0</v>
      </c>
      <c r="S166" s="213">
        <f t="shared" si="205"/>
        <v>0</v>
      </c>
      <c r="T166" s="218"/>
      <c r="U166" s="218"/>
      <c r="V166" s="218"/>
      <c r="W166" s="218">
        <f t="shared" si="206"/>
        <v>0</v>
      </c>
      <c r="X166" s="218"/>
      <c r="Y166" s="284"/>
      <c r="Z166" s="284"/>
      <c r="AA166" s="284">
        <f t="shared" si="207"/>
        <v>0</v>
      </c>
      <c r="AB166" s="308" t="s">
        <v>1321</v>
      </c>
      <c r="AC166" s="727" t="s">
        <v>1535</v>
      </c>
      <c r="AD166" s="664"/>
      <c r="AE166" s="752" t="s">
        <v>1477</v>
      </c>
      <c r="AF166" s="664"/>
    </row>
    <row r="167" spans="1:32" ht="78" customHeight="1" thickBot="1" x14ac:dyDescent="0.35">
      <c r="A167" s="191"/>
      <c r="B167" s="1321" t="s">
        <v>1539</v>
      </c>
      <c r="C167" s="1327"/>
      <c r="D167" s="288"/>
      <c r="E167" s="291">
        <v>0.05</v>
      </c>
      <c r="F167" s="201">
        <f>+E167*V167</f>
        <v>0</v>
      </c>
      <c r="G167" s="206"/>
      <c r="H167" s="202">
        <f>+E167*W167</f>
        <v>1.0000000000000003E-4</v>
      </c>
      <c r="I167" s="204"/>
      <c r="J167" s="204">
        <f>+(J168)/1</f>
        <v>0.16666666666666666</v>
      </c>
      <c r="K167" s="205"/>
      <c r="L167" s="205">
        <f>+(L168)/1</f>
        <v>0</v>
      </c>
      <c r="M167" s="206"/>
      <c r="N167" s="206"/>
      <c r="O167" s="206"/>
      <c r="P167" s="206"/>
      <c r="Q167" s="206"/>
      <c r="R167" s="206"/>
      <c r="S167" s="206"/>
      <c r="T167" s="204"/>
      <c r="U167" s="204"/>
      <c r="V167" s="205"/>
      <c r="W167" s="205">
        <f>+(W168)*E167</f>
        <v>2.0000000000000005E-3</v>
      </c>
      <c r="X167" s="204"/>
      <c r="Y167" s="660">
        <f>+Y168</f>
        <v>3.3000000000000002E-2</v>
      </c>
      <c r="Z167" s="275"/>
      <c r="AA167" s="275">
        <f>+AA168*E167</f>
        <v>1.0000000000000002E-3</v>
      </c>
      <c r="AB167" s="276"/>
      <c r="AC167" s="664"/>
      <c r="AD167" s="664"/>
      <c r="AE167" s="664"/>
      <c r="AF167" s="664"/>
    </row>
    <row r="168" spans="1:32" ht="58.9" customHeight="1" thickBot="1" x14ac:dyDescent="0.35">
      <c r="A168" s="191"/>
      <c r="B168" s="1317" t="s">
        <v>1540</v>
      </c>
      <c r="C168" s="1327"/>
      <c r="D168" s="288"/>
      <c r="E168" s="289">
        <v>1</v>
      </c>
      <c r="F168" s="283"/>
      <c r="G168" s="206"/>
      <c r="H168" s="206"/>
      <c r="I168" s="212"/>
      <c r="J168" s="212">
        <f>+AVERAGE(J169:J171)</f>
        <v>0.16666666666666666</v>
      </c>
      <c r="K168" s="212"/>
      <c r="L168" s="212">
        <f>+L169+L170+L171</f>
        <v>0</v>
      </c>
      <c r="M168" s="211"/>
      <c r="N168" s="211"/>
      <c r="O168" s="211"/>
      <c r="P168" s="211"/>
      <c r="Q168" s="211"/>
      <c r="R168" s="211"/>
      <c r="S168" s="211"/>
      <c r="T168" s="214"/>
      <c r="U168" s="235">
        <f>+AVERAGE(U169:U171)</f>
        <v>0.2</v>
      </c>
      <c r="V168" s="235"/>
      <c r="W168" s="235">
        <f>+(W169+W170+W171)*E168</f>
        <v>4.0000000000000008E-2</v>
      </c>
      <c r="X168" s="212"/>
      <c r="Y168" s="278">
        <f>+Y169*0.33</f>
        <v>3.3000000000000002E-2</v>
      </c>
      <c r="Z168" s="278"/>
      <c r="AA168" s="278">
        <f>+(AA169+AA170+AA171)</f>
        <v>2.0000000000000004E-2</v>
      </c>
      <c r="AB168" s="279"/>
      <c r="AC168" s="664"/>
      <c r="AD168" s="664"/>
      <c r="AE168" s="664"/>
      <c r="AF168" s="664"/>
    </row>
    <row r="169" spans="1:32" ht="54" customHeight="1" thickBot="1" x14ac:dyDescent="0.35">
      <c r="A169" s="191"/>
      <c r="B169" s="1075" t="s">
        <v>1541</v>
      </c>
      <c r="C169" s="1087" t="s">
        <v>1542</v>
      </c>
      <c r="D169" s="281" t="s">
        <v>716</v>
      </c>
      <c r="E169" s="285">
        <v>0.2</v>
      </c>
      <c r="F169" s="283">
        <v>1</v>
      </c>
      <c r="G169" s="213">
        <v>0</v>
      </c>
      <c r="H169" s="213">
        <v>0.5</v>
      </c>
      <c r="I169" s="218"/>
      <c r="J169" s="218">
        <f t="shared" ref="J169:J170" si="208">+H169/F169</f>
        <v>0.5</v>
      </c>
      <c r="K169" s="218"/>
      <c r="L169" s="218"/>
      <c r="M169" s="218"/>
      <c r="N169" s="676"/>
      <c r="O169" s="670">
        <v>0.1</v>
      </c>
      <c r="P169" s="218"/>
      <c r="Q169" s="218"/>
      <c r="R169" s="218">
        <f t="shared" ref="R169:R171" si="209">+N169+O169+P169+Q169</f>
        <v>0.1</v>
      </c>
      <c r="S169" s="218">
        <f t="shared" ref="S169:S171" si="210">+R169+M169</f>
        <v>0.1</v>
      </c>
      <c r="T169" s="218"/>
      <c r="U169" s="237">
        <f t="shared" ref="U169" si="211">+R169/H169</f>
        <v>0.2</v>
      </c>
      <c r="V169" s="218"/>
      <c r="W169" s="218">
        <f t="shared" ref="W169:W170" si="212">+U169*E169</f>
        <v>4.0000000000000008E-2</v>
      </c>
      <c r="X169" s="237"/>
      <c r="Y169" s="237">
        <f>+S169/F169</f>
        <v>0.1</v>
      </c>
      <c r="Z169" s="287"/>
      <c r="AA169" s="287">
        <f t="shared" ref="AA169:AA170" si="213">+Y169*E169</f>
        <v>2.0000000000000004E-2</v>
      </c>
      <c r="AB169" s="308" t="s">
        <v>1321</v>
      </c>
      <c r="AC169" s="723" t="s">
        <v>44</v>
      </c>
      <c r="AD169" s="664"/>
      <c r="AE169" s="724" t="s">
        <v>885</v>
      </c>
      <c r="AF169" s="664"/>
    </row>
    <row r="170" spans="1:32" ht="49.9" customHeight="1" thickBot="1" x14ac:dyDescent="0.35">
      <c r="A170" s="191"/>
      <c r="B170" s="1075" t="s">
        <v>1543</v>
      </c>
      <c r="C170" s="1087" t="s">
        <v>1544</v>
      </c>
      <c r="D170" s="281" t="s">
        <v>1545</v>
      </c>
      <c r="E170" s="285">
        <v>0.2</v>
      </c>
      <c r="F170" s="283">
        <v>1</v>
      </c>
      <c r="G170" s="213">
        <v>0</v>
      </c>
      <c r="H170" s="213">
        <v>0</v>
      </c>
      <c r="I170" s="218"/>
      <c r="J170" s="218">
        <f t="shared" si="208"/>
        <v>0</v>
      </c>
      <c r="K170" s="218"/>
      <c r="L170" s="218"/>
      <c r="M170" s="218"/>
      <c r="N170" s="676"/>
      <c r="O170" s="676"/>
      <c r="P170" s="218"/>
      <c r="Q170" s="218"/>
      <c r="R170" s="218">
        <f t="shared" si="209"/>
        <v>0</v>
      </c>
      <c r="S170" s="218">
        <f t="shared" si="210"/>
        <v>0</v>
      </c>
      <c r="T170" s="218"/>
      <c r="U170" s="237"/>
      <c r="V170" s="218"/>
      <c r="W170" s="218">
        <f t="shared" si="212"/>
        <v>0</v>
      </c>
      <c r="X170" s="237"/>
      <c r="Y170" s="287"/>
      <c r="Z170" s="287"/>
      <c r="AA170" s="287">
        <f t="shared" si="213"/>
        <v>0</v>
      </c>
      <c r="AB170" s="308" t="s">
        <v>1321</v>
      </c>
      <c r="AC170" s="723" t="s">
        <v>44</v>
      </c>
      <c r="AD170" s="664"/>
      <c r="AE170" s="724" t="s">
        <v>885</v>
      </c>
      <c r="AF170" s="664"/>
    </row>
    <row r="171" spans="1:32" ht="90" customHeight="1" thickBot="1" x14ac:dyDescent="0.35">
      <c r="A171" s="191"/>
      <c r="B171" s="1170" t="s">
        <v>1546</v>
      </c>
      <c r="C171" s="1171" t="s">
        <v>1547</v>
      </c>
      <c r="D171" s="299" t="s">
        <v>1548</v>
      </c>
      <c r="E171" s="1161">
        <v>0.6</v>
      </c>
      <c r="F171" s="283">
        <v>1</v>
      </c>
      <c r="G171" s="213">
        <v>0</v>
      </c>
      <c r="H171" s="213">
        <v>0</v>
      </c>
      <c r="I171" s="218"/>
      <c r="J171" s="218">
        <f>+H171/F171</f>
        <v>0</v>
      </c>
      <c r="K171" s="218"/>
      <c r="L171" s="218"/>
      <c r="M171" s="213"/>
      <c r="N171" s="670"/>
      <c r="O171" s="213"/>
      <c r="P171" s="213"/>
      <c r="Q171" s="213"/>
      <c r="R171" s="213">
        <f t="shared" si="209"/>
        <v>0</v>
      </c>
      <c r="S171" s="213">
        <f t="shared" si="210"/>
        <v>0</v>
      </c>
      <c r="T171" s="218"/>
      <c r="U171" s="218"/>
      <c r="V171" s="218"/>
      <c r="W171" s="218"/>
      <c r="X171" s="218"/>
      <c r="Y171" s="218"/>
      <c r="Z171" s="218"/>
      <c r="AA171" s="218">
        <f>+Y171*E171</f>
        <v>0</v>
      </c>
      <c r="AB171" s="292" t="s">
        <v>1549</v>
      </c>
      <c r="AC171" s="752" t="s">
        <v>1362</v>
      </c>
      <c r="AD171" s="664"/>
      <c r="AE171" s="727" t="s">
        <v>1550</v>
      </c>
      <c r="AF171" s="664"/>
    </row>
    <row r="172" spans="1:32" ht="15.75" customHeight="1" thickBot="1" x14ac:dyDescent="0.35">
      <c r="A172" s="187"/>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320"/>
      <c r="Z172" s="320"/>
      <c r="AA172" s="320"/>
      <c r="AB172" s="320"/>
    </row>
    <row r="173" spans="1:32" ht="15.75" customHeight="1" thickBot="1" x14ac:dyDescent="0.35">
      <c r="A173" s="187"/>
      <c r="B173" s="187"/>
      <c r="C173" s="187"/>
      <c r="D173" s="187"/>
      <c r="E173" s="187"/>
      <c r="F173" s="187"/>
      <c r="G173" s="187"/>
      <c r="H173" s="187"/>
      <c r="I173" s="187"/>
      <c r="J173" s="187"/>
      <c r="K173" s="187"/>
      <c r="L173" s="187"/>
      <c r="M173" s="187"/>
      <c r="N173" s="187"/>
      <c r="O173" s="187"/>
      <c r="P173" s="187"/>
      <c r="Q173" s="187"/>
      <c r="R173" s="187"/>
      <c r="S173" s="187"/>
      <c r="T173" s="187"/>
      <c r="U173" s="187"/>
      <c r="V173" s="187"/>
      <c r="W173" s="187"/>
      <c r="X173" s="187"/>
      <c r="Y173" s="191"/>
      <c r="Z173" s="191"/>
      <c r="AA173" s="191"/>
      <c r="AB173" s="191"/>
    </row>
    <row r="174" spans="1:32" ht="15.75" customHeight="1" thickBot="1" x14ac:dyDescent="0.35">
      <c r="A174" s="187"/>
      <c r="B174" s="187"/>
      <c r="C174" s="187"/>
      <c r="D174" s="187"/>
      <c r="E174" s="187"/>
      <c r="F174" s="187"/>
      <c r="G174" s="187"/>
      <c r="H174" s="187"/>
      <c r="I174" s="187"/>
      <c r="J174" s="187"/>
      <c r="K174" s="187"/>
      <c r="L174" s="187"/>
      <c r="M174" s="187"/>
      <c r="N174" s="187"/>
      <c r="O174" s="187"/>
      <c r="P174" s="187"/>
      <c r="Q174" s="187"/>
      <c r="R174" s="187"/>
      <c r="S174" s="187"/>
      <c r="T174" s="187"/>
      <c r="U174" s="187"/>
      <c r="V174" s="187"/>
      <c r="W174" s="187"/>
      <c r="X174" s="187"/>
      <c r="Y174" s="191"/>
      <c r="Z174" s="191"/>
      <c r="AA174" s="191"/>
      <c r="AB174" s="191"/>
    </row>
    <row r="175" spans="1:32" ht="15.75" customHeight="1" thickBot="1" x14ac:dyDescent="0.35">
      <c r="A175" s="187"/>
      <c r="B175" s="187"/>
      <c r="C175" s="187"/>
      <c r="D175" s="187"/>
      <c r="E175" s="187"/>
      <c r="F175" s="187"/>
      <c r="G175" s="187"/>
      <c r="H175" s="187"/>
      <c r="I175" s="187"/>
      <c r="J175" s="187"/>
      <c r="K175" s="187"/>
      <c r="L175" s="187"/>
      <c r="M175" s="187"/>
      <c r="N175" s="187"/>
      <c r="O175" s="187"/>
      <c r="P175" s="187"/>
      <c r="Q175" s="187"/>
      <c r="R175" s="187"/>
      <c r="S175" s="187"/>
      <c r="T175" s="187"/>
      <c r="U175" s="187"/>
      <c r="V175" s="187"/>
      <c r="W175" s="187"/>
      <c r="X175" s="187"/>
      <c r="Y175" s="191"/>
      <c r="Z175" s="191"/>
      <c r="AA175" s="191"/>
      <c r="AB175" s="191"/>
    </row>
    <row r="176" spans="1:32" ht="15.75" customHeight="1" thickBot="1" x14ac:dyDescent="0.35">
      <c r="A176" s="187"/>
      <c r="B176" s="187"/>
      <c r="C176" s="187"/>
      <c r="D176" s="187"/>
      <c r="E176" s="187"/>
      <c r="F176" s="187"/>
      <c r="G176" s="187"/>
      <c r="H176" s="187"/>
      <c r="I176" s="187"/>
      <c r="J176" s="187"/>
      <c r="K176" s="187"/>
      <c r="L176" s="187"/>
      <c r="M176" s="187"/>
      <c r="N176" s="187"/>
      <c r="O176" s="187"/>
      <c r="P176" s="187"/>
      <c r="Q176" s="187"/>
      <c r="R176" s="187"/>
      <c r="S176" s="187"/>
      <c r="T176" s="187"/>
      <c r="U176" s="187"/>
      <c r="V176" s="187"/>
      <c r="W176" s="187"/>
      <c r="X176" s="187"/>
      <c r="Y176" s="191"/>
      <c r="Z176" s="191"/>
      <c r="AA176" s="191"/>
      <c r="AB176" s="191"/>
    </row>
    <row r="177" spans="1:28" ht="15.75" customHeight="1" thickBot="1" x14ac:dyDescent="0.35">
      <c r="A177" s="187"/>
      <c r="B177" s="187"/>
      <c r="C177" s="187"/>
      <c r="D177" s="187"/>
      <c r="E177" s="187"/>
      <c r="F177" s="187"/>
      <c r="G177" s="187"/>
      <c r="H177" s="187"/>
      <c r="I177" s="187"/>
      <c r="J177" s="187"/>
      <c r="K177" s="187"/>
      <c r="L177" s="187"/>
      <c r="M177" s="187"/>
      <c r="N177" s="187"/>
      <c r="O177" s="187"/>
      <c r="P177" s="187"/>
      <c r="Q177" s="187"/>
      <c r="R177" s="187"/>
      <c r="S177" s="187"/>
      <c r="T177" s="187"/>
      <c r="U177" s="187"/>
      <c r="V177" s="187"/>
      <c r="W177" s="187"/>
      <c r="X177" s="187"/>
      <c r="Y177" s="191"/>
      <c r="Z177" s="191"/>
      <c r="AA177" s="191"/>
      <c r="AB177" s="191"/>
    </row>
    <row r="178" spans="1:28" ht="15.75" customHeight="1" thickBot="1" x14ac:dyDescent="0.35">
      <c r="A178" s="187"/>
      <c r="B178" s="187"/>
      <c r="C178" s="187"/>
      <c r="D178" s="187"/>
      <c r="E178" s="187"/>
      <c r="F178" s="187"/>
      <c r="G178" s="187"/>
      <c r="H178" s="187"/>
      <c r="I178" s="187"/>
      <c r="J178" s="187"/>
      <c r="K178" s="187"/>
      <c r="L178" s="187"/>
      <c r="M178" s="187"/>
      <c r="N178" s="187"/>
      <c r="O178" s="187"/>
      <c r="P178" s="187"/>
      <c r="Q178" s="187"/>
      <c r="R178" s="187"/>
      <c r="S178" s="187"/>
      <c r="T178" s="187"/>
      <c r="U178" s="187"/>
      <c r="V178" s="187"/>
      <c r="W178" s="187"/>
      <c r="X178" s="187"/>
      <c r="Y178" s="191"/>
      <c r="Z178" s="191"/>
      <c r="AA178" s="191"/>
      <c r="AB178" s="191"/>
    </row>
    <row r="179" spans="1:28" ht="15.75" customHeight="1" thickBot="1" x14ac:dyDescent="0.35">
      <c r="A179" s="187"/>
      <c r="B179" s="187"/>
      <c r="C179" s="187"/>
      <c r="D179" s="187"/>
      <c r="E179" s="187"/>
      <c r="F179" s="187"/>
      <c r="G179" s="187"/>
      <c r="H179" s="187"/>
      <c r="I179" s="187"/>
      <c r="J179" s="187"/>
      <c r="K179" s="187"/>
      <c r="L179" s="187"/>
      <c r="M179" s="187"/>
      <c r="N179" s="187"/>
      <c r="O179" s="187"/>
      <c r="P179" s="187"/>
      <c r="Q179" s="187"/>
      <c r="R179" s="187"/>
      <c r="S179" s="187"/>
      <c r="T179" s="187"/>
      <c r="U179" s="187"/>
      <c r="V179" s="187"/>
      <c r="W179" s="187"/>
      <c r="X179" s="187"/>
      <c r="Y179" s="191"/>
      <c r="Z179" s="191"/>
      <c r="AA179" s="191"/>
      <c r="AB179" s="191"/>
    </row>
    <row r="180" spans="1:28" ht="15.75" customHeight="1" thickBot="1" x14ac:dyDescent="0.35">
      <c r="A180" s="187"/>
      <c r="B180" s="187"/>
      <c r="C180" s="187"/>
      <c r="D180" s="187"/>
      <c r="E180" s="187"/>
      <c r="F180" s="187"/>
      <c r="G180" s="187"/>
      <c r="H180" s="187"/>
      <c r="I180" s="187"/>
      <c r="J180" s="187"/>
      <c r="K180" s="187"/>
      <c r="L180" s="187"/>
      <c r="M180" s="187"/>
      <c r="N180" s="187"/>
      <c r="O180" s="187"/>
      <c r="P180" s="187"/>
      <c r="Q180" s="187"/>
      <c r="R180" s="187"/>
      <c r="S180" s="187"/>
      <c r="T180" s="187"/>
      <c r="U180" s="187"/>
      <c r="V180" s="187"/>
      <c r="W180" s="187"/>
      <c r="X180" s="187"/>
      <c r="Y180" s="191"/>
      <c r="Z180" s="191"/>
      <c r="AA180" s="191"/>
      <c r="AB180" s="191"/>
    </row>
    <row r="181" spans="1:28" ht="15.75" customHeight="1" thickBot="1" x14ac:dyDescent="0.35">
      <c r="A181" s="187"/>
      <c r="B181" s="187"/>
      <c r="C181" s="187"/>
      <c r="D181" s="187"/>
      <c r="E181" s="187"/>
      <c r="F181" s="187"/>
      <c r="G181" s="187"/>
      <c r="H181" s="187"/>
      <c r="I181" s="187"/>
      <c r="J181" s="187"/>
      <c r="K181" s="187"/>
      <c r="L181" s="187"/>
      <c r="M181" s="187"/>
      <c r="N181" s="187"/>
      <c r="O181" s="187"/>
      <c r="P181" s="187"/>
      <c r="Q181" s="187"/>
      <c r="R181" s="187"/>
      <c r="S181" s="187"/>
      <c r="T181" s="187"/>
      <c r="U181" s="187"/>
      <c r="V181" s="187"/>
      <c r="W181" s="187"/>
      <c r="X181" s="187"/>
      <c r="Y181" s="191"/>
      <c r="Z181" s="191"/>
      <c r="AA181" s="191"/>
      <c r="AB181" s="191"/>
    </row>
    <row r="182" spans="1:28" ht="15.75" customHeight="1" thickBot="1" x14ac:dyDescent="0.35">
      <c r="A182" s="187"/>
      <c r="B182" s="187"/>
      <c r="C182" s="187"/>
      <c r="D182" s="187"/>
      <c r="E182" s="187"/>
      <c r="F182" s="187"/>
      <c r="G182" s="187"/>
      <c r="H182" s="187"/>
      <c r="I182" s="187"/>
      <c r="J182" s="187"/>
      <c r="K182" s="187"/>
      <c r="L182" s="187"/>
      <c r="M182" s="187"/>
      <c r="N182" s="187"/>
      <c r="O182" s="187"/>
      <c r="P182" s="187"/>
      <c r="Q182" s="187"/>
      <c r="R182" s="187"/>
      <c r="S182" s="187"/>
      <c r="T182" s="187"/>
      <c r="U182" s="187"/>
      <c r="V182" s="187"/>
      <c r="W182" s="187"/>
      <c r="X182" s="187"/>
      <c r="Y182" s="191"/>
      <c r="Z182" s="191"/>
      <c r="AA182" s="191"/>
      <c r="AB182" s="191"/>
    </row>
    <row r="183" spans="1:28" ht="15.75" customHeight="1" thickBot="1" x14ac:dyDescent="0.35">
      <c r="A183" s="187"/>
      <c r="B183" s="187"/>
      <c r="C183" s="187"/>
      <c r="D183" s="187"/>
      <c r="E183" s="187"/>
      <c r="F183" s="187"/>
      <c r="G183" s="187"/>
      <c r="H183" s="187"/>
      <c r="I183" s="187"/>
      <c r="J183" s="187"/>
      <c r="K183" s="187"/>
      <c r="L183" s="187"/>
      <c r="M183" s="187"/>
      <c r="N183" s="187"/>
      <c r="O183" s="187"/>
      <c r="P183" s="187"/>
      <c r="Q183" s="187"/>
      <c r="R183" s="187"/>
      <c r="S183" s="187"/>
      <c r="T183" s="187"/>
      <c r="U183" s="187"/>
      <c r="V183" s="187"/>
      <c r="W183" s="187"/>
      <c r="X183" s="187"/>
      <c r="Y183" s="191"/>
      <c r="Z183" s="191"/>
      <c r="AA183" s="191"/>
      <c r="AB183" s="191"/>
    </row>
    <row r="184" spans="1:28" ht="15.75" customHeight="1" thickBot="1" x14ac:dyDescent="0.35">
      <c r="A184" s="187"/>
      <c r="B184" s="187"/>
      <c r="C184" s="187"/>
      <c r="D184" s="187"/>
      <c r="E184" s="187"/>
      <c r="F184" s="187"/>
      <c r="G184" s="187"/>
      <c r="H184" s="187"/>
      <c r="I184" s="187"/>
      <c r="J184" s="187"/>
      <c r="K184" s="187"/>
      <c r="L184" s="187"/>
      <c r="M184" s="187"/>
      <c r="N184" s="187"/>
      <c r="O184" s="187"/>
      <c r="P184" s="187"/>
      <c r="Q184" s="187"/>
      <c r="R184" s="187"/>
      <c r="S184" s="187"/>
      <c r="T184" s="187"/>
      <c r="U184" s="187"/>
      <c r="V184" s="187"/>
      <c r="W184" s="187"/>
      <c r="X184" s="187"/>
      <c r="Y184" s="191"/>
      <c r="Z184" s="191"/>
      <c r="AA184" s="191"/>
      <c r="AB184" s="191"/>
    </row>
    <row r="185" spans="1:28" ht="15.75" customHeight="1" thickBot="1" x14ac:dyDescent="0.35">
      <c r="A185" s="187"/>
      <c r="B185" s="187"/>
      <c r="C185" s="187"/>
      <c r="D185" s="187"/>
      <c r="E185" s="187"/>
      <c r="F185" s="187"/>
      <c r="G185" s="187"/>
      <c r="H185" s="187"/>
      <c r="I185" s="187"/>
      <c r="J185" s="187"/>
      <c r="K185" s="187"/>
      <c r="L185" s="187"/>
      <c r="M185" s="187"/>
      <c r="N185" s="187"/>
      <c r="O185" s="187"/>
      <c r="P185" s="187"/>
      <c r="Q185" s="187"/>
      <c r="R185" s="187"/>
      <c r="S185" s="187"/>
      <c r="T185" s="187"/>
      <c r="U185" s="187"/>
      <c r="V185" s="187"/>
      <c r="W185" s="187"/>
      <c r="X185" s="187"/>
      <c r="Y185" s="191"/>
      <c r="Z185" s="191"/>
      <c r="AA185" s="191"/>
      <c r="AB185" s="191"/>
    </row>
    <row r="186" spans="1:28" ht="15.75" customHeight="1" thickBot="1" x14ac:dyDescent="0.35">
      <c r="A186" s="187"/>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91"/>
      <c r="Z186" s="191"/>
      <c r="AA186" s="191"/>
      <c r="AB186" s="191"/>
    </row>
    <row r="187" spans="1:28" ht="15.75" customHeight="1" thickBot="1" x14ac:dyDescent="0.35">
      <c r="A187" s="187"/>
      <c r="B187" s="187"/>
      <c r="C187" s="187"/>
      <c r="D187" s="187"/>
      <c r="E187" s="187"/>
      <c r="F187" s="187"/>
      <c r="G187" s="187"/>
      <c r="H187" s="187"/>
      <c r="I187" s="187"/>
      <c r="J187" s="187"/>
      <c r="K187" s="187"/>
      <c r="L187" s="187"/>
      <c r="M187" s="187"/>
      <c r="N187" s="187"/>
      <c r="O187" s="187"/>
      <c r="P187" s="187"/>
      <c r="Q187" s="187"/>
      <c r="R187" s="187"/>
      <c r="S187" s="187"/>
      <c r="T187" s="187"/>
      <c r="U187" s="187"/>
      <c r="V187" s="187"/>
      <c r="W187" s="187"/>
      <c r="X187" s="187"/>
      <c r="Y187" s="191"/>
      <c r="Z187" s="191"/>
      <c r="AA187" s="191"/>
      <c r="AB187" s="191"/>
    </row>
    <row r="188" spans="1:28" ht="15.75" customHeight="1" thickBot="1" x14ac:dyDescent="0.35">
      <c r="A188" s="187"/>
      <c r="B188" s="187"/>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187"/>
      <c r="Y188" s="191"/>
      <c r="Z188" s="191"/>
      <c r="AA188" s="191"/>
      <c r="AB188" s="191"/>
    </row>
    <row r="189" spans="1:28" ht="15.75" customHeight="1" thickBot="1" x14ac:dyDescent="0.35">
      <c r="A189" s="187"/>
      <c r="B189" s="187"/>
      <c r="C189" s="187"/>
      <c r="D189" s="187"/>
      <c r="E189" s="187"/>
      <c r="F189" s="187"/>
      <c r="G189" s="187"/>
      <c r="H189" s="187"/>
      <c r="I189" s="187"/>
      <c r="J189" s="187"/>
      <c r="K189" s="187"/>
      <c r="L189" s="187"/>
      <c r="M189" s="187"/>
      <c r="N189" s="187"/>
      <c r="O189" s="187"/>
      <c r="P189" s="187"/>
      <c r="Q189" s="187"/>
      <c r="R189" s="187"/>
      <c r="S189" s="187"/>
      <c r="T189" s="187"/>
      <c r="U189" s="187"/>
      <c r="V189" s="187"/>
      <c r="W189" s="187"/>
      <c r="X189" s="187"/>
      <c r="Y189" s="191"/>
      <c r="Z189" s="191"/>
      <c r="AA189" s="191"/>
      <c r="AB189" s="191"/>
    </row>
    <row r="190" spans="1:28" ht="15.75" customHeight="1" thickBot="1" x14ac:dyDescent="0.35">
      <c r="A190" s="187"/>
      <c r="B190" s="187"/>
      <c r="C190" s="187"/>
      <c r="D190" s="187"/>
      <c r="E190" s="187"/>
      <c r="F190" s="187"/>
      <c r="G190" s="187"/>
      <c r="H190" s="187"/>
      <c r="I190" s="187"/>
      <c r="J190" s="187"/>
      <c r="K190" s="187"/>
      <c r="L190" s="187"/>
      <c r="M190" s="187"/>
      <c r="N190" s="187"/>
      <c r="O190" s="187"/>
      <c r="P190" s="187"/>
      <c r="Q190" s="187"/>
      <c r="R190" s="187"/>
      <c r="S190" s="187"/>
      <c r="T190" s="187"/>
      <c r="U190" s="187"/>
      <c r="V190" s="187"/>
      <c r="W190" s="187"/>
      <c r="X190" s="187"/>
      <c r="Y190" s="191"/>
      <c r="Z190" s="191"/>
      <c r="AA190" s="191"/>
      <c r="AB190" s="191"/>
    </row>
    <row r="191" spans="1:28" ht="15.75" customHeight="1" thickBot="1" x14ac:dyDescent="0.35">
      <c r="A191" s="187"/>
      <c r="B191" s="187"/>
      <c r="C191" s="187"/>
      <c r="D191" s="187"/>
      <c r="E191" s="187"/>
      <c r="F191" s="187"/>
      <c r="G191" s="187"/>
      <c r="H191" s="187"/>
      <c r="I191" s="187"/>
      <c r="J191" s="187"/>
      <c r="K191" s="187"/>
      <c r="L191" s="187"/>
      <c r="M191" s="187"/>
      <c r="N191" s="187"/>
      <c r="O191" s="187"/>
      <c r="P191" s="187"/>
      <c r="Q191" s="187"/>
      <c r="R191" s="187"/>
      <c r="S191" s="187"/>
      <c r="T191" s="187"/>
      <c r="U191" s="187"/>
      <c r="V191" s="187"/>
      <c r="W191" s="187"/>
      <c r="X191" s="187"/>
      <c r="Y191" s="191"/>
      <c r="Z191" s="191"/>
      <c r="AA191" s="191"/>
      <c r="AB191" s="191"/>
    </row>
    <row r="192" spans="1:28" ht="15.75" customHeight="1" thickBot="1" x14ac:dyDescent="0.35">
      <c r="A192" s="187"/>
      <c r="B192" s="187"/>
      <c r="C192" s="187"/>
      <c r="D192" s="187"/>
      <c r="E192" s="187"/>
      <c r="F192" s="187"/>
      <c r="G192" s="187"/>
      <c r="H192" s="187"/>
      <c r="I192" s="187"/>
      <c r="J192" s="187"/>
      <c r="K192" s="187"/>
      <c r="L192" s="187"/>
      <c r="M192" s="187"/>
      <c r="N192" s="187"/>
      <c r="O192" s="187"/>
      <c r="P192" s="187"/>
      <c r="Q192" s="187"/>
      <c r="R192" s="187"/>
      <c r="S192" s="187"/>
      <c r="T192" s="187"/>
      <c r="U192" s="187"/>
      <c r="V192" s="187"/>
      <c r="W192" s="187"/>
      <c r="X192" s="187"/>
      <c r="Y192" s="191"/>
      <c r="Z192" s="191"/>
      <c r="AA192" s="191"/>
      <c r="AB192" s="191"/>
    </row>
    <row r="193" spans="1:28" ht="15.75" customHeight="1" thickBot="1" x14ac:dyDescent="0.35">
      <c r="A193" s="187"/>
      <c r="B193" s="187"/>
      <c r="C193" s="187"/>
      <c r="D193" s="187"/>
      <c r="E193" s="187"/>
      <c r="F193" s="187"/>
      <c r="G193" s="187"/>
      <c r="H193" s="187"/>
      <c r="I193" s="187"/>
      <c r="J193" s="187"/>
      <c r="K193" s="187"/>
      <c r="L193" s="187"/>
      <c r="M193" s="187"/>
      <c r="N193" s="187"/>
      <c r="O193" s="187"/>
      <c r="P193" s="187"/>
      <c r="Q193" s="187"/>
      <c r="R193" s="187"/>
      <c r="S193" s="187"/>
      <c r="T193" s="187"/>
      <c r="U193" s="187"/>
      <c r="V193" s="187"/>
      <c r="W193" s="187"/>
      <c r="X193" s="187"/>
      <c r="Y193" s="191"/>
      <c r="Z193" s="191"/>
      <c r="AA193" s="191"/>
      <c r="AB193" s="191"/>
    </row>
    <row r="194" spans="1:28" ht="15.75" customHeight="1" thickBot="1" x14ac:dyDescent="0.35">
      <c r="A194" s="187"/>
      <c r="B194" s="187"/>
      <c r="C194" s="187"/>
      <c r="D194" s="187"/>
      <c r="E194" s="187"/>
      <c r="F194" s="187"/>
      <c r="G194" s="187"/>
      <c r="H194" s="187"/>
      <c r="I194" s="187"/>
      <c r="J194" s="187"/>
      <c r="K194" s="187"/>
      <c r="L194" s="187"/>
      <c r="M194" s="187"/>
      <c r="N194" s="187"/>
      <c r="O194" s="187"/>
      <c r="P194" s="187"/>
      <c r="Q194" s="187"/>
      <c r="R194" s="187"/>
      <c r="S194" s="187"/>
      <c r="T194" s="187"/>
      <c r="U194" s="187"/>
      <c r="V194" s="187"/>
      <c r="W194" s="187"/>
      <c r="X194" s="187"/>
      <c r="Y194" s="191"/>
      <c r="Z194" s="191"/>
      <c r="AA194" s="191"/>
      <c r="AB194" s="191"/>
    </row>
    <row r="195" spans="1:28" ht="15.75" customHeight="1" thickBot="1" x14ac:dyDescent="0.35">
      <c r="A195" s="187"/>
      <c r="B195" s="187"/>
      <c r="C195" s="187"/>
      <c r="D195" s="187"/>
      <c r="E195" s="187"/>
      <c r="F195" s="187"/>
      <c r="G195" s="187"/>
      <c r="H195" s="187"/>
      <c r="I195" s="187"/>
      <c r="J195" s="187"/>
      <c r="K195" s="187"/>
      <c r="L195" s="187"/>
      <c r="M195" s="187"/>
      <c r="N195" s="187"/>
      <c r="O195" s="187"/>
      <c r="P195" s="187"/>
      <c r="Q195" s="187"/>
      <c r="R195" s="187"/>
      <c r="S195" s="187"/>
      <c r="T195" s="187"/>
      <c r="U195" s="187"/>
      <c r="V195" s="187"/>
      <c r="W195" s="187"/>
      <c r="X195" s="187"/>
      <c r="Y195" s="191"/>
      <c r="Z195" s="191"/>
      <c r="AA195" s="191"/>
      <c r="AB195" s="191"/>
    </row>
    <row r="196" spans="1:28" ht="15.75" customHeight="1" thickBot="1" x14ac:dyDescent="0.35">
      <c r="A196" s="187"/>
      <c r="B196" s="187"/>
      <c r="C196" s="187"/>
      <c r="D196" s="187"/>
      <c r="E196" s="187"/>
      <c r="F196" s="187"/>
      <c r="G196" s="187"/>
      <c r="H196" s="187"/>
      <c r="I196" s="187"/>
      <c r="J196" s="187"/>
      <c r="K196" s="187"/>
      <c r="L196" s="187"/>
      <c r="M196" s="187"/>
      <c r="N196" s="187"/>
      <c r="O196" s="187"/>
      <c r="P196" s="187"/>
      <c r="Q196" s="187"/>
      <c r="R196" s="187"/>
      <c r="S196" s="187"/>
      <c r="T196" s="187"/>
      <c r="U196" s="187"/>
      <c r="V196" s="187"/>
      <c r="W196" s="187"/>
      <c r="X196" s="187"/>
      <c r="Y196" s="191"/>
      <c r="Z196" s="191"/>
      <c r="AA196" s="191"/>
      <c r="AB196" s="191"/>
    </row>
    <row r="197" spans="1:28" ht="15.75" customHeight="1" thickBot="1" x14ac:dyDescent="0.35">
      <c r="A197" s="187"/>
      <c r="B197" s="187"/>
      <c r="C197" s="187"/>
      <c r="D197" s="187"/>
      <c r="E197" s="187"/>
      <c r="F197" s="187"/>
      <c r="G197" s="187"/>
      <c r="H197" s="187"/>
      <c r="I197" s="187"/>
      <c r="J197" s="187"/>
      <c r="K197" s="187"/>
      <c r="L197" s="187"/>
      <c r="M197" s="187"/>
      <c r="N197" s="187"/>
      <c r="O197" s="187"/>
      <c r="P197" s="187"/>
      <c r="Q197" s="187"/>
      <c r="R197" s="187"/>
      <c r="S197" s="187"/>
      <c r="T197" s="187"/>
      <c r="U197" s="187"/>
      <c r="V197" s="187"/>
      <c r="W197" s="187"/>
      <c r="X197" s="187"/>
      <c r="Y197" s="191"/>
      <c r="Z197" s="191"/>
      <c r="AA197" s="191"/>
      <c r="AB197" s="191"/>
    </row>
    <row r="198" spans="1:28" ht="15.75" customHeight="1" thickBot="1" x14ac:dyDescent="0.35">
      <c r="A198" s="187"/>
      <c r="B198" s="187"/>
      <c r="C198" s="187"/>
      <c r="D198" s="187"/>
      <c r="E198" s="187"/>
      <c r="F198" s="187"/>
      <c r="G198" s="187"/>
      <c r="H198" s="187"/>
      <c r="I198" s="187"/>
      <c r="J198" s="187"/>
      <c r="K198" s="187"/>
      <c r="L198" s="187"/>
      <c r="M198" s="187"/>
      <c r="N198" s="187"/>
      <c r="O198" s="187"/>
      <c r="P198" s="187"/>
      <c r="Q198" s="187"/>
      <c r="R198" s="187"/>
      <c r="S198" s="187"/>
      <c r="T198" s="187"/>
      <c r="U198" s="187"/>
      <c r="V198" s="187"/>
      <c r="W198" s="187"/>
      <c r="X198" s="187"/>
      <c r="Y198" s="191"/>
      <c r="Z198" s="191"/>
      <c r="AA198" s="191"/>
      <c r="AB198" s="191"/>
    </row>
    <row r="199" spans="1:28" ht="15.75" customHeight="1" thickBot="1" x14ac:dyDescent="0.35">
      <c r="A199" s="187"/>
      <c r="B199" s="187"/>
      <c r="C199" s="187"/>
      <c r="D199" s="187"/>
      <c r="E199" s="187"/>
      <c r="F199" s="187"/>
      <c r="G199" s="187"/>
      <c r="H199" s="187"/>
      <c r="I199" s="187"/>
      <c r="J199" s="187"/>
      <c r="K199" s="187"/>
      <c r="L199" s="187"/>
      <c r="M199" s="187"/>
      <c r="N199" s="187"/>
      <c r="O199" s="187"/>
      <c r="P199" s="187"/>
      <c r="Q199" s="187"/>
      <c r="R199" s="187"/>
      <c r="S199" s="187"/>
      <c r="T199" s="187"/>
      <c r="U199" s="187"/>
      <c r="V199" s="187"/>
      <c r="W199" s="187"/>
      <c r="X199" s="187"/>
      <c r="Y199" s="191"/>
      <c r="Z199" s="191"/>
      <c r="AA199" s="191"/>
      <c r="AB199" s="191"/>
    </row>
    <row r="200" spans="1:28" ht="15.75" customHeight="1" thickBot="1" x14ac:dyDescent="0.35">
      <c r="A200" s="187"/>
      <c r="B200" s="187"/>
      <c r="C200" s="187"/>
      <c r="D200" s="187"/>
      <c r="E200" s="187"/>
      <c r="F200" s="187"/>
      <c r="G200" s="187"/>
      <c r="H200" s="187"/>
      <c r="I200" s="187"/>
      <c r="J200" s="187"/>
      <c r="K200" s="187"/>
      <c r="L200" s="187"/>
      <c r="M200" s="187"/>
      <c r="N200" s="187"/>
      <c r="O200" s="187"/>
      <c r="P200" s="187"/>
      <c r="Q200" s="187"/>
      <c r="R200" s="187"/>
      <c r="S200" s="187"/>
      <c r="T200" s="187"/>
      <c r="U200" s="187"/>
      <c r="V200" s="187"/>
      <c r="W200" s="187"/>
      <c r="X200" s="187"/>
      <c r="Y200" s="191"/>
      <c r="Z200" s="191"/>
      <c r="AA200" s="191"/>
      <c r="AB200" s="191"/>
    </row>
    <row r="201" spans="1:28" ht="15.75" customHeight="1" thickBot="1" x14ac:dyDescent="0.35">
      <c r="A201" s="187"/>
      <c r="B201" s="187"/>
      <c r="C201" s="187"/>
      <c r="D201" s="187"/>
      <c r="E201" s="187"/>
      <c r="F201" s="187"/>
      <c r="G201" s="187"/>
      <c r="H201" s="187"/>
      <c r="I201" s="187"/>
      <c r="J201" s="187"/>
      <c r="K201" s="187"/>
      <c r="L201" s="187"/>
      <c r="M201" s="187"/>
      <c r="N201" s="187"/>
      <c r="O201" s="187"/>
      <c r="P201" s="187"/>
      <c r="Q201" s="187"/>
      <c r="R201" s="187"/>
      <c r="S201" s="187"/>
      <c r="T201" s="187"/>
      <c r="U201" s="187"/>
      <c r="V201" s="187"/>
      <c r="W201" s="187"/>
      <c r="X201" s="187"/>
      <c r="Y201" s="191"/>
      <c r="Z201" s="191"/>
      <c r="AA201" s="191"/>
      <c r="AB201" s="191"/>
    </row>
    <row r="202" spans="1:28" ht="15.75" customHeight="1" thickBot="1" x14ac:dyDescent="0.35">
      <c r="A202" s="187"/>
      <c r="B202" s="187"/>
      <c r="C202" s="187"/>
      <c r="D202" s="187"/>
      <c r="E202" s="187"/>
      <c r="F202" s="187"/>
      <c r="G202" s="187"/>
      <c r="H202" s="187"/>
      <c r="I202" s="187"/>
      <c r="J202" s="187"/>
      <c r="K202" s="187"/>
      <c r="L202" s="187"/>
      <c r="M202" s="187"/>
      <c r="N202" s="187"/>
      <c r="O202" s="187"/>
      <c r="P202" s="187"/>
      <c r="Q202" s="187"/>
      <c r="R202" s="187"/>
      <c r="S202" s="187"/>
      <c r="T202" s="187"/>
      <c r="U202" s="187"/>
      <c r="V202" s="187"/>
      <c r="W202" s="187"/>
      <c r="X202" s="187"/>
      <c r="Y202" s="191"/>
      <c r="Z202" s="191"/>
      <c r="AA202" s="191"/>
      <c r="AB202" s="191"/>
    </row>
    <row r="203" spans="1:28" ht="15.75" customHeight="1" thickBot="1" x14ac:dyDescent="0.35">
      <c r="A203" s="187"/>
      <c r="B203" s="187"/>
      <c r="C203" s="187"/>
      <c r="D203" s="187"/>
      <c r="E203" s="187"/>
      <c r="F203" s="187"/>
      <c r="G203" s="187"/>
      <c r="H203" s="187"/>
      <c r="I203" s="187"/>
      <c r="J203" s="187"/>
      <c r="K203" s="187"/>
      <c r="L203" s="187"/>
      <c r="M203" s="187"/>
      <c r="N203" s="187"/>
      <c r="O203" s="187"/>
      <c r="P203" s="187"/>
      <c r="Q203" s="187"/>
      <c r="R203" s="187"/>
      <c r="S203" s="187"/>
      <c r="T203" s="187"/>
      <c r="U203" s="187"/>
      <c r="V203" s="187"/>
      <c r="W203" s="187"/>
      <c r="X203" s="187"/>
      <c r="Y203" s="191"/>
      <c r="Z203" s="191"/>
      <c r="AA203" s="191"/>
      <c r="AB203" s="191"/>
    </row>
    <row r="204" spans="1:28" ht="15.75" customHeight="1" thickBot="1" x14ac:dyDescent="0.35">
      <c r="A204" s="187"/>
      <c r="B204" s="187"/>
      <c r="C204" s="187"/>
      <c r="D204" s="187"/>
      <c r="E204" s="187"/>
      <c r="F204" s="187"/>
      <c r="G204" s="187"/>
      <c r="H204" s="187"/>
      <c r="I204" s="187"/>
      <c r="J204" s="187"/>
      <c r="K204" s="187"/>
      <c r="L204" s="187"/>
      <c r="M204" s="187"/>
      <c r="N204" s="187"/>
      <c r="O204" s="187"/>
      <c r="P204" s="187"/>
      <c r="Q204" s="187"/>
      <c r="R204" s="187"/>
      <c r="S204" s="187"/>
      <c r="T204" s="187"/>
      <c r="U204" s="187"/>
      <c r="V204" s="187"/>
      <c r="W204" s="187"/>
      <c r="X204" s="187"/>
      <c r="Y204" s="191"/>
      <c r="Z204" s="191"/>
      <c r="AA204" s="191"/>
      <c r="AB204" s="191"/>
    </row>
    <row r="205" spans="1:28" ht="15.75" customHeight="1" thickBot="1" x14ac:dyDescent="0.35">
      <c r="A205" s="187"/>
      <c r="B205" s="187"/>
      <c r="C205" s="187"/>
      <c r="D205" s="187"/>
      <c r="E205" s="187"/>
      <c r="F205" s="187"/>
      <c r="G205" s="187"/>
      <c r="H205" s="187"/>
      <c r="I205" s="187"/>
      <c r="J205" s="187"/>
      <c r="K205" s="187"/>
      <c r="L205" s="187"/>
      <c r="M205" s="187"/>
      <c r="N205" s="187"/>
      <c r="O205" s="187"/>
      <c r="P205" s="187"/>
      <c r="Q205" s="187"/>
      <c r="R205" s="187"/>
      <c r="S205" s="187"/>
      <c r="T205" s="187"/>
      <c r="U205" s="187"/>
      <c r="V205" s="187"/>
      <c r="W205" s="187"/>
      <c r="X205" s="187"/>
      <c r="Y205" s="191"/>
      <c r="Z205" s="191"/>
      <c r="AA205" s="191"/>
      <c r="AB205" s="191"/>
    </row>
    <row r="206" spans="1:28" ht="15.75" customHeight="1" thickBot="1" x14ac:dyDescent="0.35">
      <c r="A206" s="187"/>
      <c r="B206" s="187"/>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91"/>
      <c r="Z206" s="191"/>
      <c r="AA206" s="191"/>
      <c r="AB206" s="191"/>
    </row>
    <row r="207" spans="1:28" ht="15.75" customHeight="1" thickBot="1" x14ac:dyDescent="0.35">
      <c r="A207" s="187"/>
      <c r="B207" s="187"/>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187"/>
      <c r="Y207" s="191"/>
      <c r="Z207" s="191"/>
      <c r="AA207" s="191"/>
      <c r="AB207" s="191"/>
    </row>
    <row r="208" spans="1:28" ht="15.75" customHeight="1" thickBot="1" x14ac:dyDescent="0.35">
      <c r="A208" s="187"/>
      <c r="B208" s="187"/>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187"/>
      <c r="Y208" s="191"/>
      <c r="Z208" s="191"/>
      <c r="AA208" s="191"/>
      <c r="AB208" s="191"/>
    </row>
    <row r="209" spans="1:28" ht="15.75" customHeight="1" thickBot="1" x14ac:dyDescent="0.35">
      <c r="A209" s="187"/>
      <c r="B209" s="187"/>
      <c r="C209" s="187"/>
      <c r="D209" s="187"/>
      <c r="E209" s="187"/>
      <c r="F209" s="187"/>
      <c r="G209" s="187"/>
      <c r="H209" s="187"/>
      <c r="I209" s="187"/>
      <c r="J209" s="187"/>
      <c r="K209" s="187"/>
      <c r="L209" s="187"/>
      <c r="M209" s="187"/>
      <c r="N209" s="187"/>
      <c r="O209" s="187"/>
      <c r="P209" s="187"/>
      <c r="Q209" s="187"/>
      <c r="R209" s="187"/>
      <c r="S209" s="187"/>
      <c r="T209" s="187"/>
      <c r="U209" s="187"/>
      <c r="V209" s="187"/>
      <c r="W209" s="187"/>
      <c r="X209" s="187"/>
      <c r="Y209" s="191"/>
      <c r="Z209" s="191"/>
      <c r="AA209" s="191"/>
      <c r="AB209" s="191"/>
    </row>
    <row r="210" spans="1:28" ht="15.75" customHeight="1" thickBot="1" x14ac:dyDescent="0.35">
      <c r="A210" s="187"/>
      <c r="B210" s="187"/>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187"/>
      <c r="Y210" s="191"/>
      <c r="Z210" s="191"/>
      <c r="AA210" s="191"/>
      <c r="AB210" s="191"/>
    </row>
    <row r="211" spans="1:28" ht="15.75" customHeight="1" thickBot="1" x14ac:dyDescent="0.35">
      <c r="A211" s="187"/>
      <c r="B211" s="187"/>
      <c r="C211" s="187"/>
      <c r="D211" s="187"/>
      <c r="E211" s="187"/>
      <c r="F211" s="187"/>
      <c r="G211" s="187"/>
      <c r="H211" s="187"/>
      <c r="I211" s="187"/>
      <c r="J211" s="187"/>
      <c r="K211" s="187"/>
      <c r="L211" s="187"/>
      <c r="M211" s="187"/>
      <c r="N211" s="187"/>
      <c r="O211" s="187"/>
      <c r="P211" s="187"/>
      <c r="Q211" s="187"/>
      <c r="R211" s="187"/>
      <c r="S211" s="187"/>
      <c r="T211" s="187"/>
      <c r="U211" s="187"/>
      <c r="V211" s="187"/>
      <c r="W211" s="187"/>
      <c r="X211" s="187"/>
      <c r="Y211" s="191"/>
      <c r="Z211" s="191"/>
      <c r="AA211" s="191"/>
      <c r="AB211" s="191"/>
    </row>
    <row r="212" spans="1:28" ht="15.75" customHeight="1" thickBot="1" x14ac:dyDescent="0.35">
      <c r="A212" s="187"/>
      <c r="B212" s="187"/>
      <c r="C212" s="187"/>
      <c r="D212" s="187"/>
      <c r="E212" s="187"/>
      <c r="F212" s="187"/>
      <c r="G212" s="187"/>
      <c r="H212" s="187"/>
      <c r="I212" s="187"/>
      <c r="J212" s="187"/>
      <c r="K212" s="187"/>
      <c r="L212" s="187"/>
      <c r="M212" s="187"/>
      <c r="N212" s="187"/>
      <c r="O212" s="187"/>
      <c r="P212" s="187"/>
      <c r="Q212" s="187"/>
      <c r="R212" s="187"/>
      <c r="S212" s="187"/>
      <c r="T212" s="187"/>
      <c r="U212" s="187"/>
      <c r="V212" s="187"/>
      <c r="W212" s="187"/>
      <c r="X212" s="187"/>
      <c r="Y212" s="191"/>
      <c r="Z212" s="191"/>
      <c r="AA212" s="191"/>
      <c r="AB212" s="191"/>
    </row>
    <row r="213" spans="1:28" ht="15.75" customHeight="1" thickBot="1" x14ac:dyDescent="0.35">
      <c r="A213" s="187"/>
      <c r="B213" s="187"/>
      <c r="C213" s="187"/>
      <c r="D213" s="187"/>
      <c r="E213" s="187"/>
      <c r="F213" s="187"/>
      <c r="G213" s="187"/>
      <c r="H213" s="187"/>
      <c r="I213" s="187"/>
      <c r="J213" s="187"/>
      <c r="K213" s="187"/>
      <c r="L213" s="187"/>
      <c r="M213" s="187"/>
      <c r="N213" s="187"/>
      <c r="O213" s="187"/>
      <c r="P213" s="187"/>
      <c r="Q213" s="187"/>
      <c r="R213" s="187"/>
      <c r="S213" s="187"/>
      <c r="T213" s="187"/>
      <c r="U213" s="187"/>
      <c r="V213" s="187"/>
      <c r="W213" s="187"/>
      <c r="X213" s="187"/>
      <c r="Y213" s="191"/>
      <c r="Z213" s="191"/>
      <c r="AA213" s="191"/>
      <c r="AB213" s="191"/>
    </row>
    <row r="214" spans="1:28" ht="15.75" customHeight="1" thickBot="1" x14ac:dyDescent="0.35">
      <c r="A214" s="187"/>
      <c r="B214" s="187"/>
      <c r="C214" s="187"/>
      <c r="D214" s="187"/>
      <c r="E214" s="187"/>
      <c r="F214" s="187"/>
      <c r="G214" s="187"/>
      <c r="H214" s="187"/>
      <c r="I214" s="187"/>
      <c r="J214" s="187"/>
      <c r="K214" s="187"/>
      <c r="L214" s="187"/>
      <c r="M214" s="187"/>
      <c r="N214" s="187"/>
      <c r="O214" s="187"/>
      <c r="P214" s="187"/>
      <c r="Q214" s="187"/>
      <c r="R214" s="187"/>
      <c r="S214" s="187"/>
      <c r="T214" s="187"/>
      <c r="U214" s="187"/>
      <c r="V214" s="187"/>
      <c r="W214" s="187"/>
      <c r="X214" s="187"/>
      <c r="Y214" s="191"/>
      <c r="Z214" s="191"/>
      <c r="AA214" s="191"/>
      <c r="AB214" s="191"/>
    </row>
    <row r="215" spans="1:28" ht="15.75" customHeight="1" thickBot="1" x14ac:dyDescent="0.35">
      <c r="A215" s="187"/>
      <c r="B215" s="187"/>
      <c r="C215" s="187"/>
      <c r="D215" s="187"/>
      <c r="E215" s="187"/>
      <c r="F215" s="187"/>
      <c r="G215" s="187"/>
      <c r="H215" s="187"/>
      <c r="I215" s="187"/>
      <c r="J215" s="187"/>
      <c r="K215" s="187"/>
      <c r="L215" s="187"/>
      <c r="M215" s="187"/>
      <c r="N215" s="187"/>
      <c r="O215" s="187"/>
      <c r="P215" s="187"/>
      <c r="Q215" s="187"/>
      <c r="R215" s="187"/>
      <c r="S215" s="187"/>
      <c r="T215" s="187"/>
      <c r="U215" s="187"/>
      <c r="V215" s="187"/>
      <c r="W215" s="187"/>
      <c r="X215" s="187"/>
      <c r="Y215" s="191"/>
      <c r="Z215" s="191"/>
      <c r="AA215" s="191"/>
      <c r="AB215" s="191"/>
    </row>
    <row r="216" spans="1:28" ht="15.75" customHeight="1" thickBot="1" x14ac:dyDescent="0.35">
      <c r="A216" s="187"/>
      <c r="B216" s="187"/>
      <c r="C216" s="187"/>
      <c r="D216" s="187"/>
      <c r="E216" s="187"/>
      <c r="F216" s="187"/>
      <c r="G216" s="187"/>
      <c r="H216" s="187"/>
      <c r="I216" s="187"/>
      <c r="J216" s="187"/>
      <c r="K216" s="187"/>
      <c r="L216" s="187"/>
      <c r="M216" s="187"/>
      <c r="N216" s="187"/>
      <c r="O216" s="187"/>
      <c r="P216" s="187"/>
      <c r="Q216" s="187"/>
      <c r="R216" s="187"/>
      <c r="S216" s="187"/>
      <c r="T216" s="187"/>
      <c r="U216" s="187"/>
      <c r="V216" s="187"/>
      <c r="W216" s="187"/>
      <c r="X216" s="187"/>
      <c r="Y216" s="191"/>
      <c r="Z216" s="191"/>
      <c r="AA216" s="191"/>
      <c r="AB216" s="191"/>
    </row>
    <row r="217" spans="1:28" ht="15.75" customHeight="1" thickBot="1" x14ac:dyDescent="0.35">
      <c r="A217" s="187"/>
      <c r="B217" s="187"/>
      <c r="C217" s="187"/>
      <c r="D217" s="187"/>
      <c r="E217" s="187"/>
      <c r="F217" s="187"/>
      <c r="G217" s="187"/>
      <c r="H217" s="187"/>
      <c r="I217" s="187"/>
      <c r="J217" s="187"/>
      <c r="K217" s="187"/>
      <c r="L217" s="187"/>
      <c r="M217" s="187"/>
      <c r="N217" s="187"/>
      <c r="O217" s="187"/>
      <c r="P217" s="187"/>
      <c r="Q217" s="187"/>
      <c r="R217" s="187"/>
      <c r="S217" s="187"/>
      <c r="T217" s="187"/>
      <c r="U217" s="187"/>
      <c r="V217" s="187"/>
      <c r="W217" s="187"/>
      <c r="X217" s="187"/>
      <c r="Y217" s="191"/>
      <c r="Z217" s="191"/>
      <c r="AA217" s="788"/>
      <c r="AB217" s="269"/>
    </row>
    <row r="218" spans="1:28" ht="15.75" customHeight="1" thickBot="1" x14ac:dyDescent="0.35">
      <c r="A218" s="187"/>
      <c r="B218" s="187"/>
      <c r="C218" s="187"/>
      <c r="D218" s="187"/>
      <c r="E218" s="187"/>
      <c r="F218" s="187"/>
      <c r="G218" s="187"/>
      <c r="H218" s="187"/>
      <c r="I218" s="187"/>
      <c r="J218" s="187"/>
      <c r="K218" s="187"/>
      <c r="L218" s="187"/>
      <c r="M218" s="187"/>
      <c r="N218" s="187"/>
      <c r="O218" s="187"/>
      <c r="P218" s="187"/>
      <c r="Q218" s="187"/>
      <c r="R218" s="187"/>
      <c r="S218" s="187"/>
      <c r="T218" s="187"/>
      <c r="U218" s="187"/>
      <c r="V218" s="187"/>
      <c r="W218" s="187"/>
      <c r="X218" s="187"/>
      <c r="Y218" s="191"/>
      <c r="Z218" s="191"/>
      <c r="AA218" s="788"/>
      <c r="AB218" s="269"/>
    </row>
    <row r="219" spans="1:28" ht="15.75" customHeight="1" thickBot="1" x14ac:dyDescent="0.35">
      <c r="A219" s="187"/>
      <c r="B219" s="187"/>
      <c r="C219" s="187"/>
      <c r="D219" s="187"/>
      <c r="E219" s="187"/>
      <c r="F219" s="187"/>
      <c r="G219" s="187"/>
      <c r="H219" s="187"/>
      <c r="I219" s="187"/>
      <c r="J219" s="187"/>
      <c r="K219" s="187"/>
      <c r="L219" s="187"/>
      <c r="M219" s="187"/>
      <c r="N219" s="187"/>
      <c r="O219" s="187"/>
      <c r="P219" s="187"/>
      <c r="Q219" s="187"/>
      <c r="R219" s="187"/>
      <c r="S219" s="187"/>
      <c r="T219" s="187"/>
      <c r="U219" s="187"/>
      <c r="V219" s="187"/>
      <c r="W219" s="187"/>
      <c r="X219" s="187"/>
      <c r="Y219" s="191"/>
      <c r="Z219" s="191"/>
      <c r="AA219" s="788"/>
      <c r="AB219" s="269"/>
    </row>
    <row r="220" spans="1:28" ht="15.75" customHeight="1" thickBot="1" x14ac:dyDescent="0.35">
      <c r="A220" s="187"/>
      <c r="B220" s="187"/>
      <c r="C220" s="187"/>
      <c r="D220" s="187"/>
      <c r="E220" s="187"/>
      <c r="F220" s="187"/>
      <c r="G220" s="187"/>
      <c r="H220" s="187"/>
      <c r="I220" s="187"/>
      <c r="J220" s="187"/>
      <c r="K220" s="187"/>
      <c r="L220" s="187"/>
      <c r="M220" s="187"/>
      <c r="N220" s="187"/>
      <c r="O220" s="187"/>
      <c r="P220" s="187"/>
      <c r="Q220" s="187"/>
      <c r="R220" s="187"/>
      <c r="S220" s="187"/>
      <c r="T220" s="187"/>
      <c r="U220" s="187"/>
      <c r="V220" s="187"/>
      <c r="W220" s="187"/>
      <c r="X220" s="187"/>
      <c r="Y220" s="191"/>
      <c r="Z220" s="191"/>
      <c r="AA220" s="788"/>
      <c r="AB220" s="269"/>
    </row>
    <row r="221" spans="1:28" ht="15.75" customHeight="1" thickBot="1" x14ac:dyDescent="0.35">
      <c r="A221" s="187"/>
      <c r="B221" s="187"/>
      <c r="C221" s="187"/>
      <c r="D221" s="187"/>
      <c r="E221" s="187"/>
      <c r="F221" s="187"/>
      <c r="G221" s="187"/>
      <c r="H221" s="187"/>
      <c r="I221" s="187"/>
      <c r="J221" s="187"/>
      <c r="K221" s="187"/>
      <c r="L221" s="187"/>
      <c r="M221" s="187"/>
      <c r="N221" s="187"/>
      <c r="O221" s="187"/>
      <c r="P221" s="187"/>
      <c r="Q221" s="187"/>
      <c r="R221" s="187"/>
      <c r="S221" s="187"/>
      <c r="T221" s="187"/>
      <c r="U221" s="187"/>
      <c r="V221" s="187"/>
      <c r="W221" s="187"/>
      <c r="X221" s="187"/>
      <c r="Y221" s="191"/>
      <c r="Z221" s="191"/>
      <c r="AA221" s="788"/>
      <c r="AB221" s="269"/>
    </row>
    <row r="222" spans="1:28" ht="15.75" customHeight="1" thickBot="1" x14ac:dyDescent="0.35">
      <c r="A222" s="187"/>
      <c r="B222" s="187"/>
      <c r="C222" s="187"/>
      <c r="D222" s="187"/>
      <c r="E222" s="187"/>
      <c r="F222" s="187"/>
      <c r="G222" s="187"/>
      <c r="H222" s="187"/>
      <c r="I222" s="187"/>
      <c r="J222" s="187"/>
      <c r="K222" s="187"/>
      <c r="L222" s="187"/>
      <c r="M222" s="187"/>
      <c r="N222" s="187"/>
      <c r="O222" s="187"/>
      <c r="P222" s="187"/>
      <c r="Q222" s="187"/>
      <c r="R222" s="187"/>
      <c r="S222" s="187"/>
      <c r="T222" s="187"/>
      <c r="U222" s="187"/>
      <c r="V222" s="187"/>
      <c r="W222" s="187"/>
      <c r="X222" s="187"/>
      <c r="Y222" s="191"/>
      <c r="Z222" s="191"/>
      <c r="AA222" s="788"/>
      <c r="AB222" s="269"/>
    </row>
    <row r="223" spans="1:28" ht="15.75" customHeight="1" thickBot="1" x14ac:dyDescent="0.35">
      <c r="A223" s="187"/>
      <c r="B223" s="187"/>
      <c r="C223" s="187"/>
      <c r="D223" s="187"/>
      <c r="E223" s="187"/>
      <c r="F223" s="187"/>
      <c r="G223" s="187"/>
      <c r="H223" s="187"/>
      <c r="I223" s="187"/>
      <c r="J223" s="187"/>
      <c r="K223" s="187"/>
      <c r="L223" s="187"/>
      <c r="M223" s="187"/>
      <c r="N223" s="187"/>
      <c r="O223" s="187"/>
      <c r="P223" s="187"/>
      <c r="Q223" s="187"/>
      <c r="R223" s="187"/>
      <c r="S223" s="187"/>
      <c r="T223" s="187"/>
      <c r="U223" s="187"/>
      <c r="V223" s="187"/>
      <c r="W223" s="187"/>
      <c r="X223" s="187"/>
      <c r="Y223" s="191"/>
      <c r="Z223" s="191"/>
      <c r="AA223" s="788"/>
      <c r="AB223" s="269"/>
    </row>
    <row r="224" spans="1:28" ht="15.75" customHeight="1" thickBot="1" x14ac:dyDescent="0.35">
      <c r="A224" s="187"/>
      <c r="B224" s="187"/>
      <c r="C224" s="187"/>
      <c r="D224" s="187"/>
      <c r="E224" s="187"/>
      <c r="F224" s="187"/>
      <c r="G224" s="187"/>
      <c r="H224" s="187"/>
      <c r="I224" s="187"/>
      <c r="J224" s="187"/>
      <c r="K224" s="187"/>
      <c r="L224" s="187"/>
      <c r="M224" s="187"/>
      <c r="N224" s="187"/>
      <c r="O224" s="187"/>
      <c r="P224" s="187"/>
      <c r="Q224" s="187"/>
      <c r="R224" s="187"/>
      <c r="S224" s="187"/>
      <c r="T224" s="187"/>
      <c r="U224" s="187"/>
      <c r="V224" s="187"/>
      <c r="W224" s="187"/>
      <c r="X224" s="187"/>
      <c r="Y224" s="191"/>
      <c r="Z224" s="191"/>
      <c r="AA224" s="788"/>
      <c r="AB224" s="269"/>
    </row>
    <row r="225" spans="1:28" ht="15.75" customHeight="1" thickBot="1" x14ac:dyDescent="0.35">
      <c r="A225" s="187"/>
      <c r="B225" s="187"/>
      <c r="C225" s="187"/>
      <c r="D225" s="187"/>
      <c r="E225" s="187"/>
      <c r="F225" s="187"/>
      <c r="G225" s="187"/>
      <c r="H225" s="187"/>
      <c r="I225" s="187"/>
      <c r="J225" s="187"/>
      <c r="K225" s="187"/>
      <c r="L225" s="187"/>
      <c r="M225" s="187"/>
      <c r="N225" s="187"/>
      <c r="O225" s="187"/>
      <c r="P225" s="187"/>
      <c r="Q225" s="187"/>
      <c r="R225" s="187"/>
      <c r="S225" s="187"/>
      <c r="T225" s="187"/>
      <c r="U225" s="187"/>
      <c r="V225" s="187"/>
      <c r="W225" s="187"/>
      <c r="X225" s="187"/>
      <c r="Y225" s="191"/>
      <c r="Z225" s="191"/>
      <c r="AA225" s="788"/>
      <c r="AB225" s="269"/>
    </row>
    <row r="226" spans="1:28" ht="15.75" customHeight="1" thickBot="1" x14ac:dyDescent="0.35">
      <c r="A226" s="187"/>
      <c r="B226" s="187"/>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Y226" s="191"/>
      <c r="Z226" s="191"/>
      <c r="AA226" s="788"/>
      <c r="AB226" s="269"/>
    </row>
    <row r="227" spans="1:28" ht="15.75" customHeight="1" thickBot="1" x14ac:dyDescent="0.35">
      <c r="A227" s="187"/>
      <c r="B227" s="187"/>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187"/>
      <c r="Y227" s="191"/>
      <c r="Z227" s="191"/>
      <c r="AA227" s="788"/>
      <c r="AB227" s="269"/>
    </row>
    <row r="228" spans="1:28" ht="15.75" customHeight="1" thickBot="1" x14ac:dyDescent="0.35">
      <c r="A228" s="187"/>
      <c r="B228" s="187"/>
      <c r="C228" s="187"/>
      <c r="D228" s="187"/>
      <c r="E228" s="187"/>
      <c r="F228" s="187"/>
      <c r="G228" s="187"/>
      <c r="H228" s="187"/>
      <c r="I228" s="187"/>
      <c r="J228" s="187"/>
      <c r="K228" s="187"/>
      <c r="L228" s="187"/>
      <c r="M228" s="187"/>
      <c r="N228" s="187"/>
      <c r="O228" s="187"/>
      <c r="P228" s="187"/>
      <c r="Q228" s="187"/>
      <c r="R228" s="187"/>
      <c r="S228" s="187"/>
      <c r="T228" s="187"/>
      <c r="U228" s="187"/>
      <c r="V228" s="187"/>
      <c r="W228" s="187"/>
      <c r="X228" s="187"/>
      <c r="Y228" s="191"/>
      <c r="Z228" s="191"/>
      <c r="AA228" s="788"/>
      <c r="AB228" s="269"/>
    </row>
    <row r="229" spans="1:28" ht="15.75" customHeight="1" thickBot="1" x14ac:dyDescent="0.35">
      <c r="A229" s="187"/>
      <c r="B229" s="187"/>
      <c r="C229" s="187"/>
      <c r="D229" s="187"/>
      <c r="E229" s="187"/>
      <c r="F229" s="187"/>
      <c r="G229" s="187"/>
      <c r="H229" s="187"/>
      <c r="I229" s="187"/>
      <c r="J229" s="187"/>
      <c r="K229" s="187"/>
      <c r="L229" s="187"/>
      <c r="M229" s="187"/>
      <c r="N229" s="187"/>
      <c r="O229" s="187"/>
      <c r="P229" s="187"/>
      <c r="Q229" s="187"/>
      <c r="R229" s="187"/>
      <c r="S229" s="187"/>
      <c r="T229" s="187"/>
      <c r="U229" s="187"/>
      <c r="V229" s="187"/>
      <c r="W229" s="187"/>
      <c r="X229" s="187"/>
      <c r="Y229" s="191"/>
      <c r="Z229" s="191"/>
      <c r="AA229" s="788"/>
      <c r="AB229" s="269"/>
    </row>
    <row r="230" spans="1:28" ht="15.75" customHeight="1" thickBot="1" x14ac:dyDescent="0.35">
      <c r="A230" s="187"/>
      <c r="B230" s="187"/>
      <c r="C230" s="187"/>
      <c r="D230" s="187"/>
      <c r="E230" s="187"/>
      <c r="F230" s="187"/>
      <c r="G230" s="187"/>
      <c r="H230" s="187"/>
      <c r="I230" s="187"/>
      <c r="J230" s="187"/>
      <c r="K230" s="187"/>
      <c r="L230" s="187"/>
      <c r="M230" s="187"/>
      <c r="N230" s="187"/>
      <c r="O230" s="187"/>
      <c r="P230" s="187"/>
      <c r="Q230" s="187"/>
      <c r="R230" s="187"/>
      <c r="S230" s="187"/>
      <c r="T230" s="187"/>
      <c r="U230" s="187"/>
      <c r="V230" s="187"/>
      <c r="W230" s="187"/>
      <c r="X230" s="187"/>
      <c r="Y230" s="191"/>
      <c r="Z230" s="191"/>
      <c r="AA230" s="788"/>
      <c r="AB230" s="269"/>
    </row>
    <row r="231" spans="1:28" ht="15.75" customHeight="1" thickBot="1" x14ac:dyDescent="0.35">
      <c r="A231" s="187"/>
      <c r="B231" s="187"/>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187"/>
      <c r="Y231" s="191"/>
      <c r="Z231" s="191"/>
      <c r="AA231" s="788"/>
      <c r="AB231" s="269"/>
    </row>
    <row r="232" spans="1:28" ht="15.75" customHeight="1" thickBot="1" x14ac:dyDescent="0.35">
      <c r="A232" s="187"/>
      <c r="B232" s="187"/>
      <c r="C232" s="187"/>
      <c r="D232" s="187"/>
      <c r="E232" s="187"/>
      <c r="F232" s="187"/>
      <c r="G232" s="187"/>
      <c r="H232" s="187"/>
      <c r="I232" s="187"/>
      <c r="J232" s="187"/>
      <c r="K232" s="187"/>
      <c r="L232" s="187"/>
      <c r="M232" s="187"/>
      <c r="N232" s="187"/>
      <c r="O232" s="187"/>
      <c r="P232" s="187"/>
      <c r="Q232" s="187"/>
      <c r="R232" s="187"/>
      <c r="S232" s="187"/>
      <c r="T232" s="187"/>
      <c r="U232" s="187"/>
      <c r="V232" s="187"/>
      <c r="W232" s="187"/>
      <c r="X232" s="187"/>
      <c r="Y232" s="191"/>
      <c r="Z232" s="191"/>
      <c r="AA232" s="788"/>
      <c r="AB232" s="269"/>
    </row>
    <row r="233" spans="1:28" ht="15.75" customHeight="1" thickBot="1" x14ac:dyDescent="0.35">
      <c r="A233" s="187"/>
      <c r="B233" s="187"/>
      <c r="C233" s="187"/>
      <c r="D233" s="187"/>
      <c r="E233" s="187"/>
      <c r="F233" s="187"/>
      <c r="G233" s="187"/>
      <c r="H233" s="187"/>
      <c r="I233" s="187"/>
      <c r="J233" s="187"/>
      <c r="K233" s="187"/>
      <c r="L233" s="187"/>
      <c r="M233" s="187"/>
      <c r="N233" s="187"/>
      <c r="O233" s="187"/>
      <c r="P233" s="187"/>
      <c r="Q233" s="187"/>
      <c r="R233" s="187"/>
      <c r="S233" s="187"/>
      <c r="T233" s="187"/>
      <c r="U233" s="187"/>
      <c r="V233" s="187"/>
      <c r="W233" s="187"/>
      <c r="X233" s="187"/>
      <c r="Y233" s="191"/>
      <c r="Z233" s="191"/>
      <c r="AA233" s="788"/>
      <c r="AB233" s="269"/>
    </row>
    <row r="234" spans="1:28" ht="15.75" customHeight="1" thickBot="1" x14ac:dyDescent="0.35">
      <c r="A234" s="187"/>
      <c r="B234" s="187"/>
      <c r="C234" s="187"/>
      <c r="D234" s="187"/>
      <c r="E234" s="187"/>
      <c r="F234" s="187"/>
      <c r="G234" s="187"/>
      <c r="H234" s="187"/>
      <c r="I234" s="187"/>
      <c r="J234" s="187"/>
      <c r="K234" s="187"/>
      <c r="L234" s="187"/>
      <c r="M234" s="187"/>
      <c r="N234" s="187"/>
      <c r="O234" s="187"/>
      <c r="P234" s="187"/>
      <c r="Q234" s="187"/>
      <c r="R234" s="187"/>
      <c r="S234" s="187"/>
      <c r="T234" s="187"/>
      <c r="U234" s="187"/>
      <c r="V234" s="187"/>
      <c r="W234" s="187"/>
      <c r="X234" s="187"/>
      <c r="Y234" s="191"/>
      <c r="Z234" s="191"/>
      <c r="AA234" s="788"/>
      <c r="AB234" s="269"/>
    </row>
    <row r="235" spans="1:28" ht="15.75" customHeight="1" thickBot="1" x14ac:dyDescent="0.35">
      <c r="A235" s="187"/>
      <c r="B235" s="187"/>
      <c r="C235" s="187"/>
      <c r="D235" s="187"/>
      <c r="E235" s="187"/>
      <c r="F235" s="187"/>
      <c r="G235" s="187"/>
      <c r="H235" s="187"/>
      <c r="I235" s="187"/>
      <c r="J235" s="187"/>
      <c r="K235" s="187"/>
      <c r="L235" s="187"/>
      <c r="M235" s="187"/>
      <c r="N235" s="187"/>
      <c r="O235" s="187"/>
      <c r="P235" s="187"/>
      <c r="Q235" s="187"/>
      <c r="R235" s="187"/>
      <c r="S235" s="187"/>
      <c r="T235" s="187"/>
      <c r="U235" s="187"/>
      <c r="V235" s="187"/>
      <c r="W235" s="187"/>
      <c r="X235" s="187"/>
      <c r="Y235" s="191"/>
      <c r="Z235" s="191"/>
      <c r="AA235" s="788"/>
      <c r="AB235" s="269"/>
    </row>
    <row r="236" spans="1:28" ht="15.75" customHeight="1" thickBot="1" x14ac:dyDescent="0.35">
      <c r="A236" s="187"/>
      <c r="B236" s="187"/>
      <c r="C236" s="187"/>
      <c r="D236" s="187"/>
      <c r="E236" s="187"/>
      <c r="F236" s="187"/>
      <c r="G236" s="187"/>
      <c r="H236" s="187"/>
      <c r="I236" s="187"/>
      <c r="J236" s="187"/>
      <c r="K236" s="187"/>
      <c r="L236" s="187"/>
      <c r="M236" s="187"/>
      <c r="N236" s="187"/>
      <c r="O236" s="187"/>
      <c r="P236" s="187"/>
      <c r="Q236" s="187"/>
      <c r="R236" s="187"/>
      <c r="S236" s="187"/>
      <c r="T236" s="187"/>
      <c r="U236" s="187"/>
      <c r="V236" s="187"/>
      <c r="W236" s="187"/>
      <c r="X236" s="187"/>
      <c r="Y236" s="191"/>
      <c r="Z236" s="191"/>
      <c r="AA236" s="788"/>
      <c r="AB236" s="269"/>
    </row>
    <row r="237" spans="1:28" ht="15.75" customHeight="1" thickBot="1" x14ac:dyDescent="0.35">
      <c r="A237" s="187"/>
      <c r="B237" s="187"/>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187"/>
      <c r="Y237" s="191"/>
      <c r="Z237" s="191"/>
      <c r="AA237" s="788"/>
      <c r="AB237" s="269"/>
    </row>
    <row r="238" spans="1:28" ht="15.75" customHeight="1" thickBot="1" x14ac:dyDescent="0.35">
      <c r="A238" s="187"/>
      <c r="B238" s="187"/>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187"/>
      <c r="Y238" s="191"/>
      <c r="Z238" s="191"/>
      <c r="AA238" s="788"/>
      <c r="AB238" s="269"/>
    </row>
    <row r="239" spans="1:28" ht="15.75" customHeight="1" thickBot="1" x14ac:dyDescent="0.35">
      <c r="A239" s="187"/>
      <c r="B239" s="187"/>
      <c r="C239" s="187"/>
      <c r="D239" s="187"/>
      <c r="E239" s="187"/>
      <c r="F239" s="187"/>
      <c r="G239" s="187"/>
      <c r="H239" s="187"/>
      <c r="I239" s="187"/>
      <c r="J239" s="187"/>
      <c r="K239" s="187"/>
      <c r="L239" s="187"/>
      <c r="M239" s="187"/>
      <c r="N239" s="187"/>
      <c r="O239" s="187"/>
      <c r="P239" s="187"/>
      <c r="Q239" s="187"/>
      <c r="R239" s="187"/>
      <c r="S239" s="187"/>
      <c r="T239" s="187"/>
      <c r="U239" s="187"/>
      <c r="V239" s="187"/>
      <c r="W239" s="187"/>
      <c r="X239" s="187"/>
      <c r="Y239" s="191"/>
      <c r="Z239" s="191"/>
      <c r="AA239" s="788"/>
      <c r="AB239" s="269"/>
    </row>
    <row r="240" spans="1:28" ht="15.75" customHeight="1" thickBot="1" x14ac:dyDescent="0.35">
      <c r="A240" s="187"/>
      <c r="B240" s="187"/>
      <c r="C240" s="187"/>
      <c r="D240" s="187"/>
      <c r="E240" s="187"/>
      <c r="F240" s="187"/>
      <c r="G240" s="187"/>
      <c r="H240" s="187"/>
      <c r="I240" s="187"/>
      <c r="J240" s="187"/>
      <c r="K240" s="187"/>
      <c r="L240" s="187"/>
      <c r="M240" s="187"/>
      <c r="N240" s="187"/>
      <c r="O240" s="187"/>
      <c r="P240" s="187"/>
      <c r="Q240" s="187"/>
      <c r="R240" s="187"/>
      <c r="S240" s="187"/>
      <c r="T240" s="187"/>
      <c r="U240" s="187"/>
      <c r="V240" s="187"/>
      <c r="W240" s="187"/>
      <c r="X240" s="187"/>
      <c r="Y240" s="191"/>
      <c r="Z240" s="191"/>
      <c r="AA240" s="788"/>
      <c r="AB240" s="269"/>
    </row>
    <row r="241" spans="1:28" ht="15.75" customHeight="1" thickBot="1" x14ac:dyDescent="0.35">
      <c r="A241" s="187"/>
      <c r="B241" s="187"/>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187"/>
      <c r="Y241" s="191"/>
      <c r="Z241" s="191"/>
      <c r="AA241" s="788"/>
      <c r="AB241" s="269"/>
    </row>
    <row r="242" spans="1:28" ht="15.75" customHeight="1" thickBot="1" x14ac:dyDescent="0.35">
      <c r="A242" s="187"/>
      <c r="B242" s="187"/>
      <c r="C242" s="187"/>
      <c r="D242" s="187"/>
      <c r="E242" s="187"/>
      <c r="F242" s="187"/>
      <c r="G242" s="187"/>
      <c r="H242" s="187"/>
      <c r="I242" s="187"/>
      <c r="J242" s="187"/>
      <c r="K242" s="187"/>
      <c r="L242" s="187"/>
      <c r="M242" s="187"/>
      <c r="N242" s="187"/>
      <c r="O242" s="187"/>
      <c r="P242" s="187"/>
      <c r="Q242" s="187"/>
      <c r="R242" s="187"/>
      <c r="S242" s="187"/>
      <c r="T242" s="187"/>
      <c r="U242" s="187"/>
      <c r="V242" s="187"/>
      <c r="W242" s="187"/>
      <c r="X242" s="187"/>
      <c r="Y242" s="191"/>
      <c r="Z242" s="191"/>
      <c r="AA242" s="788"/>
      <c r="AB242" s="269"/>
    </row>
    <row r="243" spans="1:28" ht="15.75" customHeight="1" thickBot="1" x14ac:dyDescent="0.35">
      <c r="A243" s="187"/>
      <c r="B243" s="187"/>
      <c r="C243" s="187"/>
      <c r="D243" s="187"/>
      <c r="E243" s="187"/>
      <c r="F243" s="187"/>
      <c r="G243" s="187"/>
      <c r="H243" s="187"/>
      <c r="I243" s="187"/>
      <c r="J243" s="187"/>
      <c r="K243" s="187"/>
      <c r="L243" s="187"/>
      <c r="M243" s="187"/>
      <c r="N243" s="187"/>
      <c r="O243" s="187"/>
      <c r="P243" s="187"/>
      <c r="Q243" s="187"/>
      <c r="R243" s="187"/>
      <c r="S243" s="187"/>
      <c r="T243" s="187"/>
      <c r="U243" s="187"/>
      <c r="V243" s="187"/>
      <c r="W243" s="187"/>
      <c r="X243" s="187"/>
      <c r="Y243" s="191"/>
      <c r="Z243" s="191"/>
      <c r="AA243" s="788"/>
      <c r="AB243" s="269"/>
    </row>
    <row r="244" spans="1:28" ht="15.75" customHeight="1" thickBot="1" x14ac:dyDescent="0.35">
      <c r="A244" s="187"/>
      <c r="B244" s="187"/>
      <c r="C244" s="187"/>
      <c r="D244" s="187"/>
      <c r="E244" s="187"/>
      <c r="F244" s="187"/>
      <c r="G244" s="187"/>
      <c r="H244" s="187"/>
      <c r="I244" s="187"/>
      <c r="J244" s="187"/>
      <c r="K244" s="187"/>
      <c r="L244" s="187"/>
      <c r="M244" s="187"/>
      <c r="N244" s="187"/>
      <c r="O244" s="187"/>
      <c r="P244" s="187"/>
      <c r="Q244" s="187"/>
      <c r="R244" s="187"/>
      <c r="S244" s="187"/>
      <c r="T244" s="187"/>
      <c r="U244" s="187"/>
      <c r="V244" s="187"/>
      <c r="W244" s="187"/>
      <c r="X244" s="187"/>
      <c r="Y244" s="191"/>
      <c r="Z244" s="191"/>
      <c r="AA244" s="788"/>
      <c r="AB244" s="269"/>
    </row>
    <row r="245" spans="1:28" ht="15.75" customHeight="1" thickBot="1" x14ac:dyDescent="0.35">
      <c r="A245" s="187"/>
      <c r="B245" s="187"/>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187"/>
      <c r="Y245" s="191"/>
      <c r="Z245" s="191"/>
      <c r="AA245" s="788"/>
      <c r="AB245" s="269"/>
    </row>
    <row r="246" spans="1:28" ht="15.75" customHeight="1" thickBot="1" x14ac:dyDescent="0.35">
      <c r="A246" s="187"/>
      <c r="B246" s="187"/>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187"/>
      <c r="Y246" s="191"/>
      <c r="Z246" s="191"/>
      <c r="AA246" s="788"/>
      <c r="AB246" s="269"/>
    </row>
    <row r="247" spans="1:28" ht="15.75" customHeight="1" thickBot="1" x14ac:dyDescent="0.35">
      <c r="A247" s="187"/>
      <c r="B247" s="187"/>
      <c r="C247" s="187"/>
      <c r="D247" s="187"/>
      <c r="E247" s="187"/>
      <c r="F247" s="187"/>
      <c r="G247" s="187"/>
      <c r="H247" s="187"/>
      <c r="I247" s="187"/>
      <c r="J247" s="187"/>
      <c r="K247" s="187"/>
      <c r="L247" s="187"/>
      <c r="M247" s="187"/>
      <c r="N247" s="187"/>
      <c r="O247" s="187"/>
      <c r="P247" s="187"/>
      <c r="Q247" s="187"/>
      <c r="R247" s="187"/>
      <c r="S247" s="187"/>
      <c r="T247" s="187"/>
      <c r="U247" s="187"/>
      <c r="V247" s="187"/>
      <c r="W247" s="187"/>
      <c r="X247" s="187"/>
      <c r="Y247" s="191"/>
      <c r="Z247" s="191"/>
      <c r="AA247" s="788"/>
      <c r="AB247" s="269"/>
    </row>
    <row r="248" spans="1:28" ht="15.75" customHeight="1" thickBot="1" x14ac:dyDescent="0.35">
      <c r="A248" s="187"/>
      <c r="B248" s="187"/>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187"/>
      <c r="Y248" s="191"/>
      <c r="Z248" s="191"/>
      <c r="AA248" s="788"/>
      <c r="AB248" s="269"/>
    </row>
    <row r="249" spans="1:28" ht="15.75" customHeight="1" thickBot="1" x14ac:dyDescent="0.35">
      <c r="A249" s="187"/>
      <c r="B249" s="187"/>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187"/>
      <c r="Y249" s="191"/>
      <c r="Z249" s="191"/>
      <c r="AA249" s="788"/>
      <c r="AB249" s="269"/>
    </row>
    <row r="250" spans="1:28" ht="15.75" customHeight="1" thickBot="1" x14ac:dyDescent="0.35">
      <c r="A250" s="187"/>
      <c r="B250" s="187"/>
      <c r="C250" s="187"/>
      <c r="D250" s="187"/>
      <c r="E250" s="187"/>
      <c r="F250" s="187"/>
      <c r="G250" s="187"/>
      <c r="H250" s="187"/>
      <c r="I250" s="187"/>
      <c r="J250" s="187"/>
      <c r="K250" s="187"/>
      <c r="L250" s="187"/>
      <c r="M250" s="187"/>
      <c r="N250" s="187"/>
      <c r="O250" s="187"/>
      <c r="P250" s="187"/>
      <c r="Q250" s="187"/>
      <c r="R250" s="187"/>
      <c r="S250" s="187"/>
      <c r="T250" s="187"/>
      <c r="U250" s="187"/>
      <c r="V250" s="187"/>
      <c r="W250" s="187"/>
      <c r="X250" s="187"/>
      <c r="Y250" s="191"/>
      <c r="Z250" s="191"/>
      <c r="AA250" s="788"/>
      <c r="AB250" s="269"/>
    </row>
    <row r="251" spans="1:28" ht="15.75" customHeight="1" thickBot="1" x14ac:dyDescent="0.35">
      <c r="A251" s="187"/>
      <c r="B251" s="187"/>
      <c r="C251" s="187"/>
      <c r="D251" s="187"/>
      <c r="E251" s="187"/>
      <c r="F251" s="187"/>
      <c r="G251" s="187"/>
      <c r="H251" s="187"/>
      <c r="I251" s="187"/>
      <c r="J251" s="187"/>
      <c r="K251" s="187"/>
      <c r="L251" s="187"/>
      <c r="M251" s="187"/>
      <c r="N251" s="187"/>
      <c r="O251" s="187"/>
      <c r="P251" s="187"/>
      <c r="Q251" s="187"/>
      <c r="R251" s="187"/>
      <c r="S251" s="187"/>
      <c r="T251" s="187"/>
      <c r="U251" s="187"/>
      <c r="V251" s="187"/>
      <c r="W251" s="187"/>
      <c r="X251" s="187"/>
      <c r="Y251" s="191"/>
      <c r="Z251" s="191"/>
      <c r="AA251" s="788"/>
      <c r="AB251" s="269"/>
    </row>
    <row r="252" spans="1:28" ht="15.75" customHeight="1" thickBot="1" x14ac:dyDescent="0.35">
      <c r="A252" s="187"/>
      <c r="B252" s="187"/>
      <c r="C252" s="187"/>
      <c r="D252" s="187"/>
      <c r="E252" s="187"/>
      <c r="F252" s="187"/>
      <c r="G252" s="187"/>
      <c r="H252" s="187"/>
      <c r="I252" s="187"/>
      <c r="J252" s="187"/>
      <c r="K252" s="187"/>
      <c r="L252" s="187"/>
      <c r="M252" s="187"/>
      <c r="N252" s="187"/>
      <c r="O252" s="187"/>
      <c r="P252" s="187"/>
      <c r="Q252" s="187"/>
      <c r="R252" s="187"/>
      <c r="S252" s="187"/>
      <c r="T252" s="187"/>
      <c r="U252" s="187"/>
      <c r="V252" s="187"/>
      <c r="W252" s="187"/>
      <c r="X252" s="187"/>
      <c r="Y252" s="191"/>
      <c r="Z252" s="191"/>
      <c r="AA252" s="788"/>
      <c r="AB252" s="269"/>
    </row>
    <row r="253" spans="1:28" ht="15.75" customHeight="1" thickBot="1" x14ac:dyDescent="0.35">
      <c r="A253" s="187"/>
      <c r="B253" s="187"/>
      <c r="C253" s="187"/>
      <c r="D253" s="187"/>
      <c r="E253" s="187"/>
      <c r="F253" s="187"/>
      <c r="G253" s="187"/>
      <c r="H253" s="187"/>
      <c r="I253" s="187"/>
      <c r="J253" s="187"/>
      <c r="K253" s="187"/>
      <c r="L253" s="187"/>
      <c r="M253" s="187"/>
      <c r="N253" s="187"/>
      <c r="O253" s="187"/>
      <c r="P253" s="187"/>
      <c r="Q253" s="187"/>
      <c r="R253" s="187"/>
      <c r="S253" s="187"/>
      <c r="T253" s="187"/>
      <c r="U253" s="187"/>
      <c r="V253" s="187"/>
      <c r="W253" s="187"/>
      <c r="X253" s="187"/>
      <c r="Y253" s="191"/>
      <c r="Z253" s="191"/>
      <c r="AA253" s="788"/>
      <c r="AB253" s="269"/>
    </row>
    <row r="254" spans="1:28" ht="15.75" customHeight="1" thickBot="1" x14ac:dyDescent="0.35">
      <c r="A254" s="187"/>
      <c r="B254" s="187"/>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187"/>
      <c r="Y254" s="191"/>
      <c r="Z254" s="191"/>
      <c r="AA254" s="788"/>
      <c r="AB254" s="269"/>
    </row>
    <row r="255" spans="1:28" ht="15.75" customHeight="1" thickBot="1" x14ac:dyDescent="0.35">
      <c r="A255" s="187"/>
      <c r="B255" s="187"/>
      <c r="C255" s="187"/>
      <c r="D255" s="187"/>
      <c r="E255" s="187"/>
      <c r="F255" s="187"/>
      <c r="G255" s="187"/>
      <c r="H255" s="187"/>
      <c r="I255" s="187"/>
      <c r="J255" s="187"/>
      <c r="K255" s="187"/>
      <c r="L255" s="187"/>
      <c r="M255" s="187"/>
      <c r="N255" s="187"/>
      <c r="O255" s="187"/>
      <c r="P255" s="187"/>
      <c r="Q255" s="187"/>
      <c r="R255" s="187"/>
      <c r="S255" s="187"/>
      <c r="T255" s="187"/>
      <c r="U255" s="187"/>
      <c r="V255" s="187"/>
      <c r="W255" s="187"/>
      <c r="X255" s="187"/>
      <c r="Y255" s="191"/>
      <c r="Z255" s="191"/>
      <c r="AA255" s="788"/>
      <c r="AB255" s="269"/>
    </row>
    <row r="256" spans="1:28" ht="15.75" customHeight="1" thickBot="1" x14ac:dyDescent="0.35">
      <c r="A256" s="187"/>
      <c r="B256" s="187"/>
      <c r="C256" s="187"/>
      <c r="D256" s="187"/>
      <c r="E256" s="187"/>
      <c r="F256" s="187"/>
      <c r="G256" s="187"/>
      <c r="H256" s="187"/>
      <c r="I256" s="187"/>
      <c r="J256" s="187"/>
      <c r="K256" s="187"/>
      <c r="L256" s="187"/>
      <c r="M256" s="187"/>
      <c r="N256" s="187"/>
      <c r="O256" s="187"/>
      <c r="P256" s="187"/>
      <c r="Q256" s="187"/>
      <c r="R256" s="187"/>
      <c r="S256" s="187"/>
      <c r="T256" s="187"/>
      <c r="U256" s="187"/>
      <c r="V256" s="187"/>
      <c r="W256" s="187"/>
      <c r="X256" s="187"/>
      <c r="Y256" s="191"/>
      <c r="Z256" s="191"/>
      <c r="AA256" s="788"/>
      <c r="AB256" s="269"/>
    </row>
    <row r="257" spans="1:28" ht="15.75" customHeight="1" thickBot="1" x14ac:dyDescent="0.35">
      <c r="A257" s="187"/>
      <c r="B257" s="187"/>
      <c r="C257" s="187"/>
      <c r="D257" s="187"/>
      <c r="E257" s="187"/>
      <c r="F257" s="187"/>
      <c r="G257" s="187"/>
      <c r="H257" s="187"/>
      <c r="I257" s="187"/>
      <c r="J257" s="187"/>
      <c r="K257" s="187"/>
      <c r="L257" s="187"/>
      <c r="M257" s="187"/>
      <c r="N257" s="187"/>
      <c r="O257" s="187"/>
      <c r="P257" s="187"/>
      <c r="Q257" s="187"/>
      <c r="R257" s="187"/>
      <c r="S257" s="187"/>
      <c r="T257" s="187"/>
      <c r="U257" s="187"/>
      <c r="V257" s="187"/>
      <c r="W257" s="187"/>
      <c r="X257" s="187"/>
      <c r="Y257" s="191"/>
      <c r="Z257" s="191"/>
      <c r="AA257" s="788"/>
      <c r="AB257" s="269"/>
    </row>
    <row r="258" spans="1:28" ht="15.75" customHeight="1" thickBot="1" x14ac:dyDescent="0.35">
      <c r="A258" s="187"/>
      <c r="B258" s="187"/>
      <c r="C258" s="187"/>
      <c r="D258" s="187"/>
      <c r="E258" s="187"/>
      <c r="F258" s="187"/>
      <c r="G258" s="187"/>
      <c r="H258" s="187"/>
      <c r="I258" s="187"/>
      <c r="J258" s="187"/>
      <c r="K258" s="187"/>
      <c r="L258" s="187"/>
      <c r="M258" s="187"/>
      <c r="N258" s="187"/>
      <c r="O258" s="187"/>
      <c r="P258" s="187"/>
      <c r="Q258" s="187"/>
      <c r="R258" s="187"/>
      <c r="S258" s="187"/>
      <c r="T258" s="187"/>
      <c r="U258" s="187"/>
      <c r="V258" s="187"/>
      <c r="W258" s="187"/>
      <c r="X258" s="187"/>
      <c r="Y258" s="191"/>
      <c r="Z258" s="191"/>
      <c r="AA258" s="788"/>
      <c r="AB258" s="269"/>
    </row>
    <row r="259" spans="1:28" ht="15.75" customHeight="1" thickBot="1" x14ac:dyDescent="0.35">
      <c r="A259" s="187"/>
      <c r="B259" s="187"/>
      <c r="C259" s="187"/>
      <c r="D259" s="187"/>
      <c r="E259" s="187"/>
      <c r="F259" s="187"/>
      <c r="G259" s="187"/>
      <c r="H259" s="187"/>
      <c r="I259" s="187"/>
      <c r="J259" s="187"/>
      <c r="K259" s="187"/>
      <c r="L259" s="187"/>
      <c r="M259" s="187"/>
      <c r="N259" s="187"/>
      <c r="O259" s="187"/>
      <c r="P259" s="187"/>
      <c r="Q259" s="187"/>
      <c r="R259" s="187"/>
      <c r="S259" s="187"/>
      <c r="T259" s="187"/>
      <c r="U259" s="187"/>
      <c r="V259" s="187"/>
      <c r="W259" s="187"/>
      <c r="X259" s="187"/>
      <c r="Y259" s="191"/>
      <c r="Z259" s="191"/>
      <c r="AA259" s="788"/>
      <c r="AB259" s="269"/>
    </row>
    <row r="260" spans="1:28" ht="15.75" customHeight="1" thickBot="1" x14ac:dyDescent="0.35">
      <c r="A260" s="187"/>
      <c r="B260" s="187"/>
      <c r="C260" s="187"/>
      <c r="D260" s="187"/>
      <c r="E260" s="187"/>
      <c r="F260" s="187"/>
      <c r="G260" s="187"/>
      <c r="H260" s="187"/>
      <c r="I260" s="187"/>
      <c r="J260" s="187"/>
      <c r="K260" s="187"/>
      <c r="L260" s="187"/>
      <c r="M260" s="187"/>
      <c r="N260" s="187"/>
      <c r="O260" s="187"/>
      <c r="P260" s="187"/>
      <c r="Q260" s="187"/>
      <c r="R260" s="187"/>
      <c r="S260" s="187"/>
      <c r="T260" s="187"/>
      <c r="U260" s="187"/>
      <c r="V260" s="187"/>
      <c r="W260" s="187"/>
      <c r="X260" s="187"/>
      <c r="Y260" s="191"/>
      <c r="Z260" s="191"/>
      <c r="AA260" s="788"/>
      <c r="AB260" s="269"/>
    </row>
    <row r="261" spans="1:28" ht="15.75" customHeight="1" thickBot="1" x14ac:dyDescent="0.35">
      <c r="A261" s="187"/>
      <c r="B261" s="187"/>
      <c r="C261" s="187"/>
      <c r="D261" s="187"/>
      <c r="E261" s="187"/>
      <c r="F261" s="187"/>
      <c r="G261" s="187"/>
      <c r="H261" s="187"/>
      <c r="I261" s="187"/>
      <c r="J261" s="187"/>
      <c r="K261" s="187"/>
      <c r="L261" s="187"/>
      <c r="M261" s="187"/>
      <c r="N261" s="187"/>
      <c r="O261" s="187"/>
      <c r="P261" s="187"/>
      <c r="Q261" s="187"/>
      <c r="R261" s="187"/>
      <c r="S261" s="187"/>
      <c r="T261" s="187"/>
      <c r="U261" s="187"/>
      <c r="V261" s="187"/>
      <c r="W261" s="187"/>
      <c r="X261" s="187"/>
      <c r="Y261" s="191"/>
      <c r="Z261" s="191"/>
      <c r="AA261" s="788"/>
      <c r="AB261" s="269"/>
    </row>
    <row r="262" spans="1:28" ht="15.75" customHeight="1" thickBot="1" x14ac:dyDescent="0.35">
      <c r="A262" s="187"/>
      <c r="B262" s="187"/>
      <c r="C262" s="187"/>
      <c r="D262" s="187"/>
      <c r="E262" s="187"/>
      <c r="F262" s="187"/>
      <c r="G262" s="187"/>
      <c r="H262" s="187"/>
      <c r="I262" s="187"/>
      <c r="J262" s="187"/>
      <c r="K262" s="187"/>
      <c r="L262" s="187"/>
      <c r="M262" s="187"/>
      <c r="N262" s="187"/>
      <c r="O262" s="187"/>
      <c r="P262" s="187"/>
      <c r="Q262" s="187"/>
      <c r="R262" s="187"/>
      <c r="S262" s="187"/>
      <c r="T262" s="187"/>
      <c r="U262" s="187"/>
      <c r="V262" s="187"/>
      <c r="W262" s="187"/>
      <c r="X262" s="187"/>
      <c r="Y262" s="191"/>
      <c r="Z262" s="191"/>
      <c r="AA262" s="788"/>
      <c r="AB262" s="269"/>
    </row>
    <row r="263" spans="1:28" ht="15.75" customHeight="1" thickBot="1" x14ac:dyDescent="0.35">
      <c r="A263" s="187"/>
      <c r="B263" s="187"/>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187"/>
      <c r="Y263" s="191"/>
      <c r="Z263" s="191"/>
      <c r="AA263" s="788"/>
      <c r="AB263" s="269"/>
    </row>
    <row r="264" spans="1:28" ht="15.75" customHeight="1" thickBot="1" x14ac:dyDescent="0.35">
      <c r="A264" s="187"/>
      <c r="B264" s="187"/>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187"/>
      <c r="Y264" s="191"/>
      <c r="Z264" s="191"/>
      <c r="AA264" s="788"/>
      <c r="AB264" s="269"/>
    </row>
    <row r="265" spans="1:28" ht="15.75" customHeight="1" thickBot="1" x14ac:dyDescent="0.35">
      <c r="A265" s="187"/>
      <c r="B265" s="187"/>
      <c r="C265" s="187"/>
      <c r="D265" s="187"/>
      <c r="E265" s="187"/>
      <c r="F265" s="187"/>
      <c r="G265" s="187"/>
      <c r="H265" s="187"/>
      <c r="I265" s="187"/>
      <c r="J265" s="187"/>
      <c r="K265" s="187"/>
      <c r="L265" s="187"/>
      <c r="M265" s="187"/>
      <c r="N265" s="187"/>
      <c r="O265" s="187"/>
      <c r="P265" s="187"/>
      <c r="Q265" s="187"/>
      <c r="R265" s="187"/>
      <c r="S265" s="187"/>
      <c r="T265" s="187"/>
      <c r="U265" s="187"/>
      <c r="V265" s="187"/>
      <c r="W265" s="187"/>
      <c r="X265" s="187"/>
      <c r="Y265" s="191"/>
      <c r="Z265" s="191"/>
      <c r="AA265" s="788"/>
      <c r="AB265" s="269"/>
    </row>
    <row r="266" spans="1:28" ht="15.75" customHeight="1" thickBot="1" x14ac:dyDescent="0.35">
      <c r="A266" s="187"/>
      <c r="B266" s="187"/>
      <c r="C266" s="187"/>
      <c r="D266" s="187"/>
      <c r="E266" s="187"/>
      <c r="F266" s="187"/>
      <c r="G266" s="187"/>
      <c r="H266" s="187"/>
      <c r="I266" s="187"/>
      <c r="J266" s="187"/>
      <c r="K266" s="187"/>
      <c r="L266" s="187"/>
      <c r="M266" s="187"/>
      <c r="N266" s="187"/>
      <c r="O266" s="187"/>
      <c r="P266" s="187"/>
      <c r="Q266" s="187"/>
      <c r="R266" s="187"/>
      <c r="S266" s="187"/>
      <c r="T266" s="187"/>
      <c r="U266" s="187"/>
      <c r="V266" s="187"/>
      <c r="W266" s="187"/>
      <c r="X266" s="187"/>
      <c r="Y266" s="191"/>
      <c r="Z266" s="191"/>
      <c r="AA266" s="788"/>
      <c r="AB266" s="269"/>
    </row>
    <row r="267" spans="1:28" ht="15.75" customHeight="1" thickBot="1" x14ac:dyDescent="0.35">
      <c r="A267" s="187"/>
      <c r="B267" s="187"/>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91"/>
      <c r="Z267" s="191"/>
      <c r="AA267" s="788"/>
      <c r="AB267" s="269"/>
    </row>
    <row r="268" spans="1:28" ht="15.75" customHeight="1" thickBot="1" x14ac:dyDescent="0.35">
      <c r="A268" s="187"/>
      <c r="B268" s="187"/>
      <c r="C268" s="187"/>
      <c r="D268" s="187"/>
      <c r="E268" s="187"/>
      <c r="F268" s="187"/>
      <c r="G268" s="187"/>
      <c r="H268" s="187"/>
      <c r="I268" s="187"/>
      <c r="J268" s="187"/>
      <c r="K268" s="187"/>
      <c r="L268" s="187"/>
      <c r="M268" s="187"/>
      <c r="N268" s="187"/>
      <c r="O268" s="187"/>
      <c r="P268" s="187"/>
      <c r="Q268" s="187"/>
      <c r="R268" s="187"/>
      <c r="S268" s="187"/>
      <c r="T268" s="187"/>
      <c r="U268" s="187"/>
      <c r="V268" s="187"/>
      <c r="W268" s="187"/>
      <c r="X268" s="187"/>
      <c r="Y268" s="191"/>
      <c r="Z268" s="191"/>
      <c r="AA268" s="788"/>
      <c r="AB268" s="269"/>
    </row>
    <row r="269" spans="1:28" ht="15.75" customHeight="1" thickBot="1" x14ac:dyDescent="0.35">
      <c r="A269" s="187"/>
      <c r="B269" s="187"/>
      <c r="C269" s="187"/>
      <c r="D269" s="187"/>
      <c r="E269" s="187"/>
      <c r="F269" s="187"/>
      <c r="G269" s="187"/>
      <c r="H269" s="187"/>
      <c r="I269" s="187"/>
      <c r="J269" s="187"/>
      <c r="K269" s="187"/>
      <c r="L269" s="187"/>
      <c r="M269" s="187"/>
      <c r="N269" s="187"/>
      <c r="O269" s="187"/>
      <c r="P269" s="187"/>
      <c r="Q269" s="187"/>
      <c r="R269" s="187"/>
      <c r="S269" s="187"/>
      <c r="T269" s="187"/>
      <c r="U269" s="187"/>
      <c r="V269" s="187"/>
      <c r="W269" s="187"/>
      <c r="X269" s="187"/>
      <c r="Y269" s="191"/>
      <c r="Z269" s="191"/>
      <c r="AA269" s="788"/>
      <c r="AB269" s="269"/>
    </row>
    <row r="270" spans="1:28" ht="15.75" customHeight="1" thickBot="1" x14ac:dyDescent="0.35">
      <c r="A270" s="187"/>
      <c r="B270" s="187"/>
      <c r="C270" s="187"/>
      <c r="D270" s="187"/>
      <c r="E270" s="187"/>
      <c r="F270" s="187"/>
      <c r="G270" s="187"/>
      <c r="H270" s="187"/>
      <c r="I270" s="187"/>
      <c r="J270" s="187"/>
      <c r="K270" s="187"/>
      <c r="L270" s="187"/>
      <c r="M270" s="187"/>
      <c r="N270" s="187"/>
      <c r="O270" s="187"/>
      <c r="P270" s="187"/>
      <c r="Q270" s="187"/>
      <c r="R270" s="187"/>
      <c r="S270" s="187"/>
      <c r="T270" s="187"/>
      <c r="U270" s="187"/>
      <c r="V270" s="187"/>
      <c r="W270" s="187"/>
      <c r="X270" s="187"/>
      <c r="Y270" s="191"/>
      <c r="Z270" s="191"/>
      <c r="AA270" s="788"/>
      <c r="AB270" s="269"/>
    </row>
    <row r="271" spans="1:28" ht="15.75" customHeight="1" thickBot="1" x14ac:dyDescent="0.35">
      <c r="A271" s="187"/>
      <c r="B271" s="187"/>
      <c r="C271" s="187"/>
      <c r="D271" s="187"/>
      <c r="E271" s="187"/>
      <c r="F271" s="187"/>
      <c r="G271" s="187"/>
      <c r="H271" s="187"/>
      <c r="I271" s="187"/>
      <c r="J271" s="187"/>
      <c r="K271" s="187"/>
      <c r="L271" s="187"/>
      <c r="M271" s="187"/>
      <c r="N271" s="187"/>
      <c r="O271" s="187"/>
      <c r="P271" s="187"/>
      <c r="Q271" s="187"/>
      <c r="R271" s="187"/>
      <c r="S271" s="187"/>
      <c r="T271" s="187"/>
      <c r="U271" s="187"/>
      <c r="V271" s="187"/>
      <c r="W271" s="187"/>
      <c r="X271" s="187"/>
      <c r="Y271" s="191"/>
      <c r="Z271" s="191"/>
      <c r="AA271" s="788"/>
      <c r="AB271" s="269"/>
    </row>
    <row r="272" spans="1:28" ht="15.75" customHeight="1" thickBot="1" x14ac:dyDescent="0.35">
      <c r="A272" s="187"/>
      <c r="B272" s="187"/>
      <c r="C272" s="187"/>
      <c r="D272" s="187"/>
      <c r="E272" s="187"/>
      <c r="F272" s="187"/>
      <c r="G272" s="187"/>
      <c r="H272" s="187"/>
      <c r="I272" s="187"/>
      <c r="J272" s="187"/>
      <c r="K272" s="187"/>
      <c r="L272" s="187"/>
      <c r="M272" s="187"/>
      <c r="N272" s="187"/>
      <c r="O272" s="187"/>
      <c r="P272" s="187"/>
      <c r="Q272" s="187"/>
      <c r="R272" s="187"/>
      <c r="S272" s="187"/>
      <c r="T272" s="187"/>
      <c r="U272" s="187"/>
      <c r="V272" s="187"/>
      <c r="W272" s="187"/>
      <c r="X272" s="187"/>
      <c r="Y272" s="191"/>
      <c r="Z272" s="191"/>
      <c r="AA272" s="788"/>
      <c r="AB272" s="269"/>
    </row>
    <row r="273" spans="1:28" ht="15.75" customHeight="1" thickBot="1" x14ac:dyDescent="0.35">
      <c r="A273" s="187"/>
      <c r="B273" s="187"/>
      <c r="C273" s="187"/>
      <c r="D273" s="187"/>
      <c r="E273" s="187"/>
      <c r="F273" s="187"/>
      <c r="G273" s="187"/>
      <c r="H273" s="187"/>
      <c r="I273" s="187"/>
      <c r="J273" s="187"/>
      <c r="K273" s="187"/>
      <c r="L273" s="187"/>
      <c r="M273" s="187"/>
      <c r="N273" s="187"/>
      <c r="O273" s="187"/>
      <c r="P273" s="187"/>
      <c r="Q273" s="187"/>
      <c r="R273" s="187"/>
      <c r="S273" s="187"/>
      <c r="T273" s="187"/>
      <c r="U273" s="187"/>
      <c r="V273" s="187"/>
      <c r="W273" s="187"/>
      <c r="X273" s="187"/>
      <c r="Y273" s="191"/>
      <c r="Z273" s="191"/>
      <c r="AA273" s="788"/>
      <c r="AB273" s="269"/>
    </row>
    <row r="274" spans="1:28" ht="15.75" customHeight="1" thickBot="1" x14ac:dyDescent="0.35">
      <c r="A274" s="187"/>
      <c r="B274" s="187"/>
      <c r="C274" s="187"/>
      <c r="D274" s="187"/>
      <c r="E274" s="187"/>
      <c r="F274" s="187"/>
      <c r="G274" s="187"/>
      <c r="H274" s="187"/>
      <c r="I274" s="187"/>
      <c r="J274" s="187"/>
      <c r="K274" s="187"/>
      <c r="L274" s="187"/>
      <c r="M274" s="187"/>
      <c r="N274" s="187"/>
      <c r="O274" s="187"/>
      <c r="P274" s="187"/>
      <c r="Q274" s="187"/>
      <c r="R274" s="187"/>
      <c r="S274" s="187"/>
      <c r="T274" s="187"/>
      <c r="U274" s="187"/>
      <c r="V274" s="187"/>
      <c r="W274" s="187"/>
      <c r="X274" s="187"/>
      <c r="Y274" s="191"/>
      <c r="Z274" s="191"/>
      <c r="AA274" s="788"/>
      <c r="AB274" s="269"/>
    </row>
    <row r="275" spans="1:28" ht="15.75" customHeight="1" thickBot="1" x14ac:dyDescent="0.35">
      <c r="A275" s="187"/>
      <c r="B275" s="187"/>
      <c r="C275" s="187"/>
      <c r="D275" s="187"/>
      <c r="E275" s="187"/>
      <c r="F275" s="187"/>
      <c r="G275" s="187"/>
      <c r="H275" s="187"/>
      <c r="I275" s="187"/>
      <c r="J275" s="187"/>
      <c r="K275" s="187"/>
      <c r="L275" s="187"/>
      <c r="M275" s="187"/>
      <c r="N275" s="187"/>
      <c r="O275" s="187"/>
      <c r="P275" s="187"/>
      <c r="Q275" s="187"/>
      <c r="R275" s="187"/>
      <c r="S275" s="187"/>
      <c r="T275" s="187"/>
      <c r="U275" s="187"/>
      <c r="V275" s="187"/>
      <c r="W275" s="187"/>
      <c r="X275" s="187"/>
      <c r="Y275" s="191"/>
      <c r="Z275" s="191"/>
      <c r="AA275" s="788"/>
      <c r="AB275" s="269"/>
    </row>
    <row r="276" spans="1:28" ht="15.75" customHeight="1" thickBot="1" x14ac:dyDescent="0.35">
      <c r="A276" s="187"/>
      <c r="B276" s="187"/>
      <c r="C276" s="187"/>
      <c r="D276" s="187"/>
      <c r="E276" s="187"/>
      <c r="F276" s="187"/>
      <c r="G276" s="187"/>
      <c r="H276" s="187"/>
      <c r="I276" s="187"/>
      <c r="J276" s="187"/>
      <c r="K276" s="187"/>
      <c r="L276" s="187"/>
      <c r="M276" s="187"/>
      <c r="N276" s="187"/>
      <c r="O276" s="187"/>
      <c r="P276" s="187"/>
      <c r="Q276" s="187"/>
      <c r="R276" s="187"/>
      <c r="S276" s="187"/>
      <c r="T276" s="187"/>
      <c r="U276" s="187"/>
      <c r="V276" s="187"/>
      <c r="W276" s="187"/>
      <c r="X276" s="187"/>
      <c r="Y276" s="191"/>
      <c r="Z276" s="191"/>
      <c r="AA276" s="788"/>
      <c r="AB276" s="269"/>
    </row>
    <row r="277" spans="1:28" ht="15.75" customHeight="1" thickBot="1" x14ac:dyDescent="0.35">
      <c r="A277" s="187"/>
      <c r="B277" s="187"/>
      <c r="C277" s="187"/>
      <c r="D277" s="187"/>
      <c r="E277" s="187"/>
      <c r="F277" s="187"/>
      <c r="G277" s="187"/>
      <c r="H277" s="187"/>
      <c r="I277" s="187"/>
      <c r="J277" s="187"/>
      <c r="K277" s="187"/>
      <c r="L277" s="187"/>
      <c r="M277" s="187"/>
      <c r="N277" s="187"/>
      <c r="O277" s="187"/>
      <c r="P277" s="187"/>
      <c r="Q277" s="187"/>
      <c r="R277" s="187"/>
      <c r="S277" s="187"/>
      <c r="T277" s="187"/>
      <c r="U277" s="187"/>
      <c r="V277" s="187"/>
      <c r="W277" s="187"/>
      <c r="X277" s="187"/>
      <c r="Y277" s="191"/>
      <c r="Z277" s="191"/>
      <c r="AA277" s="788"/>
      <c r="AB277" s="269"/>
    </row>
    <row r="278" spans="1:28" ht="15.75" customHeight="1" thickBot="1" x14ac:dyDescent="0.35">
      <c r="A278" s="187"/>
      <c r="B278" s="187"/>
      <c r="C278" s="187"/>
      <c r="D278" s="187"/>
      <c r="E278" s="187"/>
      <c r="F278" s="187"/>
      <c r="G278" s="187"/>
      <c r="H278" s="187"/>
      <c r="I278" s="187"/>
      <c r="J278" s="187"/>
      <c r="K278" s="187"/>
      <c r="L278" s="187"/>
      <c r="M278" s="187"/>
      <c r="N278" s="187"/>
      <c r="O278" s="187"/>
      <c r="P278" s="187"/>
      <c r="Q278" s="187"/>
      <c r="R278" s="187"/>
      <c r="S278" s="187"/>
      <c r="T278" s="187"/>
      <c r="U278" s="187"/>
      <c r="V278" s="187"/>
      <c r="W278" s="187"/>
      <c r="X278" s="187"/>
      <c r="Y278" s="191"/>
      <c r="Z278" s="191"/>
      <c r="AA278" s="788"/>
      <c r="AB278" s="269"/>
    </row>
    <row r="279" spans="1:28" ht="15.75" customHeight="1" thickBot="1" x14ac:dyDescent="0.35">
      <c r="A279" s="187"/>
      <c r="B279" s="187"/>
      <c r="C279" s="187"/>
      <c r="D279" s="187"/>
      <c r="E279" s="187"/>
      <c r="F279" s="187"/>
      <c r="G279" s="187"/>
      <c r="H279" s="187"/>
      <c r="I279" s="187"/>
      <c r="J279" s="187"/>
      <c r="K279" s="187"/>
      <c r="L279" s="187"/>
      <c r="M279" s="187"/>
      <c r="N279" s="187"/>
      <c r="O279" s="187"/>
      <c r="P279" s="187"/>
      <c r="Q279" s="187"/>
      <c r="R279" s="187"/>
      <c r="S279" s="187"/>
      <c r="T279" s="187"/>
      <c r="U279" s="187"/>
      <c r="V279" s="187"/>
      <c r="W279" s="187"/>
      <c r="X279" s="187"/>
      <c r="Y279" s="191"/>
      <c r="Z279" s="191"/>
      <c r="AA279" s="788"/>
      <c r="AB279" s="269"/>
    </row>
    <row r="280" spans="1:28" ht="15.75" customHeight="1" thickBot="1" x14ac:dyDescent="0.35">
      <c r="A280" s="187"/>
      <c r="B280" s="187"/>
      <c r="C280" s="187"/>
      <c r="D280" s="187"/>
      <c r="E280" s="187"/>
      <c r="F280" s="187"/>
      <c r="G280" s="187"/>
      <c r="H280" s="187"/>
      <c r="I280" s="187"/>
      <c r="J280" s="187"/>
      <c r="K280" s="187"/>
      <c r="L280" s="187"/>
      <c r="M280" s="187"/>
      <c r="N280" s="187"/>
      <c r="O280" s="187"/>
      <c r="P280" s="187"/>
      <c r="Q280" s="187"/>
      <c r="R280" s="187"/>
      <c r="S280" s="187"/>
      <c r="T280" s="187"/>
      <c r="U280" s="187"/>
      <c r="V280" s="187"/>
      <c r="W280" s="187"/>
      <c r="X280" s="187"/>
      <c r="Y280" s="191"/>
      <c r="Z280" s="191"/>
      <c r="AA280" s="788"/>
      <c r="AB280" s="269"/>
    </row>
    <row r="281" spans="1:28" ht="15.75" customHeight="1" thickBot="1" x14ac:dyDescent="0.35">
      <c r="A281" s="187"/>
      <c r="B281" s="187"/>
      <c r="C281" s="187"/>
      <c r="D281" s="187"/>
      <c r="E281" s="187"/>
      <c r="F281" s="187"/>
      <c r="G281" s="187"/>
      <c r="H281" s="187"/>
      <c r="I281" s="187"/>
      <c r="J281" s="187"/>
      <c r="K281" s="187"/>
      <c r="L281" s="187"/>
      <c r="M281" s="187"/>
      <c r="N281" s="187"/>
      <c r="O281" s="187"/>
      <c r="P281" s="187"/>
      <c r="Q281" s="187"/>
      <c r="R281" s="187"/>
      <c r="S281" s="187"/>
      <c r="T281" s="187"/>
      <c r="U281" s="187"/>
      <c r="V281" s="187"/>
      <c r="W281" s="187"/>
      <c r="X281" s="187"/>
      <c r="Y281" s="191"/>
      <c r="Z281" s="191"/>
      <c r="AA281" s="788"/>
      <c r="AB281" s="269"/>
    </row>
    <row r="282" spans="1:28" ht="15.75" customHeight="1" thickBot="1" x14ac:dyDescent="0.35">
      <c r="A282" s="187"/>
      <c r="B282" s="187"/>
      <c r="C282" s="187"/>
      <c r="D282" s="187"/>
      <c r="E282" s="187"/>
      <c r="F282" s="187"/>
      <c r="G282" s="187"/>
      <c r="H282" s="187"/>
      <c r="I282" s="187"/>
      <c r="J282" s="187"/>
      <c r="K282" s="187"/>
      <c r="L282" s="187"/>
      <c r="M282" s="187"/>
      <c r="N282" s="187"/>
      <c r="O282" s="187"/>
      <c r="P282" s="187"/>
      <c r="Q282" s="187"/>
      <c r="R282" s="187"/>
      <c r="S282" s="187"/>
      <c r="T282" s="187"/>
      <c r="U282" s="187"/>
      <c r="V282" s="187"/>
      <c r="W282" s="187"/>
      <c r="X282" s="187"/>
      <c r="Y282" s="191"/>
      <c r="Z282" s="191"/>
      <c r="AA282" s="788"/>
      <c r="AB282" s="269"/>
    </row>
    <row r="283" spans="1:28" ht="15.75" customHeight="1" thickBot="1" x14ac:dyDescent="0.35">
      <c r="A283" s="187"/>
      <c r="B283" s="187"/>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187"/>
      <c r="Y283" s="191"/>
      <c r="Z283" s="191"/>
      <c r="AA283" s="788"/>
      <c r="AB283" s="269"/>
    </row>
    <row r="284" spans="1:28" ht="15.75" customHeight="1" thickBot="1" x14ac:dyDescent="0.35">
      <c r="A284" s="187"/>
      <c r="B284" s="187"/>
      <c r="C284" s="187"/>
      <c r="D284" s="187"/>
      <c r="E284" s="187"/>
      <c r="F284" s="187"/>
      <c r="G284" s="187"/>
      <c r="H284" s="187"/>
      <c r="I284" s="187"/>
      <c r="J284" s="187"/>
      <c r="K284" s="187"/>
      <c r="L284" s="187"/>
      <c r="M284" s="187"/>
      <c r="N284" s="187"/>
      <c r="O284" s="187"/>
      <c r="P284" s="187"/>
      <c r="Q284" s="187"/>
      <c r="R284" s="187"/>
      <c r="S284" s="187"/>
      <c r="T284" s="187"/>
      <c r="U284" s="187"/>
      <c r="V284" s="187"/>
      <c r="W284" s="187"/>
      <c r="X284" s="187"/>
      <c r="Y284" s="191"/>
      <c r="Z284" s="191"/>
      <c r="AA284" s="788"/>
      <c r="AB284" s="269"/>
    </row>
    <row r="285" spans="1:28" ht="15.75" customHeight="1" thickBot="1" x14ac:dyDescent="0.35">
      <c r="A285" s="187"/>
      <c r="B285" s="187"/>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187"/>
      <c r="Y285" s="191"/>
      <c r="Z285" s="191"/>
      <c r="AA285" s="788"/>
      <c r="AB285" s="269"/>
    </row>
    <row r="286" spans="1:28" ht="15.75" customHeight="1" thickBot="1" x14ac:dyDescent="0.35">
      <c r="A286" s="187"/>
      <c r="B286" s="187"/>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91"/>
      <c r="Z286" s="191"/>
      <c r="AA286" s="788"/>
      <c r="AB286" s="269"/>
    </row>
    <row r="287" spans="1:28" ht="15.75" customHeight="1" thickBot="1" x14ac:dyDescent="0.35">
      <c r="A287" s="187"/>
      <c r="B287" s="187"/>
      <c r="C287" s="187"/>
      <c r="D287" s="187"/>
      <c r="E287" s="187"/>
      <c r="F287" s="187"/>
      <c r="G287" s="187"/>
      <c r="H287" s="187"/>
      <c r="I287" s="187"/>
      <c r="J287" s="187"/>
      <c r="K287" s="187"/>
      <c r="L287" s="187"/>
      <c r="M287" s="187"/>
      <c r="N287" s="187"/>
      <c r="O287" s="187"/>
      <c r="P287" s="187"/>
      <c r="Q287" s="187"/>
      <c r="R287" s="187"/>
      <c r="S287" s="187"/>
      <c r="T287" s="187"/>
      <c r="U287" s="187"/>
      <c r="V287" s="187"/>
      <c r="W287" s="187"/>
      <c r="X287" s="187"/>
      <c r="Y287" s="191"/>
      <c r="Z287" s="191"/>
      <c r="AA287" s="788"/>
      <c r="AB287" s="269"/>
    </row>
    <row r="288" spans="1:28" ht="15.75" customHeight="1" thickBot="1" x14ac:dyDescent="0.35">
      <c r="A288" s="187"/>
      <c r="B288" s="187"/>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187"/>
      <c r="Y288" s="191"/>
      <c r="Z288" s="191"/>
      <c r="AA288" s="788"/>
      <c r="AB288" s="269"/>
    </row>
    <row r="289" spans="1:28" ht="15.75" customHeight="1" thickBot="1" x14ac:dyDescent="0.35">
      <c r="A289" s="187"/>
      <c r="B289" s="187"/>
      <c r="C289" s="187"/>
      <c r="D289" s="187"/>
      <c r="E289" s="187"/>
      <c r="F289" s="187"/>
      <c r="G289" s="187"/>
      <c r="H289" s="187"/>
      <c r="I289" s="187"/>
      <c r="J289" s="187"/>
      <c r="K289" s="187"/>
      <c r="L289" s="187"/>
      <c r="M289" s="187"/>
      <c r="N289" s="187"/>
      <c r="O289" s="187"/>
      <c r="P289" s="187"/>
      <c r="Q289" s="187"/>
      <c r="R289" s="187"/>
      <c r="S289" s="187"/>
      <c r="T289" s="187"/>
      <c r="U289" s="187"/>
      <c r="V289" s="187"/>
      <c r="W289" s="187"/>
      <c r="X289" s="187"/>
      <c r="Y289" s="191"/>
      <c r="Z289" s="191"/>
      <c r="AA289" s="788"/>
      <c r="AB289" s="269"/>
    </row>
    <row r="290" spans="1:28" ht="15.75" customHeight="1" thickBot="1" x14ac:dyDescent="0.35">
      <c r="A290" s="187"/>
      <c r="B290" s="187"/>
      <c r="C290" s="187"/>
      <c r="D290" s="187"/>
      <c r="E290" s="187"/>
      <c r="F290" s="187"/>
      <c r="G290" s="187"/>
      <c r="H290" s="187"/>
      <c r="I290" s="187"/>
      <c r="J290" s="187"/>
      <c r="K290" s="187"/>
      <c r="L290" s="187"/>
      <c r="M290" s="187"/>
      <c r="N290" s="187"/>
      <c r="O290" s="187"/>
      <c r="P290" s="187"/>
      <c r="Q290" s="187"/>
      <c r="R290" s="187"/>
      <c r="S290" s="187"/>
      <c r="T290" s="187"/>
      <c r="U290" s="187"/>
      <c r="V290" s="187"/>
      <c r="W290" s="187"/>
      <c r="X290" s="187"/>
      <c r="Y290" s="191"/>
      <c r="Z290" s="191"/>
      <c r="AA290" s="788"/>
      <c r="AB290" s="269"/>
    </row>
    <row r="291" spans="1:28" ht="15.75" customHeight="1" thickBot="1" x14ac:dyDescent="0.35">
      <c r="A291" s="187"/>
      <c r="B291" s="187"/>
      <c r="C291" s="187"/>
      <c r="D291" s="187"/>
      <c r="E291" s="187"/>
      <c r="F291" s="187"/>
      <c r="G291" s="187"/>
      <c r="H291" s="187"/>
      <c r="I291" s="187"/>
      <c r="J291" s="187"/>
      <c r="K291" s="187"/>
      <c r="L291" s="187"/>
      <c r="M291" s="187"/>
      <c r="N291" s="187"/>
      <c r="O291" s="187"/>
      <c r="P291" s="187"/>
      <c r="Q291" s="187"/>
      <c r="R291" s="187"/>
      <c r="S291" s="187"/>
      <c r="T291" s="187"/>
      <c r="U291" s="187"/>
      <c r="V291" s="187"/>
      <c r="W291" s="187"/>
      <c r="X291" s="187"/>
      <c r="Y291" s="191"/>
      <c r="Z291" s="191"/>
      <c r="AA291" s="788"/>
      <c r="AB291" s="269"/>
    </row>
    <row r="292" spans="1:28" ht="15.75" customHeight="1" thickBot="1" x14ac:dyDescent="0.35">
      <c r="A292" s="187"/>
      <c r="B292" s="187"/>
      <c r="C292" s="187"/>
      <c r="D292" s="187"/>
      <c r="E292" s="187"/>
      <c r="F292" s="187"/>
      <c r="G292" s="187"/>
      <c r="H292" s="187"/>
      <c r="I292" s="187"/>
      <c r="J292" s="187"/>
      <c r="K292" s="187"/>
      <c r="L292" s="187"/>
      <c r="M292" s="187"/>
      <c r="N292" s="187"/>
      <c r="O292" s="187"/>
      <c r="P292" s="187"/>
      <c r="Q292" s="187"/>
      <c r="R292" s="187"/>
      <c r="S292" s="187"/>
      <c r="T292" s="187"/>
      <c r="U292" s="187"/>
      <c r="V292" s="187"/>
      <c r="W292" s="187"/>
      <c r="X292" s="187"/>
      <c r="Y292" s="191"/>
      <c r="Z292" s="191"/>
      <c r="AA292" s="788"/>
      <c r="AB292" s="269"/>
    </row>
    <row r="293" spans="1:28" ht="15.75" customHeight="1" thickBot="1" x14ac:dyDescent="0.35">
      <c r="A293" s="187"/>
      <c r="B293" s="187"/>
      <c r="C293" s="187"/>
      <c r="D293" s="187"/>
      <c r="E293" s="187"/>
      <c r="F293" s="187"/>
      <c r="G293" s="187"/>
      <c r="H293" s="187"/>
      <c r="I293" s="187"/>
      <c r="J293" s="187"/>
      <c r="K293" s="187"/>
      <c r="L293" s="187"/>
      <c r="M293" s="187"/>
      <c r="N293" s="187"/>
      <c r="O293" s="187"/>
      <c r="P293" s="187"/>
      <c r="Q293" s="187"/>
      <c r="R293" s="187"/>
      <c r="S293" s="187"/>
      <c r="T293" s="187"/>
      <c r="U293" s="187"/>
      <c r="V293" s="187"/>
      <c r="W293" s="187"/>
      <c r="X293" s="187"/>
      <c r="Y293" s="191"/>
      <c r="Z293" s="191"/>
      <c r="AA293" s="788"/>
      <c r="AB293" s="269"/>
    </row>
    <row r="294" spans="1:28" ht="15.75" customHeight="1" thickBot="1" x14ac:dyDescent="0.35">
      <c r="A294" s="187"/>
      <c r="B294" s="187"/>
      <c r="C294" s="187"/>
      <c r="D294" s="187"/>
      <c r="E294" s="187"/>
      <c r="F294" s="187"/>
      <c r="G294" s="187"/>
      <c r="H294" s="187"/>
      <c r="I294" s="187"/>
      <c r="J294" s="187"/>
      <c r="K294" s="187"/>
      <c r="L294" s="187"/>
      <c r="M294" s="187"/>
      <c r="N294" s="187"/>
      <c r="O294" s="187"/>
      <c r="P294" s="187"/>
      <c r="Q294" s="187"/>
      <c r="R294" s="187"/>
      <c r="S294" s="187"/>
      <c r="T294" s="187"/>
      <c r="U294" s="187"/>
      <c r="V294" s="187"/>
      <c r="W294" s="187"/>
      <c r="X294" s="187"/>
      <c r="Y294" s="191"/>
      <c r="Z294" s="191"/>
      <c r="AA294" s="788"/>
      <c r="AB294" s="269"/>
    </row>
    <row r="295" spans="1:28" ht="15.75" customHeight="1" thickBot="1" x14ac:dyDescent="0.35">
      <c r="A295" s="187"/>
      <c r="B295" s="187"/>
      <c r="C295" s="187"/>
      <c r="D295" s="187"/>
      <c r="E295" s="187"/>
      <c r="F295" s="187"/>
      <c r="G295" s="187"/>
      <c r="H295" s="187"/>
      <c r="I295" s="187"/>
      <c r="J295" s="187"/>
      <c r="K295" s="187"/>
      <c r="L295" s="187"/>
      <c r="M295" s="187"/>
      <c r="N295" s="187"/>
      <c r="O295" s="187"/>
      <c r="P295" s="187"/>
      <c r="Q295" s="187"/>
      <c r="R295" s="187"/>
      <c r="S295" s="187"/>
      <c r="T295" s="187"/>
      <c r="U295" s="187"/>
      <c r="V295" s="187"/>
      <c r="W295" s="187"/>
      <c r="X295" s="187"/>
      <c r="Y295" s="191"/>
      <c r="Z295" s="191"/>
      <c r="AA295" s="788"/>
      <c r="AB295" s="269"/>
    </row>
    <row r="296" spans="1:28" ht="15.75" customHeight="1" thickBot="1" x14ac:dyDescent="0.35">
      <c r="A296" s="187"/>
      <c r="B296" s="187"/>
      <c r="C296" s="187"/>
      <c r="D296" s="187"/>
      <c r="E296" s="187"/>
      <c r="F296" s="187"/>
      <c r="G296" s="187"/>
      <c r="H296" s="187"/>
      <c r="I296" s="187"/>
      <c r="J296" s="187"/>
      <c r="K296" s="187"/>
      <c r="L296" s="187"/>
      <c r="M296" s="187"/>
      <c r="N296" s="187"/>
      <c r="O296" s="187"/>
      <c r="P296" s="187"/>
      <c r="Q296" s="187"/>
      <c r="R296" s="187"/>
      <c r="S296" s="187"/>
      <c r="T296" s="187"/>
      <c r="U296" s="187"/>
      <c r="V296" s="187"/>
      <c r="W296" s="187"/>
      <c r="X296" s="187"/>
      <c r="Y296" s="191"/>
      <c r="Z296" s="191"/>
      <c r="AA296" s="788"/>
      <c r="AB296" s="269"/>
    </row>
    <row r="297" spans="1:28" ht="15.75" customHeight="1" thickBot="1" x14ac:dyDescent="0.35">
      <c r="A297" s="187"/>
      <c r="B297" s="187"/>
      <c r="C297" s="187"/>
      <c r="D297" s="187"/>
      <c r="E297" s="187"/>
      <c r="F297" s="187"/>
      <c r="G297" s="187"/>
      <c r="H297" s="187"/>
      <c r="I297" s="187"/>
      <c r="J297" s="187"/>
      <c r="K297" s="187"/>
      <c r="L297" s="187"/>
      <c r="M297" s="187"/>
      <c r="N297" s="187"/>
      <c r="O297" s="187"/>
      <c r="P297" s="187"/>
      <c r="Q297" s="187"/>
      <c r="R297" s="187"/>
      <c r="S297" s="187"/>
      <c r="T297" s="187"/>
      <c r="U297" s="187"/>
      <c r="V297" s="187"/>
      <c r="W297" s="187"/>
      <c r="X297" s="187"/>
      <c r="Y297" s="191"/>
      <c r="Z297" s="191"/>
      <c r="AA297" s="788"/>
      <c r="AB297" s="269"/>
    </row>
    <row r="298" spans="1:28" ht="15.75" customHeight="1" thickBot="1" x14ac:dyDescent="0.35">
      <c r="A298" s="187"/>
      <c r="B298" s="187"/>
      <c r="C298" s="187"/>
      <c r="D298" s="187"/>
      <c r="E298" s="187"/>
      <c r="F298" s="187"/>
      <c r="G298" s="187"/>
      <c r="H298" s="187"/>
      <c r="I298" s="187"/>
      <c r="J298" s="187"/>
      <c r="K298" s="187"/>
      <c r="L298" s="187"/>
      <c r="M298" s="187"/>
      <c r="N298" s="187"/>
      <c r="O298" s="187"/>
      <c r="P298" s="187"/>
      <c r="Q298" s="187"/>
      <c r="R298" s="187"/>
      <c r="S298" s="187"/>
      <c r="T298" s="187"/>
      <c r="U298" s="187"/>
      <c r="V298" s="187"/>
      <c r="W298" s="187"/>
      <c r="X298" s="187"/>
      <c r="Y298" s="191"/>
      <c r="Z298" s="191"/>
      <c r="AA298" s="788"/>
      <c r="AB298" s="269"/>
    </row>
    <row r="299" spans="1:28" ht="15.75" customHeight="1" thickBot="1" x14ac:dyDescent="0.35">
      <c r="A299" s="187"/>
      <c r="B299" s="187"/>
      <c r="C299" s="187"/>
      <c r="D299" s="187"/>
      <c r="E299" s="187"/>
      <c r="F299" s="187"/>
      <c r="G299" s="187"/>
      <c r="H299" s="187"/>
      <c r="I299" s="187"/>
      <c r="J299" s="187"/>
      <c r="K299" s="187"/>
      <c r="L299" s="187"/>
      <c r="M299" s="187"/>
      <c r="N299" s="187"/>
      <c r="O299" s="187"/>
      <c r="P299" s="187"/>
      <c r="Q299" s="187"/>
      <c r="R299" s="187"/>
      <c r="S299" s="187"/>
      <c r="T299" s="187"/>
      <c r="U299" s="187"/>
      <c r="V299" s="187"/>
      <c r="W299" s="187"/>
      <c r="X299" s="187"/>
      <c r="Y299" s="191"/>
      <c r="Z299" s="191"/>
      <c r="AA299" s="788"/>
      <c r="AB299" s="269"/>
    </row>
    <row r="300" spans="1:28" ht="15.75" customHeight="1" thickBot="1" x14ac:dyDescent="0.35">
      <c r="A300" s="187"/>
      <c r="B300" s="187"/>
      <c r="C300" s="187"/>
      <c r="D300" s="187"/>
      <c r="E300" s="187"/>
      <c r="F300" s="187"/>
      <c r="G300" s="187"/>
      <c r="H300" s="187"/>
      <c r="I300" s="187"/>
      <c r="J300" s="187"/>
      <c r="K300" s="187"/>
      <c r="L300" s="187"/>
      <c r="M300" s="187"/>
      <c r="N300" s="187"/>
      <c r="O300" s="187"/>
      <c r="P300" s="187"/>
      <c r="Q300" s="187"/>
      <c r="R300" s="187"/>
      <c r="S300" s="187"/>
      <c r="T300" s="187"/>
      <c r="U300" s="187"/>
      <c r="V300" s="187"/>
      <c r="W300" s="187"/>
      <c r="X300" s="187"/>
      <c r="Y300" s="191"/>
      <c r="Z300" s="191"/>
      <c r="AA300" s="788"/>
      <c r="AB300" s="269"/>
    </row>
    <row r="301" spans="1:28" ht="15.75" customHeight="1" thickBot="1" x14ac:dyDescent="0.35">
      <c r="A301" s="187"/>
      <c r="B301" s="187"/>
      <c r="C301" s="187"/>
      <c r="D301" s="187"/>
      <c r="E301" s="187"/>
      <c r="F301" s="187"/>
      <c r="G301" s="187"/>
      <c r="H301" s="187"/>
      <c r="I301" s="187"/>
      <c r="J301" s="187"/>
      <c r="K301" s="187"/>
      <c r="L301" s="187"/>
      <c r="M301" s="187"/>
      <c r="N301" s="187"/>
      <c r="O301" s="187"/>
      <c r="P301" s="187"/>
      <c r="Q301" s="187"/>
      <c r="R301" s="187"/>
      <c r="S301" s="187"/>
      <c r="T301" s="187"/>
      <c r="U301" s="187"/>
      <c r="V301" s="187"/>
      <c r="W301" s="187"/>
      <c r="X301" s="187"/>
      <c r="Y301" s="191"/>
      <c r="Z301" s="191"/>
      <c r="AA301" s="788"/>
      <c r="AB301" s="269"/>
    </row>
    <row r="302" spans="1:28" ht="15.75" customHeight="1" thickBot="1" x14ac:dyDescent="0.35">
      <c r="A302" s="187"/>
      <c r="B302" s="187"/>
      <c r="C302" s="187"/>
      <c r="D302" s="187"/>
      <c r="E302" s="187"/>
      <c r="F302" s="187"/>
      <c r="G302" s="187"/>
      <c r="H302" s="187"/>
      <c r="I302" s="187"/>
      <c r="J302" s="187"/>
      <c r="K302" s="187"/>
      <c r="L302" s="187"/>
      <c r="M302" s="187"/>
      <c r="N302" s="187"/>
      <c r="O302" s="187"/>
      <c r="P302" s="187"/>
      <c r="Q302" s="187"/>
      <c r="R302" s="187"/>
      <c r="S302" s="187"/>
      <c r="T302" s="187"/>
      <c r="U302" s="187"/>
      <c r="V302" s="187"/>
      <c r="W302" s="187"/>
      <c r="X302" s="187"/>
      <c r="Y302" s="191"/>
      <c r="Z302" s="191"/>
      <c r="AA302" s="788"/>
      <c r="AB302" s="269"/>
    </row>
    <row r="303" spans="1:28" ht="15.75" customHeight="1" thickBot="1" x14ac:dyDescent="0.35">
      <c r="A303" s="187"/>
      <c r="B303" s="187"/>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187"/>
      <c r="Y303" s="191"/>
      <c r="Z303" s="191"/>
      <c r="AA303" s="788"/>
      <c r="AB303" s="269"/>
    </row>
    <row r="304" spans="1:28" ht="15.75" customHeight="1" thickBot="1" x14ac:dyDescent="0.35">
      <c r="A304" s="187"/>
      <c r="B304" s="187"/>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187"/>
      <c r="Y304" s="191"/>
      <c r="Z304" s="191"/>
      <c r="AA304" s="788"/>
      <c r="AB304" s="269"/>
    </row>
    <row r="305" spans="1:28" ht="15.75" customHeight="1" thickBot="1" x14ac:dyDescent="0.35">
      <c r="A305" s="187"/>
      <c r="B305" s="187"/>
      <c r="C305" s="187"/>
      <c r="D305" s="187"/>
      <c r="E305" s="187"/>
      <c r="F305" s="187"/>
      <c r="G305" s="187"/>
      <c r="H305" s="187"/>
      <c r="I305" s="187"/>
      <c r="J305" s="187"/>
      <c r="K305" s="187"/>
      <c r="L305" s="187"/>
      <c r="M305" s="187"/>
      <c r="N305" s="187"/>
      <c r="O305" s="187"/>
      <c r="P305" s="187"/>
      <c r="Q305" s="187"/>
      <c r="R305" s="187"/>
      <c r="S305" s="187"/>
      <c r="T305" s="187"/>
      <c r="U305" s="187"/>
      <c r="V305" s="187"/>
      <c r="W305" s="187"/>
      <c r="X305" s="187"/>
      <c r="Y305" s="191"/>
      <c r="Z305" s="191"/>
      <c r="AA305" s="788"/>
      <c r="AB305" s="269"/>
    </row>
    <row r="306" spans="1:28" ht="15.75" customHeight="1" thickBot="1" x14ac:dyDescent="0.35">
      <c r="A306" s="187"/>
      <c r="B306" s="187"/>
      <c r="C306" s="187"/>
      <c r="D306" s="187"/>
      <c r="E306" s="187"/>
      <c r="F306" s="187"/>
      <c r="G306" s="187"/>
      <c r="H306" s="187"/>
      <c r="I306" s="187"/>
      <c r="J306" s="187"/>
      <c r="K306" s="187"/>
      <c r="L306" s="187"/>
      <c r="M306" s="187"/>
      <c r="N306" s="187"/>
      <c r="O306" s="187"/>
      <c r="P306" s="187"/>
      <c r="Q306" s="187"/>
      <c r="R306" s="187"/>
      <c r="S306" s="187"/>
      <c r="T306" s="187"/>
      <c r="U306" s="187"/>
      <c r="V306" s="187"/>
      <c r="W306" s="187"/>
      <c r="X306" s="187"/>
      <c r="Y306" s="191"/>
      <c r="Z306" s="191"/>
      <c r="AA306" s="788"/>
      <c r="AB306" s="269"/>
    </row>
    <row r="307" spans="1:28" ht="15.75" customHeight="1" thickBot="1" x14ac:dyDescent="0.35">
      <c r="A307" s="187"/>
      <c r="B307" s="187"/>
      <c r="C307" s="187"/>
      <c r="D307" s="187"/>
      <c r="E307" s="187"/>
      <c r="F307" s="187"/>
      <c r="G307" s="187"/>
      <c r="H307" s="187"/>
      <c r="I307" s="187"/>
      <c r="J307" s="187"/>
      <c r="K307" s="187"/>
      <c r="L307" s="187"/>
      <c r="M307" s="187"/>
      <c r="N307" s="187"/>
      <c r="O307" s="187"/>
      <c r="P307" s="187"/>
      <c r="Q307" s="187"/>
      <c r="R307" s="187"/>
      <c r="S307" s="187"/>
      <c r="T307" s="187"/>
      <c r="U307" s="187"/>
      <c r="V307" s="187"/>
      <c r="W307" s="187"/>
      <c r="X307" s="187"/>
      <c r="Y307" s="191"/>
      <c r="Z307" s="191"/>
      <c r="AA307" s="788"/>
      <c r="AB307" s="269"/>
    </row>
    <row r="308" spans="1:28" ht="15.75" customHeight="1" thickBot="1" x14ac:dyDescent="0.35">
      <c r="A308" s="187"/>
      <c r="B308" s="187"/>
      <c r="C308" s="187"/>
      <c r="D308" s="187"/>
      <c r="E308" s="187"/>
      <c r="F308" s="187"/>
      <c r="G308" s="187"/>
      <c r="H308" s="187"/>
      <c r="I308" s="187"/>
      <c r="J308" s="187"/>
      <c r="K308" s="187"/>
      <c r="L308" s="187"/>
      <c r="M308" s="187"/>
      <c r="N308" s="187"/>
      <c r="O308" s="187"/>
      <c r="P308" s="187"/>
      <c r="Q308" s="187"/>
      <c r="R308" s="187"/>
      <c r="S308" s="187"/>
      <c r="T308" s="187"/>
      <c r="U308" s="187"/>
      <c r="V308" s="187"/>
      <c r="W308" s="187"/>
      <c r="X308" s="187"/>
      <c r="Y308" s="191"/>
      <c r="Z308" s="191"/>
      <c r="AA308" s="788"/>
      <c r="AB308" s="269"/>
    </row>
    <row r="309" spans="1:28" ht="15.75" customHeight="1" thickBot="1" x14ac:dyDescent="0.35">
      <c r="A309" s="187"/>
      <c r="B309" s="187"/>
      <c r="C309" s="187"/>
      <c r="D309" s="187"/>
      <c r="E309" s="187"/>
      <c r="F309" s="187"/>
      <c r="G309" s="187"/>
      <c r="H309" s="187"/>
      <c r="I309" s="187"/>
      <c r="J309" s="187"/>
      <c r="K309" s="187"/>
      <c r="L309" s="187"/>
      <c r="M309" s="187"/>
      <c r="N309" s="187"/>
      <c r="O309" s="187"/>
      <c r="P309" s="187"/>
      <c r="Q309" s="187"/>
      <c r="R309" s="187"/>
      <c r="S309" s="187"/>
      <c r="T309" s="187"/>
      <c r="U309" s="187"/>
      <c r="V309" s="187"/>
      <c r="W309" s="187"/>
      <c r="X309" s="187"/>
      <c r="Y309" s="191"/>
      <c r="Z309" s="191"/>
      <c r="AA309" s="788"/>
      <c r="AB309" s="269"/>
    </row>
    <row r="310" spans="1:28" ht="15.75" customHeight="1" thickBot="1" x14ac:dyDescent="0.35">
      <c r="A310" s="187"/>
      <c r="B310" s="187"/>
      <c r="C310" s="187"/>
      <c r="D310" s="187"/>
      <c r="E310" s="187"/>
      <c r="F310" s="187"/>
      <c r="G310" s="187"/>
      <c r="H310" s="187"/>
      <c r="I310" s="187"/>
      <c r="J310" s="187"/>
      <c r="K310" s="187"/>
      <c r="L310" s="187"/>
      <c r="M310" s="187"/>
      <c r="N310" s="187"/>
      <c r="O310" s="187"/>
      <c r="P310" s="187"/>
      <c r="Q310" s="187"/>
      <c r="R310" s="187"/>
      <c r="S310" s="187"/>
      <c r="T310" s="187"/>
      <c r="U310" s="187"/>
      <c r="V310" s="187"/>
      <c r="W310" s="187"/>
      <c r="X310" s="187"/>
      <c r="Y310" s="191"/>
      <c r="Z310" s="191"/>
      <c r="AA310" s="788"/>
      <c r="AB310" s="269"/>
    </row>
    <row r="311" spans="1:28" ht="15.75" customHeight="1" thickBot="1" x14ac:dyDescent="0.35">
      <c r="A311" s="187"/>
      <c r="B311" s="187"/>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187"/>
      <c r="Y311" s="191"/>
      <c r="Z311" s="191"/>
      <c r="AA311" s="788"/>
      <c r="AB311" s="269"/>
    </row>
    <row r="312" spans="1:28" ht="15.75" customHeight="1" thickBot="1" x14ac:dyDescent="0.35">
      <c r="A312" s="187"/>
      <c r="B312" s="187"/>
      <c r="C312" s="187"/>
      <c r="D312" s="187"/>
      <c r="E312" s="187"/>
      <c r="F312" s="187"/>
      <c r="G312" s="187"/>
      <c r="H312" s="187"/>
      <c r="I312" s="187"/>
      <c r="J312" s="187"/>
      <c r="K312" s="187"/>
      <c r="L312" s="187"/>
      <c r="M312" s="187"/>
      <c r="N312" s="187"/>
      <c r="O312" s="187"/>
      <c r="P312" s="187"/>
      <c r="Q312" s="187"/>
      <c r="R312" s="187"/>
      <c r="S312" s="187"/>
      <c r="T312" s="187"/>
      <c r="U312" s="187"/>
      <c r="V312" s="187"/>
      <c r="W312" s="187"/>
      <c r="X312" s="187"/>
      <c r="Y312" s="191"/>
      <c r="Z312" s="191"/>
      <c r="AA312" s="788"/>
      <c r="AB312" s="269"/>
    </row>
    <row r="313" spans="1:28" ht="15.75" customHeight="1" thickBot="1" x14ac:dyDescent="0.35">
      <c r="A313" s="187"/>
      <c r="B313" s="187"/>
      <c r="C313" s="187"/>
      <c r="D313" s="187"/>
      <c r="E313" s="187"/>
      <c r="F313" s="187"/>
      <c r="G313" s="187"/>
      <c r="H313" s="187"/>
      <c r="I313" s="187"/>
      <c r="J313" s="187"/>
      <c r="K313" s="187"/>
      <c r="L313" s="187"/>
      <c r="M313" s="187"/>
      <c r="N313" s="187"/>
      <c r="O313" s="187"/>
      <c r="P313" s="187"/>
      <c r="Q313" s="187"/>
      <c r="R313" s="187"/>
      <c r="S313" s="187"/>
      <c r="T313" s="187"/>
      <c r="U313" s="187"/>
      <c r="V313" s="187"/>
      <c r="W313" s="187"/>
      <c r="X313" s="187"/>
      <c r="Y313" s="191"/>
      <c r="Z313" s="191"/>
      <c r="AA313" s="788"/>
      <c r="AB313" s="269"/>
    </row>
    <row r="314" spans="1:28" ht="15.75" customHeight="1" thickBot="1" x14ac:dyDescent="0.35">
      <c r="A314" s="187"/>
      <c r="B314" s="187"/>
      <c r="C314" s="187"/>
      <c r="D314" s="187"/>
      <c r="E314" s="187"/>
      <c r="F314" s="187"/>
      <c r="G314" s="187"/>
      <c r="H314" s="187"/>
      <c r="I314" s="187"/>
      <c r="J314" s="187"/>
      <c r="K314" s="187"/>
      <c r="L314" s="187"/>
      <c r="M314" s="187"/>
      <c r="N314" s="187"/>
      <c r="O314" s="187"/>
      <c r="P314" s="187"/>
      <c r="Q314" s="187"/>
      <c r="R314" s="187"/>
      <c r="S314" s="187"/>
      <c r="T314" s="187"/>
      <c r="U314" s="187"/>
      <c r="V314" s="187"/>
      <c r="W314" s="187"/>
      <c r="X314" s="187"/>
      <c r="Y314" s="191"/>
      <c r="Z314" s="191"/>
      <c r="AA314" s="788"/>
      <c r="AB314" s="269"/>
    </row>
    <row r="315" spans="1:28" ht="15.75" customHeight="1" thickBot="1" x14ac:dyDescent="0.35">
      <c r="A315" s="187"/>
      <c r="B315" s="187"/>
      <c r="C315" s="187"/>
      <c r="D315" s="187"/>
      <c r="E315" s="187"/>
      <c r="F315" s="187"/>
      <c r="G315" s="187"/>
      <c r="H315" s="187"/>
      <c r="I315" s="187"/>
      <c r="J315" s="187"/>
      <c r="K315" s="187"/>
      <c r="L315" s="187"/>
      <c r="M315" s="187"/>
      <c r="N315" s="187"/>
      <c r="O315" s="187"/>
      <c r="P315" s="187"/>
      <c r="Q315" s="187"/>
      <c r="R315" s="187"/>
      <c r="S315" s="187"/>
      <c r="T315" s="187"/>
      <c r="U315" s="187"/>
      <c r="V315" s="187"/>
      <c r="W315" s="187"/>
      <c r="X315" s="187"/>
      <c r="Y315" s="191"/>
      <c r="Z315" s="191"/>
      <c r="AA315" s="788"/>
      <c r="AB315" s="269"/>
    </row>
    <row r="316" spans="1:28" ht="15.75" customHeight="1" thickBot="1" x14ac:dyDescent="0.35">
      <c r="A316" s="187"/>
      <c r="B316" s="187"/>
      <c r="C316" s="187"/>
      <c r="D316" s="187"/>
      <c r="E316" s="187"/>
      <c r="F316" s="187"/>
      <c r="G316" s="187"/>
      <c r="H316" s="187"/>
      <c r="I316" s="187"/>
      <c r="J316" s="187"/>
      <c r="K316" s="187"/>
      <c r="L316" s="187"/>
      <c r="M316" s="187"/>
      <c r="N316" s="187"/>
      <c r="O316" s="187"/>
      <c r="P316" s="187"/>
      <c r="Q316" s="187"/>
      <c r="R316" s="187"/>
      <c r="S316" s="187"/>
      <c r="T316" s="187"/>
      <c r="U316" s="187"/>
      <c r="V316" s="187"/>
      <c r="W316" s="187"/>
      <c r="X316" s="187"/>
      <c r="Y316" s="191"/>
      <c r="Z316" s="191"/>
      <c r="AA316" s="788"/>
      <c r="AB316" s="269"/>
    </row>
    <row r="317" spans="1:28" ht="15.75" customHeight="1" thickBot="1" x14ac:dyDescent="0.35">
      <c r="A317" s="187"/>
      <c r="B317" s="187"/>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187"/>
      <c r="Y317" s="191"/>
      <c r="Z317" s="191"/>
      <c r="AA317" s="788"/>
      <c r="AB317" s="269"/>
    </row>
    <row r="318" spans="1:28" ht="15.75" customHeight="1" thickBot="1" x14ac:dyDescent="0.35">
      <c r="A318" s="187"/>
      <c r="B318" s="187"/>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187"/>
      <c r="Y318" s="191"/>
      <c r="Z318" s="191"/>
      <c r="AA318" s="788"/>
      <c r="AB318" s="269"/>
    </row>
    <row r="319" spans="1:28" ht="15.75" customHeight="1" thickBot="1" x14ac:dyDescent="0.35">
      <c r="A319" s="187"/>
      <c r="B319" s="187"/>
      <c r="C319" s="187"/>
      <c r="D319" s="187"/>
      <c r="E319" s="187"/>
      <c r="F319" s="187"/>
      <c r="G319" s="187"/>
      <c r="H319" s="187"/>
      <c r="I319" s="187"/>
      <c r="J319" s="187"/>
      <c r="K319" s="187"/>
      <c r="L319" s="187"/>
      <c r="M319" s="187"/>
      <c r="N319" s="187"/>
      <c r="O319" s="187"/>
      <c r="P319" s="187"/>
      <c r="Q319" s="187"/>
      <c r="R319" s="187"/>
      <c r="S319" s="187"/>
      <c r="T319" s="187"/>
      <c r="U319" s="187"/>
      <c r="V319" s="187"/>
      <c r="W319" s="187"/>
      <c r="X319" s="187"/>
      <c r="Y319" s="191"/>
      <c r="Z319" s="191"/>
      <c r="AA319" s="788"/>
      <c r="AB319" s="269"/>
    </row>
    <row r="320" spans="1:28" ht="15.75" customHeight="1" thickBot="1" x14ac:dyDescent="0.35">
      <c r="A320" s="187"/>
      <c r="B320" s="187"/>
      <c r="C320" s="187"/>
      <c r="D320" s="187"/>
      <c r="E320" s="187"/>
      <c r="F320" s="187"/>
      <c r="G320" s="187"/>
      <c r="H320" s="187"/>
      <c r="I320" s="187"/>
      <c r="J320" s="187"/>
      <c r="K320" s="187"/>
      <c r="L320" s="187"/>
      <c r="M320" s="187"/>
      <c r="N320" s="187"/>
      <c r="O320" s="187"/>
      <c r="P320" s="187"/>
      <c r="Q320" s="187"/>
      <c r="R320" s="187"/>
      <c r="S320" s="187"/>
      <c r="T320" s="187"/>
      <c r="U320" s="187"/>
      <c r="V320" s="187"/>
      <c r="W320" s="187"/>
      <c r="X320" s="187"/>
      <c r="Y320" s="191"/>
      <c r="Z320" s="191"/>
      <c r="AA320" s="788"/>
      <c r="AB320" s="269"/>
    </row>
    <row r="321" spans="1:28" ht="15.75" customHeight="1" thickBot="1" x14ac:dyDescent="0.35">
      <c r="A321" s="187"/>
      <c r="B321" s="187"/>
      <c r="C321" s="187"/>
      <c r="D321" s="187"/>
      <c r="E321" s="187"/>
      <c r="F321" s="187"/>
      <c r="G321" s="187"/>
      <c r="H321" s="187"/>
      <c r="I321" s="187"/>
      <c r="J321" s="187"/>
      <c r="K321" s="187"/>
      <c r="L321" s="187"/>
      <c r="M321" s="187"/>
      <c r="N321" s="187"/>
      <c r="O321" s="187"/>
      <c r="P321" s="187"/>
      <c r="Q321" s="187"/>
      <c r="R321" s="187"/>
      <c r="S321" s="187"/>
      <c r="T321" s="187"/>
      <c r="U321" s="187"/>
      <c r="V321" s="187"/>
      <c r="W321" s="187"/>
      <c r="X321" s="187"/>
      <c r="Y321" s="191"/>
      <c r="Z321" s="191"/>
      <c r="AA321" s="788"/>
      <c r="AB321" s="269"/>
    </row>
    <row r="322" spans="1:28" ht="15.75" customHeight="1" thickBot="1" x14ac:dyDescent="0.35">
      <c r="A322" s="187"/>
      <c r="B322" s="187"/>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187"/>
      <c r="Y322" s="191"/>
      <c r="Z322" s="191"/>
      <c r="AA322" s="788"/>
      <c r="AB322" s="269"/>
    </row>
    <row r="323" spans="1:28" ht="15.75" customHeight="1" thickBot="1" x14ac:dyDescent="0.35">
      <c r="A323" s="187"/>
      <c r="B323" s="187"/>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91"/>
      <c r="Z323" s="191"/>
      <c r="AA323" s="788"/>
      <c r="AB323" s="269"/>
    </row>
    <row r="324" spans="1:28" ht="15.75" customHeight="1" thickBot="1" x14ac:dyDescent="0.35">
      <c r="A324" s="187"/>
      <c r="B324" s="187"/>
      <c r="C324" s="187"/>
      <c r="D324" s="187"/>
      <c r="E324" s="187"/>
      <c r="F324" s="187"/>
      <c r="G324" s="187"/>
      <c r="H324" s="187"/>
      <c r="I324" s="187"/>
      <c r="J324" s="187"/>
      <c r="K324" s="187"/>
      <c r="L324" s="187"/>
      <c r="M324" s="187"/>
      <c r="N324" s="187"/>
      <c r="O324" s="187"/>
      <c r="P324" s="187"/>
      <c r="Q324" s="187"/>
      <c r="R324" s="187"/>
      <c r="S324" s="187"/>
      <c r="T324" s="187"/>
      <c r="U324" s="187"/>
      <c r="V324" s="187"/>
      <c r="W324" s="187"/>
      <c r="X324" s="187"/>
      <c r="Y324" s="191"/>
      <c r="Z324" s="191"/>
      <c r="AA324" s="788"/>
      <c r="AB324" s="269"/>
    </row>
    <row r="325" spans="1:28" ht="15.75" customHeight="1" thickBot="1" x14ac:dyDescent="0.35">
      <c r="A325" s="187"/>
      <c r="B325" s="187"/>
      <c r="C325" s="187"/>
      <c r="D325" s="187"/>
      <c r="E325" s="187"/>
      <c r="F325" s="187"/>
      <c r="G325" s="187"/>
      <c r="H325" s="187"/>
      <c r="I325" s="187"/>
      <c r="J325" s="187"/>
      <c r="K325" s="187"/>
      <c r="L325" s="187"/>
      <c r="M325" s="187"/>
      <c r="N325" s="187"/>
      <c r="O325" s="187"/>
      <c r="P325" s="187"/>
      <c r="Q325" s="187"/>
      <c r="R325" s="187"/>
      <c r="S325" s="187"/>
      <c r="T325" s="187"/>
      <c r="U325" s="187"/>
      <c r="V325" s="187"/>
      <c r="W325" s="187"/>
      <c r="X325" s="187"/>
      <c r="Y325" s="191"/>
      <c r="Z325" s="191"/>
      <c r="AA325" s="788"/>
      <c r="AB325" s="269"/>
    </row>
    <row r="326" spans="1:28" ht="15.75" customHeight="1" thickBot="1" x14ac:dyDescent="0.35">
      <c r="A326" s="187"/>
      <c r="B326" s="187"/>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187"/>
      <c r="Y326" s="191"/>
      <c r="Z326" s="191"/>
      <c r="AA326" s="788"/>
      <c r="AB326" s="269"/>
    </row>
    <row r="327" spans="1:28" ht="15.75" customHeight="1" thickBot="1" x14ac:dyDescent="0.35">
      <c r="A327" s="187"/>
      <c r="B327" s="187"/>
      <c r="C327" s="187"/>
      <c r="D327" s="187"/>
      <c r="E327" s="187"/>
      <c r="F327" s="187"/>
      <c r="G327" s="187"/>
      <c r="H327" s="187"/>
      <c r="I327" s="187"/>
      <c r="J327" s="187"/>
      <c r="K327" s="187"/>
      <c r="L327" s="187"/>
      <c r="M327" s="187"/>
      <c r="N327" s="187"/>
      <c r="O327" s="187"/>
      <c r="P327" s="187"/>
      <c r="Q327" s="187"/>
      <c r="R327" s="187"/>
      <c r="S327" s="187"/>
      <c r="T327" s="187"/>
      <c r="U327" s="187"/>
      <c r="V327" s="187"/>
      <c r="W327" s="187"/>
      <c r="X327" s="187"/>
      <c r="Y327" s="191"/>
      <c r="Z327" s="191"/>
      <c r="AA327" s="788"/>
      <c r="AB327" s="269"/>
    </row>
    <row r="328" spans="1:28" ht="15.75" customHeight="1" thickBot="1" x14ac:dyDescent="0.35">
      <c r="A328" s="187"/>
      <c r="B328" s="187"/>
      <c r="C328" s="187"/>
      <c r="D328" s="187"/>
      <c r="E328" s="187"/>
      <c r="F328" s="187"/>
      <c r="G328" s="187"/>
      <c r="H328" s="187"/>
      <c r="I328" s="187"/>
      <c r="J328" s="187"/>
      <c r="K328" s="187"/>
      <c r="L328" s="187"/>
      <c r="M328" s="187"/>
      <c r="N328" s="187"/>
      <c r="O328" s="187"/>
      <c r="P328" s="187"/>
      <c r="Q328" s="187"/>
      <c r="R328" s="187"/>
      <c r="S328" s="187"/>
      <c r="T328" s="187"/>
      <c r="U328" s="187"/>
      <c r="V328" s="187"/>
      <c r="W328" s="187"/>
      <c r="X328" s="187"/>
      <c r="Y328" s="191"/>
      <c r="Z328" s="191"/>
      <c r="AA328" s="788"/>
      <c r="AB328" s="269"/>
    </row>
    <row r="329" spans="1:28" ht="15.75" customHeight="1" thickBot="1" x14ac:dyDescent="0.35">
      <c r="A329" s="187"/>
      <c r="B329" s="187"/>
      <c r="C329" s="187"/>
      <c r="D329" s="187"/>
      <c r="E329" s="187"/>
      <c r="F329" s="187"/>
      <c r="G329" s="187"/>
      <c r="H329" s="187"/>
      <c r="I329" s="187"/>
      <c r="J329" s="187"/>
      <c r="K329" s="187"/>
      <c r="L329" s="187"/>
      <c r="M329" s="187"/>
      <c r="N329" s="187"/>
      <c r="O329" s="187"/>
      <c r="P329" s="187"/>
      <c r="Q329" s="187"/>
      <c r="R329" s="187"/>
      <c r="S329" s="187"/>
      <c r="T329" s="187"/>
      <c r="U329" s="187"/>
      <c r="V329" s="187"/>
      <c r="W329" s="187"/>
      <c r="X329" s="187"/>
      <c r="Y329" s="191"/>
      <c r="Z329" s="191"/>
      <c r="AA329" s="788"/>
      <c r="AB329" s="269"/>
    </row>
    <row r="330" spans="1:28" ht="15.75" customHeight="1" thickBot="1" x14ac:dyDescent="0.35">
      <c r="A330" s="187"/>
      <c r="B330" s="187"/>
      <c r="C330" s="187"/>
      <c r="D330" s="187"/>
      <c r="E330" s="187"/>
      <c r="F330" s="187"/>
      <c r="G330" s="187"/>
      <c r="H330" s="187"/>
      <c r="I330" s="187"/>
      <c r="J330" s="187"/>
      <c r="K330" s="187"/>
      <c r="L330" s="187"/>
      <c r="M330" s="187"/>
      <c r="N330" s="187"/>
      <c r="O330" s="187"/>
      <c r="P330" s="187"/>
      <c r="Q330" s="187"/>
      <c r="R330" s="187"/>
      <c r="S330" s="187"/>
      <c r="T330" s="187"/>
      <c r="U330" s="187"/>
      <c r="V330" s="187"/>
      <c r="W330" s="187"/>
      <c r="X330" s="187"/>
      <c r="Y330" s="191"/>
      <c r="Z330" s="191"/>
      <c r="AA330" s="788"/>
      <c r="AB330" s="269"/>
    </row>
    <row r="331" spans="1:28" ht="15.75" customHeight="1" thickBot="1" x14ac:dyDescent="0.35">
      <c r="A331" s="187"/>
      <c r="B331" s="187"/>
      <c r="C331" s="187"/>
      <c r="D331" s="187"/>
      <c r="E331" s="187"/>
      <c r="F331" s="187"/>
      <c r="G331" s="187"/>
      <c r="H331" s="187"/>
      <c r="I331" s="187"/>
      <c r="J331" s="187"/>
      <c r="K331" s="187"/>
      <c r="L331" s="187"/>
      <c r="M331" s="187"/>
      <c r="N331" s="187"/>
      <c r="O331" s="187"/>
      <c r="P331" s="187"/>
      <c r="Q331" s="187"/>
      <c r="R331" s="187"/>
      <c r="S331" s="187"/>
      <c r="T331" s="187"/>
      <c r="U331" s="187"/>
      <c r="V331" s="187"/>
      <c r="W331" s="187"/>
      <c r="X331" s="187"/>
      <c r="Y331" s="191"/>
      <c r="Z331" s="191"/>
      <c r="AA331" s="788"/>
      <c r="AB331" s="269"/>
    </row>
    <row r="332" spans="1:28" ht="15.75" customHeight="1" thickBot="1" x14ac:dyDescent="0.35">
      <c r="A332" s="187"/>
      <c r="B332" s="187"/>
      <c r="C332" s="187"/>
      <c r="D332" s="187"/>
      <c r="E332" s="187"/>
      <c r="F332" s="187"/>
      <c r="G332" s="187"/>
      <c r="H332" s="187"/>
      <c r="I332" s="187"/>
      <c r="J332" s="187"/>
      <c r="K332" s="187"/>
      <c r="L332" s="187"/>
      <c r="M332" s="187"/>
      <c r="N332" s="187"/>
      <c r="O332" s="187"/>
      <c r="P332" s="187"/>
      <c r="Q332" s="187"/>
      <c r="R332" s="187"/>
      <c r="S332" s="187"/>
      <c r="T332" s="187"/>
      <c r="U332" s="187"/>
      <c r="V332" s="187"/>
      <c r="W332" s="187"/>
      <c r="X332" s="187"/>
      <c r="Y332" s="191"/>
      <c r="Z332" s="191"/>
      <c r="AA332" s="788"/>
      <c r="AB332" s="269"/>
    </row>
    <row r="333" spans="1:28" ht="15.75" customHeight="1" thickBot="1" x14ac:dyDescent="0.35">
      <c r="A333" s="187"/>
      <c r="B333" s="187"/>
      <c r="C333" s="187"/>
      <c r="D333" s="187"/>
      <c r="E333" s="187"/>
      <c r="F333" s="187"/>
      <c r="G333" s="187"/>
      <c r="H333" s="187"/>
      <c r="I333" s="187"/>
      <c r="J333" s="187"/>
      <c r="K333" s="187"/>
      <c r="L333" s="187"/>
      <c r="M333" s="187"/>
      <c r="N333" s="187"/>
      <c r="O333" s="187"/>
      <c r="P333" s="187"/>
      <c r="Q333" s="187"/>
      <c r="R333" s="187"/>
      <c r="S333" s="187"/>
      <c r="T333" s="187"/>
      <c r="U333" s="187"/>
      <c r="V333" s="187"/>
      <c r="W333" s="187"/>
      <c r="X333" s="187"/>
      <c r="Y333" s="191"/>
      <c r="Z333" s="191"/>
      <c r="AA333" s="788"/>
      <c r="AB333" s="269"/>
    </row>
    <row r="334" spans="1:28" ht="15.75" customHeight="1" thickBot="1" x14ac:dyDescent="0.35">
      <c r="A334" s="187"/>
      <c r="B334" s="187"/>
      <c r="C334" s="187"/>
      <c r="D334" s="187"/>
      <c r="E334" s="187"/>
      <c r="F334" s="187"/>
      <c r="G334" s="187"/>
      <c r="H334" s="187"/>
      <c r="I334" s="187"/>
      <c r="J334" s="187"/>
      <c r="K334" s="187"/>
      <c r="L334" s="187"/>
      <c r="M334" s="187"/>
      <c r="N334" s="187"/>
      <c r="O334" s="187"/>
      <c r="P334" s="187"/>
      <c r="Q334" s="187"/>
      <c r="R334" s="187"/>
      <c r="S334" s="187"/>
      <c r="T334" s="187"/>
      <c r="U334" s="187"/>
      <c r="V334" s="187"/>
      <c r="W334" s="187"/>
      <c r="X334" s="187"/>
      <c r="Y334" s="191"/>
      <c r="Z334" s="191"/>
      <c r="AA334" s="788"/>
      <c r="AB334" s="269"/>
    </row>
    <row r="335" spans="1:28" ht="15.75" customHeight="1" thickBot="1" x14ac:dyDescent="0.35">
      <c r="A335" s="187"/>
      <c r="B335" s="187"/>
      <c r="C335" s="187"/>
      <c r="D335" s="187"/>
      <c r="E335" s="187"/>
      <c r="F335" s="187"/>
      <c r="G335" s="187"/>
      <c r="H335" s="187"/>
      <c r="I335" s="187"/>
      <c r="J335" s="187"/>
      <c r="K335" s="187"/>
      <c r="L335" s="187"/>
      <c r="M335" s="187"/>
      <c r="N335" s="187"/>
      <c r="O335" s="187"/>
      <c r="P335" s="187"/>
      <c r="Q335" s="187"/>
      <c r="R335" s="187"/>
      <c r="S335" s="187"/>
      <c r="T335" s="187"/>
      <c r="U335" s="187"/>
      <c r="V335" s="187"/>
      <c r="W335" s="187"/>
      <c r="X335" s="187"/>
      <c r="Y335" s="191"/>
      <c r="Z335" s="191"/>
      <c r="AA335" s="788"/>
      <c r="AB335" s="269"/>
    </row>
    <row r="336" spans="1:28" ht="15.75" customHeight="1" thickBot="1" x14ac:dyDescent="0.35">
      <c r="A336" s="187"/>
      <c r="B336" s="187"/>
      <c r="C336" s="187"/>
      <c r="D336" s="187"/>
      <c r="E336" s="187"/>
      <c r="F336" s="187"/>
      <c r="G336" s="187"/>
      <c r="H336" s="187"/>
      <c r="I336" s="187"/>
      <c r="J336" s="187"/>
      <c r="K336" s="187"/>
      <c r="L336" s="187"/>
      <c r="M336" s="187"/>
      <c r="N336" s="187"/>
      <c r="O336" s="187"/>
      <c r="P336" s="187"/>
      <c r="Q336" s="187"/>
      <c r="R336" s="187"/>
      <c r="S336" s="187"/>
      <c r="T336" s="187"/>
      <c r="U336" s="187"/>
      <c r="V336" s="187"/>
      <c r="W336" s="187"/>
      <c r="X336" s="187"/>
      <c r="Y336" s="191"/>
      <c r="Z336" s="191"/>
      <c r="AA336" s="788"/>
      <c r="AB336" s="269"/>
    </row>
    <row r="337" spans="1:28" ht="15.75" customHeight="1" thickBot="1" x14ac:dyDescent="0.35">
      <c r="A337" s="187"/>
      <c r="B337" s="187"/>
      <c r="C337" s="187"/>
      <c r="D337" s="187"/>
      <c r="E337" s="187"/>
      <c r="F337" s="187"/>
      <c r="G337" s="187"/>
      <c r="H337" s="187"/>
      <c r="I337" s="187"/>
      <c r="J337" s="187"/>
      <c r="K337" s="187"/>
      <c r="L337" s="187"/>
      <c r="M337" s="187"/>
      <c r="N337" s="187"/>
      <c r="O337" s="187"/>
      <c r="P337" s="187"/>
      <c r="Q337" s="187"/>
      <c r="R337" s="187"/>
      <c r="S337" s="187"/>
      <c r="T337" s="187"/>
      <c r="U337" s="187"/>
      <c r="V337" s="187"/>
      <c r="W337" s="187"/>
      <c r="X337" s="187"/>
      <c r="Y337" s="191"/>
      <c r="Z337" s="191"/>
      <c r="AA337" s="788"/>
      <c r="AB337" s="269"/>
    </row>
    <row r="338" spans="1:28" ht="15.75" customHeight="1" thickBot="1" x14ac:dyDescent="0.35">
      <c r="A338" s="187"/>
      <c r="B338" s="187"/>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187"/>
      <c r="Y338" s="191"/>
      <c r="Z338" s="191"/>
      <c r="AA338" s="788"/>
      <c r="AB338" s="269"/>
    </row>
    <row r="339" spans="1:28" ht="15.75" customHeight="1" thickBot="1" x14ac:dyDescent="0.35">
      <c r="A339" s="187"/>
      <c r="B339" s="187"/>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91"/>
      <c r="Z339" s="191"/>
      <c r="AA339" s="788"/>
      <c r="AB339" s="269"/>
    </row>
    <row r="340" spans="1:28" ht="15.75" customHeight="1" thickBot="1" x14ac:dyDescent="0.35">
      <c r="A340" s="187"/>
      <c r="B340" s="187"/>
      <c r="C340" s="187"/>
      <c r="D340" s="187"/>
      <c r="E340" s="187"/>
      <c r="F340" s="187"/>
      <c r="G340" s="187"/>
      <c r="H340" s="187"/>
      <c r="I340" s="187"/>
      <c r="J340" s="187"/>
      <c r="K340" s="187"/>
      <c r="L340" s="187"/>
      <c r="M340" s="187"/>
      <c r="N340" s="187"/>
      <c r="O340" s="187"/>
      <c r="P340" s="187"/>
      <c r="Q340" s="187"/>
      <c r="R340" s="187"/>
      <c r="S340" s="187"/>
      <c r="T340" s="187"/>
      <c r="U340" s="187"/>
      <c r="V340" s="187"/>
      <c r="W340" s="187"/>
      <c r="X340" s="187"/>
      <c r="Y340" s="191"/>
      <c r="Z340" s="191"/>
      <c r="AA340" s="788"/>
      <c r="AB340" s="269"/>
    </row>
    <row r="341" spans="1:28" ht="15.75" customHeight="1" thickBot="1" x14ac:dyDescent="0.35">
      <c r="A341" s="187"/>
      <c r="B341" s="187"/>
      <c r="C341" s="187"/>
      <c r="D341" s="187"/>
      <c r="E341" s="187"/>
      <c r="F341" s="187"/>
      <c r="G341" s="187"/>
      <c r="H341" s="187"/>
      <c r="I341" s="187"/>
      <c r="J341" s="187"/>
      <c r="K341" s="187"/>
      <c r="L341" s="187"/>
      <c r="M341" s="187"/>
      <c r="N341" s="187"/>
      <c r="O341" s="187"/>
      <c r="P341" s="187"/>
      <c r="Q341" s="187"/>
      <c r="R341" s="187"/>
      <c r="S341" s="187"/>
      <c r="T341" s="187"/>
      <c r="U341" s="187"/>
      <c r="V341" s="187"/>
      <c r="W341" s="187"/>
      <c r="X341" s="187"/>
      <c r="Y341" s="191"/>
      <c r="Z341" s="191"/>
      <c r="AA341" s="788"/>
      <c r="AB341" s="269"/>
    </row>
    <row r="342" spans="1:28" ht="15.75" customHeight="1" thickBot="1" x14ac:dyDescent="0.35">
      <c r="A342" s="187"/>
      <c r="B342" s="187"/>
      <c r="C342" s="187"/>
      <c r="D342" s="187"/>
      <c r="E342" s="187"/>
      <c r="F342" s="187"/>
      <c r="G342" s="187"/>
      <c r="H342" s="187"/>
      <c r="I342" s="187"/>
      <c r="J342" s="187"/>
      <c r="K342" s="187"/>
      <c r="L342" s="187"/>
      <c r="M342" s="187"/>
      <c r="N342" s="187"/>
      <c r="O342" s="187"/>
      <c r="P342" s="187"/>
      <c r="Q342" s="187"/>
      <c r="R342" s="187"/>
      <c r="S342" s="187"/>
      <c r="T342" s="187"/>
      <c r="U342" s="187"/>
      <c r="V342" s="187"/>
      <c r="W342" s="187"/>
      <c r="X342" s="187"/>
      <c r="Y342" s="191"/>
      <c r="Z342" s="191"/>
      <c r="AA342" s="788"/>
      <c r="AB342" s="269"/>
    </row>
    <row r="343" spans="1:28" ht="15.75" customHeight="1" thickBot="1" x14ac:dyDescent="0.35">
      <c r="A343" s="187"/>
      <c r="B343" s="187"/>
      <c r="C343" s="187"/>
      <c r="D343" s="187"/>
      <c r="E343" s="187"/>
      <c r="F343" s="187"/>
      <c r="G343" s="187"/>
      <c r="H343" s="187"/>
      <c r="I343" s="187"/>
      <c r="J343" s="187"/>
      <c r="K343" s="187"/>
      <c r="L343" s="187"/>
      <c r="M343" s="187"/>
      <c r="N343" s="187"/>
      <c r="O343" s="187"/>
      <c r="P343" s="187"/>
      <c r="Q343" s="187"/>
      <c r="R343" s="187"/>
      <c r="S343" s="187"/>
      <c r="T343" s="187"/>
      <c r="U343" s="187"/>
      <c r="V343" s="187"/>
      <c r="W343" s="187"/>
      <c r="X343" s="187"/>
      <c r="Y343" s="191"/>
      <c r="Z343" s="191"/>
      <c r="AA343" s="788"/>
      <c r="AB343" s="269"/>
    </row>
    <row r="344" spans="1:28" ht="15.75" customHeight="1" thickBot="1" x14ac:dyDescent="0.35">
      <c r="A344" s="187"/>
      <c r="B344" s="187"/>
      <c r="C344" s="187"/>
      <c r="D344" s="187"/>
      <c r="E344" s="187"/>
      <c r="F344" s="187"/>
      <c r="G344" s="187"/>
      <c r="H344" s="187"/>
      <c r="I344" s="187"/>
      <c r="J344" s="187"/>
      <c r="K344" s="187"/>
      <c r="L344" s="187"/>
      <c r="M344" s="187"/>
      <c r="N344" s="187"/>
      <c r="O344" s="187"/>
      <c r="P344" s="187"/>
      <c r="Q344" s="187"/>
      <c r="R344" s="187"/>
      <c r="S344" s="187"/>
      <c r="T344" s="187"/>
      <c r="U344" s="187"/>
      <c r="V344" s="187"/>
      <c r="W344" s="187"/>
      <c r="X344" s="187"/>
      <c r="Y344" s="191"/>
      <c r="Z344" s="191"/>
      <c r="AA344" s="788"/>
      <c r="AB344" s="269"/>
    </row>
    <row r="345" spans="1:28" ht="15.75" customHeight="1" thickBot="1" x14ac:dyDescent="0.35">
      <c r="A345" s="187"/>
      <c r="B345" s="187"/>
      <c r="C345" s="187"/>
      <c r="D345" s="187"/>
      <c r="E345" s="187"/>
      <c r="F345" s="187"/>
      <c r="G345" s="187"/>
      <c r="H345" s="187"/>
      <c r="I345" s="187"/>
      <c r="J345" s="187"/>
      <c r="K345" s="187"/>
      <c r="L345" s="187"/>
      <c r="M345" s="187"/>
      <c r="N345" s="187"/>
      <c r="O345" s="187"/>
      <c r="P345" s="187"/>
      <c r="Q345" s="187"/>
      <c r="R345" s="187"/>
      <c r="S345" s="187"/>
      <c r="T345" s="187"/>
      <c r="U345" s="187"/>
      <c r="V345" s="187"/>
      <c r="W345" s="187"/>
      <c r="X345" s="187"/>
      <c r="Y345" s="191"/>
      <c r="Z345" s="191"/>
      <c r="AA345" s="788"/>
      <c r="AB345" s="269"/>
    </row>
    <row r="346" spans="1:28" ht="15.75" customHeight="1" thickBot="1" x14ac:dyDescent="0.35">
      <c r="A346" s="187"/>
      <c r="B346" s="187"/>
      <c r="C346" s="187"/>
      <c r="D346" s="187"/>
      <c r="E346" s="187"/>
      <c r="F346" s="187"/>
      <c r="G346" s="187"/>
      <c r="H346" s="187"/>
      <c r="I346" s="187"/>
      <c r="J346" s="187"/>
      <c r="K346" s="187"/>
      <c r="L346" s="187"/>
      <c r="M346" s="187"/>
      <c r="N346" s="187"/>
      <c r="O346" s="187"/>
      <c r="P346" s="187"/>
      <c r="Q346" s="187"/>
      <c r="R346" s="187"/>
      <c r="S346" s="187"/>
      <c r="T346" s="187"/>
      <c r="U346" s="187"/>
      <c r="V346" s="187"/>
      <c r="W346" s="187"/>
      <c r="X346" s="187"/>
      <c r="Y346" s="191"/>
      <c r="Z346" s="191"/>
      <c r="AA346" s="788"/>
      <c r="AB346" s="269"/>
    </row>
    <row r="347" spans="1:28" ht="15.75" customHeight="1" thickBot="1" x14ac:dyDescent="0.35">
      <c r="A347" s="187"/>
      <c r="B347" s="187"/>
      <c r="C347" s="187"/>
      <c r="D347" s="187"/>
      <c r="E347" s="187"/>
      <c r="F347" s="187"/>
      <c r="G347" s="187"/>
      <c r="H347" s="187"/>
      <c r="I347" s="187"/>
      <c r="J347" s="187"/>
      <c r="K347" s="187"/>
      <c r="L347" s="187"/>
      <c r="M347" s="187"/>
      <c r="N347" s="187"/>
      <c r="O347" s="187"/>
      <c r="P347" s="187"/>
      <c r="Q347" s="187"/>
      <c r="R347" s="187"/>
      <c r="S347" s="187"/>
      <c r="T347" s="187"/>
      <c r="U347" s="187"/>
      <c r="V347" s="187"/>
      <c r="W347" s="187"/>
      <c r="X347" s="187"/>
      <c r="Y347" s="191"/>
      <c r="Z347" s="191"/>
      <c r="AA347" s="788"/>
      <c r="AB347" s="269"/>
    </row>
    <row r="348" spans="1:28" ht="15.75" customHeight="1" thickBot="1" x14ac:dyDescent="0.35">
      <c r="A348" s="187"/>
      <c r="B348" s="187"/>
      <c r="C348" s="187"/>
      <c r="D348" s="187"/>
      <c r="E348" s="187"/>
      <c r="F348" s="187"/>
      <c r="G348" s="187"/>
      <c r="H348" s="187"/>
      <c r="I348" s="187"/>
      <c r="J348" s="187"/>
      <c r="K348" s="187"/>
      <c r="L348" s="187"/>
      <c r="M348" s="187"/>
      <c r="N348" s="187"/>
      <c r="O348" s="187"/>
      <c r="P348" s="187"/>
      <c r="Q348" s="187"/>
      <c r="R348" s="187"/>
      <c r="S348" s="187"/>
      <c r="T348" s="187"/>
      <c r="U348" s="187"/>
      <c r="V348" s="187"/>
      <c r="W348" s="187"/>
      <c r="X348" s="187"/>
      <c r="Y348" s="191"/>
      <c r="Z348" s="191"/>
      <c r="AA348" s="788"/>
      <c r="AB348" s="269"/>
    </row>
    <row r="349" spans="1:28" ht="15.75" customHeight="1" thickBot="1" x14ac:dyDescent="0.35">
      <c r="A349" s="187"/>
      <c r="B349" s="187"/>
      <c r="C349" s="187"/>
      <c r="D349" s="187"/>
      <c r="E349" s="187"/>
      <c r="F349" s="187"/>
      <c r="G349" s="187"/>
      <c r="H349" s="187"/>
      <c r="I349" s="187"/>
      <c r="J349" s="187"/>
      <c r="K349" s="187"/>
      <c r="L349" s="187"/>
      <c r="M349" s="187"/>
      <c r="N349" s="187"/>
      <c r="O349" s="187"/>
      <c r="P349" s="187"/>
      <c r="Q349" s="187"/>
      <c r="R349" s="187"/>
      <c r="S349" s="187"/>
      <c r="T349" s="187"/>
      <c r="U349" s="187"/>
      <c r="V349" s="187"/>
      <c r="W349" s="187"/>
      <c r="X349" s="187"/>
      <c r="Y349" s="191"/>
      <c r="Z349" s="191"/>
      <c r="AA349" s="788"/>
      <c r="AB349" s="269"/>
    </row>
    <row r="350" spans="1:28" ht="15.75" customHeight="1" thickBot="1" x14ac:dyDescent="0.35">
      <c r="A350" s="187"/>
      <c r="B350" s="187"/>
      <c r="C350" s="187"/>
      <c r="D350" s="187"/>
      <c r="E350" s="187"/>
      <c r="F350" s="187"/>
      <c r="G350" s="187"/>
      <c r="H350" s="187"/>
      <c r="I350" s="187"/>
      <c r="J350" s="187"/>
      <c r="K350" s="187"/>
      <c r="L350" s="187"/>
      <c r="M350" s="187"/>
      <c r="N350" s="187"/>
      <c r="O350" s="187"/>
      <c r="P350" s="187"/>
      <c r="Q350" s="187"/>
      <c r="R350" s="187"/>
      <c r="S350" s="187"/>
      <c r="T350" s="187"/>
      <c r="U350" s="187"/>
      <c r="V350" s="187"/>
      <c r="W350" s="187"/>
      <c r="X350" s="187"/>
      <c r="Y350" s="191"/>
      <c r="Z350" s="191"/>
      <c r="AA350" s="788"/>
      <c r="AB350" s="269"/>
    </row>
    <row r="351" spans="1:28" ht="15.75" customHeight="1" thickBot="1" x14ac:dyDescent="0.35">
      <c r="A351" s="187"/>
      <c r="B351" s="187"/>
      <c r="C351" s="187"/>
      <c r="D351" s="187"/>
      <c r="E351" s="187"/>
      <c r="F351" s="187"/>
      <c r="G351" s="187"/>
      <c r="H351" s="187"/>
      <c r="I351" s="187"/>
      <c r="J351" s="187"/>
      <c r="K351" s="187"/>
      <c r="L351" s="187"/>
      <c r="M351" s="187"/>
      <c r="N351" s="187"/>
      <c r="O351" s="187"/>
      <c r="P351" s="187"/>
      <c r="Q351" s="187"/>
      <c r="R351" s="187"/>
      <c r="S351" s="187"/>
      <c r="T351" s="187"/>
      <c r="U351" s="187"/>
      <c r="V351" s="187"/>
      <c r="W351" s="187"/>
      <c r="X351" s="187"/>
      <c r="Y351" s="191"/>
      <c r="Z351" s="191"/>
      <c r="AA351" s="788"/>
      <c r="AB351" s="269"/>
    </row>
    <row r="352" spans="1:28" ht="15.75" customHeight="1" thickBot="1" x14ac:dyDescent="0.35">
      <c r="A352" s="187"/>
      <c r="B352" s="187"/>
      <c r="C352" s="187"/>
      <c r="D352" s="187"/>
      <c r="E352" s="187"/>
      <c r="F352" s="187"/>
      <c r="G352" s="187"/>
      <c r="H352" s="187"/>
      <c r="I352" s="187"/>
      <c r="J352" s="187"/>
      <c r="K352" s="187"/>
      <c r="L352" s="187"/>
      <c r="M352" s="187"/>
      <c r="N352" s="187"/>
      <c r="O352" s="187"/>
      <c r="P352" s="187"/>
      <c r="Q352" s="187"/>
      <c r="R352" s="187"/>
      <c r="S352" s="187"/>
      <c r="T352" s="187"/>
      <c r="U352" s="187"/>
      <c r="V352" s="187"/>
      <c r="W352" s="187"/>
      <c r="X352" s="187"/>
      <c r="Y352" s="191"/>
      <c r="Z352" s="191"/>
      <c r="AA352" s="788"/>
      <c r="AB352" s="269"/>
    </row>
    <row r="353" spans="1:28" ht="15.75" customHeight="1" thickBot="1" x14ac:dyDescent="0.35">
      <c r="A353" s="187"/>
      <c r="B353" s="187"/>
      <c r="C353" s="187"/>
      <c r="D353" s="187"/>
      <c r="E353" s="187"/>
      <c r="F353" s="187"/>
      <c r="G353" s="187"/>
      <c r="H353" s="187"/>
      <c r="I353" s="187"/>
      <c r="J353" s="187"/>
      <c r="K353" s="187"/>
      <c r="L353" s="187"/>
      <c r="M353" s="187"/>
      <c r="N353" s="187"/>
      <c r="O353" s="187"/>
      <c r="P353" s="187"/>
      <c r="Q353" s="187"/>
      <c r="R353" s="187"/>
      <c r="S353" s="187"/>
      <c r="T353" s="187"/>
      <c r="U353" s="187"/>
      <c r="V353" s="187"/>
      <c r="W353" s="187"/>
      <c r="X353" s="187"/>
      <c r="Y353" s="191"/>
      <c r="Z353" s="191"/>
      <c r="AA353" s="788"/>
      <c r="AB353" s="269"/>
    </row>
    <row r="354" spans="1:28" ht="15.75" customHeight="1" thickBot="1" x14ac:dyDescent="0.35">
      <c r="A354" s="187"/>
      <c r="B354" s="187"/>
      <c r="C354" s="187"/>
      <c r="D354" s="187"/>
      <c r="E354" s="187"/>
      <c r="F354" s="187"/>
      <c r="G354" s="187"/>
      <c r="H354" s="187"/>
      <c r="I354" s="187"/>
      <c r="J354" s="187"/>
      <c r="K354" s="187"/>
      <c r="L354" s="187"/>
      <c r="M354" s="187"/>
      <c r="N354" s="187"/>
      <c r="O354" s="187"/>
      <c r="P354" s="187"/>
      <c r="Q354" s="187"/>
      <c r="R354" s="187"/>
      <c r="S354" s="187"/>
      <c r="T354" s="187"/>
      <c r="U354" s="187"/>
      <c r="V354" s="187"/>
      <c r="W354" s="187"/>
      <c r="X354" s="187"/>
      <c r="Y354" s="191"/>
      <c r="Z354" s="191"/>
      <c r="AA354" s="788"/>
      <c r="AB354" s="269"/>
    </row>
    <row r="355" spans="1:28" ht="15.75" customHeight="1" thickBot="1" x14ac:dyDescent="0.35">
      <c r="A355" s="187"/>
      <c r="B355" s="187"/>
      <c r="C355" s="187"/>
      <c r="D355" s="187"/>
      <c r="E355" s="187"/>
      <c r="F355" s="187"/>
      <c r="G355" s="187"/>
      <c r="H355" s="187"/>
      <c r="I355" s="187"/>
      <c r="J355" s="187"/>
      <c r="K355" s="187"/>
      <c r="L355" s="187"/>
      <c r="M355" s="187"/>
      <c r="N355" s="187"/>
      <c r="O355" s="187"/>
      <c r="P355" s="187"/>
      <c r="Q355" s="187"/>
      <c r="R355" s="187"/>
      <c r="S355" s="187"/>
      <c r="T355" s="187"/>
      <c r="U355" s="187"/>
      <c r="V355" s="187"/>
      <c r="W355" s="187"/>
      <c r="X355" s="187"/>
      <c r="Y355" s="191"/>
      <c r="Z355" s="191"/>
      <c r="AA355" s="788"/>
      <c r="AB355" s="269"/>
    </row>
    <row r="356" spans="1:28" ht="15.75" customHeight="1" thickBot="1" x14ac:dyDescent="0.35">
      <c r="A356" s="187"/>
      <c r="B356" s="187"/>
      <c r="C356" s="187"/>
      <c r="D356" s="187"/>
      <c r="E356" s="187"/>
      <c r="F356" s="187"/>
      <c r="G356" s="187"/>
      <c r="H356" s="187"/>
      <c r="I356" s="187"/>
      <c r="J356" s="187"/>
      <c r="K356" s="187"/>
      <c r="L356" s="187"/>
      <c r="M356" s="187"/>
      <c r="N356" s="187"/>
      <c r="O356" s="187"/>
      <c r="P356" s="187"/>
      <c r="Q356" s="187"/>
      <c r="R356" s="187"/>
      <c r="S356" s="187"/>
      <c r="T356" s="187"/>
      <c r="U356" s="187"/>
      <c r="V356" s="187"/>
      <c r="W356" s="187"/>
      <c r="X356" s="187"/>
      <c r="Y356" s="191"/>
      <c r="Z356" s="191"/>
      <c r="AA356" s="788"/>
      <c r="AB356" s="269"/>
    </row>
    <row r="357" spans="1:28" ht="15.75" customHeight="1" thickBot="1" x14ac:dyDescent="0.35">
      <c r="A357" s="187"/>
      <c r="B357" s="187"/>
      <c r="C357" s="187"/>
      <c r="D357" s="187"/>
      <c r="E357" s="187"/>
      <c r="F357" s="187"/>
      <c r="G357" s="187"/>
      <c r="H357" s="187"/>
      <c r="I357" s="187"/>
      <c r="J357" s="187"/>
      <c r="K357" s="187"/>
      <c r="L357" s="187"/>
      <c r="M357" s="187"/>
      <c r="N357" s="187"/>
      <c r="O357" s="187"/>
      <c r="P357" s="187"/>
      <c r="Q357" s="187"/>
      <c r="R357" s="187"/>
      <c r="S357" s="187"/>
      <c r="T357" s="187"/>
      <c r="U357" s="187"/>
      <c r="V357" s="187"/>
      <c r="W357" s="187"/>
      <c r="X357" s="187"/>
      <c r="Y357" s="191"/>
      <c r="Z357" s="191"/>
      <c r="AA357" s="788"/>
      <c r="AB357" s="269"/>
    </row>
    <row r="358" spans="1:28" ht="15.75" customHeight="1" thickBot="1" x14ac:dyDescent="0.35">
      <c r="A358" s="187"/>
      <c r="B358" s="187"/>
      <c r="C358" s="187"/>
      <c r="D358" s="187"/>
      <c r="E358" s="187"/>
      <c r="F358" s="187"/>
      <c r="G358" s="187"/>
      <c r="H358" s="187"/>
      <c r="I358" s="187"/>
      <c r="J358" s="187"/>
      <c r="K358" s="187"/>
      <c r="L358" s="187"/>
      <c r="M358" s="187"/>
      <c r="N358" s="187"/>
      <c r="O358" s="187"/>
      <c r="P358" s="187"/>
      <c r="Q358" s="187"/>
      <c r="R358" s="187"/>
      <c r="S358" s="187"/>
      <c r="T358" s="187"/>
      <c r="U358" s="187"/>
      <c r="V358" s="187"/>
      <c r="W358" s="187"/>
      <c r="X358" s="187"/>
      <c r="Y358" s="191"/>
      <c r="Z358" s="191"/>
      <c r="AA358" s="788"/>
      <c r="AB358" s="269"/>
    </row>
    <row r="359" spans="1:28" ht="15.75" customHeight="1" thickBot="1" x14ac:dyDescent="0.35">
      <c r="A359" s="187"/>
      <c r="B359" s="187"/>
      <c r="C359" s="187"/>
      <c r="D359" s="187"/>
      <c r="E359" s="187"/>
      <c r="F359" s="187"/>
      <c r="G359" s="187"/>
      <c r="H359" s="187"/>
      <c r="I359" s="187"/>
      <c r="J359" s="187"/>
      <c r="K359" s="187"/>
      <c r="L359" s="187"/>
      <c r="M359" s="187"/>
      <c r="N359" s="187"/>
      <c r="O359" s="187"/>
      <c r="P359" s="187"/>
      <c r="Q359" s="187"/>
      <c r="R359" s="187"/>
      <c r="S359" s="187"/>
      <c r="T359" s="187"/>
      <c r="U359" s="187"/>
      <c r="V359" s="187"/>
      <c r="W359" s="187"/>
      <c r="X359" s="187"/>
      <c r="Y359" s="191"/>
      <c r="Z359" s="191"/>
      <c r="AA359" s="788"/>
      <c r="AB359" s="269"/>
    </row>
    <row r="360" spans="1:28" ht="15.75" customHeight="1" thickBot="1" x14ac:dyDescent="0.35">
      <c r="A360" s="187"/>
      <c r="B360" s="187"/>
      <c r="C360" s="187"/>
      <c r="D360" s="187"/>
      <c r="E360" s="187"/>
      <c r="F360" s="187"/>
      <c r="G360" s="187"/>
      <c r="H360" s="187"/>
      <c r="I360" s="187"/>
      <c r="J360" s="187"/>
      <c r="K360" s="187"/>
      <c r="L360" s="187"/>
      <c r="M360" s="187"/>
      <c r="N360" s="187"/>
      <c r="O360" s="187"/>
      <c r="P360" s="187"/>
      <c r="Q360" s="187"/>
      <c r="R360" s="187"/>
      <c r="S360" s="187"/>
      <c r="T360" s="187"/>
      <c r="U360" s="187"/>
      <c r="V360" s="187"/>
      <c r="W360" s="187"/>
      <c r="X360" s="187"/>
      <c r="Y360" s="191"/>
      <c r="Z360" s="191"/>
      <c r="AA360" s="788"/>
      <c r="AB360" s="269"/>
    </row>
    <row r="361" spans="1:28" ht="15.75" customHeight="1" thickBot="1" x14ac:dyDescent="0.35">
      <c r="A361" s="187"/>
      <c r="B361" s="187"/>
      <c r="C361" s="187"/>
      <c r="D361" s="187"/>
      <c r="E361" s="187"/>
      <c r="F361" s="187"/>
      <c r="G361" s="187"/>
      <c r="H361" s="187"/>
      <c r="I361" s="187"/>
      <c r="J361" s="187"/>
      <c r="K361" s="187"/>
      <c r="L361" s="187"/>
      <c r="M361" s="187"/>
      <c r="N361" s="187"/>
      <c r="O361" s="187"/>
      <c r="P361" s="187"/>
      <c r="Q361" s="187"/>
      <c r="R361" s="187"/>
      <c r="S361" s="187"/>
      <c r="T361" s="187"/>
      <c r="U361" s="187"/>
      <c r="V361" s="187"/>
      <c r="W361" s="187"/>
      <c r="X361" s="187"/>
      <c r="Y361" s="191"/>
      <c r="Z361" s="191"/>
      <c r="AA361" s="788"/>
      <c r="AB361" s="269"/>
    </row>
    <row r="362" spans="1:28" ht="15.75" customHeight="1" thickBot="1" x14ac:dyDescent="0.35">
      <c r="A362" s="187"/>
      <c r="B362" s="187"/>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191"/>
      <c r="Z362" s="191"/>
      <c r="AA362" s="788"/>
      <c r="AB362" s="269"/>
    </row>
    <row r="363" spans="1:28" ht="15.75" customHeight="1" thickBot="1" x14ac:dyDescent="0.35">
      <c r="A363" s="187"/>
      <c r="B363" s="187"/>
      <c r="C363" s="187"/>
      <c r="D363" s="187"/>
      <c r="E363" s="187"/>
      <c r="F363" s="187"/>
      <c r="G363" s="187"/>
      <c r="H363" s="187"/>
      <c r="I363" s="187"/>
      <c r="J363" s="187"/>
      <c r="K363" s="187"/>
      <c r="L363" s="187"/>
      <c r="M363" s="187"/>
      <c r="N363" s="187"/>
      <c r="O363" s="187"/>
      <c r="P363" s="187"/>
      <c r="Q363" s="187"/>
      <c r="R363" s="187"/>
      <c r="S363" s="187"/>
      <c r="T363" s="187"/>
      <c r="U363" s="187"/>
      <c r="V363" s="187"/>
      <c r="W363" s="187"/>
      <c r="X363" s="187"/>
      <c r="Y363" s="191"/>
      <c r="Z363" s="191"/>
      <c r="AA363" s="788"/>
      <c r="AB363" s="269"/>
    </row>
    <row r="364" spans="1:28" ht="15.75" customHeight="1" thickBot="1" x14ac:dyDescent="0.35">
      <c r="A364" s="187"/>
      <c r="B364" s="187"/>
      <c r="C364" s="187"/>
      <c r="D364" s="187"/>
      <c r="E364" s="187"/>
      <c r="F364" s="187"/>
      <c r="G364" s="187"/>
      <c r="H364" s="187"/>
      <c r="I364" s="187"/>
      <c r="J364" s="187"/>
      <c r="K364" s="187"/>
      <c r="L364" s="187"/>
      <c r="M364" s="187"/>
      <c r="N364" s="187"/>
      <c r="O364" s="187"/>
      <c r="P364" s="187"/>
      <c r="Q364" s="187"/>
      <c r="R364" s="187"/>
      <c r="S364" s="187"/>
      <c r="T364" s="187"/>
      <c r="U364" s="187"/>
      <c r="V364" s="187"/>
      <c r="W364" s="187"/>
      <c r="X364" s="187"/>
      <c r="Y364" s="191"/>
      <c r="Z364" s="191"/>
      <c r="AA364" s="788"/>
      <c r="AB364" s="269"/>
    </row>
    <row r="365" spans="1:28" ht="15.75" customHeight="1" thickBot="1" x14ac:dyDescent="0.35">
      <c r="A365" s="187"/>
      <c r="B365" s="187"/>
      <c r="C365" s="187"/>
      <c r="D365" s="187"/>
      <c r="E365" s="187"/>
      <c r="F365" s="187"/>
      <c r="G365" s="187"/>
      <c r="H365" s="187"/>
      <c r="I365" s="187"/>
      <c r="J365" s="187"/>
      <c r="K365" s="187"/>
      <c r="L365" s="187"/>
      <c r="M365" s="187"/>
      <c r="N365" s="187"/>
      <c r="O365" s="187"/>
      <c r="P365" s="187"/>
      <c r="Q365" s="187"/>
      <c r="R365" s="187"/>
      <c r="S365" s="187"/>
      <c r="T365" s="187"/>
      <c r="U365" s="187"/>
      <c r="V365" s="187"/>
      <c r="W365" s="187"/>
      <c r="X365" s="187"/>
      <c r="Y365" s="191"/>
      <c r="Z365" s="191"/>
      <c r="AA365" s="788"/>
      <c r="AB365" s="269"/>
    </row>
    <row r="366" spans="1:28" ht="15.75" customHeight="1" thickBot="1" x14ac:dyDescent="0.35">
      <c r="A366" s="187"/>
      <c r="B366" s="187"/>
      <c r="C366" s="187"/>
      <c r="D366" s="187"/>
      <c r="E366" s="187"/>
      <c r="F366" s="187"/>
      <c r="G366" s="187"/>
      <c r="H366" s="187"/>
      <c r="I366" s="187"/>
      <c r="J366" s="187"/>
      <c r="K366" s="187"/>
      <c r="L366" s="187"/>
      <c r="M366" s="187"/>
      <c r="N366" s="187"/>
      <c r="O366" s="187"/>
      <c r="P366" s="187"/>
      <c r="Q366" s="187"/>
      <c r="R366" s="187"/>
      <c r="S366" s="187"/>
      <c r="T366" s="187"/>
      <c r="U366" s="187"/>
      <c r="V366" s="187"/>
      <c r="W366" s="187"/>
      <c r="X366" s="187"/>
      <c r="Y366" s="191"/>
      <c r="Z366" s="191"/>
      <c r="AA366" s="788"/>
      <c r="AB366" s="269"/>
    </row>
    <row r="367" spans="1:28" ht="15.75" customHeight="1" thickBot="1" x14ac:dyDescent="0.35">
      <c r="A367" s="187"/>
      <c r="B367" s="187"/>
      <c r="C367" s="187"/>
      <c r="D367" s="187"/>
      <c r="E367" s="187"/>
      <c r="F367" s="187"/>
      <c r="G367" s="187"/>
      <c r="H367" s="187"/>
      <c r="I367" s="187"/>
      <c r="J367" s="187"/>
      <c r="K367" s="187"/>
      <c r="L367" s="187"/>
      <c r="M367" s="187"/>
      <c r="N367" s="187"/>
      <c r="O367" s="187"/>
      <c r="P367" s="187"/>
      <c r="Q367" s="187"/>
      <c r="R367" s="187"/>
      <c r="S367" s="187"/>
      <c r="T367" s="187"/>
      <c r="U367" s="187"/>
      <c r="V367" s="187"/>
      <c r="W367" s="187"/>
      <c r="X367" s="187"/>
      <c r="Y367" s="191"/>
      <c r="Z367" s="191"/>
      <c r="AA367" s="788"/>
      <c r="AB367" s="269"/>
    </row>
    <row r="368" spans="1:28" ht="15.75" customHeight="1" thickBot="1" x14ac:dyDescent="0.35">
      <c r="A368" s="187"/>
      <c r="B368" s="187"/>
      <c r="C368" s="187"/>
      <c r="D368" s="187"/>
      <c r="E368" s="187"/>
      <c r="F368" s="187"/>
      <c r="G368" s="187"/>
      <c r="H368" s="187"/>
      <c r="I368" s="187"/>
      <c r="J368" s="187"/>
      <c r="K368" s="187"/>
      <c r="L368" s="187"/>
      <c r="M368" s="187"/>
      <c r="N368" s="187"/>
      <c r="O368" s="187"/>
      <c r="P368" s="187"/>
      <c r="Q368" s="187"/>
      <c r="R368" s="187"/>
      <c r="S368" s="187"/>
      <c r="T368" s="187"/>
      <c r="U368" s="187"/>
      <c r="V368" s="187"/>
      <c r="W368" s="187"/>
      <c r="X368" s="187"/>
      <c r="Y368" s="191"/>
      <c r="Z368" s="191"/>
      <c r="AA368" s="788"/>
      <c r="AB368" s="269"/>
    </row>
    <row r="369" spans="1:28" ht="15.75" customHeight="1" thickBot="1" x14ac:dyDescent="0.35">
      <c r="A369" s="187"/>
      <c r="B369" s="187"/>
      <c r="C369" s="187"/>
      <c r="D369" s="187"/>
      <c r="E369" s="187"/>
      <c r="F369" s="187"/>
      <c r="G369" s="187"/>
      <c r="H369" s="187"/>
      <c r="I369" s="187"/>
      <c r="J369" s="187"/>
      <c r="K369" s="187"/>
      <c r="L369" s="187"/>
      <c r="M369" s="187"/>
      <c r="N369" s="187"/>
      <c r="O369" s="187"/>
      <c r="P369" s="187"/>
      <c r="Q369" s="187"/>
      <c r="R369" s="187"/>
      <c r="S369" s="187"/>
      <c r="T369" s="187"/>
      <c r="U369" s="187"/>
      <c r="V369" s="187"/>
      <c r="W369" s="187"/>
      <c r="X369" s="187"/>
      <c r="Y369" s="191"/>
      <c r="Z369" s="191"/>
      <c r="AA369" s="788"/>
      <c r="AB369" s="269"/>
    </row>
    <row r="370" spans="1:28" ht="15.75" customHeight="1" thickBot="1" x14ac:dyDescent="0.35">
      <c r="A370" s="187"/>
      <c r="B370" s="187"/>
      <c r="C370" s="187"/>
      <c r="D370" s="187"/>
      <c r="E370" s="187"/>
      <c r="F370" s="187"/>
      <c r="G370" s="187"/>
      <c r="H370" s="187"/>
      <c r="I370" s="187"/>
      <c r="J370" s="187"/>
      <c r="K370" s="187"/>
      <c r="L370" s="187"/>
      <c r="M370" s="187"/>
      <c r="N370" s="187"/>
      <c r="O370" s="187"/>
      <c r="P370" s="187"/>
      <c r="Q370" s="187"/>
      <c r="R370" s="187"/>
      <c r="S370" s="187"/>
      <c r="T370" s="187"/>
      <c r="U370" s="187"/>
      <c r="V370" s="187"/>
      <c r="W370" s="187"/>
      <c r="X370" s="187"/>
      <c r="Y370" s="191"/>
      <c r="Z370" s="191"/>
      <c r="AA370" s="788"/>
      <c r="AB370" s="269"/>
    </row>
    <row r="371" spans="1:28" ht="15.75" customHeight="1" thickBot="1" x14ac:dyDescent="0.35">
      <c r="A371" s="187"/>
      <c r="B371" s="187"/>
      <c r="C371" s="187"/>
      <c r="D371" s="187"/>
      <c r="E371" s="187"/>
      <c r="F371" s="187"/>
      <c r="G371" s="187"/>
      <c r="H371" s="187"/>
      <c r="I371" s="187"/>
      <c r="J371" s="187"/>
      <c r="K371" s="187"/>
      <c r="L371" s="187"/>
      <c r="M371" s="187"/>
      <c r="N371" s="187"/>
      <c r="O371" s="187"/>
      <c r="P371" s="187"/>
      <c r="Q371" s="187"/>
      <c r="R371" s="187"/>
      <c r="S371" s="187"/>
      <c r="T371" s="187"/>
      <c r="U371" s="187"/>
      <c r="V371" s="187"/>
      <c r="W371" s="187"/>
      <c r="X371" s="187"/>
      <c r="Y371" s="191"/>
      <c r="Z371" s="191"/>
      <c r="AA371" s="788"/>
      <c r="AB371" s="269"/>
    </row>
    <row r="372" spans="1:28" ht="15.75" customHeight="1" x14ac:dyDescent="0.3"/>
    <row r="373" spans="1:28" ht="15.75" customHeight="1" x14ac:dyDescent="0.3"/>
    <row r="374" spans="1:28" ht="15.75" customHeight="1" x14ac:dyDescent="0.3"/>
    <row r="375" spans="1:28" ht="15.75" customHeight="1" x14ac:dyDescent="0.3"/>
    <row r="376" spans="1:28" ht="15.75" customHeight="1" x14ac:dyDescent="0.3"/>
    <row r="377" spans="1:28" ht="15.75" customHeight="1" x14ac:dyDescent="0.3"/>
    <row r="378" spans="1:28" ht="15.75" customHeight="1" x14ac:dyDescent="0.3"/>
    <row r="379" spans="1:28" ht="15.75" customHeight="1" x14ac:dyDescent="0.3"/>
    <row r="380" spans="1:28" ht="15.75" customHeight="1" x14ac:dyDescent="0.3"/>
    <row r="381" spans="1:28" ht="15.75" customHeight="1" x14ac:dyDescent="0.3"/>
    <row r="382" spans="1:28" ht="15.75" customHeight="1" x14ac:dyDescent="0.3"/>
    <row r="383" spans="1:28" ht="15.75" customHeight="1" x14ac:dyDescent="0.3"/>
    <row r="384" spans="1:28"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autoFilter ref="B2:AF171" xr:uid="{00000000-0009-0000-0000-000003000000}">
    <filterColumn colId="0" showButton="0"/>
  </autoFilter>
  <mergeCells count="39">
    <mergeCell ref="B27:C27"/>
    <mergeCell ref="B2:C2"/>
    <mergeCell ref="B3:C3"/>
    <mergeCell ref="B4:C4"/>
    <mergeCell ref="B5:C5"/>
    <mergeCell ref="B22:C22"/>
    <mergeCell ref="B26:C26"/>
    <mergeCell ref="B73:C73"/>
    <mergeCell ref="B33:C33"/>
    <mergeCell ref="B37:C37"/>
    <mergeCell ref="B38:C38"/>
    <mergeCell ref="B46:C46"/>
    <mergeCell ref="B50:C50"/>
    <mergeCell ref="B53:C53"/>
    <mergeCell ref="B57:C57"/>
    <mergeCell ref="B60:C60"/>
    <mergeCell ref="B61:C61"/>
    <mergeCell ref="B64:C64"/>
    <mergeCell ref="B69:C69"/>
    <mergeCell ref="B121:C121"/>
    <mergeCell ref="B77:C77"/>
    <mergeCell ref="B79:C79"/>
    <mergeCell ref="B82:C82"/>
    <mergeCell ref="B83:C83"/>
    <mergeCell ref="B91:C91"/>
    <mergeCell ref="B95:C95"/>
    <mergeCell ref="B97:C97"/>
    <mergeCell ref="B98:C98"/>
    <mergeCell ref="B100:C100"/>
    <mergeCell ref="B105:C105"/>
    <mergeCell ref="B109:C109"/>
    <mergeCell ref="B167:C167"/>
    <mergeCell ref="B168:C168"/>
    <mergeCell ref="B135:C135"/>
    <mergeCell ref="B136:C136"/>
    <mergeCell ref="B140:C140"/>
    <mergeCell ref="B144:C144"/>
    <mergeCell ref="B150:C150"/>
    <mergeCell ref="B159:C159"/>
  </mergeCells>
  <pageMargins left="0.7" right="0.7" top="0.75" bottom="0.75"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341"/>
  <sheetViews>
    <sheetView zoomScale="28" zoomScaleNormal="28" workbookViewId="0">
      <pane xSplit="3" ySplit="4" topLeftCell="D29" activePane="bottomRight" state="frozen"/>
      <selection pane="topRight" activeCell="D1" sqref="D1"/>
      <selection pane="bottomLeft" activeCell="A5" sqref="A5"/>
      <selection pane="bottomRight" activeCell="Y31" sqref="Y31"/>
    </sheetView>
  </sheetViews>
  <sheetFormatPr baseColWidth="10" defaultColWidth="14.42578125" defaultRowHeight="67.150000000000006" customHeight="1" x14ac:dyDescent="0.3"/>
  <cols>
    <col min="1" max="1" width="3.7109375" style="190" customWidth="1"/>
    <col min="2" max="2" width="58" style="190" customWidth="1"/>
    <col min="3" max="3" width="56.28515625" style="190" customWidth="1"/>
    <col min="4" max="4" width="38.7109375" style="190" customWidth="1"/>
    <col min="5" max="5" width="34.85546875" style="190" customWidth="1"/>
    <col min="6" max="6" width="42.140625" style="190" customWidth="1"/>
    <col min="7" max="7" width="34.5703125" style="190" customWidth="1"/>
    <col min="8" max="8" width="34.85546875" style="190" customWidth="1"/>
    <col min="9" max="9" width="35.140625" style="190" customWidth="1"/>
    <col min="10" max="10" width="35.28515625" style="190" customWidth="1"/>
    <col min="11" max="11" width="40.28515625" style="190" hidden="1" customWidth="1"/>
    <col min="12" max="12" width="33.7109375" style="190" hidden="1" customWidth="1"/>
    <col min="13" max="13" width="32.7109375" style="190" customWidth="1"/>
    <col min="14" max="15" width="31.85546875" style="190" customWidth="1"/>
    <col min="16" max="17" width="31.85546875" style="190" hidden="1" customWidth="1"/>
    <col min="18" max="18" width="30.5703125" style="190" customWidth="1"/>
    <col min="19" max="21" width="31.85546875" style="190" customWidth="1"/>
    <col min="22" max="22" width="31.85546875" style="190" hidden="1" customWidth="1"/>
    <col min="23" max="23" width="25" style="190" hidden="1" customWidth="1"/>
    <col min="24" max="25" width="31.85546875" style="190" customWidth="1"/>
    <col min="26" max="27" width="37.85546875" style="190" customWidth="1"/>
    <col min="28" max="28" width="54.85546875" style="190" hidden="1" customWidth="1"/>
    <col min="29" max="29" width="61.7109375" style="190" customWidth="1"/>
    <col min="30" max="30" width="53.7109375" style="190" customWidth="1"/>
    <col min="31" max="31" width="73" style="190" customWidth="1"/>
    <col min="32" max="32" width="47" style="190" customWidth="1"/>
    <col min="33" max="33" width="48.7109375" style="190" customWidth="1"/>
    <col min="34" max="34" width="34.140625" style="190" customWidth="1"/>
    <col min="35" max="39" width="10.7109375" style="190" customWidth="1"/>
    <col min="40" max="16384" width="14.42578125" style="190"/>
  </cols>
  <sheetData>
    <row r="1" spans="1:34" ht="33.6" customHeight="1" thickBot="1" x14ac:dyDescent="0.35">
      <c r="A1" s="187"/>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7"/>
      <c r="AD1" s="187"/>
      <c r="AE1" s="187"/>
      <c r="AF1" s="187"/>
      <c r="AG1" s="187"/>
      <c r="AH1" s="187"/>
    </row>
    <row r="2" spans="1:34" ht="148.9" customHeight="1" thickBot="1" x14ac:dyDescent="0.75">
      <c r="A2" s="191"/>
      <c r="B2" s="1333" t="s">
        <v>0</v>
      </c>
      <c r="C2" s="1334"/>
      <c r="D2" s="329" t="s">
        <v>1</v>
      </c>
      <c r="E2" s="330" t="s">
        <v>2</v>
      </c>
      <c r="F2" s="330" t="s">
        <v>3</v>
      </c>
      <c r="G2" s="677" t="s">
        <v>4</v>
      </c>
      <c r="H2" s="644" t="s">
        <v>5</v>
      </c>
      <c r="I2" s="679" t="s">
        <v>6</v>
      </c>
      <c r="J2" s="57" t="s">
        <v>7</v>
      </c>
      <c r="K2" s="680" t="s">
        <v>8</v>
      </c>
      <c r="L2" s="648" t="s">
        <v>9</v>
      </c>
      <c r="M2" s="678" t="s">
        <v>10</v>
      </c>
      <c r="N2" s="375" t="s">
        <v>11</v>
      </c>
      <c r="O2" s="375" t="s">
        <v>12</v>
      </c>
      <c r="P2" s="375" t="s">
        <v>13</v>
      </c>
      <c r="Q2" s="375" t="s">
        <v>14</v>
      </c>
      <c r="R2" s="375" t="s">
        <v>15</v>
      </c>
      <c r="S2" s="375" t="s">
        <v>16</v>
      </c>
      <c r="T2" s="681" t="s">
        <v>17</v>
      </c>
      <c r="U2" s="682" t="s">
        <v>18</v>
      </c>
      <c r="V2" s="683" t="s">
        <v>19</v>
      </c>
      <c r="W2" s="684" t="s">
        <v>20</v>
      </c>
      <c r="X2" s="685" t="s">
        <v>458</v>
      </c>
      <c r="Y2" s="686" t="s">
        <v>875</v>
      </c>
      <c r="Z2" s="687" t="s">
        <v>23</v>
      </c>
      <c r="AA2" s="792" t="s">
        <v>24</v>
      </c>
      <c r="AB2" s="768" t="s">
        <v>876</v>
      </c>
      <c r="AC2" s="377" t="s">
        <v>26</v>
      </c>
      <c r="AD2" s="378" t="s">
        <v>877</v>
      </c>
      <c r="AE2" s="363" t="s">
        <v>28</v>
      </c>
      <c r="AF2" s="376" t="s">
        <v>25</v>
      </c>
      <c r="AG2" s="358"/>
      <c r="AH2" s="358"/>
    </row>
    <row r="3" spans="1:34" s="176" customFormat="1" ht="129" customHeight="1" thickBot="1" x14ac:dyDescent="0.75">
      <c r="A3" s="175"/>
      <c r="B3" s="1335" t="s">
        <v>1551</v>
      </c>
      <c r="C3" s="1336"/>
      <c r="D3" s="352"/>
      <c r="E3" s="353">
        <v>0.08</v>
      </c>
      <c r="F3" s="354"/>
      <c r="G3" s="355"/>
      <c r="H3" s="355"/>
      <c r="I3" s="356">
        <f>+(I4+I17+I48+I57+I77+I109)/6</f>
        <v>0.23222048675539217</v>
      </c>
      <c r="J3" s="689">
        <f>+(J4+J17+J48+J57+J77+J109)/6</f>
        <v>0.28071248852276881</v>
      </c>
      <c r="K3" s="690">
        <f>+(K4+K17+K48+K57+K77+K109)/6</f>
        <v>0.21726216822485131</v>
      </c>
      <c r="L3" s="690">
        <f>+(L4+L17+L48+L57+L77+L109)/6</f>
        <v>0.26550945452571084</v>
      </c>
      <c r="M3" s="357"/>
      <c r="N3" s="357"/>
      <c r="O3" s="357"/>
      <c r="P3" s="357"/>
      <c r="Q3" s="357"/>
      <c r="R3" s="357"/>
      <c r="S3" s="357"/>
      <c r="T3" s="689">
        <f>+(T4+T17+T48+T57+T77+T109)/6</f>
        <v>0.91685226242112661</v>
      </c>
      <c r="U3" s="689">
        <f>+(U4+U17+U48+U57+U77+U109)/6</f>
        <v>0.41451393143111748</v>
      </c>
      <c r="V3" s="690">
        <f>F4+F17+F48+F57+F77+F109</f>
        <v>0.75143767106226866</v>
      </c>
      <c r="W3" s="690">
        <f>H4+H17+H48+H57+H77+H109</f>
        <v>0.42056544104621973</v>
      </c>
      <c r="X3" s="689">
        <f>+(X4+X17+X48+X57+X77+X109)/6</f>
        <v>0.21689546793257833</v>
      </c>
      <c r="Y3" s="689">
        <f>+(Y4+Y17+Y48+Y57+Y77+Y109)/6</f>
        <v>0.34508245592517955</v>
      </c>
      <c r="Z3" s="690">
        <f>+(Z4+Z17+Z48+Z57+Z77+Z109)/6</f>
        <v>0.19300125399793866</v>
      </c>
      <c r="AA3" s="690">
        <f>+(AA4*E4+AA17*E17+AA48*E48+AA57*E57+AA77*E77+AA109*E109)</f>
        <v>0.32378332475293098</v>
      </c>
      <c r="AB3" s="357"/>
      <c r="AC3" s="357"/>
      <c r="AD3" s="357"/>
      <c r="AE3" s="357"/>
      <c r="AF3" s="357"/>
      <c r="AG3" s="358"/>
      <c r="AH3" s="177"/>
    </row>
    <row r="4" spans="1:34" ht="67.150000000000006" customHeight="1" thickBot="1" x14ac:dyDescent="0.35">
      <c r="A4" s="331"/>
      <c r="B4" s="1332" t="s">
        <v>1552</v>
      </c>
      <c r="C4" s="1326"/>
      <c r="D4" s="333"/>
      <c r="E4" s="291">
        <v>0.15</v>
      </c>
      <c r="F4" s="334">
        <f>+E4*V4</f>
        <v>9.6000000000000002E-2</v>
      </c>
      <c r="G4" s="272"/>
      <c r="H4" s="334">
        <f>+E4*W4</f>
        <v>7.9836428571428544E-2</v>
      </c>
      <c r="I4" s="204">
        <f>+(I5+I9+I12)/2</f>
        <v>0.24124999999999999</v>
      </c>
      <c r="J4" s="204">
        <f>+(J5+J9+J12)/3</f>
        <v>0.23138888888888887</v>
      </c>
      <c r="K4" s="205">
        <f>+(K5+K9+K12)/2</f>
        <v>0.24783333333333332</v>
      </c>
      <c r="L4" s="205">
        <f>+(L5+L9+L12)/3</f>
        <v>0.17905555555555552</v>
      </c>
      <c r="M4" s="206"/>
      <c r="N4" s="206"/>
      <c r="O4" s="206"/>
      <c r="P4" s="206"/>
      <c r="Q4" s="206"/>
      <c r="R4" s="206"/>
      <c r="S4" s="206"/>
      <c r="T4" s="204">
        <f>+(T5+T9+T12)/2</f>
        <v>0.875</v>
      </c>
      <c r="U4" s="204">
        <f>+(U5+U9+U12)/3</f>
        <v>0.53309523809523807</v>
      </c>
      <c r="V4" s="205">
        <f>+V5+V9+V12</f>
        <v>0.64</v>
      </c>
      <c r="W4" s="205">
        <f>+W5+W9+W12</f>
        <v>0.53224285714285702</v>
      </c>
      <c r="X4" s="204">
        <f>(X5+X9+X12)/2</f>
        <v>0.21</v>
      </c>
      <c r="Y4" s="204">
        <f>+((Y5-X5)/3)+((Y9-X9)/3)+((Y12-X12)/3)+X4</f>
        <v>0.34313888888888888</v>
      </c>
      <c r="Z4" s="335">
        <f>(Z5+Z9+Z12)</f>
        <v>0.15870000000000001</v>
      </c>
      <c r="AA4" s="335">
        <f>(AA5*E5+AA9*E9+AA12*E12)</f>
        <v>0.30507499999999999</v>
      </c>
      <c r="AB4" s="206"/>
      <c r="AC4" s="1002" t="s">
        <v>1553</v>
      </c>
      <c r="AD4" s="206"/>
      <c r="AE4" s="206"/>
      <c r="AF4" s="206"/>
      <c r="AG4" s="200"/>
      <c r="AH4" s="187"/>
    </row>
    <row r="5" spans="1:34" ht="67.150000000000006" customHeight="1" thickBot="1" x14ac:dyDescent="0.35">
      <c r="A5" s="331"/>
      <c r="B5" s="1331" t="s">
        <v>1554</v>
      </c>
      <c r="C5" s="1326"/>
      <c r="D5" s="333"/>
      <c r="E5" s="336">
        <v>0.3</v>
      </c>
      <c r="F5" s="271"/>
      <c r="G5" s="206"/>
      <c r="H5" s="206"/>
      <c r="I5" s="212"/>
      <c r="J5" s="212">
        <f>+AVERAGE(J6:J8)</f>
        <v>0.29166666666666663</v>
      </c>
      <c r="K5" s="212"/>
      <c r="L5" s="212">
        <f>+L6+L7+L8</f>
        <v>0.13749999999999998</v>
      </c>
      <c r="M5" s="211"/>
      <c r="N5" s="211"/>
      <c r="O5" s="211"/>
      <c r="P5" s="211"/>
      <c r="Q5" s="211"/>
      <c r="R5" s="211"/>
      <c r="S5" s="211"/>
      <c r="T5" s="235"/>
      <c r="U5" s="235">
        <f>+AVERAGE(U6:U8)</f>
        <v>0.35</v>
      </c>
      <c r="V5" s="235"/>
      <c r="W5" s="235">
        <f>+(W6+W7+W8)*E5</f>
        <v>7.3499999999999982E-2</v>
      </c>
      <c r="X5" s="212"/>
      <c r="Y5" s="212">
        <f>+Y6*0.33</f>
        <v>5.7749999999999996E-2</v>
      </c>
      <c r="Z5" s="212"/>
      <c r="AA5" s="212">
        <f>+(AA6+AA7+AA8)</f>
        <v>6.1249999999999992E-2</v>
      </c>
      <c r="AB5" s="206"/>
      <c r="AC5" s="206"/>
      <c r="AD5" s="206"/>
      <c r="AE5" s="206"/>
      <c r="AF5" s="206"/>
      <c r="AG5" s="200"/>
      <c r="AH5" s="187"/>
    </row>
    <row r="6" spans="1:34" ht="67.150000000000006" customHeight="1" thickBot="1" x14ac:dyDescent="0.35">
      <c r="A6" s="331"/>
      <c r="B6" s="1090" t="s">
        <v>1555</v>
      </c>
      <c r="C6" s="1090" t="s">
        <v>1556</v>
      </c>
      <c r="D6" s="333" t="s">
        <v>658</v>
      </c>
      <c r="E6" s="282">
        <v>0.35</v>
      </c>
      <c r="F6" s="283">
        <v>40</v>
      </c>
      <c r="G6" s="213">
        <v>0</v>
      </c>
      <c r="H6" s="213">
        <v>10</v>
      </c>
      <c r="I6" s="218"/>
      <c r="J6" s="218">
        <f>+H6/F6</f>
        <v>0.25</v>
      </c>
      <c r="K6" s="218"/>
      <c r="L6" s="218">
        <f>+(H6/F6)*E6</f>
        <v>8.7499999999999994E-2</v>
      </c>
      <c r="M6" s="213"/>
      <c r="N6" s="670">
        <v>3</v>
      </c>
      <c r="O6" s="670">
        <v>4</v>
      </c>
      <c r="P6" s="213"/>
      <c r="Q6" s="213"/>
      <c r="R6" s="213">
        <f>+N6+O6+P6+Q6</f>
        <v>7</v>
      </c>
      <c r="S6" s="213">
        <f>+R6+M6</f>
        <v>7</v>
      </c>
      <c r="T6" s="219"/>
      <c r="U6" s="218">
        <f>+R6/H6</f>
        <v>0.7</v>
      </c>
      <c r="V6" s="220"/>
      <c r="W6" s="220">
        <f>+U6*E6</f>
        <v>0.24499999999999997</v>
      </c>
      <c r="X6" s="218"/>
      <c r="Y6" s="237">
        <f>+S6/F6</f>
        <v>0.17499999999999999</v>
      </c>
      <c r="Z6" s="218"/>
      <c r="AA6" s="218">
        <f>+Y6*E6</f>
        <v>6.1249999999999992E-2</v>
      </c>
      <c r="AB6" s="308" t="s">
        <v>1321</v>
      </c>
      <c r="AC6" s="206"/>
      <c r="AD6" s="724" t="s">
        <v>1557</v>
      </c>
      <c r="AE6" s="724" t="s">
        <v>885</v>
      </c>
      <c r="AF6" s="206"/>
      <c r="AG6" s="200"/>
      <c r="AH6" s="187"/>
    </row>
    <row r="7" spans="1:34" ht="67.150000000000006" customHeight="1" thickBot="1" x14ac:dyDescent="0.35">
      <c r="A7" s="331"/>
      <c r="B7" s="1090" t="s">
        <v>1558</v>
      </c>
      <c r="C7" s="1090" t="s">
        <v>1559</v>
      </c>
      <c r="D7" s="333" t="s">
        <v>658</v>
      </c>
      <c r="E7" s="285">
        <v>0.5</v>
      </c>
      <c r="F7" s="283">
        <v>1</v>
      </c>
      <c r="G7" s="213">
        <v>0</v>
      </c>
      <c r="H7" s="213">
        <v>0</v>
      </c>
      <c r="I7" s="218"/>
      <c r="J7" s="218"/>
      <c r="K7" s="218"/>
      <c r="L7" s="218"/>
      <c r="M7" s="213"/>
      <c r="N7" s="670"/>
      <c r="O7" s="670">
        <v>0</v>
      </c>
      <c r="P7" s="213"/>
      <c r="Q7" s="213"/>
      <c r="R7" s="213">
        <f>+N7+O7+P7+Q7</f>
        <v>0</v>
      </c>
      <c r="S7" s="213">
        <f>+R7+M7</f>
        <v>0</v>
      </c>
      <c r="T7" s="219"/>
      <c r="U7" s="218"/>
      <c r="V7" s="220"/>
      <c r="W7" s="220"/>
      <c r="X7" s="218"/>
      <c r="Y7" s="218"/>
      <c r="Z7" s="218"/>
      <c r="AA7" s="218">
        <f>+Y7*E7</f>
        <v>0</v>
      </c>
      <c r="AB7" s="308" t="s">
        <v>1321</v>
      </c>
      <c r="AC7" s="206"/>
      <c r="AD7" s="724" t="s">
        <v>1557</v>
      </c>
      <c r="AE7" s="724" t="s">
        <v>885</v>
      </c>
      <c r="AF7" s="206"/>
      <c r="AG7" s="200"/>
      <c r="AH7" s="187"/>
    </row>
    <row r="8" spans="1:34" ht="123" customHeight="1" thickBot="1" x14ac:dyDescent="0.35">
      <c r="A8" s="331"/>
      <c r="B8" s="1174" t="s">
        <v>1560</v>
      </c>
      <c r="C8" s="1174" t="s">
        <v>1561</v>
      </c>
      <c r="D8" s="333" t="s">
        <v>658</v>
      </c>
      <c r="E8" s="337">
        <v>0.15</v>
      </c>
      <c r="F8" s="283">
        <v>3</v>
      </c>
      <c r="G8" s="213">
        <v>0</v>
      </c>
      <c r="H8" s="213">
        <v>1</v>
      </c>
      <c r="I8" s="218"/>
      <c r="J8" s="218">
        <f t="shared" ref="J8" si="0">+H8/F8</f>
        <v>0.33333333333333331</v>
      </c>
      <c r="K8" s="218"/>
      <c r="L8" s="218">
        <f t="shared" ref="L8" si="1">+(H8/F8)*E8</f>
        <v>4.9999999999999996E-2</v>
      </c>
      <c r="M8" s="213"/>
      <c r="N8" s="670">
        <v>0</v>
      </c>
      <c r="O8" s="670">
        <v>0</v>
      </c>
      <c r="P8" s="213"/>
      <c r="Q8" s="213"/>
      <c r="R8" s="213">
        <f>+N8+O8+P8+Q8</f>
        <v>0</v>
      </c>
      <c r="S8" s="213">
        <f>+R8+M8</f>
        <v>0</v>
      </c>
      <c r="T8" s="219"/>
      <c r="U8" s="218">
        <f t="shared" ref="U8" si="2">+R8/H8</f>
        <v>0</v>
      </c>
      <c r="V8" s="220"/>
      <c r="W8" s="220">
        <f>+U8*E8</f>
        <v>0</v>
      </c>
      <c r="X8" s="218"/>
      <c r="Y8" s="218">
        <v>0</v>
      </c>
      <c r="Z8" s="218"/>
      <c r="AA8" s="218">
        <f>+Y8*E8</f>
        <v>0</v>
      </c>
      <c r="AB8" s="308" t="s">
        <v>1321</v>
      </c>
      <c r="AC8" s="752" t="s">
        <v>127</v>
      </c>
      <c r="AD8" s="206"/>
      <c r="AE8" s="724" t="s">
        <v>885</v>
      </c>
      <c r="AF8" s="206"/>
      <c r="AG8" s="200"/>
      <c r="AH8" s="187"/>
    </row>
    <row r="9" spans="1:34" ht="67.150000000000006" customHeight="1" thickBot="1" x14ac:dyDescent="0.35">
      <c r="A9" s="331"/>
      <c r="B9" s="1331" t="s">
        <v>1562</v>
      </c>
      <c r="C9" s="1326"/>
      <c r="D9" s="333"/>
      <c r="E9" s="338">
        <v>0.4</v>
      </c>
      <c r="F9" s="283"/>
      <c r="G9" s="213"/>
      <c r="H9" s="213"/>
      <c r="I9" s="212">
        <f>+AVERAGE(I10:I11)</f>
        <v>0.25</v>
      </c>
      <c r="J9" s="212">
        <f>+AVERAGE(J10:J11)</f>
        <v>0.25</v>
      </c>
      <c r="K9" s="212">
        <f>+K10+K11</f>
        <v>0.25</v>
      </c>
      <c r="L9" s="212">
        <f>+L10+L11</f>
        <v>0.25</v>
      </c>
      <c r="M9" s="211"/>
      <c r="N9" s="211"/>
      <c r="O9" s="211"/>
      <c r="P9" s="211"/>
      <c r="Q9" s="211"/>
      <c r="R9" s="211"/>
      <c r="S9" s="211"/>
      <c r="T9" s="235">
        <f>+AVERAGE(T10:T11)</f>
        <v>0.75</v>
      </c>
      <c r="U9" s="235">
        <f>+AVERAGE(U10:U11)</f>
        <v>0.61</v>
      </c>
      <c r="V9" s="235">
        <f>+(V10+V11)*E9</f>
        <v>0.34</v>
      </c>
      <c r="W9" s="235">
        <f>+(W10+W11)*E9</f>
        <v>0.2616</v>
      </c>
      <c r="X9" s="212">
        <f>+AVERAGE(X10:X11)</f>
        <v>0.1875</v>
      </c>
      <c r="Y9" s="212">
        <f>+AVERAGE(Y10:Y11)</f>
        <v>0.33999999999999997</v>
      </c>
      <c r="Z9" s="212">
        <f>+(Z10+Z11)*E9</f>
        <v>8.5000000000000006E-2</v>
      </c>
      <c r="AA9" s="212">
        <f>+(AA10+AA11)</f>
        <v>0.376</v>
      </c>
      <c r="AB9" s="206"/>
      <c r="AC9" s="206"/>
      <c r="AD9" s="206"/>
      <c r="AE9" s="206"/>
      <c r="AF9" s="206"/>
      <c r="AG9" s="200"/>
      <c r="AH9" s="187"/>
    </row>
    <row r="10" spans="1:34" ht="163.9" customHeight="1" thickBot="1" x14ac:dyDescent="0.35">
      <c r="A10" s="331"/>
      <c r="B10" s="1090" t="s">
        <v>1563</v>
      </c>
      <c r="C10" s="1090" t="s">
        <v>1564</v>
      </c>
      <c r="D10" s="333" t="s">
        <v>658</v>
      </c>
      <c r="E10" s="282">
        <v>0.7</v>
      </c>
      <c r="F10" s="283">
        <v>1</v>
      </c>
      <c r="G10" s="213">
        <v>0.25</v>
      </c>
      <c r="H10" s="213">
        <v>0.25</v>
      </c>
      <c r="I10" s="218">
        <f>+G10/F10</f>
        <v>0.25</v>
      </c>
      <c r="J10" s="218">
        <f>+H10/F10</f>
        <v>0.25</v>
      </c>
      <c r="K10" s="218">
        <f>+(G10/F10)*E10</f>
        <v>0.17499999999999999</v>
      </c>
      <c r="L10" s="218">
        <f>+(H10/F10)*E10</f>
        <v>0.17499999999999999</v>
      </c>
      <c r="M10" s="213">
        <v>0.25</v>
      </c>
      <c r="N10" s="670">
        <v>0</v>
      </c>
      <c r="O10" s="213">
        <v>0.18</v>
      </c>
      <c r="P10" s="213"/>
      <c r="Q10" s="213"/>
      <c r="R10" s="213">
        <f t="shared" ref="R10:R11" si="3">+N10+O10+P10+Q10</f>
        <v>0.18</v>
      </c>
      <c r="S10" s="213">
        <f t="shared" ref="S10:S11" si="4">+R10+M10</f>
        <v>0.43</v>
      </c>
      <c r="T10" s="218">
        <f>+(M10/G10)</f>
        <v>1</v>
      </c>
      <c r="U10" s="218">
        <f t="shared" ref="U10:U11" si="5">+R10/H10</f>
        <v>0.72</v>
      </c>
      <c r="V10" s="220">
        <f>+T10*E10</f>
        <v>0.7</v>
      </c>
      <c r="W10" s="220">
        <f t="shared" ref="W10:W16" si="6">+U10*E10</f>
        <v>0.504</v>
      </c>
      <c r="X10" s="218">
        <f>+M10/F10</f>
        <v>0.25</v>
      </c>
      <c r="Y10" s="218">
        <f t="shared" ref="Y10:Y11" si="7">+S10/F10</f>
        <v>0.43</v>
      </c>
      <c r="Z10" s="218">
        <f>+X10*E10</f>
        <v>0.17499999999999999</v>
      </c>
      <c r="AA10" s="218">
        <f>+Y10*E10</f>
        <v>0.30099999999999999</v>
      </c>
      <c r="AB10" s="308" t="s">
        <v>1321</v>
      </c>
      <c r="AC10" s="206"/>
      <c r="AD10" s="724" t="s">
        <v>1557</v>
      </c>
      <c r="AE10" s="724" t="s">
        <v>885</v>
      </c>
      <c r="AF10" s="206"/>
      <c r="AG10" s="200"/>
      <c r="AH10" s="187"/>
    </row>
    <row r="11" spans="1:34" ht="97.15" customHeight="1" thickBot="1" x14ac:dyDescent="0.35">
      <c r="A11" s="331"/>
      <c r="B11" s="1090" t="s">
        <v>1565</v>
      </c>
      <c r="C11" s="1090" t="s">
        <v>1566</v>
      </c>
      <c r="D11" s="333" t="s">
        <v>1567</v>
      </c>
      <c r="E11" s="337">
        <v>0.3</v>
      </c>
      <c r="F11" s="283">
        <v>8</v>
      </c>
      <c r="G11" s="213">
        <v>2</v>
      </c>
      <c r="H11" s="213">
        <v>2</v>
      </c>
      <c r="I11" s="218">
        <f>+G11/F11</f>
        <v>0.25</v>
      </c>
      <c r="J11" s="218">
        <f>+H11/F11</f>
        <v>0.25</v>
      </c>
      <c r="K11" s="218">
        <f>+(G11/F11)*E11</f>
        <v>7.4999999999999997E-2</v>
      </c>
      <c r="L11" s="218">
        <f>+(H11/F11)*E11</f>
        <v>7.4999999999999997E-2</v>
      </c>
      <c r="M11" s="213">
        <v>1</v>
      </c>
      <c r="N11" s="670">
        <v>0</v>
      </c>
      <c r="O11" s="213">
        <v>1</v>
      </c>
      <c r="P11" s="213"/>
      <c r="Q11" s="213"/>
      <c r="R11" s="213">
        <f t="shared" si="3"/>
        <v>1</v>
      </c>
      <c r="S11" s="213">
        <f t="shared" si="4"/>
        <v>2</v>
      </c>
      <c r="T11" s="218">
        <f>+(M11/G11)</f>
        <v>0.5</v>
      </c>
      <c r="U11" s="218">
        <f t="shared" si="5"/>
        <v>0.5</v>
      </c>
      <c r="V11" s="220">
        <f>+T11*E11</f>
        <v>0.15</v>
      </c>
      <c r="W11" s="220">
        <f t="shared" si="6"/>
        <v>0.15</v>
      </c>
      <c r="X11" s="218">
        <f>+M11/F11</f>
        <v>0.125</v>
      </c>
      <c r="Y11" s="218">
        <f t="shared" si="7"/>
        <v>0.25</v>
      </c>
      <c r="Z11" s="218">
        <f>+X11*E11</f>
        <v>3.7499999999999999E-2</v>
      </c>
      <c r="AA11" s="218">
        <f>+Y11*E11</f>
        <v>7.4999999999999997E-2</v>
      </c>
      <c r="AB11" s="308" t="s">
        <v>1321</v>
      </c>
      <c r="AC11" s="206"/>
      <c r="AD11" s="724" t="s">
        <v>1557</v>
      </c>
      <c r="AE11" s="724" t="s">
        <v>885</v>
      </c>
      <c r="AF11" s="206"/>
      <c r="AG11" s="200"/>
      <c r="AH11" s="187"/>
    </row>
    <row r="12" spans="1:34" ht="67.150000000000006" customHeight="1" thickBot="1" x14ac:dyDescent="0.35">
      <c r="A12" s="331"/>
      <c r="B12" s="1331" t="s">
        <v>1568</v>
      </c>
      <c r="C12" s="1326"/>
      <c r="D12" s="333"/>
      <c r="E12" s="339">
        <v>0.3</v>
      </c>
      <c r="F12" s="271"/>
      <c r="G12" s="206"/>
      <c r="H12" s="206"/>
      <c r="I12" s="212">
        <f>+AVERAGE(I13:I16)</f>
        <v>0.23249999999999998</v>
      </c>
      <c r="J12" s="212">
        <f>+AVERAGE(J13:J16)</f>
        <v>0.1525</v>
      </c>
      <c r="K12" s="212">
        <f>+K13+K14+K15+K16</f>
        <v>0.24566666666666664</v>
      </c>
      <c r="L12" s="212">
        <f>+L13+L14+L15+L16</f>
        <v>0.14966666666666667</v>
      </c>
      <c r="M12" s="211"/>
      <c r="N12" s="211"/>
      <c r="O12" s="211"/>
      <c r="P12" s="211"/>
      <c r="Q12" s="211"/>
      <c r="R12" s="211"/>
      <c r="S12" s="211"/>
      <c r="T12" s="235">
        <f>+AVERAGE(T13:T16)</f>
        <v>1</v>
      </c>
      <c r="U12" s="235">
        <f>+AVERAGE(U13:U16)</f>
        <v>0.63928571428571423</v>
      </c>
      <c r="V12" s="235">
        <f>+(V13+V14+V15+V16)*E12</f>
        <v>0.3</v>
      </c>
      <c r="W12" s="235">
        <f>+(W13+W14+W15+W16)*E12</f>
        <v>0.19714285714285709</v>
      </c>
      <c r="X12" s="212">
        <f>+AVERAGE(X13:X16)</f>
        <v>0.23249999999999998</v>
      </c>
      <c r="Y12" s="212">
        <f>+AVERAGE(Y13:Y16)</f>
        <v>0.42166666666666663</v>
      </c>
      <c r="Z12" s="212">
        <f>+(Z13+Z14+Z15+Z16)*E12</f>
        <v>7.3699999999999988E-2</v>
      </c>
      <c r="AA12" s="212">
        <f>+(AA13+AA14+AA15+AA16)</f>
        <v>0.45433333333333331</v>
      </c>
      <c r="AB12" s="206"/>
      <c r="AC12" s="206"/>
      <c r="AD12" s="206"/>
      <c r="AE12" s="206"/>
      <c r="AF12" s="206"/>
      <c r="AG12" s="200"/>
      <c r="AH12" s="187"/>
    </row>
    <row r="13" spans="1:34" ht="135.6" customHeight="1" thickBot="1" x14ac:dyDescent="0.35">
      <c r="A13" s="331"/>
      <c r="B13" s="1090" t="s">
        <v>1569</v>
      </c>
      <c r="C13" s="1090" t="s">
        <v>1570</v>
      </c>
      <c r="D13" s="225" t="s">
        <v>1571</v>
      </c>
      <c r="E13" s="285">
        <v>0.3</v>
      </c>
      <c r="F13" s="849">
        <v>3000</v>
      </c>
      <c r="G13" s="213">
        <v>350</v>
      </c>
      <c r="H13" s="213">
        <v>350</v>
      </c>
      <c r="I13" s="218">
        <f>+G13/F13</f>
        <v>0.11666666666666667</v>
      </c>
      <c r="J13" s="218">
        <f t="shared" ref="J13:J16" si="8">+H13/F13</f>
        <v>0.11666666666666667</v>
      </c>
      <c r="K13" s="218">
        <f>+(G13/F13)*E13</f>
        <v>3.4999999999999996E-2</v>
      </c>
      <c r="L13" s="218">
        <f t="shared" ref="L13:L16" si="9">+(H13/F13)*E13</f>
        <v>3.4999999999999996E-2</v>
      </c>
      <c r="M13" s="213">
        <v>350</v>
      </c>
      <c r="N13" s="670">
        <v>0</v>
      </c>
      <c r="O13" s="670">
        <v>160</v>
      </c>
      <c r="P13" s="213"/>
      <c r="Q13" s="213"/>
      <c r="R13" s="213">
        <f t="shared" ref="R13:R16" si="10">+N13+O13+P13+Q13</f>
        <v>160</v>
      </c>
      <c r="S13" s="213">
        <f t="shared" ref="S13:S16" si="11">+R13+M13</f>
        <v>510</v>
      </c>
      <c r="T13" s="218">
        <f>+(M13/G13)</f>
        <v>1</v>
      </c>
      <c r="U13" s="218">
        <f t="shared" ref="U13:U15" si="12">+R13/H13</f>
        <v>0.45714285714285713</v>
      </c>
      <c r="V13" s="220">
        <f>+T13*E13</f>
        <v>0.3</v>
      </c>
      <c r="W13" s="220">
        <f t="shared" si="6"/>
        <v>0.13714285714285712</v>
      </c>
      <c r="X13" s="218">
        <f>+M13/F13</f>
        <v>0.11666666666666667</v>
      </c>
      <c r="Y13" s="218">
        <f>+S13/F13</f>
        <v>0.17</v>
      </c>
      <c r="Z13" s="218">
        <f>+X13*E13</f>
        <v>3.4999999999999996E-2</v>
      </c>
      <c r="AA13" s="218">
        <f>+Y13*E13</f>
        <v>5.1000000000000004E-2</v>
      </c>
      <c r="AB13" s="308" t="s">
        <v>1321</v>
      </c>
      <c r="AC13" s="850" t="s">
        <v>1572</v>
      </c>
      <c r="AD13" s="724" t="s">
        <v>1557</v>
      </c>
      <c r="AE13" s="724" t="s">
        <v>885</v>
      </c>
      <c r="AF13" s="206"/>
      <c r="AG13" s="200"/>
      <c r="AH13" s="187"/>
    </row>
    <row r="14" spans="1:34" ht="67.150000000000006" customHeight="1" thickBot="1" x14ac:dyDescent="0.35">
      <c r="A14" s="331"/>
      <c r="B14" s="1090" t="s">
        <v>1573</v>
      </c>
      <c r="C14" s="1090" t="s">
        <v>1574</v>
      </c>
      <c r="D14" s="225" t="s">
        <v>1575</v>
      </c>
      <c r="E14" s="285">
        <v>0.2</v>
      </c>
      <c r="F14" s="849">
        <v>6</v>
      </c>
      <c r="G14" s="213">
        <v>1</v>
      </c>
      <c r="H14" s="213">
        <v>1</v>
      </c>
      <c r="I14" s="218">
        <f>+G14/F14</f>
        <v>0.16666666666666666</v>
      </c>
      <c r="J14" s="218">
        <f t="shared" si="8"/>
        <v>0.16666666666666666</v>
      </c>
      <c r="K14" s="218">
        <f>+(G14/F14)*E14</f>
        <v>3.3333333333333333E-2</v>
      </c>
      <c r="L14" s="218">
        <f t="shared" si="9"/>
        <v>3.3333333333333333E-2</v>
      </c>
      <c r="M14" s="213">
        <v>1</v>
      </c>
      <c r="N14" s="670">
        <v>0</v>
      </c>
      <c r="O14" s="670">
        <v>0.6</v>
      </c>
      <c r="P14" s="213"/>
      <c r="Q14" s="213"/>
      <c r="R14" s="213">
        <f t="shared" si="10"/>
        <v>0.6</v>
      </c>
      <c r="S14" s="848">
        <f t="shared" si="11"/>
        <v>1.6</v>
      </c>
      <c r="T14" s="218">
        <f>+(M14/G14)</f>
        <v>1</v>
      </c>
      <c r="U14" s="218">
        <f t="shared" si="12"/>
        <v>0.6</v>
      </c>
      <c r="V14" s="220">
        <f>+T14*E14</f>
        <v>0.2</v>
      </c>
      <c r="W14" s="220">
        <f t="shared" si="6"/>
        <v>0.12</v>
      </c>
      <c r="X14" s="218">
        <f>+M14/F14</f>
        <v>0.16666666666666666</v>
      </c>
      <c r="Y14" s="218">
        <f t="shared" ref="Y14:Y15" si="13">+S14/F14</f>
        <v>0.26666666666666666</v>
      </c>
      <c r="Z14" s="218">
        <f>+X14*E14</f>
        <v>3.3333333333333333E-2</v>
      </c>
      <c r="AA14" s="218">
        <f>+Y14*E14</f>
        <v>5.3333333333333337E-2</v>
      </c>
      <c r="AB14" s="308" t="s">
        <v>1321</v>
      </c>
      <c r="AC14" s="850" t="s">
        <v>1572</v>
      </c>
      <c r="AD14" s="724" t="s">
        <v>1557</v>
      </c>
      <c r="AE14" s="724" t="s">
        <v>885</v>
      </c>
      <c r="AF14" s="206"/>
      <c r="AG14" s="200"/>
      <c r="AH14" s="187"/>
    </row>
    <row r="15" spans="1:34" ht="67.150000000000006" customHeight="1" thickBot="1" x14ac:dyDescent="0.35">
      <c r="A15" s="331"/>
      <c r="B15" s="1174" t="s">
        <v>1576</v>
      </c>
      <c r="C15" s="1174" t="s">
        <v>1577</v>
      </c>
      <c r="D15" s="225" t="s">
        <v>1575</v>
      </c>
      <c r="E15" s="285">
        <v>0.2</v>
      </c>
      <c r="F15" s="849">
        <v>6</v>
      </c>
      <c r="G15" s="213">
        <v>1</v>
      </c>
      <c r="H15" s="213">
        <v>1</v>
      </c>
      <c r="I15" s="218">
        <f>+G15/F15</f>
        <v>0.16666666666666666</v>
      </c>
      <c r="J15" s="218">
        <f t="shared" si="8"/>
        <v>0.16666666666666666</v>
      </c>
      <c r="K15" s="218">
        <f>+(G15/F15)*E15</f>
        <v>3.3333333333333333E-2</v>
      </c>
      <c r="L15" s="218">
        <f t="shared" si="9"/>
        <v>3.3333333333333333E-2</v>
      </c>
      <c r="M15" s="213">
        <v>1</v>
      </c>
      <c r="N15" s="670">
        <v>0</v>
      </c>
      <c r="O15" s="670">
        <v>0.5</v>
      </c>
      <c r="P15" s="213"/>
      <c r="Q15" s="213"/>
      <c r="R15" s="213">
        <f t="shared" si="10"/>
        <v>0.5</v>
      </c>
      <c r="S15" s="213">
        <f t="shared" si="11"/>
        <v>1.5</v>
      </c>
      <c r="T15" s="218">
        <f>+(M15/G15)</f>
        <v>1</v>
      </c>
      <c r="U15" s="218">
        <f t="shared" si="12"/>
        <v>0.5</v>
      </c>
      <c r="V15" s="220">
        <f>+T15*E15</f>
        <v>0.2</v>
      </c>
      <c r="W15" s="220">
        <f t="shared" si="6"/>
        <v>0.1</v>
      </c>
      <c r="X15" s="218">
        <f>+M15/F15</f>
        <v>0.16666666666666666</v>
      </c>
      <c r="Y15" s="218">
        <f t="shared" si="13"/>
        <v>0.25</v>
      </c>
      <c r="Z15" s="218">
        <f>+X15*E15</f>
        <v>3.3333333333333333E-2</v>
      </c>
      <c r="AA15" s="218">
        <f>+Y15*E15</f>
        <v>0.05</v>
      </c>
      <c r="AB15" s="308" t="s">
        <v>1321</v>
      </c>
      <c r="AC15" s="852" t="s">
        <v>1572</v>
      </c>
      <c r="AD15" s="724" t="s">
        <v>1557</v>
      </c>
      <c r="AE15" s="724" t="s">
        <v>885</v>
      </c>
      <c r="AF15" s="206"/>
      <c r="AG15" s="200"/>
      <c r="AH15" s="187"/>
    </row>
    <row r="16" spans="1:34" ht="67.150000000000006" customHeight="1" thickBot="1" x14ac:dyDescent="0.35">
      <c r="A16" s="331"/>
      <c r="B16" s="1174" t="s">
        <v>1578</v>
      </c>
      <c r="C16" s="1174" t="s">
        <v>1579</v>
      </c>
      <c r="D16" s="225" t="s">
        <v>1575</v>
      </c>
      <c r="E16" s="285">
        <v>0.3</v>
      </c>
      <c r="F16" s="283">
        <v>50</v>
      </c>
      <c r="G16" s="213">
        <v>24</v>
      </c>
      <c r="H16" s="213">
        <v>8</v>
      </c>
      <c r="I16" s="218">
        <f>+G16/F16</f>
        <v>0.48</v>
      </c>
      <c r="J16" s="218">
        <f t="shared" si="8"/>
        <v>0.16</v>
      </c>
      <c r="K16" s="218">
        <f>+(G16/F16)*E16</f>
        <v>0.14399999999999999</v>
      </c>
      <c r="L16" s="218">
        <f t="shared" si="9"/>
        <v>4.8000000000000001E-2</v>
      </c>
      <c r="M16" s="213">
        <v>24</v>
      </c>
      <c r="N16" s="670">
        <v>26</v>
      </c>
      <c r="O16" s="670">
        <v>1</v>
      </c>
      <c r="P16" s="213"/>
      <c r="Q16" s="213"/>
      <c r="R16" s="213">
        <f t="shared" si="10"/>
        <v>27</v>
      </c>
      <c r="S16" s="213">
        <f t="shared" si="11"/>
        <v>51</v>
      </c>
      <c r="T16" s="218">
        <f>+(M16/G16)</f>
        <v>1</v>
      </c>
      <c r="U16" s="218">
        <v>1</v>
      </c>
      <c r="V16" s="220">
        <f>+T16*E16</f>
        <v>0.3</v>
      </c>
      <c r="W16" s="220">
        <f t="shared" si="6"/>
        <v>0.3</v>
      </c>
      <c r="X16" s="218">
        <f>+M16/F16</f>
        <v>0.48</v>
      </c>
      <c r="Y16" s="218">
        <v>1</v>
      </c>
      <c r="Z16" s="218">
        <f>+X16*E16</f>
        <v>0.14399999999999999</v>
      </c>
      <c r="AA16" s="218">
        <f>+Y16*E16</f>
        <v>0.3</v>
      </c>
      <c r="AB16" s="851" t="s">
        <v>1321</v>
      </c>
      <c r="AC16" s="753" t="s">
        <v>483</v>
      </c>
      <c r="AD16" s="271"/>
      <c r="AE16" s="724" t="s">
        <v>1580</v>
      </c>
      <c r="AF16" s="206"/>
      <c r="AG16" s="200"/>
      <c r="AH16" s="187"/>
    </row>
    <row r="17" spans="1:34" ht="99" customHeight="1" thickBot="1" x14ac:dyDescent="0.35">
      <c r="A17" s="331"/>
      <c r="B17" s="1332" t="s">
        <v>1581</v>
      </c>
      <c r="C17" s="1326"/>
      <c r="D17" s="333"/>
      <c r="E17" s="291">
        <v>0.2</v>
      </c>
      <c r="F17" s="334">
        <f>+E17*V17</f>
        <v>0.14985474006116206</v>
      </c>
      <c r="G17" s="206"/>
      <c r="H17" s="334">
        <f>+E17*W17</f>
        <v>8.125719411764705E-2</v>
      </c>
      <c r="I17" s="204">
        <f>+(I18+I23+I26+I30+I32+I36+I40+I43)/6</f>
        <v>0.19706348655814188</v>
      </c>
      <c r="J17" s="204">
        <f>+(J18+J23+J26+J30+J32+J36+J40+J43)/8</f>
        <v>0.32203475447353508</v>
      </c>
      <c r="K17" s="205">
        <f>+(K18+K23+K26+K30+K32+K36+K40+K43)/6</f>
        <v>0.16739826874293517</v>
      </c>
      <c r="L17" s="205">
        <f>+(L18+L23+L26+L30+L32+L36+L40+L43)/8</f>
        <v>0.31117732789108349</v>
      </c>
      <c r="M17" s="206"/>
      <c r="N17" s="206"/>
      <c r="O17" s="206"/>
      <c r="P17" s="206"/>
      <c r="Q17" s="206"/>
      <c r="R17" s="206"/>
      <c r="S17" s="206"/>
      <c r="T17" s="204">
        <f>+(T18+T23+T26+T30+T32+T36+T40+T43)/6</f>
        <v>0.92647808358817529</v>
      </c>
      <c r="U17" s="204">
        <f>+(U18+U23+U26+U30+U32+U36+U40+U43)/8</f>
        <v>0.43698654003267967</v>
      </c>
      <c r="V17" s="205">
        <f>+V18+V23+V26+V30+V32+V36+V40+V43</f>
        <v>0.74927370030581031</v>
      </c>
      <c r="W17" s="205">
        <f>+W18+W23+W26+W30+W32+W36+W40+W43</f>
        <v>0.40628597058823523</v>
      </c>
      <c r="X17" s="204">
        <f>(X18+X23+X26+X30+X32+X36+X40+X43)/6</f>
        <v>0.19974545886160069</v>
      </c>
      <c r="Y17" s="204">
        <f>(Y18+Y23+Y26+Y30+Y32+Y36+Y40+Y43)/7</f>
        <v>0.33310921262475429</v>
      </c>
      <c r="Z17" s="335">
        <f>(Z18+Z23+Z26+Z30+Z32+Z36+Z40+Z43)</f>
        <v>0.14653217466808169</v>
      </c>
      <c r="AA17" s="335">
        <f>(AA18*E18+AA23*E23+AA26*E26+AA30*E30+AA32*E32+AA36*E36+AA40*E40+AA43*E43)</f>
        <v>0.31361473004503176</v>
      </c>
      <c r="AB17" s="206"/>
      <c r="AC17" s="853" t="s">
        <v>1582</v>
      </c>
      <c r="AD17" s="206"/>
      <c r="AE17" s="206"/>
      <c r="AF17" s="206"/>
      <c r="AG17" s="200"/>
      <c r="AH17" s="187"/>
    </row>
    <row r="18" spans="1:34" ht="67.150000000000006" customHeight="1" thickBot="1" x14ac:dyDescent="0.35">
      <c r="A18" s="331"/>
      <c r="B18" s="1331" t="s">
        <v>1583</v>
      </c>
      <c r="C18" s="1326"/>
      <c r="D18" s="333"/>
      <c r="E18" s="289">
        <v>0.15</v>
      </c>
      <c r="F18" s="271"/>
      <c r="G18" s="206"/>
      <c r="H18" s="206"/>
      <c r="I18" s="212">
        <f>+AVERAGE(I19:I22)</f>
        <v>0.27777777777777773</v>
      </c>
      <c r="J18" s="212">
        <f>+AVERAGE(J19:J22)</f>
        <v>0.33333333333333331</v>
      </c>
      <c r="K18" s="212">
        <f>+K19+K20+K21+K22</f>
        <v>0.27083333333333337</v>
      </c>
      <c r="L18" s="212">
        <f>+L19+L20+L21+L22</f>
        <v>0.29583333333333334</v>
      </c>
      <c r="M18" s="211"/>
      <c r="N18" s="211"/>
      <c r="O18" s="211"/>
      <c r="P18" s="211"/>
      <c r="Q18" s="211"/>
      <c r="R18" s="211"/>
      <c r="S18" s="211"/>
      <c r="T18" s="235">
        <f>+AVERAGE(T19:T22)</f>
        <v>1</v>
      </c>
      <c r="U18" s="235">
        <f>+AVERAGE(U19:U22)</f>
        <v>0.56974999999999998</v>
      </c>
      <c r="V18" s="235">
        <f>+(V19+V20+V21+V22)*E18</f>
        <v>0.14249999999999999</v>
      </c>
      <c r="W18" s="235">
        <f>+(W19+W20+W21+W22)*E18</f>
        <v>9.8617499999999997E-2</v>
      </c>
      <c r="X18" s="212">
        <f>+AVERAGE(X19:X22)</f>
        <v>0.27777777777777773</v>
      </c>
      <c r="Y18" s="212">
        <f>+AVERAGE(Y19:Y22)</f>
        <v>0.39633333333333332</v>
      </c>
      <c r="Z18" s="212">
        <f>+(Z19+Z20+Z21+Z22)*E18</f>
        <v>4.0625000000000001E-2</v>
      </c>
      <c r="AA18" s="212">
        <f>+(AA19+AA20+AA21+AA22)</f>
        <v>0.49680833333333341</v>
      </c>
      <c r="AB18" s="206"/>
      <c r="AC18" s="206"/>
      <c r="AD18" s="206"/>
      <c r="AE18" s="206"/>
      <c r="AF18" s="206"/>
      <c r="AG18" s="200"/>
      <c r="AH18" s="187"/>
    </row>
    <row r="19" spans="1:34" ht="95.45" customHeight="1" thickBot="1" x14ac:dyDescent="0.35">
      <c r="A19" s="331"/>
      <c r="B19" s="1174" t="s">
        <v>1584</v>
      </c>
      <c r="C19" s="1174" t="s">
        <v>1585</v>
      </c>
      <c r="D19" s="333" t="s">
        <v>658</v>
      </c>
      <c r="E19" s="285">
        <v>0.05</v>
      </c>
      <c r="F19" s="283">
        <v>1</v>
      </c>
      <c r="G19" s="213">
        <v>0.25</v>
      </c>
      <c r="H19" s="213">
        <v>0.25</v>
      </c>
      <c r="I19" s="218">
        <f>+G19/F19</f>
        <v>0.25</v>
      </c>
      <c r="J19" s="218">
        <f t="shared" ref="J19:J22" si="14">+H19/F19</f>
        <v>0.25</v>
      </c>
      <c r="K19" s="218">
        <f>+(G19/F19)*E19</f>
        <v>1.2500000000000001E-2</v>
      </c>
      <c r="L19" s="218">
        <f t="shared" ref="L19:L47" si="15">+(H19/F19)*E19</f>
        <v>1.2500000000000001E-2</v>
      </c>
      <c r="M19" s="249">
        <v>0.25</v>
      </c>
      <c r="N19" s="670">
        <v>0.05</v>
      </c>
      <c r="O19" s="670">
        <v>0.13</v>
      </c>
      <c r="P19" s="213"/>
      <c r="Q19" s="213"/>
      <c r="R19" s="213">
        <f t="shared" ref="R19:R22" si="16">+N19+O19+P19+Q19</f>
        <v>0.18</v>
      </c>
      <c r="S19" s="213">
        <f t="shared" ref="S19:S22" si="17">+R19+M19</f>
        <v>0.43</v>
      </c>
      <c r="T19" s="218">
        <v>1</v>
      </c>
      <c r="U19" s="218">
        <f t="shared" ref="U19:U22" si="18">+R19/H19</f>
        <v>0.72</v>
      </c>
      <c r="V19" s="218">
        <f>+T19*E19</f>
        <v>0.05</v>
      </c>
      <c r="W19" s="218">
        <f t="shared" ref="W19:W22" si="19">+U19*E19</f>
        <v>3.5999999999999997E-2</v>
      </c>
      <c r="X19" s="218">
        <f>+M19/F19</f>
        <v>0.25</v>
      </c>
      <c r="Y19" s="218">
        <f t="shared" ref="Y19:Y22" si="20">+S19/F19</f>
        <v>0.43</v>
      </c>
      <c r="Z19" s="218">
        <f>+X19*E19</f>
        <v>1.2500000000000001E-2</v>
      </c>
      <c r="AA19" s="218">
        <f>+Y19*E19</f>
        <v>2.1500000000000002E-2</v>
      </c>
      <c r="AB19" s="308" t="s">
        <v>1321</v>
      </c>
      <c r="AC19" s="691" t="s">
        <v>1586</v>
      </c>
      <c r="AD19" s="206"/>
      <c r="AE19" s="724" t="s">
        <v>885</v>
      </c>
      <c r="AF19" s="206"/>
      <c r="AG19" s="200"/>
      <c r="AH19" s="187"/>
    </row>
    <row r="20" spans="1:34" ht="136.9" customHeight="1" thickBot="1" x14ac:dyDescent="0.35">
      <c r="A20" s="331"/>
      <c r="B20" s="1174" t="s">
        <v>1587</v>
      </c>
      <c r="C20" s="1174" t="s">
        <v>1588</v>
      </c>
      <c r="D20" s="333" t="s">
        <v>1589</v>
      </c>
      <c r="E20" s="285">
        <v>0.05</v>
      </c>
      <c r="F20" s="283">
        <v>1</v>
      </c>
      <c r="G20" s="213">
        <v>0</v>
      </c>
      <c r="H20" s="213">
        <v>0.5</v>
      </c>
      <c r="I20" s="218"/>
      <c r="J20" s="218">
        <f t="shared" si="14"/>
        <v>0.5</v>
      </c>
      <c r="K20" s="218"/>
      <c r="L20" s="218">
        <f t="shared" si="15"/>
        <v>2.5000000000000001E-2</v>
      </c>
      <c r="M20" s="213"/>
      <c r="N20" s="670">
        <v>0</v>
      </c>
      <c r="O20" s="670">
        <v>6.4500000000000002E-2</v>
      </c>
      <c r="P20" s="213"/>
      <c r="Q20" s="213"/>
      <c r="R20" s="213">
        <f t="shared" si="16"/>
        <v>6.4500000000000002E-2</v>
      </c>
      <c r="S20" s="213">
        <f t="shared" si="17"/>
        <v>6.4500000000000002E-2</v>
      </c>
      <c r="T20" s="218"/>
      <c r="U20" s="218">
        <f t="shared" si="18"/>
        <v>0.129</v>
      </c>
      <c r="V20" s="218"/>
      <c r="W20" s="218">
        <f t="shared" si="19"/>
        <v>6.4500000000000009E-3</v>
      </c>
      <c r="X20" s="218"/>
      <c r="Y20" s="218">
        <f t="shared" si="20"/>
        <v>6.4500000000000002E-2</v>
      </c>
      <c r="Z20" s="218"/>
      <c r="AA20" s="218">
        <f>+Y20*E20</f>
        <v>3.2250000000000004E-3</v>
      </c>
      <c r="AB20" s="308" t="s">
        <v>1321</v>
      </c>
      <c r="AC20" s="752" t="s">
        <v>127</v>
      </c>
      <c r="AD20" s="206"/>
      <c r="AE20" s="724" t="s">
        <v>885</v>
      </c>
      <c r="AF20" s="206"/>
      <c r="AG20" s="200"/>
      <c r="AH20" s="187"/>
    </row>
    <row r="21" spans="1:34" ht="97.15" customHeight="1" thickBot="1" x14ac:dyDescent="0.35">
      <c r="A21" s="331"/>
      <c r="B21" s="1090" t="s">
        <v>1590</v>
      </c>
      <c r="C21" s="1090" t="s">
        <v>1591</v>
      </c>
      <c r="D21" s="333" t="s">
        <v>1257</v>
      </c>
      <c r="E21" s="285">
        <v>0.4</v>
      </c>
      <c r="F21" s="283">
        <v>3</v>
      </c>
      <c r="G21" s="213">
        <v>1</v>
      </c>
      <c r="H21" s="213">
        <v>1</v>
      </c>
      <c r="I21" s="218">
        <f>+G21/F21</f>
        <v>0.33333333333333331</v>
      </c>
      <c r="J21" s="218">
        <f t="shared" si="14"/>
        <v>0.33333333333333331</v>
      </c>
      <c r="K21" s="218">
        <f>+(G21/F21)*E21</f>
        <v>0.13333333333333333</v>
      </c>
      <c r="L21" s="218">
        <f t="shared" si="15"/>
        <v>0.13333333333333333</v>
      </c>
      <c r="M21" s="213">
        <v>1</v>
      </c>
      <c r="N21" s="670">
        <v>1</v>
      </c>
      <c r="O21" s="213">
        <v>0.2</v>
      </c>
      <c r="P21" s="213"/>
      <c r="Q21" s="213"/>
      <c r="R21" s="213">
        <f t="shared" si="16"/>
        <v>1.2</v>
      </c>
      <c r="S21" s="213">
        <f t="shared" si="17"/>
        <v>2.2000000000000002</v>
      </c>
      <c r="T21" s="218">
        <f>+(M21/G21)</f>
        <v>1</v>
      </c>
      <c r="U21" s="218">
        <v>1</v>
      </c>
      <c r="V21" s="218">
        <f>+T21*E21</f>
        <v>0.4</v>
      </c>
      <c r="W21" s="218">
        <f t="shared" si="19"/>
        <v>0.4</v>
      </c>
      <c r="X21" s="218">
        <f>+M21/F21</f>
        <v>0.33333333333333331</v>
      </c>
      <c r="Y21" s="218">
        <f t="shared" si="20"/>
        <v>0.73333333333333339</v>
      </c>
      <c r="Z21" s="218">
        <f>+X21*E21</f>
        <v>0.13333333333333333</v>
      </c>
      <c r="AA21" s="218">
        <f>+Y21*E21</f>
        <v>0.29333333333333339</v>
      </c>
      <c r="AB21" s="308" t="s">
        <v>1321</v>
      </c>
      <c r="AC21" s="724" t="s">
        <v>44</v>
      </c>
      <c r="AD21" s="724" t="s">
        <v>1557</v>
      </c>
      <c r="AE21" s="724" t="s">
        <v>885</v>
      </c>
      <c r="AF21" s="206"/>
      <c r="AG21" s="200"/>
      <c r="AH21" s="187"/>
    </row>
    <row r="22" spans="1:34" ht="81" customHeight="1" thickBot="1" x14ac:dyDescent="0.35">
      <c r="A22" s="331"/>
      <c r="B22" s="1090" t="s">
        <v>1592</v>
      </c>
      <c r="C22" s="1090" t="s">
        <v>1593</v>
      </c>
      <c r="D22" s="333" t="s">
        <v>1257</v>
      </c>
      <c r="E22" s="285">
        <v>0.5</v>
      </c>
      <c r="F22" s="283">
        <v>4</v>
      </c>
      <c r="G22" s="213">
        <v>1</v>
      </c>
      <c r="H22" s="213">
        <v>1</v>
      </c>
      <c r="I22" s="218">
        <f>+G22/F22</f>
        <v>0.25</v>
      </c>
      <c r="J22" s="218">
        <f t="shared" si="14"/>
        <v>0.25</v>
      </c>
      <c r="K22" s="218">
        <f>+(G22/F22)*E22</f>
        <v>0.125</v>
      </c>
      <c r="L22" s="218">
        <f t="shared" si="15"/>
        <v>0.125</v>
      </c>
      <c r="M22" s="213">
        <v>1</v>
      </c>
      <c r="N22" s="670">
        <v>0.25</v>
      </c>
      <c r="O22" s="213">
        <v>0.18</v>
      </c>
      <c r="P22" s="213"/>
      <c r="Q22" s="213"/>
      <c r="R22" s="213">
        <f t="shared" si="16"/>
        <v>0.43</v>
      </c>
      <c r="S22" s="213">
        <f t="shared" si="17"/>
        <v>1.43</v>
      </c>
      <c r="T22" s="218">
        <f>+(M22/G22)</f>
        <v>1</v>
      </c>
      <c r="U22" s="218">
        <f t="shared" si="18"/>
        <v>0.43</v>
      </c>
      <c r="V22" s="220">
        <f>+T22*E22</f>
        <v>0.5</v>
      </c>
      <c r="W22" s="220">
        <f t="shared" si="19"/>
        <v>0.215</v>
      </c>
      <c r="X22" s="218">
        <f>+M22/F22</f>
        <v>0.25</v>
      </c>
      <c r="Y22" s="218">
        <f t="shared" si="20"/>
        <v>0.35749999999999998</v>
      </c>
      <c r="Z22" s="218">
        <f>+X22*E22</f>
        <v>0.125</v>
      </c>
      <c r="AA22" s="218">
        <f>+Y22*E22</f>
        <v>0.17874999999999999</v>
      </c>
      <c r="AB22" s="308" t="s">
        <v>1321</v>
      </c>
      <c r="AC22" s="724" t="s">
        <v>44</v>
      </c>
      <c r="AD22" s="724" t="s">
        <v>1557</v>
      </c>
      <c r="AE22" s="724" t="s">
        <v>885</v>
      </c>
      <c r="AF22" s="206"/>
      <c r="AG22" s="200"/>
      <c r="AH22" s="187"/>
    </row>
    <row r="23" spans="1:34" ht="67.150000000000006" customHeight="1" thickBot="1" x14ac:dyDescent="0.35">
      <c r="A23" s="331"/>
      <c r="B23" s="1331" t="s">
        <v>1594</v>
      </c>
      <c r="C23" s="1326"/>
      <c r="D23" s="268"/>
      <c r="E23" s="289">
        <v>0.05</v>
      </c>
      <c r="F23" s="271"/>
      <c r="G23" s="206"/>
      <c r="H23" s="206"/>
      <c r="I23" s="212">
        <f>+AVERAGE(I24:I25)</f>
        <v>0.25</v>
      </c>
      <c r="J23" s="212">
        <f>+AVERAGE(J24:J25)</f>
        <v>0.25</v>
      </c>
      <c r="K23" s="212">
        <f>+K24+K25</f>
        <v>0.25</v>
      </c>
      <c r="L23" s="212">
        <f>+L24+L25</f>
        <v>0.25</v>
      </c>
      <c r="M23" s="211"/>
      <c r="N23" s="211"/>
      <c r="O23" s="211"/>
      <c r="P23" s="211"/>
      <c r="Q23" s="211"/>
      <c r="R23" s="211"/>
      <c r="S23" s="211"/>
      <c r="T23" s="235">
        <f>+AVERAGE(T24:T25)</f>
        <v>1</v>
      </c>
      <c r="U23" s="235">
        <f>+AVERAGE(U24:U25)</f>
        <v>0.4</v>
      </c>
      <c r="V23" s="235">
        <f>+(V24+V25)*E23</f>
        <v>0.05</v>
      </c>
      <c r="W23" s="235">
        <f>+(W24+W25)*E23</f>
        <v>1.6999999999999998E-2</v>
      </c>
      <c r="X23" s="212">
        <f>+AVERAGE(X24:X25)</f>
        <v>0.25</v>
      </c>
      <c r="Y23" s="212">
        <f>+AVERAGE(Y24:Y25)</f>
        <v>0.35</v>
      </c>
      <c r="Z23" s="212">
        <f>+(Z24+Z25)*E23</f>
        <v>1.2500000000000001E-2</v>
      </c>
      <c r="AA23" s="212">
        <f>+(AA24+AA25)</f>
        <v>0.33500000000000002</v>
      </c>
      <c r="AB23" s="206"/>
      <c r="AC23" s="206"/>
      <c r="AD23" s="206"/>
      <c r="AE23" s="206"/>
      <c r="AF23" s="206"/>
      <c r="AG23" s="200"/>
      <c r="AH23" s="187"/>
    </row>
    <row r="24" spans="1:34" ht="67.150000000000006" customHeight="1" thickBot="1" x14ac:dyDescent="0.35">
      <c r="A24" s="331"/>
      <c r="B24" s="1090" t="s">
        <v>1595</v>
      </c>
      <c r="C24" s="1076" t="s">
        <v>1596</v>
      </c>
      <c r="D24" s="340" t="s">
        <v>1597</v>
      </c>
      <c r="E24" s="285">
        <v>0.8</v>
      </c>
      <c r="F24" s="283">
        <v>4</v>
      </c>
      <c r="G24" s="213">
        <v>1</v>
      </c>
      <c r="H24" s="213">
        <v>1</v>
      </c>
      <c r="I24" s="218">
        <f>+G24/F24</f>
        <v>0.25</v>
      </c>
      <c r="J24" s="218">
        <f t="shared" ref="J24:J25" si="21">+H24/F24</f>
        <v>0.25</v>
      </c>
      <c r="K24" s="218">
        <f>+(G24/F24)*E24</f>
        <v>0.2</v>
      </c>
      <c r="L24" s="218">
        <f t="shared" si="15"/>
        <v>0.2</v>
      </c>
      <c r="M24" s="213">
        <v>1</v>
      </c>
      <c r="N24" s="670"/>
      <c r="O24" s="670">
        <v>0.3</v>
      </c>
      <c r="P24" s="213"/>
      <c r="Q24" s="213"/>
      <c r="R24" s="213">
        <f t="shared" ref="R24:R25" si="22">+N24+O24+P24+Q24</f>
        <v>0.3</v>
      </c>
      <c r="S24" s="213">
        <f t="shared" ref="S24:S25" si="23">+R24+M24</f>
        <v>1.3</v>
      </c>
      <c r="T24" s="218">
        <f>+(M24/G24)</f>
        <v>1</v>
      </c>
      <c r="U24" s="218">
        <f t="shared" ref="U24" si="24">+R24/H24</f>
        <v>0.3</v>
      </c>
      <c r="V24" s="220">
        <f>+T24*E24</f>
        <v>0.8</v>
      </c>
      <c r="W24" s="220">
        <f t="shared" ref="W24:W25" si="25">+U24*E24</f>
        <v>0.24</v>
      </c>
      <c r="X24" s="218">
        <f>+M24/F24</f>
        <v>0.25</v>
      </c>
      <c r="Y24" s="218">
        <f t="shared" ref="Y24:Y25" si="26">+S24/F24</f>
        <v>0.32500000000000001</v>
      </c>
      <c r="Z24" s="218">
        <f>+X24*E24</f>
        <v>0.2</v>
      </c>
      <c r="AA24" s="218">
        <f>+Y24*E24</f>
        <v>0.26</v>
      </c>
      <c r="AB24" s="308" t="s">
        <v>1321</v>
      </c>
      <c r="AC24" s="206"/>
      <c r="AD24" s="724" t="s">
        <v>1557</v>
      </c>
      <c r="AE24" s="724" t="s">
        <v>885</v>
      </c>
      <c r="AF24" s="206"/>
      <c r="AG24" s="200"/>
      <c r="AH24" s="187"/>
    </row>
    <row r="25" spans="1:34" ht="67.150000000000006" customHeight="1" thickBot="1" x14ac:dyDescent="0.35">
      <c r="A25" s="331"/>
      <c r="B25" s="1090" t="s">
        <v>1598</v>
      </c>
      <c r="C25" s="1090" t="s">
        <v>1599</v>
      </c>
      <c r="D25" s="340" t="s">
        <v>1597</v>
      </c>
      <c r="E25" s="337">
        <v>0.2</v>
      </c>
      <c r="F25" s="283">
        <v>4</v>
      </c>
      <c r="G25" s="213">
        <v>1</v>
      </c>
      <c r="H25" s="213">
        <v>1</v>
      </c>
      <c r="I25" s="218">
        <f>+G25/F25</f>
        <v>0.25</v>
      </c>
      <c r="J25" s="218">
        <f t="shared" si="21"/>
        <v>0.25</v>
      </c>
      <c r="K25" s="218">
        <f>+(G25/F25)*E25</f>
        <v>0.05</v>
      </c>
      <c r="L25" s="218">
        <f t="shared" si="15"/>
        <v>0.05</v>
      </c>
      <c r="M25" s="213">
        <v>1</v>
      </c>
      <c r="N25" s="670"/>
      <c r="O25" s="670">
        <v>0.5</v>
      </c>
      <c r="P25" s="213"/>
      <c r="Q25" s="213"/>
      <c r="R25" s="213">
        <f t="shared" si="22"/>
        <v>0.5</v>
      </c>
      <c r="S25" s="213">
        <f t="shared" si="23"/>
        <v>1.5</v>
      </c>
      <c r="T25" s="218">
        <f>+(M25/G25)</f>
        <v>1</v>
      </c>
      <c r="U25" s="218">
        <f>+R25/H25</f>
        <v>0.5</v>
      </c>
      <c r="V25" s="220">
        <f>+T25*E25</f>
        <v>0.2</v>
      </c>
      <c r="W25" s="220">
        <f t="shared" si="25"/>
        <v>0.1</v>
      </c>
      <c r="X25" s="218">
        <f>+M25/F25</f>
        <v>0.25</v>
      </c>
      <c r="Y25" s="218">
        <f t="shared" si="26"/>
        <v>0.375</v>
      </c>
      <c r="Z25" s="218">
        <f>+X25*E25</f>
        <v>0.05</v>
      </c>
      <c r="AA25" s="218">
        <f>+Y25*E25</f>
        <v>7.5000000000000011E-2</v>
      </c>
      <c r="AB25" s="308" t="s">
        <v>1321</v>
      </c>
      <c r="AC25" s="206"/>
      <c r="AD25" s="724" t="s">
        <v>1557</v>
      </c>
      <c r="AE25" s="724" t="s">
        <v>885</v>
      </c>
      <c r="AF25" s="206"/>
      <c r="AG25" s="200"/>
      <c r="AH25" s="187"/>
    </row>
    <row r="26" spans="1:34" ht="67.150000000000006" customHeight="1" thickBot="1" x14ac:dyDescent="0.35">
      <c r="A26" s="331"/>
      <c r="B26" s="1331" t="s">
        <v>1600</v>
      </c>
      <c r="C26" s="1326"/>
      <c r="D26" s="268"/>
      <c r="E26" s="339">
        <v>0.2</v>
      </c>
      <c r="F26" s="271"/>
      <c r="G26" s="206"/>
      <c r="H26" s="206"/>
      <c r="I26" s="212">
        <f>+AVERAGE(I27:I29)</f>
        <v>0.20186882933709449</v>
      </c>
      <c r="J26" s="212">
        <f>+AVERAGE(J27:J29)</f>
        <v>0.26604372355430184</v>
      </c>
      <c r="K26" s="212">
        <f>+K27+K28+K29</f>
        <v>0.17686882933709452</v>
      </c>
      <c r="L26" s="212">
        <f>+L27+L28+L29</f>
        <v>0.24104372355430184</v>
      </c>
      <c r="M26" s="211"/>
      <c r="N26" s="211"/>
      <c r="O26" s="211"/>
      <c r="P26" s="211"/>
      <c r="Q26" s="211"/>
      <c r="R26" s="211"/>
      <c r="S26" s="211"/>
      <c r="T26" s="235">
        <f>+AVERAGE(T27:T29)</f>
        <v>0.80886850152905199</v>
      </c>
      <c r="U26" s="235">
        <f>+AVERAGE(U27:U29)</f>
        <v>0.73333333333333339</v>
      </c>
      <c r="V26" s="235">
        <f>+(V27+V28+V29)*E26</f>
        <v>0.14177370030581041</v>
      </c>
      <c r="W26" s="235">
        <f>+(W27+W28+W29)*E26</f>
        <v>0.12906666666666666</v>
      </c>
      <c r="X26" s="212">
        <f>+AVERAGE(X27:X29)</f>
        <v>0.17248472026328163</v>
      </c>
      <c r="Y26" s="212">
        <f>+(Y27*0.33)+(Y28*0.33)</f>
        <v>0.24105204513399153</v>
      </c>
      <c r="Z26" s="212">
        <f>+(Z27+Z28+Z29)*E26</f>
        <v>2.9496944052656328E-2</v>
      </c>
      <c r="AA26" s="212">
        <f>+(AA27+AA28+AA29)</f>
        <v>0.31823037141513866</v>
      </c>
      <c r="AB26" s="206"/>
      <c r="AC26" s="206"/>
      <c r="AD26" s="206"/>
      <c r="AE26" s="206"/>
      <c r="AF26" s="206"/>
      <c r="AG26" s="200"/>
      <c r="AH26" s="187"/>
    </row>
    <row r="27" spans="1:34" ht="103.15" customHeight="1" thickBot="1" x14ac:dyDescent="0.35">
      <c r="A27" s="331"/>
      <c r="B27" s="1174" t="s">
        <v>1601</v>
      </c>
      <c r="C27" s="1177" t="s">
        <v>1602</v>
      </c>
      <c r="D27" s="835" t="s">
        <v>1603</v>
      </c>
      <c r="E27" s="297">
        <v>0.5</v>
      </c>
      <c r="F27" s="283">
        <v>10635</v>
      </c>
      <c r="G27" s="213">
        <v>1635</v>
      </c>
      <c r="H27" s="213">
        <v>3000</v>
      </c>
      <c r="I27" s="218">
        <f>+G27/F27</f>
        <v>0.15373765867418901</v>
      </c>
      <c r="J27" s="218">
        <f t="shared" ref="J27:J28" si="27">+H27/F27</f>
        <v>0.28208744710860367</v>
      </c>
      <c r="K27" s="218">
        <f>+(G27/F27)*E27</f>
        <v>7.6868829337094505E-2</v>
      </c>
      <c r="L27" s="218">
        <f t="shared" si="15"/>
        <v>0.14104372355430184</v>
      </c>
      <c r="M27" s="213">
        <v>1010</v>
      </c>
      <c r="N27" s="670">
        <v>154</v>
      </c>
      <c r="O27" s="670">
        <v>1606</v>
      </c>
      <c r="P27" s="213"/>
      <c r="Q27" s="213"/>
      <c r="R27" s="213">
        <f t="shared" ref="R27:R29" si="28">+N27+O27+P27+Q27</f>
        <v>1760</v>
      </c>
      <c r="S27" s="213">
        <f t="shared" ref="S27:S29" si="29">+R27+M27</f>
        <v>2770</v>
      </c>
      <c r="T27" s="218">
        <f>+(M27/G27)</f>
        <v>0.61773700305810397</v>
      </c>
      <c r="U27" s="218">
        <f t="shared" ref="U27:U28" si="30">+R27/H27</f>
        <v>0.58666666666666667</v>
      </c>
      <c r="V27" s="218">
        <f>+T27*E27</f>
        <v>0.30886850152905199</v>
      </c>
      <c r="W27" s="218">
        <f t="shared" ref="W27:W28" si="31">+U27*E27</f>
        <v>0.29333333333333333</v>
      </c>
      <c r="X27" s="218">
        <f>+M27/F27</f>
        <v>9.496944052656324E-2</v>
      </c>
      <c r="Y27" s="218">
        <f t="shared" ref="Y27:Y28" si="32">+S27/F27</f>
        <v>0.26046074283027737</v>
      </c>
      <c r="Z27" s="218">
        <f>+X27*E27</f>
        <v>4.748472026328162E-2</v>
      </c>
      <c r="AA27" s="218">
        <f>+Y27*E27</f>
        <v>0.13023037141513868</v>
      </c>
      <c r="AB27" s="341" t="s">
        <v>71</v>
      </c>
      <c r="AC27" s="724" t="s">
        <v>44</v>
      </c>
      <c r="AD27" s="724" t="s">
        <v>1557</v>
      </c>
      <c r="AE27" s="724" t="s">
        <v>885</v>
      </c>
      <c r="AF27" s="206"/>
      <c r="AG27" s="200"/>
      <c r="AH27" s="187"/>
    </row>
    <row r="28" spans="1:34" ht="67.150000000000006" customHeight="1" thickBot="1" x14ac:dyDescent="0.35">
      <c r="A28" s="331"/>
      <c r="B28" s="1174" t="s">
        <v>1604</v>
      </c>
      <c r="C28" s="1177" t="s">
        <v>1605</v>
      </c>
      <c r="D28" s="835" t="s">
        <v>1603</v>
      </c>
      <c r="E28" s="297">
        <v>0.4</v>
      </c>
      <c r="F28" s="283">
        <v>600</v>
      </c>
      <c r="G28" s="213">
        <v>150</v>
      </c>
      <c r="H28" s="213">
        <v>150</v>
      </c>
      <c r="I28" s="218">
        <f>+G28/F28</f>
        <v>0.25</v>
      </c>
      <c r="J28" s="218">
        <f t="shared" si="27"/>
        <v>0.25</v>
      </c>
      <c r="K28" s="218">
        <f>+(G28/F28)*E28</f>
        <v>0.1</v>
      </c>
      <c r="L28" s="218">
        <f t="shared" si="15"/>
        <v>0.1</v>
      </c>
      <c r="M28" s="213">
        <v>150</v>
      </c>
      <c r="N28" s="670">
        <v>42</v>
      </c>
      <c r="O28" s="670">
        <v>90</v>
      </c>
      <c r="P28" s="213"/>
      <c r="Q28" s="213"/>
      <c r="R28" s="213">
        <f t="shared" si="28"/>
        <v>132</v>
      </c>
      <c r="S28" s="213">
        <f t="shared" si="29"/>
        <v>282</v>
      </c>
      <c r="T28" s="218">
        <f>+(M28/G28)</f>
        <v>1</v>
      </c>
      <c r="U28" s="218">
        <f t="shared" si="30"/>
        <v>0.88</v>
      </c>
      <c r="V28" s="218">
        <f>+T28*E28</f>
        <v>0.4</v>
      </c>
      <c r="W28" s="218">
        <f t="shared" si="31"/>
        <v>0.35200000000000004</v>
      </c>
      <c r="X28" s="218">
        <f>+M28/F28</f>
        <v>0.25</v>
      </c>
      <c r="Y28" s="218">
        <f t="shared" si="32"/>
        <v>0.47</v>
      </c>
      <c r="Z28" s="218">
        <f>+X28*E28</f>
        <v>0.1</v>
      </c>
      <c r="AA28" s="218">
        <f>+Y28*E28</f>
        <v>0.188</v>
      </c>
      <c r="AB28" s="341" t="s">
        <v>71</v>
      </c>
      <c r="AC28" s="724" t="s">
        <v>44</v>
      </c>
      <c r="AD28" s="724" t="s">
        <v>1557</v>
      </c>
      <c r="AE28" s="724" t="s">
        <v>885</v>
      </c>
      <c r="AF28" s="206"/>
      <c r="AG28" s="200"/>
      <c r="AH28" s="187"/>
    </row>
    <row r="29" spans="1:34" ht="67.150000000000006" customHeight="1" thickBot="1" x14ac:dyDescent="0.35">
      <c r="A29" s="331"/>
      <c r="B29" s="1174" t="s">
        <v>1606</v>
      </c>
      <c r="C29" s="1174" t="s">
        <v>1607</v>
      </c>
      <c r="D29" s="332" t="s">
        <v>1603</v>
      </c>
      <c r="E29" s="285">
        <v>0.1</v>
      </c>
      <c r="F29" s="283">
        <v>1</v>
      </c>
      <c r="G29" s="213">
        <v>0</v>
      </c>
      <c r="H29" s="213">
        <v>0</v>
      </c>
      <c r="I29" s="218"/>
      <c r="J29" s="218"/>
      <c r="K29" s="218"/>
      <c r="L29" s="218"/>
      <c r="M29" s="213"/>
      <c r="N29" s="670"/>
      <c r="O29" s="670"/>
      <c r="P29" s="213"/>
      <c r="Q29" s="213"/>
      <c r="R29" s="213">
        <f t="shared" si="28"/>
        <v>0</v>
      </c>
      <c r="S29" s="213">
        <f t="shared" si="29"/>
        <v>0</v>
      </c>
      <c r="T29" s="218"/>
      <c r="U29" s="218"/>
      <c r="V29" s="218"/>
      <c r="W29" s="218"/>
      <c r="X29" s="218"/>
      <c r="Y29" s="218"/>
      <c r="Z29" s="218"/>
      <c r="AA29" s="218">
        <f>+Y29*E29</f>
        <v>0</v>
      </c>
      <c r="AB29" s="308" t="s">
        <v>1321</v>
      </c>
      <c r="AC29" s="724" t="s">
        <v>44</v>
      </c>
      <c r="AD29" s="1114"/>
      <c r="AE29" s="724" t="s">
        <v>885</v>
      </c>
      <c r="AF29" s="206"/>
      <c r="AG29" s="200"/>
      <c r="AH29" s="187"/>
    </row>
    <row r="30" spans="1:34" ht="67.150000000000006" customHeight="1" thickBot="1" x14ac:dyDescent="0.35">
      <c r="A30" s="331"/>
      <c r="B30" s="1331" t="s">
        <v>1608</v>
      </c>
      <c r="C30" s="1326"/>
      <c r="D30" s="333"/>
      <c r="E30" s="339">
        <v>0.3</v>
      </c>
      <c r="F30" s="271"/>
      <c r="G30" s="206"/>
      <c r="H30" s="206"/>
      <c r="I30" s="212">
        <f>+AVERAGE(I31)</f>
        <v>0.06</v>
      </c>
      <c r="J30" s="212">
        <f>+AVERAGE(J31)</f>
        <v>0.06</v>
      </c>
      <c r="K30" s="212">
        <f>+K31</f>
        <v>0.06</v>
      </c>
      <c r="L30" s="212">
        <f>+L31</f>
        <v>0.06</v>
      </c>
      <c r="M30" s="211"/>
      <c r="N30" s="211"/>
      <c r="O30" s="211"/>
      <c r="P30" s="211"/>
      <c r="Q30" s="211"/>
      <c r="R30" s="211"/>
      <c r="S30" s="211"/>
      <c r="T30" s="235">
        <f>+AVERAGE(T31)</f>
        <v>1</v>
      </c>
      <c r="U30" s="235">
        <f>+AVERAGE(U31)</f>
        <v>0.18200000000000002</v>
      </c>
      <c r="V30" s="235">
        <f>+(V31)*E30</f>
        <v>0.3</v>
      </c>
      <c r="W30" s="235">
        <f>+(W31)*E30</f>
        <v>5.4600000000000003E-2</v>
      </c>
      <c r="X30" s="212">
        <f>+AVERAGE(X31)</f>
        <v>0.15</v>
      </c>
      <c r="Y30" s="212">
        <f>+AVERAGE(Y31)</f>
        <v>0.32184000000000001</v>
      </c>
      <c r="Z30" s="212">
        <f>+(Z31)*E30</f>
        <v>4.4999999999999998E-2</v>
      </c>
      <c r="AA30" s="212">
        <f>+(AA31)</f>
        <v>0.32184000000000001</v>
      </c>
      <c r="AB30" s="206"/>
      <c r="AC30" s="206"/>
      <c r="AD30" s="206"/>
      <c r="AE30" s="206"/>
      <c r="AF30" s="206"/>
      <c r="AG30" s="200"/>
      <c r="AH30" s="187"/>
    </row>
    <row r="31" spans="1:34" ht="103.15" customHeight="1" thickBot="1" x14ac:dyDescent="0.35">
      <c r="A31" s="331"/>
      <c r="B31" s="1174" t="s">
        <v>1609</v>
      </c>
      <c r="C31" s="1174" t="s">
        <v>1610</v>
      </c>
      <c r="D31" s="343" t="s">
        <v>1589</v>
      </c>
      <c r="E31" s="297">
        <v>1</v>
      </c>
      <c r="F31" s="283">
        <v>5</v>
      </c>
      <c r="G31" s="213">
        <v>0.3</v>
      </c>
      <c r="H31" s="213">
        <v>0.3</v>
      </c>
      <c r="I31" s="218">
        <f>+G31/F31</f>
        <v>0.06</v>
      </c>
      <c r="J31" s="218">
        <f t="shared" ref="J31" si="33">+H31/F31</f>
        <v>0.06</v>
      </c>
      <c r="K31" s="218">
        <f>+(G31/F31)*E31</f>
        <v>0.06</v>
      </c>
      <c r="L31" s="218">
        <f t="shared" si="15"/>
        <v>0.06</v>
      </c>
      <c r="M31" s="213">
        <v>0.75</v>
      </c>
      <c r="N31" s="670">
        <v>0</v>
      </c>
      <c r="O31" s="656">
        <v>5.4600000000000003E-2</v>
      </c>
      <c r="P31" s="213"/>
      <c r="Q31" s="213"/>
      <c r="R31" s="213">
        <f t="shared" ref="R31" si="34">+N31+O31+P31+Q31</f>
        <v>5.4600000000000003E-2</v>
      </c>
      <c r="S31" s="213">
        <f t="shared" ref="S31" si="35">+R31+M31</f>
        <v>0.80459999999999998</v>
      </c>
      <c r="T31" s="218">
        <v>1</v>
      </c>
      <c r="U31" s="218">
        <f>+R31/H31</f>
        <v>0.18200000000000002</v>
      </c>
      <c r="V31" s="218">
        <f>+T31*E31</f>
        <v>1</v>
      </c>
      <c r="W31" s="218">
        <f t="shared" ref="W31" si="36">+U31*E31</f>
        <v>0.18200000000000002</v>
      </c>
      <c r="X31" s="218">
        <f>+M31/F31</f>
        <v>0.15</v>
      </c>
      <c r="Y31" s="218">
        <f>+(S31/F31)*2</f>
        <v>0.32184000000000001</v>
      </c>
      <c r="Z31" s="218">
        <f>+X31*E31</f>
        <v>0.15</v>
      </c>
      <c r="AA31" s="218">
        <f>+Y31*E31</f>
        <v>0.32184000000000001</v>
      </c>
      <c r="AB31" s="341" t="s">
        <v>71</v>
      </c>
      <c r="AC31" s="752" t="s">
        <v>1611</v>
      </c>
      <c r="AD31" s="724" t="s">
        <v>1557</v>
      </c>
      <c r="AE31" s="724" t="s">
        <v>885</v>
      </c>
      <c r="AF31" s="206"/>
      <c r="AG31" s="200"/>
      <c r="AH31" s="187"/>
    </row>
    <row r="32" spans="1:34" ht="67.150000000000006" customHeight="1" thickBot="1" x14ac:dyDescent="0.35">
      <c r="A32" s="331"/>
      <c r="B32" s="1331" t="s">
        <v>1612</v>
      </c>
      <c r="C32" s="1326"/>
      <c r="D32" s="333"/>
      <c r="E32" s="339">
        <v>0.05</v>
      </c>
      <c r="F32" s="271"/>
      <c r="G32" s="206"/>
      <c r="H32" s="206"/>
      <c r="I32" s="212"/>
      <c r="J32" s="212">
        <f>+AVERAGE(J33:J35)</f>
        <v>0.76666666666666661</v>
      </c>
      <c r="K32" s="212"/>
      <c r="L32" s="212">
        <f>+L33+L34+L35</f>
        <v>0.72</v>
      </c>
      <c r="M32" s="211"/>
      <c r="N32" s="211"/>
      <c r="O32" s="211"/>
      <c r="P32" s="211"/>
      <c r="Q32" s="211"/>
      <c r="R32" s="211"/>
      <c r="S32" s="211"/>
      <c r="T32" s="235"/>
      <c r="U32" s="235">
        <f>+AVERAGE(U33:U35)</f>
        <v>0.63888888888888895</v>
      </c>
      <c r="V32" s="235"/>
      <c r="W32" s="235">
        <f>+(W33+W34+W35)*E32</f>
        <v>3.2083333333333339E-2</v>
      </c>
      <c r="X32" s="212"/>
      <c r="Y32" s="212">
        <f>+AVERAGE(Y33:Y35)</f>
        <v>0.48333333333333334</v>
      </c>
      <c r="Z32" s="212"/>
      <c r="AA32" s="212">
        <f>+(AA33+AA34+AA35)</f>
        <v>0.45500000000000002</v>
      </c>
      <c r="AB32" s="206"/>
      <c r="AC32" s="206"/>
      <c r="AD32" s="206"/>
      <c r="AE32" s="206"/>
      <c r="AF32" s="206"/>
      <c r="AG32" s="200"/>
      <c r="AH32" s="187"/>
    </row>
    <row r="33" spans="1:34" ht="67.150000000000006" customHeight="1" thickBot="1" x14ac:dyDescent="0.35">
      <c r="A33" s="331"/>
      <c r="B33" s="1174" t="s">
        <v>1613</v>
      </c>
      <c r="C33" s="1174" t="s">
        <v>1614</v>
      </c>
      <c r="D33" s="333" t="s">
        <v>658</v>
      </c>
      <c r="E33" s="285">
        <v>0.3</v>
      </c>
      <c r="F33" s="283">
        <v>1</v>
      </c>
      <c r="G33" s="213">
        <v>0</v>
      </c>
      <c r="H33" s="213">
        <v>1</v>
      </c>
      <c r="I33" s="218"/>
      <c r="J33" s="218">
        <f t="shared" ref="J33:J35" si="37">+H33/F33</f>
        <v>1</v>
      </c>
      <c r="K33" s="218"/>
      <c r="L33" s="218">
        <f t="shared" si="15"/>
        <v>0.3</v>
      </c>
      <c r="M33" s="213"/>
      <c r="N33" s="720">
        <v>0.25</v>
      </c>
      <c r="O33" s="720">
        <v>0.75</v>
      </c>
      <c r="P33" s="213"/>
      <c r="Q33" s="213"/>
      <c r="R33" s="213">
        <f t="shared" ref="R33:R35" si="38">+N33+O33+P33+Q33</f>
        <v>1</v>
      </c>
      <c r="S33" s="213">
        <f t="shared" ref="S33:S35" si="39">+R33+M33</f>
        <v>1</v>
      </c>
      <c r="T33" s="218"/>
      <c r="U33" s="218">
        <f t="shared" ref="U33:U35" si="40">+R33/H33</f>
        <v>1</v>
      </c>
      <c r="V33" s="218"/>
      <c r="W33" s="218">
        <f t="shared" ref="W33:W35" si="41">+U33*E33</f>
        <v>0.3</v>
      </c>
      <c r="X33" s="218"/>
      <c r="Y33" s="218">
        <f t="shared" ref="Y33:Y35" si="42">+S33/F33</f>
        <v>1</v>
      </c>
      <c r="Z33" s="218"/>
      <c r="AA33" s="218">
        <f>+Y33*E33</f>
        <v>0.3</v>
      </c>
      <c r="AB33" s="308" t="s">
        <v>1321</v>
      </c>
      <c r="AC33" s="724" t="s">
        <v>44</v>
      </c>
      <c r="AD33" s="1114"/>
      <c r="AE33" s="724" t="s">
        <v>1580</v>
      </c>
      <c r="AF33" s="206"/>
      <c r="AG33" s="200"/>
      <c r="AH33" s="187"/>
    </row>
    <row r="34" spans="1:34" ht="67.150000000000006" customHeight="1" thickBot="1" x14ac:dyDescent="0.35">
      <c r="A34" s="331"/>
      <c r="B34" s="1067" t="s">
        <v>1615</v>
      </c>
      <c r="C34" s="1067" t="s">
        <v>1616</v>
      </c>
      <c r="D34" s="333" t="s">
        <v>658</v>
      </c>
      <c r="E34" s="285">
        <v>0.3</v>
      </c>
      <c r="F34" s="283">
        <v>1</v>
      </c>
      <c r="G34" s="213">
        <v>0</v>
      </c>
      <c r="H34" s="213">
        <v>1</v>
      </c>
      <c r="I34" s="218"/>
      <c r="J34" s="218">
        <f t="shared" si="37"/>
        <v>1</v>
      </c>
      <c r="K34" s="218"/>
      <c r="L34" s="218">
        <f t="shared" si="15"/>
        <v>0.3</v>
      </c>
      <c r="M34" s="213"/>
      <c r="N34" s="720">
        <v>0.25</v>
      </c>
      <c r="O34" s="720"/>
      <c r="P34" s="213"/>
      <c r="Q34" s="213"/>
      <c r="R34" s="213">
        <f t="shared" si="38"/>
        <v>0.25</v>
      </c>
      <c r="S34" s="213">
        <f t="shared" si="39"/>
        <v>0.25</v>
      </c>
      <c r="T34" s="218"/>
      <c r="U34" s="218">
        <f t="shared" si="40"/>
        <v>0.25</v>
      </c>
      <c r="V34" s="218"/>
      <c r="W34" s="218">
        <f t="shared" si="41"/>
        <v>7.4999999999999997E-2</v>
      </c>
      <c r="X34" s="218"/>
      <c r="Y34" s="218">
        <f t="shared" si="42"/>
        <v>0.25</v>
      </c>
      <c r="Z34" s="218"/>
      <c r="AA34" s="218">
        <f>+Y34*E34</f>
        <v>7.4999999999999997E-2</v>
      </c>
      <c r="AB34" s="308" t="s">
        <v>1321</v>
      </c>
      <c r="AC34" s="724" t="s">
        <v>44</v>
      </c>
      <c r="AD34" s="1114"/>
      <c r="AE34" s="752" t="s">
        <v>71</v>
      </c>
      <c r="AF34" s="206"/>
      <c r="AG34" s="200"/>
      <c r="AH34" s="187"/>
    </row>
    <row r="35" spans="1:34" ht="131.44999999999999" customHeight="1" thickBot="1" x14ac:dyDescent="0.35">
      <c r="A35" s="331"/>
      <c r="B35" s="1067" t="s">
        <v>1617</v>
      </c>
      <c r="C35" s="1067" t="s">
        <v>1618</v>
      </c>
      <c r="D35" s="333" t="s">
        <v>658</v>
      </c>
      <c r="E35" s="285">
        <v>0.4</v>
      </c>
      <c r="F35" s="283">
        <v>1</v>
      </c>
      <c r="G35" s="213">
        <v>0</v>
      </c>
      <c r="H35" s="213">
        <v>0.3</v>
      </c>
      <c r="I35" s="218"/>
      <c r="J35" s="218">
        <f t="shared" si="37"/>
        <v>0.3</v>
      </c>
      <c r="K35" s="218"/>
      <c r="L35" s="218">
        <f t="shared" si="15"/>
        <v>0.12</v>
      </c>
      <c r="M35" s="213"/>
      <c r="N35" s="670">
        <v>0</v>
      </c>
      <c r="O35" s="213">
        <v>0.2</v>
      </c>
      <c r="P35" s="213"/>
      <c r="Q35" s="213"/>
      <c r="R35" s="213">
        <f t="shared" si="38"/>
        <v>0.2</v>
      </c>
      <c r="S35" s="213">
        <f t="shared" si="39"/>
        <v>0.2</v>
      </c>
      <c r="T35" s="218"/>
      <c r="U35" s="218">
        <f t="shared" si="40"/>
        <v>0.66666666666666674</v>
      </c>
      <c r="V35" s="218"/>
      <c r="W35" s="218">
        <f t="shared" si="41"/>
        <v>0.26666666666666672</v>
      </c>
      <c r="X35" s="218"/>
      <c r="Y35" s="218">
        <f t="shared" si="42"/>
        <v>0.2</v>
      </c>
      <c r="Z35" s="218"/>
      <c r="AA35" s="218">
        <f>+Y35*E35</f>
        <v>8.0000000000000016E-2</v>
      </c>
      <c r="AB35" s="308" t="s">
        <v>1321</v>
      </c>
      <c r="AC35" s="724" t="s">
        <v>44</v>
      </c>
      <c r="AD35" s="724" t="s">
        <v>1557</v>
      </c>
      <c r="AE35" s="752" t="s">
        <v>1619</v>
      </c>
      <c r="AF35" s="206"/>
      <c r="AG35" s="200"/>
      <c r="AH35" s="187"/>
    </row>
    <row r="36" spans="1:34" ht="67.150000000000006" customHeight="1" thickBot="1" x14ac:dyDescent="0.35">
      <c r="A36" s="331"/>
      <c r="B36" s="1331" t="s">
        <v>1620</v>
      </c>
      <c r="C36" s="1326"/>
      <c r="D36" s="333"/>
      <c r="E36" s="289">
        <v>0.05</v>
      </c>
      <c r="F36" s="283"/>
      <c r="G36" s="206"/>
      <c r="H36" s="206"/>
      <c r="I36" s="212">
        <f>+AVERAGE(I37:I39)</f>
        <v>0.22500000000000001</v>
      </c>
      <c r="J36" s="212">
        <f>+AVERAGE(J37:J39)</f>
        <v>0.33</v>
      </c>
      <c r="K36" s="212">
        <f>+K37+K38+K39</f>
        <v>0.16250000000000001</v>
      </c>
      <c r="L36" s="212">
        <f>+L37+L38+L39</f>
        <v>0.34750000000000003</v>
      </c>
      <c r="M36" s="211"/>
      <c r="N36" s="211"/>
      <c r="O36" s="211"/>
      <c r="P36" s="211"/>
      <c r="Q36" s="211"/>
      <c r="R36" s="211"/>
      <c r="S36" s="211"/>
      <c r="T36" s="235">
        <f>+AVERAGE(T37:T39)</f>
        <v>0.75</v>
      </c>
      <c r="U36" s="235">
        <f>+AVERAGE(U37:U39)</f>
        <v>0.35762745098039211</v>
      </c>
      <c r="V36" s="235">
        <f>+(V37+V38+V39)*E36</f>
        <v>2.5000000000000001E-2</v>
      </c>
      <c r="W36" s="235">
        <f>+(W37+W38+W39)*E36</f>
        <v>2.0723529411764707E-2</v>
      </c>
      <c r="X36" s="212">
        <f>+AVERAGE(X37:X39)</f>
        <v>0.17499999999999999</v>
      </c>
      <c r="Y36" s="212">
        <f>+AVERAGE(Y37:Y39)</f>
        <v>0.24149999999999996</v>
      </c>
      <c r="Z36" s="212">
        <f>+(Z37+Z38+Z39)*E36</f>
        <v>5.6250000000000007E-3</v>
      </c>
      <c r="AA36" s="212">
        <f>+(AA37+AA38+AA39)</f>
        <v>0.264625</v>
      </c>
      <c r="AB36" s="206"/>
      <c r="AC36" s="206"/>
      <c r="AD36" s="206"/>
      <c r="AE36" s="206"/>
      <c r="AF36" s="206"/>
      <c r="AG36" s="200"/>
      <c r="AH36" s="187"/>
    </row>
    <row r="37" spans="1:34" ht="67.150000000000006" customHeight="1" thickBot="1" x14ac:dyDescent="0.35">
      <c r="A37" s="331"/>
      <c r="B37" s="1174" t="s">
        <v>1621</v>
      </c>
      <c r="C37" s="1174" t="s">
        <v>1622</v>
      </c>
      <c r="D37" s="333" t="s">
        <v>658</v>
      </c>
      <c r="E37" s="285">
        <v>0.5</v>
      </c>
      <c r="F37" s="283">
        <v>5</v>
      </c>
      <c r="G37" s="213">
        <v>1</v>
      </c>
      <c r="H37" s="213">
        <v>2</v>
      </c>
      <c r="I37" s="218">
        <f>+G37/F37</f>
        <v>0.2</v>
      </c>
      <c r="J37" s="218">
        <f t="shared" ref="J37:J39" si="43">+H37/F37</f>
        <v>0.4</v>
      </c>
      <c r="K37" s="218">
        <f>+(G37/F37)*E37</f>
        <v>0.1</v>
      </c>
      <c r="L37" s="218">
        <f t="shared" si="15"/>
        <v>0.2</v>
      </c>
      <c r="M37" s="213">
        <v>0.5</v>
      </c>
      <c r="N37" s="670">
        <v>0.2</v>
      </c>
      <c r="O37" s="670">
        <v>0.97</v>
      </c>
      <c r="P37" s="213"/>
      <c r="Q37" s="213"/>
      <c r="R37" s="213">
        <f t="shared" ref="R37:R39" si="44">+N37+O37+P37+Q37</f>
        <v>1.17</v>
      </c>
      <c r="S37" s="213">
        <f t="shared" ref="S37:S39" si="45">+R37+M37</f>
        <v>1.67</v>
      </c>
      <c r="T37" s="218">
        <f>+(M37/G37)</f>
        <v>0.5</v>
      </c>
      <c r="U37" s="218">
        <f t="shared" ref="U37:U41" si="46">+R37/H37</f>
        <v>0.58499999999999996</v>
      </c>
      <c r="V37" s="218">
        <f>+T37*E37</f>
        <v>0.25</v>
      </c>
      <c r="W37" s="218">
        <f t="shared" ref="W37:W39" si="47">+U37*E37</f>
        <v>0.29249999999999998</v>
      </c>
      <c r="X37" s="218">
        <f>+M37/F37</f>
        <v>0.1</v>
      </c>
      <c r="Y37" s="218">
        <f t="shared" ref="Y37:Y39" si="48">+S37/F37</f>
        <v>0.33399999999999996</v>
      </c>
      <c r="Z37" s="218">
        <f>+X37*E37</f>
        <v>0.05</v>
      </c>
      <c r="AA37" s="218">
        <f>+Y37*E37</f>
        <v>0.16699999999999998</v>
      </c>
      <c r="AB37" s="308" t="s">
        <v>1321</v>
      </c>
      <c r="AC37" s="724" t="s">
        <v>44</v>
      </c>
      <c r="AD37" s="724" t="s">
        <v>1557</v>
      </c>
      <c r="AE37" s="724" t="s">
        <v>885</v>
      </c>
      <c r="AF37" s="206"/>
      <c r="AG37" s="200"/>
      <c r="AH37" s="187"/>
    </row>
    <row r="38" spans="1:34" ht="67.150000000000006" customHeight="1" thickBot="1" x14ac:dyDescent="0.35">
      <c r="A38" s="331"/>
      <c r="B38" s="1174" t="s">
        <v>1623</v>
      </c>
      <c r="C38" s="1174" t="s">
        <v>1624</v>
      </c>
      <c r="D38" s="333" t="s">
        <v>658</v>
      </c>
      <c r="E38" s="285">
        <v>0.25</v>
      </c>
      <c r="F38" s="283">
        <v>2</v>
      </c>
      <c r="G38" s="213">
        <v>0.5</v>
      </c>
      <c r="H38" s="213">
        <v>0.5</v>
      </c>
      <c r="I38" s="218">
        <f>+G38/F38</f>
        <v>0.25</v>
      </c>
      <c r="J38" s="218">
        <f t="shared" si="43"/>
        <v>0.25</v>
      </c>
      <c r="K38" s="218">
        <f>+(G38/F38)*E38</f>
        <v>6.25E-2</v>
      </c>
      <c r="L38" s="218">
        <f t="shared" si="15"/>
        <v>6.25E-2</v>
      </c>
      <c r="M38" s="213">
        <v>0.5</v>
      </c>
      <c r="N38" s="670">
        <v>0</v>
      </c>
      <c r="O38" s="670">
        <v>0.14099999999999999</v>
      </c>
      <c r="P38" s="213"/>
      <c r="Q38" s="213"/>
      <c r="R38" s="213">
        <f t="shared" si="44"/>
        <v>0.14099999999999999</v>
      </c>
      <c r="S38" s="213">
        <f t="shared" si="45"/>
        <v>0.64100000000000001</v>
      </c>
      <c r="T38" s="218">
        <f>+(M38/G38)</f>
        <v>1</v>
      </c>
      <c r="U38" s="218">
        <f t="shared" si="46"/>
        <v>0.28199999999999997</v>
      </c>
      <c r="V38" s="218">
        <f>+T38*E38</f>
        <v>0.25</v>
      </c>
      <c r="W38" s="218">
        <f t="shared" si="47"/>
        <v>7.0499999999999993E-2</v>
      </c>
      <c r="X38" s="218">
        <f>+M38/F38</f>
        <v>0.25</v>
      </c>
      <c r="Y38" s="218">
        <f t="shared" si="48"/>
        <v>0.32050000000000001</v>
      </c>
      <c r="Z38" s="218">
        <f>+X38*E38</f>
        <v>6.25E-2</v>
      </c>
      <c r="AA38" s="218">
        <f>+Y38*E38</f>
        <v>8.0125000000000002E-2</v>
      </c>
      <c r="AB38" s="308" t="s">
        <v>1321</v>
      </c>
      <c r="AC38" s="724" t="s">
        <v>44</v>
      </c>
      <c r="AD38" s="724" t="s">
        <v>1557</v>
      </c>
      <c r="AE38" s="724" t="s">
        <v>885</v>
      </c>
      <c r="AF38" s="206"/>
      <c r="AG38" s="200"/>
      <c r="AH38" s="187"/>
    </row>
    <row r="39" spans="1:34" ht="93.6" customHeight="1" thickBot="1" x14ac:dyDescent="0.35">
      <c r="A39" s="331"/>
      <c r="B39" s="1174" t="s">
        <v>1625</v>
      </c>
      <c r="C39" s="1174" t="s">
        <v>1626</v>
      </c>
      <c r="D39" s="333" t="s">
        <v>658</v>
      </c>
      <c r="E39" s="285">
        <v>0.25</v>
      </c>
      <c r="F39" s="283">
        <v>1</v>
      </c>
      <c r="G39" s="213">
        <v>0</v>
      </c>
      <c r="H39" s="213">
        <v>0.34</v>
      </c>
      <c r="I39" s="218"/>
      <c r="J39" s="218">
        <f t="shared" si="43"/>
        <v>0.34</v>
      </c>
      <c r="K39" s="218"/>
      <c r="L39" s="218">
        <f t="shared" si="15"/>
        <v>8.5000000000000006E-2</v>
      </c>
      <c r="M39" s="213"/>
      <c r="N39" s="670">
        <v>0</v>
      </c>
      <c r="O39" s="670">
        <v>7.0000000000000007E-2</v>
      </c>
      <c r="P39" s="213"/>
      <c r="Q39" s="213"/>
      <c r="R39" s="213">
        <f t="shared" si="44"/>
        <v>7.0000000000000007E-2</v>
      </c>
      <c r="S39" s="213">
        <f t="shared" si="45"/>
        <v>7.0000000000000007E-2</v>
      </c>
      <c r="T39" s="218"/>
      <c r="U39" s="218">
        <f t="shared" si="46"/>
        <v>0.20588235294117649</v>
      </c>
      <c r="V39" s="218"/>
      <c r="W39" s="218">
        <f t="shared" si="47"/>
        <v>5.1470588235294122E-2</v>
      </c>
      <c r="X39" s="218"/>
      <c r="Y39" s="218">
        <f t="shared" si="48"/>
        <v>7.0000000000000007E-2</v>
      </c>
      <c r="Z39" s="218"/>
      <c r="AA39" s="218">
        <f>+Y39*E39</f>
        <v>1.7500000000000002E-2</v>
      </c>
      <c r="AB39" s="308" t="s">
        <v>1321</v>
      </c>
      <c r="AC39" s="752" t="s">
        <v>127</v>
      </c>
      <c r="AD39" s="724" t="s">
        <v>1557</v>
      </c>
      <c r="AE39" s="752" t="s">
        <v>1627</v>
      </c>
      <c r="AF39" s="206"/>
      <c r="AG39" s="200"/>
      <c r="AH39" s="187"/>
    </row>
    <row r="40" spans="1:34" ht="67.150000000000006" customHeight="1" thickBot="1" x14ac:dyDescent="0.35">
      <c r="A40" s="331"/>
      <c r="B40" s="1331" t="s">
        <v>1628</v>
      </c>
      <c r="C40" s="1326"/>
      <c r="D40" s="333"/>
      <c r="E40" s="289">
        <v>0.05</v>
      </c>
      <c r="F40" s="271"/>
      <c r="G40" s="206"/>
      <c r="H40" s="206"/>
      <c r="I40" s="212"/>
      <c r="J40" s="212">
        <f>+AVERAGE(J41:J42)</f>
        <v>0.34</v>
      </c>
      <c r="K40" s="212"/>
      <c r="L40" s="212">
        <f>+L41+L42</f>
        <v>0.34</v>
      </c>
      <c r="M40" s="211"/>
      <c r="N40" s="211"/>
      <c r="O40" s="211"/>
      <c r="P40" s="211"/>
      <c r="Q40" s="211"/>
      <c r="R40" s="211"/>
      <c r="S40" s="211"/>
      <c r="T40" s="235"/>
      <c r="U40" s="235">
        <f>+AVERAGE(U41:U42)</f>
        <v>0.29411764705882354</v>
      </c>
      <c r="V40" s="235"/>
      <c r="W40" s="235">
        <f>+(W41+W42)*E40</f>
        <v>7.352941176470589E-3</v>
      </c>
      <c r="X40" s="212"/>
      <c r="Y40" s="212">
        <f>+AVERAGE(Y41:Y42)</f>
        <v>0.05</v>
      </c>
      <c r="Z40" s="212"/>
      <c r="AA40" s="212">
        <f>+(AA41+AA42)</f>
        <v>0.05</v>
      </c>
      <c r="AB40" s="206"/>
      <c r="AC40" s="206"/>
      <c r="AD40" s="206"/>
      <c r="AE40" s="206"/>
      <c r="AF40" s="206"/>
      <c r="AG40" s="200"/>
      <c r="AH40" s="187"/>
    </row>
    <row r="41" spans="1:34" ht="103.15" customHeight="1" thickBot="1" x14ac:dyDescent="0.35">
      <c r="A41" s="331"/>
      <c r="B41" s="1174" t="s">
        <v>1629</v>
      </c>
      <c r="C41" s="1174" t="s">
        <v>1630</v>
      </c>
      <c r="D41" s="333" t="s">
        <v>1631</v>
      </c>
      <c r="E41" s="285">
        <v>0.5</v>
      </c>
      <c r="F41" s="283">
        <v>1</v>
      </c>
      <c r="G41" s="213">
        <v>0</v>
      </c>
      <c r="H41" s="213">
        <v>0.34</v>
      </c>
      <c r="I41" s="218"/>
      <c r="J41" s="218">
        <f t="shared" ref="J41:J42" si="49">+H41/F41</f>
        <v>0.34</v>
      </c>
      <c r="K41" s="218"/>
      <c r="L41" s="218">
        <f t="shared" si="15"/>
        <v>0.17</v>
      </c>
      <c r="M41" s="213"/>
      <c r="N41" s="670"/>
      <c r="O41" s="670">
        <v>0.1</v>
      </c>
      <c r="P41" s="213"/>
      <c r="Q41" s="213"/>
      <c r="R41" s="213">
        <f t="shared" ref="R41:R42" si="50">+N41+O41+P41+Q41</f>
        <v>0.1</v>
      </c>
      <c r="S41" s="213">
        <f t="shared" ref="S41:S42" si="51">+R41+M41</f>
        <v>0.1</v>
      </c>
      <c r="T41" s="218"/>
      <c r="U41" s="218">
        <f t="shared" si="46"/>
        <v>0.29411764705882354</v>
      </c>
      <c r="V41" s="218"/>
      <c r="W41" s="218">
        <f t="shared" ref="W41:W42" si="52">+U41*E41</f>
        <v>0.14705882352941177</v>
      </c>
      <c r="X41" s="218"/>
      <c r="Y41" s="218">
        <f t="shared" ref="Y41:Y42" si="53">+S41/F41</f>
        <v>0.1</v>
      </c>
      <c r="Z41" s="218"/>
      <c r="AA41" s="218">
        <f>+Y41*E41</f>
        <v>0.05</v>
      </c>
      <c r="AB41" s="308" t="s">
        <v>1321</v>
      </c>
      <c r="AC41" s="834" t="s">
        <v>1632</v>
      </c>
      <c r="AD41" s="1114"/>
      <c r="AE41" s="724" t="s">
        <v>885</v>
      </c>
      <c r="AF41" s="206"/>
      <c r="AG41" s="200"/>
      <c r="AH41" s="187"/>
    </row>
    <row r="42" spans="1:34" ht="85.15" customHeight="1" thickBot="1" x14ac:dyDescent="0.35">
      <c r="A42" s="331"/>
      <c r="B42" s="1174" t="s">
        <v>1633</v>
      </c>
      <c r="C42" s="1174" t="s">
        <v>1634</v>
      </c>
      <c r="D42" s="333" t="s">
        <v>1631</v>
      </c>
      <c r="E42" s="285">
        <v>0.5</v>
      </c>
      <c r="F42" s="283">
        <v>1</v>
      </c>
      <c r="G42" s="213">
        <v>0</v>
      </c>
      <c r="H42" s="213">
        <v>0.34</v>
      </c>
      <c r="I42" s="218"/>
      <c r="J42" s="218">
        <f t="shared" si="49"/>
        <v>0.34</v>
      </c>
      <c r="K42" s="218"/>
      <c r="L42" s="218">
        <f t="shared" si="15"/>
        <v>0.17</v>
      </c>
      <c r="M42" s="213"/>
      <c r="N42" s="670"/>
      <c r="O42" s="213"/>
      <c r="P42" s="213"/>
      <c r="Q42" s="213"/>
      <c r="R42" s="213">
        <f t="shared" si="50"/>
        <v>0</v>
      </c>
      <c r="S42" s="213">
        <f t="shared" si="51"/>
        <v>0</v>
      </c>
      <c r="T42" s="218"/>
      <c r="U42" s="218"/>
      <c r="V42" s="218"/>
      <c r="W42" s="218">
        <f t="shared" si="52"/>
        <v>0</v>
      </c>
      <c r="X42" s="218"/>
      <c r="Y42" s="218">
        <f t="shared" si="53"/>
        <v>0</v>
      </c>
      <c r="Z42" s="218"/>
      <c r="AA42" s="218">
        <f>+Y42*E42</f>
        <v>0</v>
      </c>
      <c r="AB42" s="308" t="s">
        <v>1321</v>
      </c>
      <c r="AC42" s="834" t="s">
        <v>1632</v>
      </c>
      <c r="AD42" s="1114"/>
      <c r="AE42" s="724" t="s">
        <v>885</v>
      </c>
      <c r="AF42" s="206"/>
      <c r="AG42" s="200"/>
      <c r="AH42" s="187"/>
    </row>
    <row r="43" spans="1:34" ht="67.150000000000006" customHeight="1" thickBot="1" x14ac:dyDescent="0.35">
      <c r="A43" s="331"/>
      <c r="B43" s="1331" t="s">
        <v>1635</v>
      </c>
      <c r="C43" s="1326"/>
      <c r="D43" s="333"/>
      <c r="E43" s="289">
        <v>0.15</v>
      </c>
      <c r="F43" s="271"/>
      <c r="G43" s="206"/>
      <c r="H43" s="206"/>
      <c r="I43" s="212">
        <f>+AVERAGE(I44:I47)</f>
        <v>0.16773431223397892</v>
      </c>
      <c r="J43" s="212">
        <f>+AVERAGE(J44:J47)</f>
        <v>0.23023431223397889</v>
      </c>
      <c r="K43" s="212">
        <f>+K44+K45+K46+K47</f>
        <v>8.4187449787183122E-2</v>
      </c>
      <c r="L43" s="212">
        <f>+L44+L45+L46+L47</f>
        <v>0.2350415662410329</v>
      </c>
      <c r="M43" s="211"/>
      <c r="N43" s="211"/>
      <c r="O43" s="211"/>
      <c r="P43" s="211"/>
      <c r="Q43" s="211"/>
      <c r="R43" s="211"/>
      <c r="S43" s="211"/>
      <c r="T43" s="235">
        <f>+AVERAGE(T44:T47)</f>
        <v>1</v>
      </c>
      <c r="U43" s="235">
        <f>+AVERAGE(U44:U47)</f>
        <v>0.32017499999999999</v>
      </c>
      <c r="V43" s="235">
        <f>+(V44+V45+V46+V47)*E43</f>
        <v>9.0000000000000011E-2</v>
      </c>
      <c r="W43" s="235">
        <f>+(W44+W45+W46+W47)*E43</f>
        <v>4.6842000000000002E-2</v>
      </c>
      <c r="X43" s="212">
        <f>+AVERAGE(X44:X47)</f>
        <v>0.17321025512854482</v>
      </c>
      <c r="Y43" s="212">
        <f>+X43+((Y45-X45)/4)+((Y46-X46)/4)+(Y44/4)+(Y47/4)</f>
        <v>0.24770577657262269</v>
      </c>
      <c r="Z43" s="212">
        <f>+(Z44+Z45+Z46+Z47)*E43</f>
        <v>1.3285230615425379E-2</v>
      </c>
      <c r="AA43" s="212">
        <f>+(AA44+AA45+AA46+AA47)</f>
        <v>0.15776103841336048</v>
      </c>
      <c r="AB43" s="206"/>
      <c r="AC43" s="206"/>
      <c r="AD43" s="206"/>
      <c r="AE43" s="206"/>
      <c r="AF43" s="206"/>
      <c r="AG43" s="200"/>
      <c r="AH43" s="187"/>
    </row>
    <row r="44" spans="1:34" ht="95.45" customHeight="1" thickBot="1" x14ac:dyDescent="0.35">
      <c r="A44" s="331"/>
      <c r="B44" s="1090" t="s">
        <v>1636</v>
      </c>
      <c r="C44" s="1090" t="s">
        <v>1637</v>
      </c>
      <c r="D44" s="333" t="s">
        <v>92</v>
      </c>
      <c r="E44" s="285">
        <v>0.3</v>
      </c>
      <c r="F44" s="283">
        <v>3</v>
      </c>
      <c r="G44" s="213">
        <v>0</v>
      </c>
      <c r="H44" s="213">
        <v>1</v>
      </c>
      <c r="I44" s="218"/>
      <c r="J44" s="218">
        <f t="shared" ref="J44:J47" si="54">+H44/F44</f>
        <v>0.33333333333333331</v>
      </c>
      <c r="K44" s="218"/>
      <c r="L44" s="218">
        <f t="shared" si="15"/>
        <v>9.9999999999999992E-2</v>
      </c>
      <c r="M44" s="213"/>
      <c r="N44" s="670">
        <v>0</v>
      </c>
      <c r="O44" s="213">
        <v>0</v>
      </c>
      <c r="P44" s="213"/>
      <c r="Q44" s="213"/>
      <c r="R44" s="213">
        <f t="shared" ref="R44:R47" si="55">+N44+O44+P44+Q44</f>
        <v>0</v>
      </c>
      <c r="S44" s="213">
        <f t="shared" ref="S44:S47" si="56">+R44+M44</f>
        <v>0</v>
      </c>
      <c r="T44" s="218"/>
      <c r="U44" s="218">
        <f t="shared" ref="U44:U47" si="57">+R44/H44</f>
        <v>0</v>
      </c>
      <c r="V44" s="218"/>
      <c r="W44" s="218">
        <f t="shared" ref="W44:W47" si="58">+U44*E44</f>
        <v>0</v>
      </c>
      <c r="X44" s="218"/>
      <c r="Y44" s="218">
        <f t="shared" ref="Y44:Y47" si="59">+S44/F44</f>
        <v>0</v>
      </c>
      <c r="Z44" s="218"/>
      <c r="AA44" s="218">
        <f>+Y44*E44</f>
        <v>0</v>
      </c>
      <c r="AB44" s="308" t="s">
        <v>1321</v>
      </c>
      <c r="AC44" s="752" t="s">
        <v>127</v>
      </c>
      <c r="AD44" s="724" t="s">
        <v>1557</v>
      </c>
      <c r="AE44" s="724" t="s">
        <v>885</v>
      </c>
      <c r="AF44" s="206"/>
      <c r="AG44" s="200"/>
      <c r="AH44" s="187"/>
    </row>
    <row r="45" spans="1:34" ht="67.150000000000006" customHeight="1" thickBot="1" x14ac:dyDescent="0.35">
      <c r="A45" s="331"/>
      <c r="B45" s="1090" t="s">
        <v>1638</v>
      </c>
      <c r="C45" s="1090" t="s">
        <v>1639</v>
      </c>
      <c r="D45" s="333" t="s">
        <v>92</v>
      </c>
      <c r="E45" s="285">
        <v>0.2</v>
      </c>
      <c r="F45" s="283">
        <v>1</v>
      </c>
      <c r="G45" s="213">
        <v>0.25</v>
      </c>
      <c r="H45" s="213">
        <v>0.25</v>
      </c>
      <c r="I45" s="218">
        <f>+G45/F45</f>
        <v>0.25</v>
      </c>
      <c r="J45" s="218">
        <f t="shared" si="54"/>
        <v>0.25</v>
      </c>
      <c r="K45" s="218">
        <f>+(G45/F45)*E45</f>
        <v>0.05</v>
      </c>
      <c r="L45" s="218">
        <f t="shared" si="15"/>
        <v>0.05</v>
      </c>
      <c r="M45" s="213">
        <v>0.25</v>
      </c>
      <c r="N45" s="670">
        <v>0.04</v>
      </c>
      <c r="O45" s="213">
        <v>0.21</v>
      </c>
      <c r="P45" s="213"/>
      <c r="Q45" s="213"/>
      <c r="R45" s="213">
        <f t="shared" si="55"/>
        <v>0.25</v>
      </c>
      <c r="S45" s="213">
        <f t="shared" si="56"/>
        <v>0.5</v>
      </c>
      <c r="T45" s="218">
        <f>+(M45/G45)</f>
        <v>1</v>
      </c>
      <c r="U45" s="218">
        <f t="shared" si="57"/>
        <v>1</v>
      </c>
      <c r="V45" s="218">
        <f>+T45*E45</f>
        <v>0.2</v>
      </c>
      <c r="W45" s="218">
        <f t="shared" si="58"/>
        <v>0.2</v>
      </c>
      <c r="X45" s="218">
        <f>+M45/F45</f>
        <v>0.25</v>
      </c>
      <c r="Y45" s="218">
        <f t="shared" si="59"/>
        <v>0.5</v>
      </c>
      <c r="Z45" s="218">
        <f>+X45*E45</f>
        <v>0.05</v>
      </c>
      <c r="AA45" s="218">
        <f>+Y45*E45</f>
        <v>0.1</v>
      </c>
      <c r="AB45" s="308" t="s">
        <v>1321</v>
      </c>
      <c r="AC45" s="724" t="s">
        <v>44</v>
      </c>
      <c r="AD45" s="724" t="s">
        <v>1557</v>
      </c>
      <c r="AE45" s="724" t="s">
        <v>885</v>
      </c>
      <c r="AF45" s="206"/>
      <c r="AG45" s="200"/>
      <c r="AH45" s="187"/>
    </row>
    <row r="46" spans="1:34" ht="67.150000000000006" customHeight="1" thickBot="1" x14ac:dyDescent="0.35">
      <c r="A46" s="331"/>
      <c r="B46" s="1090" t="s">
        <v>1640</v>
      </c>
      <c r="C46" s="1090" t="s">
        <v>1641</v>
      </c>
      <c r="D46" s="333" t="s">
        <v>92</v>
      </c>
      <c r="E46" s="285">
        <v>0.4</v>
      </c>
      <c r="F46" s="342">
        <v>117002000000</v>
      </c>
      <c r="G46" s="312">
        <v>10000000000</v>
      </c>
      <c r="H46" s="312">
        <v>20000000000</v>
      </c>
      <c r="I46" s="218">
        <f>+G46/F46</f>
        <v>8.5468624467957818E-2</v>
      </c>
      <c r="J46" s="218">
        <f t="shared" si="54"/>
        <v>0.17093724893591564</v>
      </c>
      <c r="K46" s="218">
        <f>+(G46/F46)*E46</f>
        <v>3.4187449787183126E-2</v>
      </c>
      <c r="L46" s="218">
        <f t="shared" si="15"/>
        <v>6.8374899574366252E-2</v>
      </c>
      <c r="M46" s="312">
        <v>11281392541.1</v>
      </c>
      <c r="N46" s="673">
        <v>1551000000</v>
      </c>
      <c r="O46" s="312">
        <v>4063000000</v>
      </c>
      <c r="P46" s="312"/>
      <c r="Q46" s="312"/>
      <c r="R46" s="312">
        <f t="shared" si="55"/>
        <v>5614000000</v>
      </c>
      <c r="S46" s="312">
        <f t="shared" si="56"/>
        <v>16895392541.1</v>
      </c>
      <c r="T46" s="237">
        <v>1</v>
      </c>
      <c r="U46" s="237">
        <f t="shared" si="57"/>
        <v>0.28070000000000001</v>
      </c>
      <c r="V46" s="218">
        <f>+T46*E46</f>
        <v>0.4</v>
      </c>
      <c r="W46" s="218">
        <f t="shared" si="58"/>
        <v>0.11228</v>
      </c>
      <c r="X46" s="237">
        <f>+M46/F46</f>
        <v>9.6420510257089628E-2</v>
      </c>
      <c r="Y46" s="237">
        <f t="shared" si="59"/>
        <v>0.14440259603340114</v>
      </c>
      <c r="Z46" s="218">
        <f>+X46*E46</f>
        <v>3.8568204102835853E-2</v>
      </c>
      <c r="AA46" s="218">
        <f>+Y46*E46</f>
        <v>5.7761038413360458E-2</v>
      </c>
      <c r="AB46" s="308" t="s">
        <v>1321</v>
      </c>
      <c r="AC46" s="724" t="s">
        <v>44</v>
      </c>
      <c r="AD46" s="724" t="s">
        <v>1557</v>
      </c>
      <c r="AE46" s="724" t="s">
        <v>885</v>
      </c>
      <c r="AF46" s="206"/>
      <c r="AG46" s="200"/>
      <c r="AH46" s="187"/>
    </row>
    <row r="47" spans="1:34" ht="93" customHeight="1" thickBot="1" x14ac:dyDescent="0.35">
      <c r="A47" s="331"/>
      <c r="B47" s="1090" t="s">
        <v>1642</v>
      </c>
      <c r="C47" s="1090" t="s">
        <v>1643</v>
      </c>
      <c r="D47" s="333" t="s">
        <v>92</v>
      </c>
      <c r="E47" s="285">
        <v>0.1</v>
      </c>
      <c r="F47" s="283">
        <v>30</v>
      </c>
      <c r="G47" s="213">
        <v>0</v>
      </c>
      <c r="H47" s="213">
        <v>5</v>
      </c>
      <c r="I47" s="218"/>
      <c r="J47" s="218">
        <f t="shared" si="54"/>
        <v>0.16666666666666666</v>
      </c>
      <c r="K47" s="218"/>
      <c r="L47" s="218">
        <f t="shared" si="15"/>
        <v>1.6666666666666666E-2</v>
      </c>
      <c r="M47" s="213"/>
      <c r="N47" s="670">
        <v>0</v>
      </c>
      <c r="O47" s="213">
        <v>0</v>
      </c>
      <c r="P47" s="213"/>
      <c r="Q47" s="213"/>
      <c r="R47" s="213">
        <f t="shared" si="55"/>
        <v>0</v>
      </c>
      <c r="S47" s="213">
        <f t="shared" si="56"/>
        <v>0</v>
      </c>
      <c r="T47" s="218"/>
      <c r="U47" s="218">
        <f t="shared" si="57"/>
        <v>0</v>
      </c>
      <c r="V47" s="218"/>
      <c r="W47" s="218">
        <f t="shared" si="58"/>
        <v>0</v>
      </c>
      <c r="X47" s="218"/>
      <c r="Y47" s="237">
        <f t="shared" si="59"/>
        <v>0</v>
      </c>
      <c r="Z47" s="218"/>
      <c r="AA47" s="218">
        <f>+Y47*E47</f>
        <v>0</v>
      </c>
      <c r="AB47" s="308" t="s">
        <v>1321</v>
      </c>
      <c r="AC47" s="752" t="s">
        <v>127</v>
      </c>
      <c r="AD47" s="724" t="s">
        <v>1557</v>
      </c>
      <c r="AE47" s="724" t="s">
        <v>885</v>
      </c>
      <c r="AF47" s="206"/>
      <c r="AG47" s="200"/>
      <c r="AH47" s="187"/>
    </row>
    <row r="48" spans="1:34" ht="89.45" customHeight="1" thickBot="1" x14ac:dyDescent="0.35">
      <c r="A48" s="331"/>
      <c r="B48" s="1332" t="s">
        <v>1644</v>
      </c>
      <c r="C48" s="1326"/>
      <c r="D48" s="333"/>
      <c r="E48" s="291">
        <v>0.2</v>
      </c>
      <c r="F48" s="334">
        <f>+E48*V48</f>
        <v>0.18625993100110649</v>
      </c>
      <c r="G48" s="206"/>
      <c r="H48" s="334">
        <f>+E48*W48</f>
        <v>0.1069712601422578</v>
      </c>
      <c r="I48" s="204">
        <f>+(I49+I55)</f>
        <v>0.22689134534516447</v>
      </c>
      <c r="J48" s="204">
        <f>+(J49+J55)/2</f>
        <v>0.2540275605253442</v>
      </c>
      <c r="K48" s="205">
        <f>+(K49+K55)</f>
        <v>0.22571301967260979</v>
      </c>
      <c r="L48" s="205">
        <f>+(L49+L55)/2</f>
        <v>0.25432469935214241</v>
      </c>
      <c r="M48" s="206"/>
      <c r="N48" s="206"/>
      <c r="O48" s="206"/>
      <c r="P48" s="206"/>
      <c r="Q48" s="206"/>
      <c r="R48" s="206"/>
      <c r="S48" s="206"/>
      <c r="T48" s="204">
        <f>+(T49+T55)</f>
        <v>0.99015771316080659</v>
      </c>
      <c r="U48" s="204">
        <f>+(U49+U55)/2</f>
        <v>0.53851136141490141</v>
      </c>
      <c r="V48" s="205">
        <f>+V49+V55</f>
        <v>0.93129965500553247</v>
      </c>
      <c r="W48" s="205">
        <f>+W49+W55</f>
        <v>0.53485630071128898</v>
      </c>
      <c r="X48" s="204">
        <f>(X49+X55)</f>
        <v>0.25580038172039926</v>
      </c>
      <c r="Y48" s="204">
        <f>(Y49+Y55)/2</f>
        <v>0.45569128096258565</v>
      </c>
      <c r="Z48" s="335">
        <f>(Z49+Z55)</f>
        <v>0.22738216072471779</v>
      </c>
      <c r="AA48" s="335">
        <f>(AA49*E49+AA55*E55)</f>
        <v>0.38748929979683333</v>
      </c>
      <c r="AB48" s="793"/>
      <c r="AC48" s="756" t="s">
        <v>1645</v>
      </c>
      <c r="AD48" s="271"/>
      <c r="AE48" s="206"/>
      <c r="AF48" s="206"/>
      <c r="AG48" s="200"/>
      <c r="AH48" s="187"/>
    </row>
    <row r="49" spans="1:34" ht="67.150000000000006" customHeight="1" thickBot="1" x14ac:dyDescent="0.35">
      <c r="A49" s="331"/>
      <c r="B49" s="1331" t="s">
        <v>1646</v>
      </c>
      <c r="C49" s="1326"/>
      <c r="D49" s="333"/>
      <c r="E49" s="289">
        <v>0.95</v>
      </c>
      <c r="F49" s="271"/>
      <c r="G49" s="206"/>
      <c r="H49" s="206"/>
      <c r="I49" s="212">
        <f>+AVERAGE(I50:I54)</f>
        <v>0.22689134534516447</v>
      </c>
      <c r="J49" s="212">
        <f>+AVERAGE(J50:J54)</f>
        <v>0.2580551210506884</v>
      </c>
      <c r="K49" s="212">
        <f>+K50+K51+K52+K53+K54</f>
        <v>0.22571301967260979</v>
      </c>
      <c r="L49" s="212">
        <f>+L50+L51+L52+L53+L54</f>
        <v>0.25864939870428477</v>
      </c>
      <c r="M49" s="211"/>
      <c r="N49" s="211"/>
      <c r="O49" s="211"/>
      <c r="P49" s="211"/>
      <c r="Q49" s="211"/>
      <c r="R49" s="211"/>
      <c r="S49" s="211"/>
      <c r="T49" s="235">
        <f>+AVERAGE(T50:T54)</f>
        <v>0.99015771316080659</v>
      </c>
      <c r="U49" s="235">
        <f>+AVERAGE(U50:U54)</f>
        <v>0.57702272282980283</v>
      </c>
      <c r="V49" s="235">
        <f>+(V50+V51+V52+V53+V54)*E49</f>
        <v>0.93129965500553247</v>
      </c>
      <c r="W49" s="235">
        <f>+(W50+W51+W52+W53+W54)*E49</f>
        <v>0.50985630071128896</v>
      </c>
      <c r="X49" s="212">
        <f>+AVERAGE(X50:X54)</f>
        <v>0.25580038172039926</v>
      </c>
      <c r="Y49" s="212">
        <f>+AVERAGE(Y50:Y54)</f>
        <v>0.41138256192517131</v>
      </c>
      <c r="Z49" s="212">
        <f>+(Z50+Z51+Z52+Z53+Z54)*E49</f>
        <v>0.22738216072471779</v>
      </c>
      <c r="AA49" s="212">
        <f>+(AA50+AA51+AA52+AA53+AA54)</f>
        <v>0.38156768399666668</v>
      </c>
      <c r="AB49" s="206"/>
      <c r="AC49" s="794"/>
      <c r="AD49" s="206"/>
      <c r="AE49" s="1173"/>
      <c r="AF49" s="206"/>
      <c r="AG49" s="187"/>
      <c r="AH49" s="187"/>
    </row>
    <row r="50" spans="1:34" ht="67.150000000000006" customHeight="1" thickBot="1" x14ac:dyDescent="0.35">
      <c r="A50" s="331"/>
      <c r="B50" s="1174" t="s">
        <v>1647</v>
      </c>
      <c r="C50" s="1174" t="s">
        <v>1648</v>
      </c>
      <c r="D50" s="333" t="s">
        <v>883</v>
      </c>
      <c r="E50" s="285">
        <v>0.35</v>
      </c>
      <c r="F50" s="342">
        <v>1727905000000</v>
      </c>
      <c r="G50" s="312">
        <v>393165798563</v>
      </c>
      <c r="H50" s="312">
        <v>458399741720</v>
      </c>
      <c r="I50" s="218">
        <f>+G50/F50</f>
        <v>0.22753901317665035</v>
      </c>
      <c r="J50" s="218">
        <f t="shared" ref="J50:J56" si="60">+H50/F50</f>
        <v>0.26529221324088997</v>
      </c>
      <c r="K50" s="218">
        <f>+(G50/F50)*E50</f>
        <v>7.963865461182762E-2</v>
      </c>
      <c r="L50" s="218">
        <f t="shared" ref="L50:L56" si="61">+(H50/F50)*E50</f>
        <v>9.2852274634311491E-2</v>
      </c>
      <c r="M50" s="312">
        <v>423913849857</v>
      </c>
      <c r="N50" s="673">
        <v>215410301461</v>
      </c>
      <c r="O50" s="673">
        <v>115150898259</v>
      </c>
      <c r="P50" s="312"/>
      <c r="Q50" s="312"/>
      <c r="R50" s="312">
        <f t="shared" ref="R50:R54" si="62">+N50+O50+P50+Q50</f>
        <v>330561199720</v>
      </c>
      <c r="S50" s="312">
        <f t="shared" ref="S50:S54" si="63">+R50+M50</f>
        <v>754475049577</v>
      </c>
      <c r="T50" s="218">
        <v>1</v>
      </c>
      <c r="U50" s="218">
        <f t="shared" ref="U50:U56" si="64">+R50/H50</f>
        <v>0.72111995194341449</v>
      </c>
      <c r="V50" s="218">
        <f>+T50*E50</f>
        <v>0.35</v>
      </c>
      <c r="W50" s="218">
        <f t="shared" ref="W50:W56" si="65">+U50*E50</f>
        <v>0.25239198318019507</v>
      </c>
      <c r="X50" s="218">
        <f>+M50/F50</f>
        <v>0.24533400265465982</v>
      </c>
      <c r="Y50" s="218">
        <f t="shared" ref="Y50:Y54" si="66">+S50/F50</f>
        <v>0.43664151071789248</v>
      </c>
      <c r="Z50" s="218">
        <f>+X50*E50</f>
        <v>8.5866900929130935E-2</v>
      </c>
      <c r="AA50" s="218">
        <f>+Y50*E50</f>
        <v>0.15282452875126235</v>
      </c>
      <c r="AB50" s="308" t="s">
        <v>1321</v>
      </c>
      <c r="AC50" s="724" t="s">
        <v>44</v>
      </c>
      <c r="AD50" s="1172" t="s">
        <v>1557</v>
      </c>
      <c r="AE50" s="724" t="s">
        <v>885</v>
      </c>
      <c r="AF50" s="271"/>
      <c r="AG50" s="187"/>
      <c r="AH50" s="187"/>
    </row>
    <row r="51" spans="1:34" ht="67.150000000000006" customHeight="1" thickBot="1" x14ac:dyDescent="0.35">
      <c r="A51" s="331"/>
      <c r="B51" s="1174" t="s">
        <v>1649</v>
      </c>
      <c r="C51" s="1174" t="s">
        <v>1650</v>
      </c>
      <c r="D51" s="333" t="s">
        <v>883</v>
      </c>
      <c r="E51" s="285">
        <v>0.4</v>
      </c>
      <c r="F51" s="342">
        <v>2912805184493</v>
      </c>
      <c r="G51" s="312">
        <v>662915926390</v>
      </c>
      <c r="H51" s="312">
        <v>732697266239</v>
      </c>
      <c r="I51" s="218">
        <f>+G51/F51</f>
        <v>0.22758677096538693</v>
      </c>
      <c r="J51" s="218">
        <f t="shared" si="60"/>
        <v>0.25154351898976468</v>
      </c>
      <c r="K51" s="218">
        <f>+(G51/F51)*E51</f>
        <v>9.1034708386154781E-2</v>
      </c>
      <c r="L51" s="218">
        <f t="shared" si="61"/>
        <v>0.10061740759590587</v>
      </c>
      <c r="M51" s="312">
        <v>630292882901</v>
      </c>
      <c r="N51" s="673">
        <v>81349836580</v>
      </c>
      <c r="O51" s="673">
        <v>148570009721</v>
      </c>
      <c r="P51" s="312"/>
      <c r="Q51" s="312"/>
      <c r="R51" s="312">
        <f t="shared" si="62"/>
        <v>229919846301</v>
      </c>
      <c r="S51" s="312">
        <f t="shared" si="63"/>
        <v>860212729202</v>
      </c>
      <c r="T51" s="218">
        <f>+(M51/G51)</f>
        <v>0.95078856580403304</v>
      </c>
      <c r="U51" s="218">
        <f t="shared" si="64"/>
        <v>0.3137992413718137</v>
      </c>
      <c r="V51" s="218">
        <f>+T51*E51</f>
        <v>0.38031542632161325</v>
      </c>
      <c r="W51" s="218">
        <f t="shared" si="65"/>
        <v>0.1255196965487255</v>
      </c>
      <c r="X51" s="218">
        <f>+M51/F51</f>
        <v>0.21638689956215118</v>
      </c>
      <c r="Y51" s="218">
        <f t="shared" si="66"/>
        <v>0.29532106499313576</v>
      </c>
      <c r="Z51" s="218">
        <f>+X51*E51</f>
        <v>8.655475982486048E-2</v>
      </c>
      <c r="AA51" s="218">
        <f>+Y51*E51</f>
        <v>0.11812842599725432</v>
      </c>
      <c r="AB51" s="308" t="s">
        <v>1321</v>
      </c>
      <c r="AC51" s="724" t="s">
        <v>44</v>
      </c>
      <c r="AD51" s="724" t="s">
        <v>1557</v>
      </c>
      <c r="AE51" s="724" t="s">
        <v>885</v>
      </c>
      <c r="AF51" s="206"/>
      <c r="AG51" s="187"/>
      <c r="AH51" s="187"/>
    </row>
    <row r="52" spans="1:34" ht="67.150000000000006" customHeight="1" thickBot="1" x14ac:dyDescent="0.35">
      <c r="A52" s="331"/>
      <c r="B52" s="1174" t="s">
        <v>1651</v>
      </c>
      <c r="C52" s="1174" t="s">
        <v>1652</v>
      </c>
      <c r="D52" s="333" t="s">
        <v>883</v>
      </c>
      <c r="E52" s="285">
        <v>0.08</v>
      </c>
      <c r="F52" s="342">
        <v>34797802428</v>
      </c>
      <c r="G52" s="312">
        <v>7138513013</v>
      </c>
      <c r="H52" s="312">
        <v>9115167266</v>
      </c>
      <c r="I52" s="218">
        <f>+G52/F52</f>
        <v>0.2051426387562913</v>
      </c>
      <c r="J52" s="218">
        <f t="shared" si="60"/>
        <v>0.26194663541929575</v>
      </c>
      <c r="K52" s="218">
        <f>+(G52/F52)*E52</f>
        <v>1.6411411100503304E-2</v>
      </c>
      <c r="L52" s="218">
        <f t="shared" si="61"/>
        <v>2.095573083354366E-2</v>
      </c>
      <c r="M52" s="312">
        <v>11515173869</v>
      </c>
      <c r="N52" s="673">
        <v>8962015901</v>
      </c>
      <c r="O52" s="673">
        <v>1117484230</v>
      </c>
      <c r="P52" s="312"/>
      <c r="Q52" s="312"/>
      <c r="R52" s="312">
        <f t="shared" si="62"/>
        <v>10079500131</v>
      </c>
      <c r="S52" s="312">
        <f t="shared" si="63"/>
        <v>21594674000</v>
      </c>
      <c r="T52" s="218">
        <v>1</v>
      </c>
      <c r="U52" s="218">
        <v>1</v>
      </c>
      <c r="V52" s="218">
        <f>+T52*E52</f>
        <v>0.08</v>
      </c>
      <c r="W52" s="218">
        <f t="shared" si="65"/>
        <v>0.08</v>
      </c>
      <c r="X52" s="218">
        <f>+M52/F52</f>
        <v>0.33091669776636046</v>
      </c>
      <c r="Y52" s="218">
        <f t="shared" si="66"/>
        <v>0.62057579770106053</v>
      </c>
      <c r="Z52" s="218">
        <f>+X52*E52</f>
        <v>2.6473335821308838E-2</v>
      </c>
      <c r="AA52" s="218">
        <f>+Y52*E52</f>
        <v>4.9646063816084843E-2</v>
      </c>
      <c r="AB52" s="308" t="s">
        <v>1321</v>
      </c>
      <c r="AC52" s="724" t="s">
        <v>44</v>
      </c>
      <c r="AD52" s="724" t="s">
        <v>1557</v>
      </c>
      <c r="AE52" s="724" t="s">
        <v>885</v>
      </c>
      <c r="AF52" s="206"/>
      <c r="AG52" s="187"/>
      <c r="AH52" s="187"/>
    </row>
    <row r="53" spans="1:34" ht="67.150000000000006" customHeight="1" thickBot="1" x14ac:dyDescent="0.35">
      <c r="A53" s="331"/>
      <c r="B53" s="1174" t="s">
        <v>1653</v>
      </c>
      <c r="C53" s="1174" t="s">
        <v>1654</v>
      </c>
      <c r="D53" s="333" t="s">
        <v>883</v>
      </c>
      <c r="E53" s="285">
        <v>0.15</v>
      </c>
      <c r="F53" s="342">
        <v>238874034451</v>
      </c>
      <c r="G53" s="312">
        <v>53552764612</v>
      </c>
      <c r="H53" s="312">
        <v>62463944648</v>
      </c>
      <c r="I53" s="218">
        <f>+G53/F53</f>
        <v>0.22418830382749377</v>
      </c>
      <c r="J53" s="218">
        <f t="shared" si="60"/>
        <v>0.26149323760349169</v>
      </c>
      <c r="K53" s="218">
        <f>+(G53/F53)*E53</f>
        <v>3.3628245574124062E-2</v>
      </c>
      <c r="L53" s="218">
        <f t="shared" si="61"/>
        <v>3.9223985640523755E-2</v>
      </c>
      <c r="M53" s="312">
        <v>56461296000</v>
      </c>
      <c r="N53" s="673">
        <v>15037510000</v>
      </c>
      <c r="O53" s="673">
        <v>14645008000</v>
      </c>
      <c r="P53" s="312"/>
      <c r="Q53" s="312"/>
      <c r="R53" s="312">
        <f t="shared" si="62"/>
        <v>29682518000</v>
      </c>
      <c r="S53" s="312">
        <f t="shared" si="63"/>
        <v>86143814000</v>
      </c>
      <c r="T53" s="218">
        <v>1</v>
      </c>
      <c r="U53" s="218">
        <f t="shared" si="64"/>
        <v>0.47519442083378555</v>
      </c>
      <c r="V53" s="218">
        <f>+T53*E53</f>
        <v>0.15</v>
      </c>
      <c r="W53" s="218">
        <f t="shared" si="65"/>
        <v>7.1279163125067824E-2</v>
      </c>
      <c r="X53" s="218">
        <f>+M53/F53</f>
        <v>0.23636430861882501</v>
      </c>
      <c r="Y53" s="218">
        <f t="shared" si="66"/>
        <v>0.36062443621376772</v>
      </c>
      <c r="Z53" s="218">
        <f>+X53*E53</f>
        <v>3.5454646292823751E-2</v>
      </c>
      <c r="AA53" s="218">
        <f>+Y53*E53</f>
        <v>5.4093665432065154E-2</v>
      </c>
      <c r="AB53" s="308" t="s">
        <v>1321</v>
      </c>
      <c r="AC53" s="724" t="s">
        <v>44</v>
      </c>
      <c r="AD53" s="724" t="s">
        <v>1557</v>
      </c>
      <c r="AE53" s="724" t="s">
        <v>885</v>
      </c>
      <c r="AF53" s="206"/>
      <c r="AG53" s="187"/>
      <c r="AH53" s="187"/>
    </row>
    <row r="54" spans="1:34" ht="98.45" customHeight="1" thickBot="1" x14ac:dyDescent="0.35">
      <c r="A54" s="331"/>
      <c r="B54" s="1174" t="s">
        <v>1655</v>
      </c>
      <c r="C54" s="1174" t="s">
        <v>1656</v>
      </c>
      <c r="D54" s="333" t="s">
        <v>883</v>
      </c>
      <c r="E54" s="285">
        <v>0.02</v>
      </c>
      <c r="F54" s="283">
        <v>16</v>
      </c>
      <c r="G54" s="312">
        <v>4</v>
      </c>
      <c r="H54" s="312">
        <v>4</v>
      </c>
      <c r="I54" s="218">
        <f>+G54/F54</f>
        <v>0.25</v>
      </c>
      <c r="J54" s="218">
        <f t="shared" si="60"/>
        <v>0.25</v>
      </c>
      <c r="K54" s="218">
        <f>+(G54/F54)*E54</f>
        <v>5.0000000000000001E-3</v>
      </c>
      <c r="L54" s="218">
        <f t="shared" si="61"/>
        <v>5.0000000000000001E-3</v>
      </c>
      <c r="M54" s="312">
        <v>4</v>
      </c>
      <c r="N54" s="673">
        <v>1</v>
      </c>
      <c r="O54" s="673">
        <v>0.5</v>
      </c>
      <c r="P54" s="312"/>
      <c r="Q54" s="312"/>
      <c r="R54" s="312">
        <f t="shared" si="62"/>
        <v>1.5</v>
      </c>
      <c r="S54" s="312">
        <f t="shared" si="63"/>
        <v>5.5</v>
      </c>
      <c r="T54" s="218">
        <f>+(M54/G54)</f>
        <v>1</v>
      </c>
      <c r="U54" s="218">
        <f t="shared" si="64"/>
        <v>0.375</v>
      </c>
      <c r="V54" s="218">
        <f>+T54*E54</f>
        <v>0.02</v>
      </c>
      <c r="W54" s="218">
        <f t="shared" si="65"/>
        <v>7.4999999999999997E-3</v>
      </c>
      <c r="X54" s="218">
        <f>+M54/F54</f>
        <v>0.25</v>
      </c>
      <c r="Y54" s="218">
        <f t="shared" si="66"/>
        <v>0.34375</v>
      </c>
      <c r="Z54" s="218">
        <f>+X54*E54</f>
        <v>5.0000000000000001E-3</v>
      </c>
      <c r="AA54" s="218">
        <f>+Y54*E54</f>
        <v>6.875E-3</v>
      </c>
      <c r="AB54" s="206"/>
      <c r="AC54" s="206"/>
      <c r="AD54" s="206"/>
      <c r="AE54" s="724" t="s">
        <v>885</v>
      </c>
      <c r="AF54" s="206"/>
      <c r="AG54" s="187"/>
      <c r="AH54" s="187"/>
    </row>
    <row r="55" spans="1:34" ht="67.150000000000006" customHeight="1" thickBot="1" x14ac:dyDescent="0.35">
      <c r="A55" s="331"/>
      <c r="B55" s="1331" t="s">
        <v>1657</v>
      </c>
      <c r="C55" s="1326"/>
      <c r="D55" s="333"/>
      <c r="E55" s="289">
        <v>0.05</v>
      </c>
      <c r="F55" s="271"/>
      <c r="G55" s="206"/>
      <c r="H55" s="312"/>
      <c r="I55" s="212"/>
      <c r="J55" s="212">
        <f>+AVERAGE(J56)</f>
        <v>0.25</v>
      </c>
      <c r="K55" s="212"/>
      <c r="L55" s="212">
        <f>+L56</f>
        <v>0.25</v>
      </c>
      <c r="M55" s="211"/>
      <c r="N55" s="211"/>
      <c r="O55" s="211"/>
      <c r="P55" s="211"/>
      <c r="Q55" s="211"/>
      <c r="R55" s="211"/>
      <c r="S55" s="211"/>
      <c r="T55" s="235"/>
      <c r="U55" s="235">
        <f>+AVERAGE(U56)</f>
        <v>0.5</v>
      </c>
      <c r="V55" s="235"/>
      <c r="W55" s="235">
        <f>+(W56)*E55</f>
        <v>2.5000000000000001E-2</v>
      </c>
      <c r="X55" s="212"/>
      <c r="Y55" s="212">
        <f>+AVERAGE(Y56)</f>
        <v>0.5</v>
      </c>
      <c r="Z55" s="212"/>
      <c r="AA55" s="212">
        <f>+(AA56)</f>
        <v>0.5</v>
      </c>
      <c r="AB55" s="206"/>
      <c r="AC55" s="206"/>
      <c r="AD55" s="206"/>
      <c r="AE55" s="206"/>
      <c r="AF55" s="206"/>
      <c r="AG55" s="187"/>
      <c r="AH55" s="187"/>
    </row>
    <row r="56" spans="1:34" ht="109.9" customHeight="1" thickBot="1" x14ac:dyDescent="0.35">
      <c r="A56" s="331"/>
      <c r="B56" s="1067" t="s">
        <v>1658</v>
      </c>
      <c r="C56" s="1067" t="s">
        <v>1659</v>
      </c>
      <c r="D56" s="343" t="s">
        <v>883</v>
      </c>
      <c r="E56" s="297">
        <v>1</v>
      </c>
      <c r="F56" s="283">
        <v>4</v>
      </c>
      <c r="G56" s="213"/>
      <c r="H56" s="213">
        <v>1</v>
      </c>
      <c r="I56" s="218"/>
      <c r="J56" s="218">
        <f t="shared" si="60"/>
        <v>0.25</v>
      </c>
      <c r="K56" s="218"/>
      <c r="L56" s="218">
        <f t="shared" si="61"/>
        <v>0.25</v>
      </c>
      <c r="M56" s="213"/>
      <c r="N56" s="670">
        <v>0.25</v>
      </c>
      <c r="O56" s="670">
        <v>0.25</v>
      </c>
      <c r="P56" s="213"/>
      <c r="Q56" s="213"/>
      <c r="R56" s="213">
        <f t="shared" ref="R56" si="67">+N56+O56+P56+Q56</f>
        <v>0.5</v>
      </c>
      <c r="S56" s="213">
        <f t="shared" ref="S56" si="68">+R56+M56</f>
        <v>0.5</v>
      </c>
      <c r="T56" s="218"/>
      <c r="U56" s="218">
        <f t="shared" si="64"/>
        <v>0.5</v>
      </c>
      <c r="V56" s="218"/>
      <c r="W56" s="218">
        <f t="shared" si="65"/>
        <v>0.5</v>
      </c>
      <c r="X56" s="218"/>
      <c r="Y56" s="237">
        <f>+S56/1</f>
        <v>0.5</v>
      </c>
      <c r="Z56" s="218"/>
      <c r="AA56" s="218">
        <f>+Y56*E56</f>
        <v>0.5</v>
      </c>
      <c r="AB56" s="344" t="s">
        <v>1660</v>
      </c>
      <c r="AC56" s="724" t="s">
        <v>44</v>
      </c>
      <c r="AD56" s="724" t="s">
        <v>1557</v>
      </c>
      <c r="AE56" s="756" t="s">
        <v>1661</v>
      </c>
      <c r="AF56" s="206"/>
      <c r="AG56" s="187"/>
      <c r="AH56" s="187"/>
    </row>
    <row r="57" spans="1:34" ht="67.150000000000006" customHeight="1" thickBot="1" x14ac:dyDescent="0.35">
      <c r="A57" s="331"/>
      <c r="B57" s="1332" t="s">
        <v>1662</v>
      </c>
      <c r="C57" s="1326"/>
      <c r="D57" s="333"/>
      <c r="E57" s="291">
        <v>0.1</v>
      </c>
      <c r="F57" s="334">
        <f>E57*V57</f>
        <v>8.6250000000000007E-2</v>
      </c>
      <c r="G57" s="206"/>
      <c r="H57" s="334">
        <f>+E57*W57</f>
        <v>3.0588590619307833E-2</v>
      </c>
      <c r="I57" s="204">
        <f>+(I58+I61+I66+I68+I74)/5</f>
        <v>0.22780333900383748</v>
      </c>
      <c r="J57" s="204">
        <f>+(J58+J61+J66+J68+J74)/5</f>
        <v>0.28056602016325777</v>
      </c>
      <c r="K57" s="205">
        <f>+(K58+K61+K66+K68+K74)/5</f>
        <v>0.22258316849309651</v>
      </c>
      <c r="L57" s="205">
        <f>+(L58+L61+L66+L68+L74)/5</f>
        <v>0.27229331342063273</v>
      </c>
      <c r="M57" s="206"/>
      <c r="N57" s="206"/>
      <c r="O57" s="206"/>
      <c r="P57" s="206"/>
      <c r="Q57" s="206"/>
      <c r="R57" s="206"/>
      <c r="S57" s="206"/>
      <c r="T57" s="204">
        <f>+(T58+T61+T66+T68+T74)/5</f>
        <v>0.93333333333333324</v>
      </c>
      <c r="U57" s="204">
        <f>+(U58+U61+U66+U68+U74)/5</f>
        <v>0.30097504553734061</v>
      </c>
      <c r="V57" s="205">
        <f>V58+V61+V66+V68+V74</f>
        <v>0.86250000000000004</v>
      </c>
      <c r="W57" s="205">
        <f>W58+W61+W66+W68+W74</f>
        <v>0.30588590619307832</v>
      </c>
      <c r="X57" s="204">
        <f>(X58+X61+X66+X68+X74)/5</f>
        <v>0.25439168183196847</v>
      </c>
      <c r="Y57" s="204">
        <f>(Y58+Y61+Y66+Y68+Y74)/5</f>
        <v>0.33923590385198665</v>
      </c>
      <c r="Z57" s="335">
        <f>(Z58+Z61+Z66+Z68+Z74)</f>
        <v>0.28719335759781622</v>
      </c>
      <c r="AA57" s="335">
        <f>(AA58*E58+AA61*E61+AA66*E66+AA68*E68+AA74*E74)</f>
        <v>0.37155911282984533</v>
      </c>
      <c r="AB57" s="206"/>
      <c r="AC57" s="206"/>
      <c r="AD57" s="206"/>
      <c r="AE57" s="206"/>
      <c r="AF57" s="206"/>
      <c r="AG57" s="187"/>
      <c r="AH57" s="187"/>
    </row>
    <row r="58" spans="1:34" ht="67.150000000000006" customHeight="1" thickBot="1" x14ac:dyDescent="0.35">
      <c r="A58" s="331"/>
      <c r="B58" s="1331" t="s">
        <v>1663</v>
      </c>
      <c r="C58" s="1326"/>
      <c r="D58" s="333"/>
      <c r="E58" s="289">
        <v>0.2</v>
      </c>
      <c r="F58" s="271"/>
      <c r="G58" s="206"/>
      <c r="H58" s="206"/>
      <c r="I58" s="212">
        <f>+AVERAGE(I59:I60)</f>
        <v>0.24988626023657873</v>
      </c>
      <c r="J58" s="212">
        <f>+AVERAGE(J59:J60)</f>
        <v>0.24988626023657873</v>
      </c>
      <c r="K58" s="212">
        <f>+K59+K60</f>
        <v>0.24981801637852596</v>
      </c>
      <c r="L58" s="212">
        <f>+L59+L60</f>
        <v>0.24981801637852596</v>
      </c>
      <c r="M58" s="211"/>
      <c r="N58" s="211"/>
      <c r="O58" s="211"/>
      <c r="P58" s="211"/>
      <c r="Q58" s="211"/>
      <c r="R58" s="211"/>
      <c r="S58" s="211"/>
      <c r="T58" s="235">
        <f>+AVERAGE(T59:T60)</f>
        <v>1</v>
      </c>
      <c r="U58" s="235">
        <f>+AVERAGE(U59:U60)</f>
        <v>0.24804189435336976</v>
      </c>
      <c r="V58" s="235">
        <f>+(V59+V60)*E58</f>
        <v>0.2</v>
      </c>
      <c r="W58" s="235">
        <f>+(W59+W60)*E58</f>
        <v>6.137340619307833E-2</v>
      </c>
      <c r="X58" s="212">
        <f>+AVERAGE(X59:X60)</f>
        <v>0.38341674249317559</v>
      </c>
      <c r="Y58" s="212">
        <f>+AVERAGE(Y59:Y60)</f>
        <v>0.44538785259326658</v>
      </c>
      <c r="Z58" s="212">
        <f>+(Z59+Z60)*E58</f>
        <v>9.2693357597816203E-2</v>
      </c>
      <c r="AA58" s="212">
        <f>+(AA59+AA60)</f>
        <v>0.5401205641492266</v>
      </c>
      <c r="AB58" s="206"/>
      <c r="AC58" s="206"/>
      <c r="AD58" s="206"/>
      <c r="AE58" s="206"/>
      <c r="AF58" s="206"/>
      <c r="AG58" s="187"/>
      <c r="AH58" s="187"/>
    </row>
    <row r="59" spans="1:34" ht="89.45" customHeight="1" thickBot="1" x14ac:dyDescent="0.35">
      <c r="A59" s="331"/>
      <c r="B59" s="1090" t="s">
        <v>1664</v>
      </c>
      <c r="C59" s="1090" t="s">
        <v>1665</v>
      </c>
      <c r="D59" s="333" t="s">
        <v>1666</v>
      </c>
      <c r="E59" s="285">
        <v>0.8</v>
      </c>
      <c r="F59" s="283">
        <v>2198</v>
      </c>
      <c r="G59" s="213">
        <v>549</v>
      </c>
      <c r="H59" s="213">
        <v>549</v>
      </c>
      <c r="I59" s="218">
        <f>+G59/F59</f>
        <v>0.24977252047315743</v>
      </c>
      <c r="J59" s="218">
        <f t="shared" ref="J59:J76" si="69">+H59/F59</f>
        <v>0.24977252047315743</v>
      </c>
      <c r="K59" s="218">
        <f>+(G59/F59)*E59</f>
        <v>0.19981801637852595</v>
      </c>
      <c r="L59" s="218">
        <f t="shared" ref="L59:L76" si="70">+(H59/F59)*E59</f>
        <v>0.19981801637852595</v>
      </c>
      <c r="M59" s="213">
        <v>1136</v>
      </c>
      <c r="N59" s="670">
        <v>0</v>
      </c>
      <c r="O59" s="670">
        <v>190</v>
      </c>
      <c r="P59" s="213"/>
      <c r="Q59" s="213"/>
      <c r="R59" s="213">
        <f t="shared" ref="R59:R60" si="71">+N59+O59+P59+Q59</f>
        <v>190</v>
      </c>
      <c r="S59" s="213">
        <f t="shared" ref="S59:S60" si="72">+R59+M59</f>
        <v>1326</v>
      </c>
      <c r="T59" s="218">
        <v>1</v>
      </c>
      <c r="U59" s="218">
        <f t="shared" ref="U59:U60" si="73">+R59/H59</f>
        <v>0.3460837887067395</v>
      </c>
      <c r="V59" s="218">
        <f>+T59*E59</f>
        <v>0.8</v>
      </c>
      <c r="W59" s="218">
        <f t="shared" ref="W59:W60" si="74">+U59*E59</f>
        <v>0.27686703096539161</v>
      </c>
      <c r="X59" s="218">
        <f>+M59/F59</f>
        <v>0.51683348498635118</v>
      </c>
      <c r="Y59" s="218">
        <f>+S59/F59</f>
        <v>0.60327570518653317</v>
      </c>
      <c r="Z59" s="218">
        <f>+X59*E59</f>
        <v>0.41346678798908099</v>
      </c>
      <c r="AA59" s="218">
        <f>+Y59*E59</f>
        <v>0.48262056414922655</v>
      </c>
      <c r="AB59" s="308" t="s">
        <v>1321</v>
      </c>
      <c r="AC59" s="724" t="s">
        <v>44</v>
      </c>
      <c r="AD59" s="724" t="s">
        <v>1557</v>
      </c>
      <c r="AE59" s="724" t="s">
        <v>885</v>
      </c>
      <c r="AF59" s="206"/>
      <c r="AG59" s="200"/>
      <c r="AH59" s="187"/>
    </row>
    <row r="60" spans="1:34" ht="118.9" customHeight="1" thickBot="1" x14ac:dyDescent="0.35">
      <c r="A60" s="331"/>
      <c r="B60" s="1090" t="s">
        <v>1667</v>
      </c>
      <c r="C60" s="1090" t="s">
        <v>1668</v>
      </c>
      <c r="D60" s="333" t="s">
        <v>1666</v>
      </c>
      <c r="E60" s="285">
        <v>0.2</v>
      </c>
      <c r="F60" s="283">
        <v>4</v>
      </c>
      <c r="G60" s="213">
        <v>1</v>
      </c>
      <c r="H60" s="213">
        <v>1</v>
      </c>
      <c r="I60" s="218">
        <f>+G60/F60</f>
        <v>0.25</v>
      </c>
      <c r="J60" s="218">
        <f t="shared" si="69"/>
        <v>0.25</v>
      </c>
      <c r="K60" s="218">
        <f>+(G60/F60)*E60</f>
        <v>0.05</v>
      </c>
      <c r="L60" s="218">
        <f t="shared" si="70"/>
        <v>0.05</v>
      </c>
      <c r="M60" s="213">
        <v>1</v>
      </c>
      <c r="N60" s="670">
        <v>0.1</v>
      </c>
      <c r="O60" s="670">
        <v>0.05</v>
      </c>
      <c r="P60" s="213"/>
      <c r="Q60" s="213"/>
      <c r="R60" s="213">
        <f t="shared" si="71"/>
        <v>0.15000000000000002</v>
      </c>
      <c r="S60" s="213">
        <f t="shared" si="72"/>
        <v>1.1499999999999999</v>
      </c>
      <c r="T60" s="218">
        <f>+(M60/G60)</f>
        <v>1</v>
      </c>
      <c r="U60" s="218">
        <f t="shared" si="73"/>
        <v>0.15000000000000002</v>
      </c>
      <c r="V60" s="218">
        <f>+T60*E60</f>
        <v>0.2</v>
      </c>
      <c r="W60" s="218">
        <f t="shared" si="74"/>
        <v>3.0000000000000006E-2</v>
      </c>
      <c r="X60" s="218">
        <f>+M60/F60</f>
        <v>0.25</v>
      </c>
      <c r="Y60" s="218">
        <f t="shared" ref="Y60" si="75">+S60/F60</f>
        <v>0.28749999999999998</v>
      </c>
      <c r="Z60" s="218">
        <f>+X60*E60</f>
        <v>0.05</v>
      </c>
      <c r="AA60" s="218">
        <f>+Y60*E60</f>
        <v>5.7499999999999996E-2</v>
      </c>
      <c r="AB60" s="308" t="s">
        <v>1321</v>
      </c>
      <c r="AC60" s="724" t="s">
        <v>44</v>
      </c>
      <c r="AD60" s="724" t="s">
        <v>1557</v>
      </c>
      <c r="AE60" s="724" t="s">
        <v>885</v>
      </c>
      <c r="AF60" s="206"/>
      <c r="AG60" s="200"/>
      <c r="AH60" s="187"/>
    </row>
    <row r="61" spans="1:34" ht="67.150000000000006" customHeight="1" thickBot="1" x14ac:dyDescent="0.35">
      <c r="A61" s="331"/>
      <c r="B61" s="1331" t="s">
        <v>1669</v>
      </c>
      <c r="C61" s="1326"/>
      <c r="D61" s="333"/>
      <c r="E61" s="289">
        <v>0.3</v>
      </c>
      <c r="F61" s="271"/>
      <c r="G61" s="206"/>
      <c r="H61" s="206"/>
      <c r="I61" s="212">
        <f>+AVERAGE(I62:I65)</f>
        <v>0.15</v>
      </c>
      <c r="J61" s="212">
        <f>+AVERAGE(J62:J65)</f>
        <v>0.29062500000000002</v>
      </c>
      <c r="K61" s="212">
        <f>+K62+K63+K64+K65</f>
        <v>0.19624999999999998</v>
      </c>
      <c r="L61" s="212">
        <f>+L62+L63+L64+L65</f>
        <v>0.27124999999999999</v>
      </c>
      <c r="M61" s="211"/>
      <c r="N61" s="211"/>
      <c r="O61" s="211"/>
      <c r="P61" s="211"/>
      <c r="Q61" s="211"/>
      <c r="R61" s="211"/>
      <c r="S61" s="211"/>
      <c r="T61" s="235">
        <f>+AVERAGE(T62:T65)</f>
        <v>1</v>
      </c>
      <c r="U61" s="235">
        <f>+AVERAGE(U62:U65)</f>
        <v>0.46083333333333332</v>
      </c>
      <c r="V61" s="235">
        <f>+(V62+V63+V64+V65)*E61</f>
        <v>0.3</v>
      </c>
      <c r="W61" s="235">
        <f>+(W62+W63+W64+W65)*E61</f>
        <v>0.11519999999999998</v>
      </c>
      <c r="X61" s="212">
        <f>+AVERAGE(X62:X65)</f>
        <v>0.22187499999999999</v>
      </c>
      <c r="Y61" s="212">
        <f>+AVERAGE(Y62:Y65)</f>
        <v>0.358875</v>
      </c>
      <c r="Z61" s="212">
        <f>+(Z62+Z63+Z64+Z65)*E61</f>
        <v>0.103875</v>
      </c>
      <c r="AA61" s="212">
        <f>+(AA62+AA63+AA64+AA65)</f>
        <v>0.45219999999999999</v>
      </c>
      <c r="AB61" s="206"/>
      <c r="AC61" s="206"/>
      <c r="AD61" s="206"/>
      <c r="AE61" s="206"/>
      <c r="AF61" s="206"/>
      <c r="AG61" s="200"/>
      <c r="AH61" s="187"/>
    </row>
    <row r="62" spans="1:34" ht="67.150000000000006" customHeight="1" thickBot="1" x14ac:dyDescent="0.35">
      <c r="A62" s="331"/>
      <c r="B62" s="1090" t="s">
        <v>1670</v>
      </c>
      <c r="C62" s="1090" t="s">
        <v>1671</v>
      </c>
      <c r="D62" s="333" t="s">
        <v>1666</v>
      </c>
      <c r="E62" s="285">
        <v>0.6</v>
      </c>
      <c r="F62" s="283">
        <v>80</v>
      </c>
      <c r="G62" s="213">
        <v>20</v>
      </c>
      <c r="H62" s="213">
        <v>20</v>
      </c>
      <c r="I62" s="218">
        <f>+G62/F62</f>
        <v>0.25</v>
      </c>
      <c r="J62" s="218">
        <f t="shared" si="69"/>
        <v>0.25</v>
      </c>
      <c r="K62" s="218">
        <f>+(G62/F62)*E62</f>
        <v>0.15</v>
      </c>
      <c r="L62" s="218">
        <f t="shared" si="70"/>
        <v>0.15</v>
      </c>
      <c r="M62" s="213">
        <v>39</v>
      </c>
      <c r="N62" s="670">
        <v>1</v>
      </c>
      <c r="O62" s="670">
        <v>6</v>
      </c>
      <c r="P62" s="213"/>
      <c r="Q62" s="213"/>
      <c r="R62" s="213">
        <f t="shared" ref="R62:R65" si="76">+N62+O62+P62+Q62</f>
        <v>7</v>
      </c>
      <c r="S62" s="213">
        <f t="shared" ref="S62:S65" si="77">+R62+M62</f>
        <v>46</v>
      </c>
      <c r="T62" s="218">
        <v>1</v>
      </c>
      <c r="U62" s="218">
        <f t="shared" ref="U62:U65" si="78">+R62/H62</f>
        <v>0.35</v>
      </c>
      <c r="V62" s="218">
        <f>+T62*E62</f>
        <v>0.6</v>
      </c>
      <c r="W62" s="218">
        <f t="shared" ref="W62:W76" si="79">+U62*E62</f>
        <v>0.21</v>
      </c>
      <c r="X62" s="218">
        <f>+M62/F62</f>
        <v>0.48749999999999999</v>
      </c>
      <c r="Y62" s="218">
        <f t="shared" ref="Y62:Y65" si="80">+S62/F62</f>
        <v>0.57499999999999996</v>
      </c>
      <c r="Z62" s="218">
        <f>+X62*E62</f>
        <v>0.29249999999999998</v>
      </c>
      <c r="AA62" s="218">
        <f>+Y62*E62</f>
        <v>0.34499999999999997</v>
      </c>
      <c r="AB62" s="308" t="s">
        <v>1321</v>
      </c>
      <c r="AC62" s="724" t="s">
        <v>44</v>
      </c>
      <c r="AD62" s="724" t="s">
        <v>1557</v>
      </c>
      <c r="AE62" s="724" t="s">
        <v>885</v>
      </c>
      <c r="AF62" s="206"/>
      <c r="AG62" s="200"/>
      <c r="AH62" s="187"/>
    </row>
    <row r="63" spans="1:34" ht="67.150000000000006" customHeight="1" thickBot="1" x14ac:dyDescent="0.35">
      <c r="A63" s="331"/>
      <c r="B63" s="1090" t="s">
        <v>1672</v>
      </c>
      <c r="C63" s="1090" t="s">
        <v>1673</v>
      </c>
      <c r="D63" s="333" t="s">
        <v>1666</v>
      </c>
      <c r="E63" s="285">
        <v>0.15</v>
      </c>
      <c r="F63" s="283">
        <v>20</v>
      </c>
      <c r="G63" s="213">
        <v>2</v>
      </c>
      <c r="H63" s="213">
        <v>6</v>
      </c>
      <c r="I63" s="218">
        <f>+G63/F63</f>
        <v>0.1</v>
      </c>
      <c r="J63" s="218">
        <f t="shared" si="69"/>
        <v>0.3</v>
      </c>
      <c r="K63" s="218">
        <f>+(G63/F63)*E63</f>
        <v>1.4999999999999999E-2</v>
      </c>
      <c r="L63" s="218">
        <f t="shared" si="70"/>
        <v>4.4999999999999998E-2</v>
      </c>
      <c r="M63" s="213">
        <v>3</v>
      </c>
      <c r="N63" s="670">
        <v>0.6</v>
      </c>
      <c r="O63" s="670">
        <v>0.36</v>
      </c>
      <c r="P63" s="213"/>
      <c r="Q63" s="213"/>
      <c r="R63" s="213">
        <f t="shared" si="76"/>
        <v>0.96</v>
      </c>
      <c r="S63" s="213">
        <f t="shared" si="77"/>
        <v>3.96</v>
      </c>
      <c r="T63" s="218">
        <v>1</v>
      </c>
      <c r="U63" s="218">
        <f t="shared" si="78"/>
        <v>0.16</v>
      </c>
      <c r="V63" s="218">
        <f>+T63*E63</f>
        <v>0.15</v>
      </c>
      <c r="W63" s="218">
        <f t="shared" si="79"/>
        <v>2.4E-2</v>
      </c>
      <c r="X63" s="218">
        <f>+M63/F63</f>
        <v>0.15</v>
      </c>
      <c r="Y63" s="218">
        <f t="shared" si="80"/>
        <v>0.19800000000000001</v>
      </c>
      <c r="Z63" s="218">
        <f>+X63*E63</f>
        <v>2.2499999999999999E-2</v>
      </c>
      <c r="AA63" s="218">
        <f>+Y63*E63</f>
        <v>2.9700000000000001E-2</v>
      </c>
      <c r="AB63" s="308" t="s">
        <v>1321</v>
      </c>
      <c r="AC63" s="724" t="s">
        <v>44</v>
      </c>
      <c r="AD63" s="724" t="s">
        <v>1557</v>
      </c>
      <c r="AE63" s="724" t="s">
        <v>885</v>
      </c>
      <c r="AF63" s="206"/>
      <c r="AG63" s="200"/>
      <c r="AH63" s="187"/>
    </row>
    <row r="64" spans="1:34" ht="125.45" customHeight="1" thickBot="1" x14ac:dyDescent="0.35">
      <c r="A64" s="331"/>
      <c r="B64" s="1090" t="s">
        <v>1674</v>
      </c>
      <c r="C64" s="1090" t="s">
        <v>1675</v>
      </c>
      <c r="D64" s="333" t="s">
        <v>1666</v>
      </c>
      <c r="E64" s="285">
        <v>0.1</v>
      </c>
      <c r="F64" s="283">
        <v>16</v>
      </c>
      <c r="G64" s="213">
        <v>2</v>
      </c>
      <c r="H64" s="213">
        <v>5</v>
      </c>
      <c r="I64" s="218">
        <f>+G64/F64</f>
        <v>0.125</v>
      </c>
      <c r="J64" s="218">
        <f t="shared" si="69"/>
        <v>0.3125</v>
      </c>
      <c r="K64" s="218">
        <f>+(G64/F64)*E64</f>
        <v>1.2500000000000001E-2</v>
      </c>
      <c r="L64" s="218">
        <f t="shared" si="70"/>
        <v>3.125E-2</v>
      </c>
      <c r="M64" s="213">
        <v>2</v>
      </c>
      <c r="N64" s="670">
        <v>1</v>
      </c>
      <c r="O64" s="670">
        <v>4</v>
      </c>
      <c r="P64" s="213"/>
      <c r="Q64" s="213"/>
      <c r="R64" s="213">
        <f t="shared" si="76"/>
        <v>5</v>
      </c>
      <c r="S64" s="213">
        <f t="shared" si="77"/>
        <v>7</v>
      </c>
      <c r="T64" s="218">
        <f>+(M64/G64)</f>
        <v>1</v>
      </c>
      <c r="U64" s="218">
        <f t="shared" si="78"/>
        <v>1</v>
      </c>
      <c r="V64" s="218">
        <f>+T64*E64</f>
        <v>0.1</v>
      </c>
      <c r="W64" s="218">
        <f>+U64*E64</f>
        <v>0.1</v>
      </c>
      <c r="X64" s="218">
        <f>+M64/F64</f>
        <v>0.125</v>
      </c>
      <c r="Y64" s="218">
        <f t="shared" si="80"/>
        <v>0.4375</v>
      </c>
      <c r="Z64" s="218">
        <f>+X64*E64</f>
        <v>1.2500000000000001E-2</v>
      </c>
      <c r="AA64" s="218">
        <f>+Y64*E64</f>
        <v>4.3750000000000004E-2</v>
      </c>
      <c r="AB64" s="308" t="s">
        <v>1321</v>
      </c>
      <c r="AC64" s="724" t="s">
        <v>44</v>
      </c>
      <c r="AD64" s="724" t="s">
        <v>1557</v>
      </c>
      <c r="AE64" s="724" t="s">
        <v>885</v>
      </c>
      <c r="AF64" s="206"/>
      <c r="AG64" s="200"/>
      <c r="AH64" s="187"/>
    </row>
    <row r="65" spans="1:34" ht="67.150000000000006" customHeight="1" thickBot="1" x14ac:dyDescent="0.35">
      <c r="A65" s="331"/>
      <c r="B65" s="1090" t="s">
        <v>1676</v>
      </c>
      <c r="C65" s="1090" t="s">
        <v>1677</v>
      </c>
      <c r="D65" s="333" t="s">
        <v>1666</v>
      </c>
      <c r="E65" s="285">
        <v>0.15</v>
      </c>
      <c r="F65" s="283">
        <v>40</v>
      </c>
      <c r="G65" s="213">
        <v>5</v>
      </c>
      <c r="H65" s="213">
        <v>12</v>
      </c>
      <c r="I65" s="218">
        <f>+G65/F65</f>
        <v>0.125</v>
      </c>
      <c r="J65" s="218">
        <f t="shared" si="69"/>
        <v>0.3</v>
      </c>
      <c r="K65" s="218">
        <f>+(G65/F65)*E65</f>
        <v>1.8749999999999999E-2</v>
      </c>
      <c r="L65" s="218">
        <f t="shared" si="70"/>
        <v>4.4999999999999998E-2</v>
      </c>
      <c r="M65" s="213">
        <v>5</v>
      </c>
      <c r="N65" s="670">
        <v>1.2</v>
      </c>
      <c r="O65" s="670">
        <v>2.8</v>
      </c>
      <c r="P65" s="213"/>
      <c r="Q65" s="213"/>
      <c r="R65" s="213">
        <f t="shared" si="76"/>
        <v>4</v>
      </c>
      <c r="S65" s="213">
        <f t="shared" si="77"/>
        <v>9</v>
      </c>
      <c r="T65" s="218">
        <f>+(M65/G65)</f>
        <v>1</v>
      </c>
      <c r="U65" s="218">
        <f t="shared" si="78"/>
        <v>0.33333333333333331</v>
      </c>
      <c r="V65" s="218">
        <f>+T65*E65</f>
        <v>0.15</v>
      </c>
      <c r="W65" s="218">
        <f t="shared" si="79"/>
        <v>4.9999999999999996E-2</v>
      </c>
      <c r="X65" s="218">
        <f>+M65/F65</f>
        <v>0.125</v>
      </c>
      <c r="Y65" s="218">
        <f t="shared" si="80"/>
        <v>0.22500000000000001</v>
      </c>
      <c r="Z65" s="218">
        <f>+X65*E65</f>
        <v>1.8749999999999999E-2</v>
      </c>
      <c r="AA65" s="218">
        <f>+Y65*E65</f>
        <v>3.3750000000000002E-2</v>
      </c>
      <c r="AB65" s="308" t="s">
        <v>1321</v>
      </c>
      <c r="AC65" s="724" t="s">
        <v>44</v>
      </c>
      <c r="AD65" s="724" t="s">
        <v>1557</v>
      </c>
      <c r="AE65" s="724" t="s">
        <v>885</v>
      </c>
      <c r="AF65" s="206"/>
      <c r="AG65" s="200"/>
      <c r="AH65" s="187"/>
    </row>
    <row r="66" spans="1:34" ht="67.150000000000006" customHeight="1" thickBot="1" x14ac:dyDescent="0.35">
      <c r="A66" s="331"/>
      <c r="B66" s="1331" t="s">
        <v>1678</v>
      </c>
      <c r="C66" s="1326"/>
      <c r="D66" s="333"/>
      <c r="E66" s="289">
        <v>0.15</v>
      </c>
      <c r="F66" s="271"/>
      <c r="G66" s="206"/>
      <c r="H66" s="206"/>
      <c r="I66" s="212">
        <f>+AVERAGE(I67)</f>
        <v>0.25</v>
      </c>
      <c r="J66" s="212">
        <f>+AVERAGE(J67)</f>
        <v>0.25</v>
      </c>
      <c r="K66" s="212">
        <f>+K67</f>
        <v>0.25</v>
      </c>
      <c r="L66" s="212">
        <f>+L67</f>
        <v>0.25</v>
      </c>
      <c r="M66" s="211"/>
      <c r="N66" s="211"/>
      <c r="O66" s="211"/>
      <c r="P66" s="211"/>
      <c r="Q66" s="211"/>
      <c r="R66" s="211"/>
      <c r="S66" s="211"/>
      <c r="T66" s="235">
        <f>+AVERAGE(T67)</f>
        <v>1</v>
      </c>
      <c r="U66" s="235">
        <f>+AVERAGE(U67)</f>
        <v>0.35</v>
      </c>
      <c r="V66" s="235">
        <f>+(V67)*E66</f>
        <v>0.15</v>
      </c>
      <c r="W66" s="235">
        <f>+(W67)*E66</f>
        <v>5.2499999999999998E-2</v>
      </c>
      <c r="X66" s="212">
        <f>+AVERAGE(X67)</f>
        <v>0.25</v>
      </c>
      <c r="Y66" s="212">
        <f>+AVERAGE(Y67)</f>
        <v>0.33750000000000002</v>
      </c>
      <c r="Z66" s="212">
        <f>+(Z67)*E66</f>
        <v>3.7499999999999999E-2</v>
      </c>
      <c r="AA66" s="212">
        <f>+(AA67)</f>
        <v>0.33750000000000002</v>
      </c>
      <c r="AB66" s="206"/>
      <c r="AC66" s="206"/>
      <c r="AD66" s="206"/>
      <c r="AE66" s="206"/>
      <c r="AF66" s="206"/>
      <c r="AG66" s="200"/>
      <c r="AH66" s="187"/>
    </row>
    <row r="67" spans="1:34" ht="114.6" customHeight="1" thickBot="1" x14ac:dyDescent="0.35">
      <c r="A67" s="331"/>
      <c r="B67" s="1090" t="s">
        <v>1679</v>
      </c>
      <c r="C67" s="1090" t="s">
        <v>1680</v>
      </c>
      <c r="D67" s="333" t="s">
        <v>1666</v>
      </c>
      <c r="E67" s="285">
        <v>1</v>
      </c>
      <c r="F67" s="283">
        <v>4</v>
      </c>
      <c r="G67" s="213">
        <v>1</v>
      </c>
      <c r="H67" s="213">
        <v>1</v>
      </c>
      <c r="I67" s="218">
        <f>+G67/F67</f>
        <v>0.25</v>
      </c>
      <c r="J67" s="218">
        <f t="shared" si="69"/>
        <v>0.25</v>
      </c>
      <c r="K67" s="218">
        <f>+(G67/F67)*E67</f>
        <v>0.25</v>
      </c>
      <c r="L67" s="218">
        <f t="shared" si="70"/>
        <v>0.25</v>
      </c>
      <c r="M67" s="213">
        <v>1</v>
      </c>
      <c r="N67" s="670">
        <v>0.1</v>
      </c>
      <c r="O67" s="670">
        <v>0.25</v>
      </c>
      <c r="P67" s="213"/>
      <c r="Q67" s="213"/>
      <c r="R67" s="213">
        <f t="shared" ref="R67" si="81">+N67+O67+P67+Q67</f>
        <v>0.35</v>
      </c>
      <c r="S67" s="213">
        <f t="shared" ref="S67" si="82">+R67+M67</f>
        <v>1.35</v>
      </c>
      <c r="T67" s="218">
        <f>+(M67/G67)</f>
        <v>1</v>
      </c>
      <c r="U67" s="218">
        <f t="shared" ref="U67" si="83">+R67/H67</f>
        <v>0.35</v>
      </c>
      <c r="V67" s="218">
        <f>+T67*E67</f>
        <v>1</v>
      </c>
      <c r="W67" s="218">
        <f t="shared" si="79"/>
        <v>0.35</v>
      </c>
      <c r="X67" s="218">
        <f>+M67/F67</f>
        <v>0.25</v>
      </c>
      <c r="Y67" s="218">
        <f t="shared" ref="Y67" si="84">+S67/F67</f>
        <v>0.33750000000000002</v>
      </c>
      <c r="Z67" s="218">
        <f>+X67*E67</f>
        <v>0.25</v>
      </c>
      <c r="AA67" s="218">
        <f>+Y67*E67</f>
        <v>0.33750000000000002</v>
      </c>
      <c r="AB67" s="308" t="s">
        <v>1321</v>
      </c>
      <c r="AC67" s="724" t="s">
        <v>44</v>
      </c>
      <c r="AD67" s="724" t="s">
        <v>1557</v>
      </c>
      <c r="AE67" s="724" t="s">
        <v>885</v>
      </c>
      <c r="AF67" s="206"/>
      <c r="AG67" s="200"/>
      <c r="AH67" s="187"/>
    </row>
    <row r="68" spans="1:34" ht="67.150000000000006" customHeight="1" thickBot="1" x14ac:dyDescent="0.35">
      <c r="A68" s="331"/>
      <c r="B68" s="1331" t="s">
        <v>1681</v>
      </c>
      <c r="C68" s="1326"/>
      <c r="D68" s="333"/>
      <c r="E68" s="289">
        <v>0.25</v>
      </c>
      <c r="F68" s="271"/>
      <c r="G68" s="206"/>
      <c r="H68" s="206"/>
      <c r="I68" s="212">
        <f>+AVERAGE(I69:I73)</f>
        <v>0.23913043478260868</v>
      </c>
      <c r="J68" s="212">
        <f>+AVERAGE(J69:J73)</f>
        <v>0.36231884057971014</v>
      </c>
      <c r="K68" s="212">
        <f>+K69+K70+K71+K72+K73</f>
        <v>0.16684782608695653</v>
      </c>
      <c r="L68" s="212">
        <f>+L69+L70+L71+L72+L73</f>
        <v>0.34039855072463771</v>
      </c>
      <c r="M68" s="211"/>
      <c r="N68" s="211"/>
      <c r="O68" s="211"/>
      <c r="P68" s="211"/>
      <c r="Q68" s="211"/>
      <c r="R68" s="211"/>
      <c r="S68" s="211"/>
      <c r="T68" s="235">
        <f>+AVERAGE(T69:T73)</f>
        <v>0.66666666666666663</v>
      </c>
      <c r="U68" s="235">
        <f>+AVERAGE(U69:U73)</f>
        <v>0.221</v>
      </c>
      <c r="V68" s="235">
        <f>+(V69+V70+V71+V72+V73)*E68</f>
        <v>0.1125</v>
      </c>
      <c r="W68" s="235">
        <f>+(W69+W70+W71+W72+W73)*E68</f>
        <v>5.4312499999999993E-2</v>
      </c>
      <c r="X68" s="212">
        <f>+AVERAGE(X69:X73)</f>
        <v>0.16666666666666666</v>
      </c>
      <c r="Y68" s="212">
        <f>+((Y69-X69)/5)+((Y70-X70)/5)+((Y71-X71)/5)+((Y72-X72)/5)+((Y73-X73)/5)+X68</f>
        <v>0.24816666666666665</v>
      </c>
      <c r="Z68" s="345">
        <f>+(Z69+Z70+Z71+Z72+Z73)*E68</f>
        <v>2.8125000000000001E-2</v>
      </c>
      <c r="AA68" s="345">
        <f>+(AA69+AA70+AA71+AA72+AA73)</f>
        <v>0.1865</v>
      </c>
      <c r="AB68" s="206"/>
      <c r="AC68" s="1001" t="s">
        <v>328</v>
      </c>
      <c r="AD68" s="206"/>
      <c r="AE68" s="206"/>
      <c r="AF68" s="206"/>
      <c r="AG68" s="200"/>
      <c r="AH68" s="187"/>
    </row>
    <row r="69" spans="1:34" ht="67.150000000000006" customHeight="1" thickBot="1" x14ac:dyDescent="0.35">
      <c r="A69" s="331"/>
      <c r="B69" s="1090" t="s">
        <v>1682</v>
      </c>
      <c r="C69" s="1090" t="s">
        <v>1683</v>
      </c>
      <c r="D69" s="333" t="s">
        <v>1666</v>
      </c>
      <c r="E69" s="285">
        <v>0.25</v>
      </c>
      <c r="F69" s="283">
        <v>138</v>
      </c>
      <c r="G69" s="213">
        <v>30</v>
      </c>
      <c r="H69" s="213">
        <v>43</v>
      </c>
      <c r="I69" s="218">
        <f>+G69/F69</f>
        <v>0.21739130434782608</v>
      </c>
      <c r="J69" s="218">
        <f t="shared" si="69"/>
        <v>0.31159420289855072</v>
      </c>
      <c r="K69" s="218">
        <f>+(G69/F69)*E69</f>
        <v>5.434782608695652E-2</v>
      </c>
      <c r="L69" s="218">
        <f t="shared" si="70"/>
        <v>7.789855072463768E-2</v>
      </c>
      <c r="M69" s="213">
        <v>0</v>
      </c>
      <c r="N69" s="670">
        <v>0</v>
      </c>
      <c r="O69" s="670">
        <v>0</v>
      </c>
      <c r="P69" s="213"/>
      <c r="Q69" s="213"/>
      <c r="R69" s="213">
        <f t="shared" ref="R69:R73" si="85">+N69+O69+P69+Q69</f>
        <v>0</v>
      </c>
      <c r="S69" s="213">
        <f t="shared" ref="S69:S73" si="86">+R69+M69</f>
        <v>0</v>
      </c>
      <c r="T69" s="218">
        <f>+(M69/G69)</f>
        <v>0</v>
      </c>
      <c r="U69" s="218">
        <f t="shared" ref="U69:U73" si="87">+R69/H69</f>
        <v>0</v>
      </c>
      <c r="V69" s="218">
        <f>+T69*E69</f>
        <v>0</v>
      </c>
      <c r="W69" s="218">
        <f t="shared" si="79"/>
        <v>0</v>
      </c>
      <c r="X69" s="218">
        <f>+M69/F69</f>
        <v>0</v>
      </c>
      <c r="Y69" s="218">
        <f t="shared" ref="Y69:Y73" si="88">+S69/F69</f>
        <v>0</v>
      </c>
      <c r="Z69" s="218">
        <f>+X69*E69</f>
        <v>0</v>
      </c>
      <c r="AA69" s="218">
        <f>+Y69*E69</f>
        <v>0</v>
      </c>
      <c r="AB69" s="308" t="s">
        <v>1321</v>
      </c>
      <c r="AC69" s="724" t="s">
        <v>44</v>
      </c>
      <c r="AD69" s="724" t="s">
        <v>1557</v>
      </c>
      <c r="AE69" s="724" t="s">
        <v>885</v>
      </c>
      <c r="AF69" s="206"/>
      <c r="AG69" s="200"/>
      <c r="AH69" s="187"/>
    </row>
    <row r="70" spans="1:34" ht="95.45" customHeight="1" thickBot="1" x14ac:dyDescent="0.35">
      <c r="A70" s="331"/>
      <c r="B70" s="1090" t="s">
        <v>1684</v>
      </c>
      <c r="C70" s="1090" t="s">
        <v>1685</v>
      </c>
      <c r="D70" s="333" t="s">
        <v>1666</v>
      </c>
      <c r="E70" s="285">
        <v>0.25</v>
      </c>
      <c r="F70" s="283">
        <v>8</v>
      </c>
      <c r="G70" s="213">
        <v>2</v>
      </c>
      <c r="H70" s="213">
        <v>2</v>
      </c>
      <c r="I70" s="218">
        <f>+G70/F70</f>
        <v>0.25</v>
      </c>
      <c r="J70" s="218">
        <f t="shared" si="69"/>
        <v>0.25</v>
      </c>
      <c r="K70" s="218">
        <f>+(G70/F70)*E70</f>
        <v>6.25E-2</v>
      </c>
      <c r="L70" s="218">
        <f t="shared" si="70"/>
        <v>6.25E-2</v>
      </c>
      <c r="M70" s="213">
        <v>2</v>
      </c>
      <c r="N70" s="670">
        <v>0.2</v>
      </c>
      <c r="O70" s="670">
        <v>0.7</v>
      </c>
      <c r="P70" s="213"/>
      <c r="Q70" s="213"/>
      <c r="R70" s="213">
        <f t="shared" si="85"/>
        <v>0.89999999999999991</v>
      </c>
      <c r="S70" s="213">
        <f t="shared" si="86"/>
        <v>2.9</v>
      </c>
      <c r="T70" s="218">
        <f>+(M70/G70)</f>
        <v>1</v>
      </c>
      <c r="U70" s="218">
        <f t="shared" si="87"/>
        <v>0.44999999999999996</v>
      </c>
      <c r="V70" s="218">
        <f>+T70*E70</f>
        <v>0.25</v>
      </c>
      <c r="W70" s="218">
        <f t="shared" si="79"/>
        <v>0.11249999999999999</v>
      </c>
      <c r="X70" s="218">
        <f>+M70/F70</f>
        <v>0.25</v>
      </c>
      <c r="Y70" s="218">
        <f t="shared" si="88"/>
        <v>0.36249999999999999</v>
      </c>
      <c r="Z70" s="218">
        <f>+X70*E70</f>
        <v>6.25E-2</v>
      </c>
      <c r="AA70" s="218">
        <f>+Y70*E70</f>
        <v>9.0624999999999997E-2</v>
      </c>
      <c r="AB70" s="308" t="s">
        <v>1321</v>
      </c>
      <c r="AC70" s="724" t="s">
        <v>44</v>
      </c>
      <c r="AD70" s="724" t="s">
        <v>1557</v>
      </c>
      <c r="AE70" s="724" t="s">
        <v>885</v>
      </c>
      <c r="AF70" s="206"/>
      <c r="AG70" s="200"/>
      <c r="AH70" s="187"/>
    </row>
    <row r="71" spans="1:34" ht="93" customHeight="1" thickBot="1" x14ac:dyDescent="0.35">
      <c r="A71" s="331"/>
      <c r="B71" s="1090" t="s">
        <v>1686</v>
      </c>
      <c r="C71" s="1090" t="s">
        <v>1687</v>
      </c>
      <c r="D71" s="333" t="s">
        <v>1666</v>
      </c>
      <c r="E71" s="285">
        <v>0.15</v>
      </c>
      <c r="F71" s="283">
        <v>4</v>
      </c>
      <c r="G71" s="213">
        <v>0</v>
      </c>
      <c r="H71" s="213">
        <v>2</v>
      </c>
      <c r="I71" s="218"/>
      <c r="J71" s="218">
        <f t="shared" si="69"/>
        <v>0.5</v>
      </c>
      <c r="K71" s="218"/>
      <c r="L71" s="218">
        <f t="shared" si="70"/>
        <v>7.4999999999999997E-2</v>
      </c>
      <c r="M71" s="213"/>
      <c r="N71" s="670">
        <v>0.2</v>
      </c>
      <c r="O71" s="670">
        <v>0.5</v>
      </c>
      <c r="P71" s="213"/>
      <c r="Q71" s="213"/>
      <c r="R71" s="213">
        <f t="shared" si="85"/>
        <v>0.7</v>
      </c>
      <c r="S71" s="213">
        <f t="shared" si="86"/>
        <v>0.7</v>
      </c>
      <c r="T71" s="218"/>
      <c r="U71" s="218">
        <f t="shared" si="87"/>
        <v>0.35</v>
      </c>
      <c r="V71" s="218"/>
      <c r="W71" s="218">
        <f t="shared" si="79"/>
        <v>5.2499999999999998E-2</v>
      </c>
      <c r="X71" s="218"/>
      <c r="Y71" s="218">
        <f t="shared" si="88"/>
        <v>0.17499999999999999</v>
      </c>
      <c r="Z71" s="218"/>
      <c r="AA71" s="218">
        <f t="shared" ref="AA71:AA72" si="89">+Y71*E71</f>
        <v>2.6249999999999999E-2</v>
      </c>
      <c r="AB71" s="206"/>
      <c r="AC71" s="724" t="s">
        <v>44</v>
      </c>
      <c r="AD71" s="724" t="s">
        <v>1557</v>
      </c>
      <c r="AE71" s="724" t="s">
        <v>885</v>
      </c>
      <c r="AF71" s="206"/>
      <c r="AG71" s="200"/>
      <c r="AH71" s="187"/>
    </row>
    <row r="72" spans="1:34" ht="85.15" customHeight="1" thickBot="1" x14ac:dyDescent="0.35">
      <c r="A72" s="331"/>
      <c r="B72" s="1090" t="s">
        <v>1688</v>
      </c>
      <c r="C72" s="1090" t="s">
        <v>1689</v>
      </c>
      <c r="D72" s="333" t="s">
        <v>1666</v>
      </c>
      <c r="E72" s="285">
        <v>0.15</v>
      </c>
      <c r="F72" s="283">
        <v>4</v>
      </c>
      <c r="G72" s="213">
        <v>0</v>
      </c>
      <c r="H72" s="213">
        <v>2</v>
      </c>
      <c r="I72" s="218"/>
      <c r="J72" s="218">
        <f t="shared" si="69"/>
        <v>0.5</v>
      </c>
      <c r="K72" s="218"/>
      <c r="L72" s="218">
        <f t="shared" si="70"/>
        <v>7.4999999999999997E-2</v>
      </c>
      <c r="M72" s="213"/>
      <c r="N72" s="670">
        <v>0.2</v>
      </c>
      <c r="O72" s="670">
        <v>0.15</v>
      </c>
      <c r="P72" s="213"/>
      <c r="Q72" s="213"/>
      <c r="R72" s="213">
        <f t="shared" si="85"/>
        <v>0.35</v>
      </c>
      <c r="S72" s="213">
        <f t="shared" si="86"/>
        <v>0.35</v>
      </c>
      <c r="T72" s="218"/>
      <c r="U72" s="218">
        <f t="shared" si="87"/>
        <v>0.17499999999999999</v>
      </c>
      <c r="V72" s="218"/>
      <c r="W72" s="218">
        <f t="shared" si="79"/>
        <v>2.6249999999999999E-2</v>
      </c>
      <c r="X72" s="218"/>
      <c r="Y72" s="218">
        <f t="shared" si="88"/>
        <v>8.7499999999999994E-2</v>
      </c>
      <c r="Z72" s="218"/>
      <c r="AA72" s="218">
        <f t="shared" si="89"/>
        <v>1.3125E-2</v>
      </c>
      <c r="AB72" s="206"/>
      <c r="AC72" s="724" t="s">
        <v>44</v>
      </c>
      <c r="AD72" s="724" t="s">
        <v>1557</v>
      </c>
      <c r="AE72" s="724" t="s">
        <v>885</v>
      </c>
      <c r="AF72" s="206"/>
      <c r="AG72" s="200"/>
      <c r="AH72" s="187"/>
    </row>
    <row r="73" spans="1:34" ht="67.150000000000006" customHeight="1" thickBot="1" x14ac:dyDescent="0.35">
      <c r="A73" s="331"/>
      <c r="B73" s="1090" t="s">
        <v>1690</v>
      </c>
      <c r="C73" s="1090" t="s">
        <v>1691</v>
      </c>
      <c r="D73" s="333" t="s">
        <v>1666</v>
      </c>
      <c r="E73" s="285">
        <v>0.2</v>
      </c>
      <c r="F73" s="283">
        <v>4</v>
      </c>
      <c r="G73" s="213">
        <v>1</v>
      </c>
      <c r="H73" s="213">
        <v>1</v>
      </c>
      <c r="I73" s="218">
        <f>+G73/F73</f>
        <v>0.25</v>
      </c>
      <c r="J73" s="218">
        <f t="shared" si="69"/>
        <v>0.25</v>
      </c>
      <c r="K73" s="218">
        <f>+(G73/F73)*E73</f>
        <v>0.05</v>
      </c>
      <c r="L73" s="218">
        <f t="shared" si="70"/>
        <v>0.05</v>
      </c>
      <c r="M73" s="213">
        <v>1</v>
      </c>
      <c r="N73" s="670">
        <v>0.05</v>
      </c>
      <c r="O73" s="670">
        <f>0.13-N73</f>
        <v>0.08</v>
      </c>
      <c r="P73" s="213"/>
      <c r="Q73" s="213"/>
      <c r="R73" s="213">
        <f t="shared" si="85"/>
        <v>0.13</v>
      </c>
      <c r="S73" s="213">
        <f t="shared" si="86"/>
        <v>1.1299999999999999</v>
      </c>
      <c r="T73" s="218">
        <f>+(M73/G73)</f>
        <v>1</v>
      </c>
      <c r="U73" s="218">
        <f t="shared" si="87"/>
        <v>0.13</v>
      </c>
      <c r="V73" s="218">
        <f>+T73*E73</f>
        <v>0.2</v>
      </c>
      <c r="W73" s="218">
        <f t="shared" si="79"/>
        <v>2.6000000000000002E-2</v>
      </c>
      <c r="X73" s="218">
        <f>+M73/F73</f>
        <v>0.25</v>
      </c>
      <c r="Y73" s="218">
        <f t="shared" si="88"/>
        <v>0.28249999999999997</v>
      </c>
      <c r="Z73" s="218">
        <f>+X73*E73</f>
        <v>0.05</v>
      </c>
      <c r="AA73" s="218">
        <f>+Y73*E73</f>
        <v>5.6499999999999995E-2</v>
      </c>
      <c r="AB73" s="308" t="s">
        <v>1321</v>
      </c>
      <c r="AC73" s="724" t="s">
        <v>44</v>
      </c>
      <c r="AD73" s="724" t="s">
        <v>1557</v>
      </c>
      <c r="AE73" s="724" t="s">
        <v>885</v>
      </c>
      <c r="AF73" s="206"/>
      <c r="AG73" s="200"/>
      <c r="AH73" s="187"/>
    </row>
    <row r="74" spans="1:34" ht="67.150000000000006" customHeight="1" thickBot="1" x14ac:dyDescent="0.35">
      <c r="A74" s="331"/>
      <c r="B74" s="1331" t="s">
        <v>1692</v>
      </c>
      <c r="C74" s="1326"/>
      <c r="D74" s="333"/>
      <c r="E74" s="289">
        <v>0.1</v>
      </c>
      <c r="F74" s="271"/>
      <c r="G74" s="206"/>
      <c r="H74" s="206"/>
      <c r="I74" s="212">
        <f>+AVERAGE(I75:I76)</f>
        <v>0.25</v>
      </c>
      <c r="J74" s="212">
        <f>+AVERAGE(J75:J76)</f>
        <v>0.25</v>
      </c>
      <c r="K74" s="212">
        <f>+K75+K76</f>
        <v>0.25</v>
      </c>
      <c r="L74" s="212">
        <f>+L75+L76</f>
        <v>0.25</v>
      </c>
      <c r="M74" s="211"/>
      <c r="N74" s="211"/>
      <c r="O74" s="211"/>
      <c r="P74" s="211"/>
      <c r="Q74" s="211"/>
      <c r="R74" s="211"/>
      <c r="S74" s="211"/>
      <c r="T74" s="235">
        <f>+AVERAGE(T75:T76)</f>
        <v>1</v>
      </c>
      <c r="U74" s="235">
        <f>+AVERAGE(U75:U76)</f>
        <v>0.22499999999999998</v>
      </c>
      <c r="V74" s="235">
        <f>+(V75+V76)*E74</f>
        <v>0.1</v>
      </c>
      <c r="W74" s="235">
        <f>+(W75+W76)*E74</f>
        <v>2.2499999999999999E-2</v>
      </c>
      <c r="X74" s="212">
        <f>+AVERAGE(X75:X76)</f>
        <v>0.25</v>
      </c>
      <c r="Y74" s="212">
        <f>+AVERAGE(Y75:Y76)</f>
        <v>0.30625000000000002</v>
      </c>
      <c r="Z74" s="212">
        <f>+(Z75+Z76)*E74</f>
        <v>2.5000000000000001E-2</v>
      </c>
      <c r="AA74" s="212">
        <f>+(AA75+AA76)</f>
        <v>0.30625000000000002</v>
      </c>
      <c r="AB74" s="206"/>
      <c r="AC74" s="206"/>
      <c r="AD74" s="206"/>
      <c r="AE74" s="206"/>
      <c r="AF74" s="206"/>
      <c r="AG74" s="200"/>
      <c r="AH74" s="187"/>
    </row>
    <row r="75" spans="1:34" ht="67.150000000000006" customHeight="1" thickBot="1" x14ac:dyDescent="0.35">
      <c r="A75" s="331"/>
      <c r="B75" s="1090" t="s">
        <v>1693</v>
      </c>
      <c r="C75" s="1090" t="s">
        <v>1694</v>
      </c>
      <c r="D75" s="333" t="s">
        <v>1666</v>
      </c>
      <c r="E75" s="285">
        <v>0.5</v>
      </c>
      <c r="F75" s="283">
        <v>12</v>
      </c>
      <c r="G75" s="213">
        <v>3</v>
      </c>
      <c r="H75" s="213">
        <v>3</v>
      </c>
      <c r="I75" s="218">
        <f>+G75/F75</f>
        <v>0.25</v>
      </c>
      <c r="J75" s="218">
        <f t="shared" si="69"/>
        <v>0.25</v>
      </c>
      <c r="K75" s="218">
        <f>+(G75/F75)*E75</f>
        <v>0.125</v>
      </c>
      <c r="L75" s="218">
        <f t="shared" si="70"/>
        <v>0.125</v>
      </c>
      <c r="M75" s="213">
        <v>3</v>
      </c>
      <c r="N75" s="670">
        <v>0.15</v>
      </c>
      <c r="O75" s="213">
        <v>0.45</v>
      </c>
      <c r="P75" s="213"/>
      <c r="Q75" s="213"/>
      <c r="R75" s="213">
        <f t="shared" ref="R75:R76" si="90">+N75+O75+P75+Q75</f>
        <v>0.6</v>
      </c>
      <c r="S75" s="213">
        <f t="shared" ref="S75:S76" si="91">+R75+M75</f>
        <v>3.6</v>
      </c>
      <c r="T75" s="218">
        <f>+(M75/G75)</f>
        <v>1</v>
      </c>
      <c r="U75" s="218">
        <f t="shared" ref="U75:U76" si="92">+R75/H75</f>
        <v>0.19999999999999998</v>
      </c>
      <c r="V75" s="218">
        <f>+T75*E75</f>
        <v>0.5</v>
      </c>
      <c r="W75" s="218">
        <f t="shared" si="79"/>
        <v>9.9999999999999992E-2</v>
      </c>
      <c r="X75" s="218">
        <f>+M75/F75</f>
        <v>0.25</v>
      </c>
      <c r="Y75" s="218">
        <f t="shared" ref="Y75:Y76" si="93">+S75/F75</f>
        <v>0.3</v>
      </c>
      <c r="Z75" s="218">
        <f>+X75*E75</f>
        <v>0.125</v>
      </c>
      <c r="AA75" s="218">
        <f>+Y75*E75</f>
        <v>0.15</v>
      </c>
      <c r="AB75" s="308" t="s">
        <v>1321</v>
      </c>
      <c r="AC75" s="724" t="s">
        <v>44</v>
      </c>
      <c r="AD75" s="724" t="s">
        <v>1557</v>
      </c>
      <c r="AE75" s="724" t="s">
        <v>885</v>
      </c>
      <c r="AF75" s="206"/>
      <c r="AG75" s="200"/>
      <c r="AH75" s="187"/>
    </row>
    <row r="76" spans="1:34" ht="67.150000000000006" customHeight="1" thickBot="1" x14ac:dyDescent="0.35">
      <c r="A76" s="331"/>
      <c r="B76" s="1090" t="s">
        <v>1695</v>
      </c>
      <c r="C76" s="1090" t="s">
        <v>1696</v>
      </c>
      <c r="D76" s="333" t="s">
        <v>1666</v>
      </c>
      <c r="E76" s="285">
        <v>0.5</v>
      </c>
      <c r="F76" s="283">
        <v>4</v>
      </c>
      <c r="G76" s="213">
        <v>1</v>
      </c>
      <c r="H76" s="213">
        <v>1</v>
      </c>
      <c r="I76" s="218">
        <f>+G76/F76</f>
        <v>0.25</v>
      </c>
      <c r="J76" s="218">
        <f t="shared" si="69"/>
        <v>0.25</v>
      </c>
      <c r="K76" s="218">
        <f>+(G76/F76)*E76</f>
        <v>0.125</v>
      </c>
      <c r="L76" s="218">
        <f t="shared" si="70"/>
        <v>0.125</v>
      </c>
      <c r="M76" s="213">
        <v>1</v>
      </c>
      <c r="N76" s="670">
        <v>0.1</v>
      </c>
      <c r="O76" s="213">
        <v>0.15</v>
      </c>
      <c r="P76" s="213"/>
      <c r="Q76" s="213"/>
      <c r="R76" s="213">
        <f t="shared" si="90"/>
        <v>0.25</v>
      </c>
      <c r="S76" s="213">
        <f t="shared" si="91"/>
        <v>1.25</v>
      </c>
      <c r="T76" s="218">
        <f>+(M76/G76)</f>
        <v>1</v>
      </c>
      <c r="U76" s="218">
        <f t="shared" si="92"/>
        <v>0.25</v>
      </c>
      <c r="V76" s="218">
        <f>+T76*E76</f>
        <v>0.5</v>
      </c>
      <c r="W76" s="218">
        <f t="shared" si="79"/>
        <v>0.125</v>
      </c>
      <c r="X76" s="218">
        <f>+M76/F76</f>
        <v>0.25</v>
      </c>
      <c r="Y76" s="218">
        <f t="shared" si="93"/>
        <v>0.3125</v>
      </c>
      <c r="Z76" s="218">
        <f>+X76*E76</f>
        <v>0.125</v>
      </c>
      <c r="AA76" s="218">
        <f>+Y76*E76</f>
        <v>0.15625</v>
      </c>
      <c r="AB76" s="308" t="s">
        <v>1321</v>
      </c>
      <c r="AC76" s="724" t="s">
        <v>44</v>
      </c>
      <c r="AD76" s="724" t="s">
        <v>1557</v>
      </c>
      <c r="AE76" s="724" t="s">
        <v>885</v>
      </c>
      <c r="AF76" s="206"/>
      <c r="AG76" s="200"/>
      <c r="AH76" s="187"/>
    </row>
    <row r="77" spans="1:34" ht="67.150000000000006" customHeight="1" thickBot="1" x14ac:dyDescent="0.35">
      <c r="A77" s="331"/>
      <c r="B77" s="1332" t="s">
        <v>1697</v>
      </c>
      <c r="C77" s="1326"/>
      <c r="D77" s="333"/>
      <c r="E77" s="291">
        <v>0.15</v>
      </c>
      <c r="F77" s="334">
        <f>E77*V77</f>
        <v>8.2600999999999994E-2</v>
      </c>
      <c r="G77" s="206"/>
      <c r="H77" s="334">
        <f>+E77*W77</f>
        <v>3.7552712864493992E-2</v>
      </c>
      <c r="I77" s="204">
        <f>+(I78+I85+I92+I94+I99+I105)/5</f>
        <v>0.25436567555113532</v>
      </c>
      <c r="J77" s="204">
        <f>+(J78+J85+J92+J94+J99+J105)/6</f>
        <v>0.31832393913396156</v>
      </c>
      <c r="K77" s="205">
        <f>+(K78+K85+K92+K94+K99+K105)/5</f>
        <v>0.23789244132935511</v>
      </c>
      <c r="L77" s="205">
        <f>+(L78+L85+L92+L94+L99+L105)/6</f>
        <v>0.30079710077612098</v>
      </c>
      <c r="M77" s="206"/>
      <c r="N77" s="206"/>
      <c r="O77" s="206"/>
      <c r="P77" s="206"/>
      <c r="Q77" s="206"/>
      <c r="R77" s="206"/>
      <c r="S77" s="206"/>
      <c r="T77" s="204">
        <f>+(T78+T85+T92+T94+T99+T105)/5</f>
        <v>0.85431111111111113</v>
      </c>
      <c r="U77" s="204">
        <f>+(U78+U85+U92+U94+U99+U105)/6</f>
        <v>0.24678899476949789</v>
      </c>
      <c r="V77" s="205">
        <f>+V78+V85+V92+V94+V99+V105</f>
        <v>0.55067333333333335</v>
      </c>
      <c r="W77" s="205">
        <f>+W78+W85+W92+W94+W99+W105</f>
        <v>0.25035141909662662</v>
      </c>
      <c r="X77" s="204">
        <f>+(X78+X85+X92+X94+X99+X105)/6</f>
        <v>0.17211584073705719</v>
      </c>
      <c r="Y77" s="204">
        <f>+(Y78+Y85+Y92+Y94+Y99+Y105)/6</f>
        <v>0.25554642132483418</v>
      </c>
      <c r="Z77" s="335">
        <f>+(Z78+Z85+Z92+Z94+Z99+Z105)</f>
        <v>0.15231066433034965</v>
      </c>
      <c r="AA77" s="335">
        <f>+(AA78*E78+AA85*E85+AA92*E92+AA94*E94+AA99*E99+AA105*E105)</f>
        <v>0.24946834293978234</v>
      </c>
      <c r="AB77" s="206"/>
      <c r="AC77" s="691" t="s">
        <v>1645</v>
      </c>
      <c r="AD77" s="206"/>
      <c r="AE77" s="206"/>
      <c r="AF77" s="206"/>
      <c r="AG77" s="200"/>
      <c r="AH77" s="187"/>
    </row>
    <row r="78" spans="1:34" ht="67.150000000000006" customHeight="1" thickBot="1" x14ac:dyDescent="0.35">
      <c r="A78" s="331"/>
      <c r="B78" s="1331" t="s">
        <v>1698</v>
      </c>
      <c r="C78" s="1326"/>
      <c r="D78" s="333"/>
      <c r="E78" s="289">
        <v>0.15</v>
      </c>
      <c r="F78" s="271"/>
      <c r="G78" s="206"/>
      <c r="H78" s="206"/>
      <c r="I78" s="212">
        <f>+AVERAGE(I79:I84)</f>
        <v>0.35243948886678761</v>
      </c>
      <c r="J78" s="212">
        <f>+AVERAGE(J79:J84)</f>
        <v>0.4932769681371027</v>
      </c>
      <c r="K78" s="212">
        <f>+K79+K80+K81+K82+K83+K84</f>
        <v>0.34219553998010876</v>
      </c>
      <c r="L78" s="212">
        <f>+L79+L80+L81+L82+L83+L84</f>
        <v>0.53394927132339243</v>
      </c>
      <c r="M78" s="211"/>
      <c r="N78" s="211"/>
      <c r="O78" s="211"/>
      <c r="P78" s="211"/>
      <c r="Q78" s="211"/>
      <c r="R78" s="211"/>
      <c r="S78" s="211"/>
      <c r="T78" s="235">
        <f>+AVERAGE(T79:T84)</f>
        <v>0.9</v>
      </c>
      <c r="U78" s="235">
        <f>+AVERAGE(U79:U84)</f>
        <v>0.57944507972809856</v>
      </c>
      <c r="V78" s="235">
        <f>+(V79+V80+V81+V82+V83+V84)*E78</f>
        <v>0.1275</v>
      </c>
      <c r="W78" s="235">
        <f>+(W79+W80+W81+W82+W83+W84)*E78</f>
        <v>8.6558419096626649E-2</v>
      </c>
      <c r="X78" s="212">
        <f>+AVERAGE(X79:X84)</f>
        <v>0.32743948886678759</v>
      </c>
      <c r="Y78" s="212">
        <f>+AVERAGE(Y79:Y84)</f>
        <v>0.59475575017122739</v>
      </c>
      <c r="Z78" s="212">
        <f>+(Z79+Z80+Z81+Z82+Z83+Z84)*E78</f>
        <v>4.5704330997016318E-2</v>
      </c>
      <c r="AA78" s="212">
        <f>+(AA79+AA80+AA81+AA82+AA83+AA84)</f>
        <v>0.59528017515410458</v>
      </c>
      <c r="AB78" s="206"/>
      <c r="AC78" s="206"/>
      <c r="AD78" s="206"/>
      <c r="AE78" s="206"/>
      <c r="AF78" s="206"/>
      <c r="AG78" s="200"/>
      <c r="AH78" s="187"/>
    </row>
    <row r="79" spans="1:34" ht="107.45" customHeight="1" thickBot="1" x14ac:dyDescent="0.35">
      <c r="A79" s="331"/>
      <c r="B79" s="1090" t="s">
        <v>1699</v>
      </c>
      <c r="C79" s="1090" t="s">
        <v>1700</v>
      </c>
      <c r="D79" s="333" t="s">
        <v>1701</v>
      </c>
      <c r="E79" s="285">
        <v>0.15</v>
      </c>
      <c r="F79" s="283">
        <v>209</v>
      </c>
      <c r="G79" s="213">
        <v>53</v>
      </c>
      <c r="H79" s="213">
        <v>53</v>
      </c>
      <c r="I79" s="218">
        <f t="shared" ref="I79:I84" si="94">+G79/F79</f>
        <v>0.25358851674641147</v>
      </c>
      <c r="J79" s="218">
        <f t="shared" ref="J79:J84" si="95">+H79/F79</f>
        <v>0.25358851674641147</v>
      </c>
      <c r="K79" s="218">
        <f t="shared" ref="K79:K84" si="96">+(G79/F79)*E79</f>
        <v>3.8038277511961718E-2</v>
      </c>
      <c r="L79" s="218">
        <f t="shared" ref="L79:L84" si="97">+(H79/F79)*E79</f>
        <v>3.8038277511961718E-2</v>
      </c>
      <c r="M79" s="346">
        <v>53</v>
      </c>
      <c r="N79" s="710">
        <v>0</v>
      </c>
      <c r="O79" s="710">
        <v>48</v>
      </c>
      <c r="P79" s="346"/>
      <c r="Q79" s="346"/>
      <c r="R79" s="346">
        <f t="shared" ref="R79:R84" si="98">+N79+O79+P79+Q79</f>
        <v>48</v>
      </c>
      <c r="S79" s="346">
        <f t="shared" ref="S79:S84" si="99">+R79+M79</f>
        <v>101</v>
      </c>
      <c r="T79" s="237">
        <f>+(M79/G79)</f>
        <v>1</v>
      </c>
      <c r="U79" s="237">
        <f t="shared" ref="U79:U84" si="100">+R79/H79</f>
        <v>0.90566037735849059</v>
      </c>
      <c r="V79" s="237">
        <f t="shared" ref="V79:V84" si="101">+T79*E79</f>
        <v>0.15</v>
      </c>
      <c r="W79" s="237">
        <f t="shared" ref="W79:W84" si="102">+U79*E79</f>
        <v>0.13584905660377358</v>
      </c>
      <c r="X79" s="237">
        <f t="shared" ref="X79:X84" si="103">+M79/F79</f>
        <v>0.25358851674641147</v>
      </c>
      <c r="Y79" s="237">
        <f t="shared" ref="Y79:Y84" si="104">+S79/F79</f>
        <v>0.48325358851674644</v>
      </c>
      <c r="Z79" s="220">
        <f t="shared" ref="Z79:Z84" si="105">+X79*E79</f>
        <v>3.8038277511961718E-2</v>
      </c>
      <c r="AA79" s="220">
        <f t="shared" ref="AA79:AA84" si="106">+Y79*E79</f>
        <v>7.2488038277511962E-2</v>
      </c>
      <c r="AB79" s="308" t="s">
        <v>1321</v>
      </c>
      <c r="AC79" s="724" t="s">
        <v>227</v>
      </c>
      <c r="AD79" s="724" t="s">
        <v>1557</v>
      </c>
      <c r="AE79" s="724" t="s">
        <v>885</v>
      </c>
      <c r="AF79" s="206"/>
      <c r="AG79" s="200"/>
      <c r="AH79" s="187"/>
    </row>
    <row r="80" spans="1:34" ht="117" customHeight="1" thickBot="1" x14ac:dyDescent="0.35">
      <c r="A80" s="331"/>
      <c r="B80" s="1090" t="s">
        <v>1702</v>
      </c>
      <c r="C80" s="1090" t="s">
        <v>1703</v>
      </c>
      <c r="D80" s="333" t="s">
        <v>1701</v>
      </c>
      <c r="E80" s="285">
        <v>0.15</v>
      </c>
      <c r="F80" s="283">
        <v>328</v>
      </c>
      <c r="G80" s="213">
        <v>150</v>
      </c>
      <c r="H80" s="213">
        <v>150</v>
      </c>
      <c r="I80" s="218">
        <f t="shared" si="94"/>
        <v>0.45731707317073172</v>
      </c>
      <c r="J80" s="218">
        <f t="shared" si="95"/>
        <v>0.45731707317073172</v>
      </c>
      <c r="K80" s="218">
        <f t="shared" si="96"/>
        <v>6.8597560975609762E-2</v>
      </c>
      <c r="L80" s="218">
        <f t="shared" si="97"/>
        <v>6.8597560975609762E-2</v>
      </c>
      <c r="M80" s="346">
        <v>150</v>
      </c>
      <c r="N80" s="710">
        <v>150</v>
      </c>
      <c r="O80" s="710">
        <v>0</v>
      </c>
      <c r="P80" s="346"/>
      <c r="Q80" s="346"/>
      <c r="R80" s="346">
        <f t="shared" si="98"/>
        <v>150</v>
      </c>
      <c r="S80" s="346">
        <f t="shared" si="99"/>
        <v>300</v>
      </c>
      <c r="T80" s="237">
        <v>1</v>
      </c>
      <c r="U80" s="237">
        <f t="shared" si="100"/>
        <v>1</v>
      </c>
      <c r="V80" s="237">
        <f t="shared" si="101"/>
        <v>0.15</v>
      </c>
      <c r="W80" s="237">
        <f t="shared" si="102"/>
        <v>0.15</v>
      </c>
      <c r="X80" s="237">
        <f t="shared" si="103"/>
        <v>0.45731707317073172</v>
      </c>
      <c r="Y80" s="237">
        <f t="shared" si="104"/>
        <v>0.91463414634146345</v>
      </c>
      <c r="Z80" s="220">
        <f t="shared" si="105"/>
        <v>6.8597560975609762E-2</v>
      </c>
      <c r="AA80" s="220">
        <f t="shared" si="106"/>
        <v>0.13719512195121952</v>
      </c>
      <c r="AB80" s="308" t="s">
        <v>1321</v>
      </c>
      <c r="AC80" s="724" t="s">
        <v>227</v>
      </c>
      <c r="AD80" s="724" t="s">
        <v>1557</v>
      </c>
      <c r="AE80" s="724" t="s">
        <v>885</v>
      </c>
      <c r="AF80" s="206"/>
      <c r="AG80" s="200"/>
      <c r="AH80" s="187"/>
    </row>
    <row r="81" spans="1:34" ht="93.6" customHeight="1" thickBot="1" x14ac:dyDescent="0.35">
      <c r="A81" s="331"/>
      <c r="B81" s="1090" t="s">
        <v>1704</v>
      </c>
      <c r="C81" s="1090" t="s">
        <v>1705</v>
      </c>
      <c r="D81" s="333" t="s">
        <v>1701</v>
      </c>
      <c r="E81" s="285">
        <v>0.15</v>
      </c>
      <c r="F81" s="283">
        <v>402</v>
      </c>
      <c r="G81" s="213">
        <v>102</v>
      </c>
      <c r="H81" s="213">
        <v>100</v>
      </c>
      <c r="I81" s="218">
        <f t="shared" si="94"/>
        <v>0.2537313432835821</v>
      </c>
      <c r="J81" s="218">
        <f t="shared" si="95"/>
        <v>0.24875621890547264</v>
      </c>
      <c r="K81" s="218">
        <f t="shared" si="96"/>
        <v>3.8059701492537311E-2</v>
      </c>
      <c r="L81" s="218">
        <f t="shared" si="97"/>
        <v>3.7313432835820892E-2</v>
      </c>
      <c r="M81" s="346">
        <v>102</v>
      </c>
      <c r="N81" s="710">
        <v>26</v>
      </c>
      <c r="O81" s="710">
        <v>21</v>
      </c>
      <c r="P81" s="346"/>
      <c r="Q81" s="346"/>
      <c r="R81" s="346">
        <f t="shared" si="98"/>
        <v>47</v>
      </c>
      <c r="S81" s="346">
        <f t="shared" si="99"/>
        <v>149</v>
      </c>
      <c r="T81" s="237">
        <f>+(M81/G81)</f>
        <v>1</v>
      </c>
      <c r="U81" s="237">
        <f t="shared" si="100"/>
        <v>0.47</v>
      </c>
      <c r="V81" s="237">
        <f t="shared" si="101"/>
        <v>0.15</v>
      </c>
      <c r="W81" s="237">
        <f t="shared" si="102"/>
        <v>7.0499999999999993E-2</v>
      </c>
      <c r="X81" s="237">
        <f t="shared" si="103"/>
        <v>0.2537313432835821</v>
      </c>
      <c r="Y81" s="237">
        <f t="shared" si="104"/>
        <v>0.37064676616915421</v>
      </c>
      <c r="Z81" s="220">
        <f t="shared" si="105"/>
        <v>3.8059701492537311E-2</v>
      </c>
      <c r="AA81" s="220">
        <f t="shared" si="106"/>
        <v>5.5597014925373132E-2</v>
      </c>
      <c r="AB81" s="308" t="s">
        <v>1321</v>
      </c>
      <c r="AC81" s="724" t="s">
        <v>227</v>
      </c>
      <c r="AD81" s="724" t="s">
        <v>1557</v>
      </c>
      <c r="AE81" s="724" t="s">
        <v>885</v>
      </c>
      <c r="AF81" s="206"/>
      <c r="AG81" s="200"/>
      <c r="AH81" s="187"/>
    </row>
    <row r="82" spans="1:34" ht="97.15" customHeight="1" thickBot="1" x14ac:dyDescent="0.35">
      <c r="A82" s="331"/>
      <c r="B82" s="1090" t="s">
        <v>1706</v>
      </c>
      <c r="C82" s="1090" t="s">
        <v>1707</v>
      </c>
      <c r="D82" s="333" t="s">
        <v>1701</v>
      </c>
      <c r="E82" s="285">
        <v>0.15</v>
      </c>
      <c r="F82" s="283">
        <v>1</v>
      </c>
      <c r="G82" s="294">
        <v>0.45</v>
      </c>
      <c r="H82" s="294">
        <v>0.55000000000000004</v>
      </c>
      <c r="I82" s="218">
        <f t="shared" si="94"/>
        <v>0.45</v>
      </c>
      <c r="J82" s="218">
        <f t="shared" si="95"/>
        <v>0.55000000000000004</v>
      </c>
      <c r="K82" s="218">
        <f t="shared" si="96"/>
        <v>6.7500000000000004E-2</v>
      </c>
      <c r="L82" s="218">
        <f t="shared" si="97"/>
        <v>8.2500000000000004E-2</v>
      </c>
      <c r="M82" s="347">
        <v>0.45</v>
      </c>
      <c r="N82" s="711">
        <v>0</v>
      </c>
      <c r="O82" s="711">
        <v>0.05</v>
      </c>
      <c r="P82" s="347"/>
      <c r="Q82" s="347"/>
      <c r="R82" s="347">
        <f t="shared" si="98"/>
        <v>0.05</v>
      </c>
      <c r="S82" s="347">
        <f t="shared" si="99"/>
        <v>0.5</v>
      </c>
      <c r="T82" s="237">
        <v>1</v>
      </c>
      <c r="U82" s="237">
        <f t="shared" si="100"/>
        <v>9.0909090909090912E-2</v>
      </c>
      <c r="V82" s="237">
        <f t="shared" si="101"/>
        <v>0.15</v>
      </c>
      <c r="W82" s="237">
        <f t="shared" si="102"/>
        <v>1.3636363636363636E-2</v>
      </c>
      <c r="X82" s="237">
        <f t="shared" si="103"/>
        <v>0.45</v>
      </c>
      <c r="Y82" s="237">
        <f t="shared" si="104"/>
        <v>0.5</v>
      </c>
      <c r="Z82" s="220">
        <f t="shared" si="105"/>
        <v>6.7500000000000004E-2</v>
      </c>
      <c r="AA82" s="220">
        <f t="shared" si="106"/>
        <v>7.4999999999999997E-2</v>
      </c>
      <c r="AB82" s="308" t="s">
        <v>1708</v>
      </c>
      <c r="AC82" s="724" t="s">
        <v>227</v>
      </c>
      <c r="AD82" s="724" t="s">
        <v>1557</v>
      </c>
      <c r="AE82" s="724" t="s">
        <v>885</v>
      </c>
      <c r="AF82" s="206"/>
      <c r="AG82" s="200"/>
      <c r="AH82" s="187"/>
    </row>
    <row r="83" spans="1:34" ht="137.44999999999999" customHeight="1" thickBot="1" x14ac:dyDescent="0.35">
      <c r="A83" s="331"/>
      <c r="B83" s="1090" t="s">
        <v>1709</v>
      </c>
      <c r="C83" s="1090" t="s">
        <v>1710</v>
      </c>
      <c r="D83" s="333" t="s">
        <v>1701</v>
      </c>
      <c r="E83" s="285">
        <v>0.15</v>
      </c>
      <c r="F83" s="283">
        <v>1</v>
      </c>
      <c r="G83" s="213">
        <v>0.45</v>
      </c>
      <c r="H83" s="213">
        <v>0.55000000000000004</v>
      </c>
      <c r="I83" s="218">
        <f t="shared" si="94"/>
        <v>0.45</v>
      </c>
      <c r="J83" s="218">
        <f t="shared" si="95"/>
        <v>0.55000000000000004</v>
      </c>
      <c r="K83" s="218">
        <f t="shared" si="96"/>
        <v>6.7500000000000004E-2</v>
      </c>
      <c r="L83" s="218">
        <f t="shared" si="97"/>
        <v>8.2500000000000004E-2</v>
      </c>
      <c r="M83" s="347">
        <v>0.45</v>
      </c>
      <c r="N83" s="711">
        <v>0</v>
      </c>
      <c r="O83" s="711">
        <v>0.25</v>
      </c>
      <c r="P83" s="347"/>
      <c r="Q83" s="347"/>
      <c r="R83" s="347">
        <f t="shared" si="98"/>
        <v>0.25</v>
      </c>
      <c r="S83" s="347">
        <f t="shared" si="99"/>
        <v>0.7</v>
      </c>
      <c r="T83" s="237">
        <f>+(M83/G83)</f>
        <v>1</v>
      </c>
      <c r="U83" s="237">
        <f t="shared" si="100"/>
        <v>0.45454545454545453</v>
      </c>
      <c r="V83" s="237">
        <f t="shared" si="101"/>
        <v>0.15</v>
      </c>
      <c r="W83" s="237">
        <f t="shared" si="102"/>
        <v>6.8181818181818177E-2</v>
      </c>
      <c r="X83" s="237">
        <f t="shared" si="103"/>
        <v>0.45</v>
      </c>
      <c r="Y83" s="237">
        <f t="shared" si="104"/>
        <v>0.7</v>
      </c>
      <c r="Z83" s="220">
        <f t="shared" si="105"/>
        <v>6.7500000000000004E-2</v>
      </c>
      <c r="AA83" s="220">
        <f t="shared" si="106"/>
        <v>0.105</v>
      </c>
      <c r="AB83" s="308" t="s">
        <v>1711</v>
      </c>
      <c r="AC83" s="724" t="s">
        <v>227</v>
      </c>
      <c r="AD83" s="724" t="s">
        <v>1557</v>
      </c>
      <c r="AE83" s="724" t="s">
        <v>885</v>
      </c>
      <c r="AF83" s="206"/>
      <c r="AG83" s="200"/>
      <c r="AH83" s="187"/>
    </row>
    <row r="84" spans="1:34" ht="133.15" customHeight="1" thickBot="1" x14ac:dyDescent="0.35">
      <c r="A84" s="331"/>
      <c r="B84" s="1090" t="s">
        <v>1712</v>
      </c>
      <c r="C84" s="1090" t="s">
        <v>1713</v>
      </c>
      <c r="D84" s="333" t="s">
        <v>1701</v>
      </c>
      <c r="E84" s="285">
        <v>0.25</v>
      </c>
      <c r="F84" s="283">
        <v>1</v>
      </c>
      <c r="G84" s="213">
        <v>0.25</v>
      </c>
      <c r="H84" s="213">
        <v>0.9</v>
      </c>
      <c r="I84" s="218">
        <f t="shared" si="94"/>
        <v>0.25</v>
      </c>
      <c r="J84" s="218">
        <f t="shared" si="95"/>
        <v>0.9</v>
      </c>
      <c r="K84" s="218">
        <f t="shared" si="96"/>
        <v>6.25E-2</v>
      </c>
      <c r="L84" s="218">
        <f t="shared" si="97"/>
        <v>0.22500000000000001</v>
      </c>
      <c r="M84" s="347">
        <v>0.1</v>
      </c>
      <c r="N84" s="711">
        <v>0</v>
      </c>
      <c r="O84" s="711">
        <v>0.5</v>
      </c>
      <c r="P84" s="347"/>
      <c r="Q84" s="347"/>
      <c r="R84" s="347">
        <f t="shared" si="98"/>
        <v>0.5</v>
      </c>
      <c r="S84" s="347">
        <f t="shared" si="99"/>
        <v>0.6</v>
      </c>
      <c r="T84" s="237">
        <f>+(M84/G84)</f>
        <v>0.4</v>
      </c>
      <c r="U84" s="237">
        <f t="shared" si="100"/>
        <v>0.55555555555555558</v>
      </c>
      <c r="V84" s="237">
        <f t="shared" si="101"/>
        <v>0.1</v>
      </c>
      <c r="W84" s="237">
        <f t="shared" si="102"/>
        <v>0.1388888888888889</v>
      </c>
      <c r="X84" s="237">
        <f t="shared" si="103"/>
        <v>0.1</v>
      </c>
      <c r="Y84" s="237">
        <f t="shared" si="104"/>
        <v>0.6</v>
      </c>
      <c r="Z84" s="220">
        <f t="shared" si="105"/>
        <v>2.5000000000000001E-2</v>
      </c>
      <c r="AA84" s="220">
        <f t="shared" si="106"/>
        <v>0.15</v>
      </c>
      <c r="AB84" s="308" t="s">
        <v>1321</v>
      </c>
      <c r="AC84" s="724" t="s">
        <v>227</v>
      </c>
      <c r="AD84" s="724" t="s">
        <v>1557</v>
      </c>
      <c r="AE84" s="724" t="s">
        <v>885</v>
      </c>
      <c r="AF84" s="206"/>
      <c r="AG84" s="200"/>
      <c r="AH84" s="187"/>
    </row>
    <row r="85" spans="1:34" ht="67.150000000000006" customHeight="1" thickBot="1" x14ac:dyDescent="0.35">
      <c r="A85" s="331"/>
      <c r="B85" s="1331" t="s">
        <v>1714</v>
      </c>
      <c r="C85" s="1326"/>
      <c r="D85" s="333"/>
      <c r="E85" s="289">
        <v>0.3</v>
      </c>
      <c r="F85" s="271"/>
      <c r="G85" s="206"/>
      <c r="H85" s="206"/>
      <c r="I85" s="212">
        <f>+AVERAGE(I86:I91)*((1/6)*2)</f>
        <v>0.17916666666666664</v>
      </c>
      <c r="J85" s="212">
        <f>+AVERAGE(J86:J91)</f>
        <v>0.23749999999999999</v>
      </c>
      <c r="K85" s="212">
        <f>+K86+K87+K88+K89+K90+K91</f>
        <v>0.14250000000000002</v>
      </c>
      <c r="L85" s="212">
        <f>+L86+L87+L88+L89+L90+L91</f>
        <v>0.16</v>
      </c>
      <c r="M85" s="211"/>
      <c r="N85" s="211"/>
      <c r="O85" s="211"/>
      <c r="P85" s="211"/>
      <c r="Q85" s="211"/>
      <c r="R85" s="211"/>
      <c r="S85" s="211"/>
      <c r="T85" s="235">
        <f>+AVERAGE(T86:T91)</f>
        <v>0.88888888888888884</v>
      </c>
      <c r="U85" s="235">
        <f>+AVERAGE(U86:U91)</f>
        <v>0.14166666666666666</v>
      </c>
      <c r="V85" s="235">
        <f>+(V86+V87+V88+V89+V90+V91)*E85</f>
        <v>0.11333333333333333</v>
      </c>
      <c r="W85" s="235">
        <f>+(W86+W87+W88+W89+W90+W91)*E85</f>
        <v>5.0999999999999997E-2</v>
      </c>
      <c r="X85" s="212">
        <f>+AVERAGE(X86:X91)*((1/6)*2)</f>
        <v>0.14999999999999997</v>
      </c>
      <c r="Y85" s="212">
        <f>+X85+((Y87-X87)/6)+((Y90-X90)/6)+(Y86/6)+(Y88/6)+(Y89/6)+(Y91/6)</f>
        <v>0.17833333333333329</v>
      </c>
      <c r="Z85" s="212">
        <f>+(Z86+Z87+Z88+Z89+Z90+Z91)*E85</f>
        <v>3.9E-2</v>
      </c>
      <c r="AA85" s="212">
        <f>+(AA86+AA87+AA88+AA89+AA90+AA91)</f>
        <v>0.18099999999999999</v>
      </c>
      <c r="AB85" s="308" t="s">
        <v>1715</v>
      </c>
      <c r="AC85" s="206"/>
      <c r="AD85" s="206"/>
      <c r="AE85" s="206"/>
      <c r="AF85" s="206"/>
      <c r="AG85" s="200"/>
      <c r="AH85" s="187"/>
    </row>
    <row r="86" spans="1:34" ht="83.45" customHeight="1" thickBot="1" x14ac:dyDescent="0.35">
      <c r="A86" s="331"/>
      <c r="B86" s="1090" t="s">
        <v>1716</v>
      </c>
      <c r="C86" s="1090" t="s">
        <v>1717</v>
      </c>
      <c r="D86" s="333" t="s">
        <v>1701</v>
      </c>
      <c r="E86" s="285">
        <v>0.4</v>
      </c>
      <c r="F86" s="283">
        <v>300</v>
      </c>
      <c r="G86" s="213">
        <v>0</v>
      </c>
      <c r="H86" s="213">
        <v>5</v>
      </c>
      <c r="I86" s="218"/>
      <c r="J86" s="218">
        <f t="shared" ref="J86:J90" si="107">+H86/F86</f>
        <v>1.6666666666666666E-2</v>
      </c>
      <c r="K86" s="218"/>
      <c r="L86" s="218">
        <f t="shared" ref="L86:L90" si="108">+(H86/F86)*E86</f>
        <v>6.6666666666666671E-3</v>
      </c>
      <c r="M86" s="213"/>
      <c r="N86" s="670">
        <v>0</v>
      </c>
      <c r="O86" s="670">
        <v>0</v>
      </c>
      <c r="P86" s="213"/>
      <c r="Q86" s="213"/>
      <c r="R86" s="213">
        <f t="shared" ref="R86:R91" si="109">+N86+O86+P86+Q86</f>
        <v>0</v>
      </c>
      <c r="S86" s="213">
        <f t="shared" ref="S86:S91" si="110">+R86+M86</f>
        <v>0</v>
      </c>
      <c r="T86" s="237"/>
      <c r="U86" s="237">
        <f t="shared" ref="U86:U90" si="111">+R86/H86</f>
        <v>0</v>
      </c>
      <c r="V86" s="237"/>
      <c r="W86" s="237">
        <f>+U86*E86</f>
        <v>0</v>
      </c>
      <c r="X86" s="237"/>
      <c r="Y86" s="237">
        <f>+S86/F86</f>
        <v>0</v>
      </c>
      <c r="Z86" s="218"/>
      <c r="AA86" s="218">
        <f t="shared" ref="AA86:AA91" si="112">+Y86*E86</f>
        <v>0</v>
      </c>
      <c r="AB86" s="308" t="s">
        <v>1321</v>
      </c>
      <c r="AC86" s="834" t="s">
        <v>1718</v>
      </c>
      <c r="AD86" s="724" t="s">
        <v>1557</v>
      </c>
      <c r="AE86" s="724" t="s">
        <v>885</v>
      </c>
      <c r="AF86" s="206"/>
      <c r="AG86" s="200"/>
      <c r="AH86" s="187"/>
    </row>
    <row r="87" spans="1:34" ht="67.150000000000006" customHeight="1" thickBot="1" x14ac:dyDescent="0.35">
      <c r="A87" s="331"/>
      <c r="B87" s="1090" t="s">
        <v>1719</v>
      </c>
      <c r="C87" s="1090" t="s">
        <v>1720</v>
      </c>
      <c r="D87" s="333" t="s">
        <v>1701</v>
      </c>
      <c r="E87" s="285">
        <v>0.1</v>
      </c>
      <c r="F87" s="283">
        <v>100</v>
      </c>
      <c r="G87" s="213">
        <v>90</v>
      </c>
      <c r="H87" s="213">
        <v>30</v>
      </c>
      <c r="I87" s="218">
        <f t="shared" ref="I87" si="113">+G87/F87</f>
        <v>0.9</v>
      </c>
      <c r="J87" s="218">
        <f t="shared" si="107"/>
        <v>0.3</v>
      </c>
      <c r="K87" s="218">
        <f t="shared" ref="K87" si="114">+(G87/F87)*E87</f>
        <v>9.0000000000000011E-2</v>
      </c>
      <c r="L87" s="218">
        <f t="shared" si="108"/>
        <v>0.03</v>
      </c>
      <c r="M87" s="213">
        <v>70</v>
      </c>
      <c r="N87" s="670">
        <v>0</v>
      </c>
      <c r="O87" s="670">
        <v>0</v>
      </c>
      <c r="P87" s="213"/>
      <c r="Q87" s="213"/>
      <c r="R87" s="213">
        <f t="shared" si="109"/>
        <v>0</v>
      </c>
      <c r="S87" s="213">
        <f t="shared" si="110"/>
        <v>70</v>
      </c>
      <c r="T87" s="237">
        <f>+(M87/G87)</f>
        <v>0.77777777777777779</v>
      </c>
      <c r="U87" s="237">
        <f t="shared" si="111"/>
        <v>0</v>
      </c>
      <c r="V87" s="237">
        <f>+T87*E87</f>
        <v>7.7777777777777779E-2</v>
      </c>
      <c r="W87" s="237">
        <f t="shared" ref="W87:W90" si="115">+U87*E87</f>
        <v>0</v>
      </c>
      <c r="X87" s="237">
        <f>+M87/F87</f>
        <v>0.7</v>
      </c>
      <c r="Y87" s="237">
        <f t="shared" ref="Y87:Y91" si="116">+S87/F87</f>
        <v>0.7</v>
      </c>
      <c r="Z87" s="218">
        <f>+X87*E87</f>
        <v>6.9999999999999993E-2</v>
      </c>
      <c r="AA87" s="218">
        <f t="shared" si="112"/>
        <v>6.9999999999999993E-2</v>
      </c>
      <c r="AB87" s="308" t="s">
        <v>1321</v>
      </c>
      <c r="AC87" s="724" t="s">
        <v>227</v>
      </c>
      <c r="AD87" s="724" t="s">
        <v>1557</v>
      </c>
      <c r="AE87" s="724" t="s">
        <v>885</v>
      </c>
      <c r="AF87" s="206"/>
      <c r="AG87" s="200"/>
      <c r="AH87" s="187"/>
    </row>
    <row r="88" spans="1:34" ht="91.15" customHeight="1" thickBot="1" x14ac:dyDescent="0.35">
      <c r="A88" s="331"/>
      <c r="B88" s="1090" t="s">
        <v>1721</v>
      </c>
      <c r="C88" s="1090" t="s">
        <v>1722</v>
      </c>
      <c r="D88" s="333" t="s">
        <v>1701</v>
      </c>
      <c r="E88" s="285">
        <v>0.1</v>
      </c>
      <c r="F88" s="283">
        <v>3</v>
      </c>
      <c r="G88" s="213">
        <v>0</v>
      </c>
      <c r="H88" s="213">
        <v>1</v>
      </c>
      <c r="I88" s="218"/>
      <c r="J88" s="218">
        <f t="shared" si="107"/>
        <v>0.33333333333333331</v>
      </c>
      <c r="K88" s="218"/>
      <c r="L88" s="218">
        <f t="shared" si="108"/>
        <v>3.3333333333333333E-2</v>
      </c>
      <c r="M88" s="213"/>
      <c r="N88" s="670">
        <v>0</v>
      </c>
      <c r="O88" s="670">
        <v>0</v>
      </c>
      <c r="P88" s="213"/>
      <c r="Q88" s="213"/>
      <c r="R88" s="213">
        <f t="shared" si="109"/>
        <v>0</v>
      </c>
      <c r="S88" s="213">
        <f t="shared" si="110"/>
        <v>0</v>
      </c>
      <c r="T88" s="237"/>
      <c r="U88" s="237">
        <f t="shared" si="111"/>
        <v>0</v>
      </c>
      <c r="V88" s="237"/>
      <c r="W88" s="237">
        <f t="shared" si="115"/>
        <v>0</v>
      </c>
      <c r="X88" s="237"/>
      <c r="Y88" s="237">
        <f t="shared" si="116"/>
        <v>0</v>
      </c>
      <c r="Z88" s="218"/>
      <c r="AA88" s="218">
        <f t="shared" si="112"/>
        <v>0</v>
      </c>
      <c r="AB88" s="206" t="s">
        <v>1723</v>
      </c>
      <c r="AC88" s="834" t="s">
        <v>1718</v>
      </c>
      <c r="AD88" s="724" t="s">
        <v>1557</v>
      </c>
      <c r="AE88" s="724" t="s">
        <v>885</v>
      </c>
      <c r="AF88" s="206"/>
      <c r="AG88" s="200"/>
      <c r="AH88" s="187"/>
    </row>
    <row r="89" spans="1:34" ht="67.150000000000006" customHeight="1" thickBot="1" x14ac:dyDescent="0.35">
      <c r="A89" s="331"/>
      <c r="B89" s="1090" t="s">
        <v>1724</v>
      </c>
      <c r="C89" s="1090" t="s">
        <v>1725</v>
      </c>
      <c r="D89" s="333" t="s">
        <v>1701</v>
      </c>
      <c r="E89" s="285">
        <v>0.05</v>
      </c>
      <c r="F89" s="283">
        <v>1</v>
      </c>
      <c r="G89" s="213">
        <v>0</v>
      </c>
      <c r="H89" s="213">
        <v>0</v>
      </c>
      <c r="I89" s="218"/>
      <c r="J89" s="218"/>
      <c r="K89" s="218"/>
      <c r="L89" s="218"/>
      <c r="M89" s="213"/>
      <c r="N89" s="670"/>
      <c r="O89" s="670"/>
      <c r="P89" s="213"/>
      <c r="Q89" s="213"/>
      <c r="R89" s="213">
        <f t="shared" si="109"/>
        <v>0</v>
      </c>
      <c r="S89" s="213">
        <f t="shared" si="110"/>
        <v>0</v>
      </c>
      <c r="T89" s="237"/>
      <c r="U89" s="237"/>
      <c r="V89" s="237"/>
      <c r="W89" s="237"/>
      <c r="X89" s="237"/>
      <c r="Y89" s="237">
        <f t="shared" si="116"/>
        <v>0</v>
      </c>
      <c r="Z89" s="218"/>
      <c r="AA89" s="218">
        <f t="shared" si="112"/>
        <v>0</v>
      </c>
      <c r="AB89" s="206" t="s">
        <v>1726</v>
      </c>
      <c r="AC89" s="724" t="s">
        <v>227</v>
      </c>
      <c r="AD89" s="724" t="s">
        <v>1557</v>
      </c>
      <c r="AE89" s="724" t="s">
        <v>885</v>
      </c>
      <c r="AF89" s="206"/>
      <c r="AG89" s="200"/>
      <c r="AH89" s="187"/>
    </row>
    <row r="90" spans="1:34" ht="112.9" customHeight="1" thickBot="1" x14ac:dyDescent="0.35">
      <c r="A90" s="331"/>
      <c r="B90" s="1090" t="s">
        <v>1727</v>
      </c>
      <c r="C90" s="1090" t="s">
        <v>1728</v>
      </c>
      <c r="D90" s="333" t="s">
        <v>1701</v>
      </c>
      <c r="E90" s="285">
        <v>0.3</v>
      </c>
      <c r="F90" s="283">
        <v>200</v>
      </c>
      <c r="G90" s="213">
        <v>35</v>
      </c>
      <c r="H90" s="213">
        <v>60</v>
      </c>
      <c r="I90" s="218">
        <f>+G90/F90</f>
        <v>0.17499999999999999</v>
      </c>
      <c r="J90" s="218">
        <f t="shared" si="107"/>
        <v>0.3</v>
      </c>
      <c r="K90" s="218">
        <f>+(G90/F90)*E90</f>
        <v>5.2499999999999998E-2</v>
      </c>
      <c r="L90" s="218">
        <f t="shared" si="108"/>
        <v>0.09</v>
      </c>
      <c r="M90" s="213">
        <v>40</v>
      </c>
      <c r="N90" s="670">
        <v>12</v>
      </c>
      <c r="O90" s="670">
        <v>22</v>
      </c>
      <c r="P90" s="213"/>
      <c r="Q90" s="213"/>
      <c r="R90" s="213">
        <f t="shared" si="109"/>
        <v>34</v>
      </c>
      <c r="S90" s="213">
        <f t="shared" si="110"/>
        <v>74</v>
      </c>
      <c r="T90" s="237">
        <v>1</v>
      </c>
      <c r="U90" s="237">
        <f t="shared" si="111"/>
        <v>0.56666666666666665</v>
      </c>
      <c r="V90" s="237">
        <f>+T90*E90</f>
        <v>0.3</v>
      </c>
      <c r="W90" s="237">
        <f t="shared" si="115"/>
        <v>0.16999999999999998</v>
      </c>
      <c r="X90" s="237">
        <f>+M90/F90</f>
        <v>0.2</v>
      </c>
      <c r="Y90" s="237">
        <f t="shared" si="116"/>
        <v>0.37</v>
      </c>
      <c r="Z90" s="218">
        <f>+X90*E90</f>
        <v>0.06</v>
      </c>
      <c r="AA90" s="218">
        <f t="shared" si="112"/>
        <v>0.111</v>
      </c>
      <c r="AB90" s="308" t="s">
        <v>1321</v>
      </c>
      <c r="AC90" s="724" t="s">
        <v>227</v>
      </c>
      <c r="AD90" s="724" t="s">
        <v>1557</v>
      </c>
      <c r="AE90" s="724" t="s">
        <v>885</v>
      </c>
      <c r="AF90" s="206"/>
      <c r="AG90" s="200"/>
      <c r="AH90" s="187"/>
    </row>
    <row r="91" spans="1:34" ht="120.6" customHeight="1" thickBot="1" x14ac:dyDescent="0.35">
      <c r="A91" s="331"/>
      <c r="B91" s="1090" t="s">
        <v>1729</v>
      </c>
      <c r="C91" s="1090" t="s">
        <v>1730</v>
      </c>
      <c r="D91" s="333" t="s">
        <v>1701</v>
      </c>
      <c r="E91" s="285">
        <v>0.05</v>
      </c>
      <c r="F91" s="283">
        <v>1</v>
      </c>
      <c r="G91" s="213">
        <v>0</v>
      </c>
      <c r="H91" s="213">
        <v>0</v>
      </c>
      <c r="I91" s="218"/>
      <c r="J91" s="218"/>
      <c r="K91" s="218"/>
      <c r="L91" s="218"/>
      <c r="M91" s="213"/>
      <c r="N91" s="670"/>
      <c r="O91" s="670"/>
      <c r="P91" s="213"/>
      <c r="Q91" s="213"/>
      <c r="R91" s="213">
        <f t="shared" si="109"/>
        <v>0</v>
      </c>
      <c r="S91" s="213">
        <f t="shared" si="110"/>
        <v>0</v>
      </c>
      <c r="T91" s="237"/>
      <c r="U91" s="237"/>
      <c r="V91" s="237"/>
      <c r="W91" s="237"/>
      <c r="X91" s="237"/>
      <c r="Y91" s="237">
        <f t="shared" si="116"/>
        <v>0</v>
      </c>
      <c r="Z91" s="218"/>
      <c r="AA91" s="218">
        <f t="shared" si="112"/>
        <v>0</v>
      </c>
      <c r="AB91" s="308" t="s">
        <v>1321</v>
      </c>
      <c r="AC91" s="724" t="s">
        <v>227</v>
      </c>
      <c r="AD91" s="724" t="s">
        <v>1557</v>
      </c>
      <c r="AE91" s="724" t="s">
        <v>885</v>
      </c>
      <c r="AF91" s="206"/>
      <c r="AG91" s="200"/>
      <c r="AH91" s="187"/>
    </row>
    <row r="92" spans="1:34" ht="67.150000000000006" customHeight="1" thickBot="1" x14ac:dyDescent="0.35">
      <c r="A92" s="331"/>
      <c r="B92" s="1331" t="s">
        <v>1731</v>
      </c>
      <c r="C92" s="1326"/>
      <c r="D92" s="333"/>
      <c r="E92" s="289">
        <v>0.05</v>
      </c>
      <c r="F92" s="271"/>
      <c r="G92" s="206"/>
      <c r="H92" s="206"/>
      <c r="I92" s="212"/>
      <c r="J92" s="212">
        <f>+AVERAGE(J93)</f>
        <v>0</v>
      </c>
      <c r="K92" s="212"/>
      <c r="L92" s="212">
        <f>+L93</f>
        <v>0</v>
      </c>
      <c r="M92" s="211"/>
      <c r="N92" s="211"/>
      <c r="O92" s="211"/>
      <c r="P92" s="211"/>
      <c r="Q92" s="211"/>
      <c r="R92" s="211"/>
      <c r="S92" s="211"/>
      <c r="T92" s="235"/>
      <c r="U92" s="235"/>
      <c r="V92" s="235"/>
      <c r="W92" s="235">
        <f>+(W93)*E92</f>
        <v>0</v>
      </c>
      <c r="X92" s="212"/>
      <c r="Y92" s="212">
        <f>+AVERAGE(Y93)</f>
        <v>0</v>
      </c>
      <c r="Z92" s="212"/>
      <c r="AA92" s="212">
        <f>+(AA93)</f>
        <v>0</v>
      </c>
      <c r="AB92" s="206"/>
      <c r="AC92" s="688"/>
      <c r="AD92" s="206"/>
      <c r="AE92" s="206"/>
      <c r="AF92" s="206"/>
      <c r="AG92" s="200"/>
      <c r="AH92" s="187"/>
    </row>
    <row r="93" spans="1:34" ht="81.599999999999994" customHeight="1" thickBot="1" x14ac:dyDescent="0.35">
      <c r="A93" s="331"/>
      <c r="B93" s="1129" t="s">
        <v>1732</v>
      </c>
      <c r="C93" s="1129" t="s">
        <v>1733</v>
      </c>
      <c r="D93" s="333" t="s">
        <v>1734</v>
      </c>
      <c r="E93" s="285">
        <v>1</v>
      </c>
      <c r="F93" s="283">
        <v>6000000000</v>
      </c>
      <c r="G93" s="213"/>
      <c r="H93" s="213">
        <v>0</v>
      </c>
      <c r="I93" s="218"/>
      <c r="J93" s="218">
        <f t="shared" ref="J93" si="117">+H93/F93</f>
        <v>0</v>
      </c>
      <c r="K93" s="218"/>
      <c r="L93" s="218">
        <f t="shared" ref="L93" si="118">+(H93/F93)*E93</f>
        <v>0</v>
      </c>
      <c r="M93" s="213"/>
      <c r="N93" s="670"/>
      <c r="O93" s="213"/>
      <c r="P93" s="213"/>
      <c r="Q93" s="213"/>
      <c r="R93" s="213">
        <f t="shared" ref="R93" si="119">+N93+O93+P93+Q93</f>
        <v>0</v>
      </c>
      <c r="S93" s="213">
        <f t="shared" ref="S93" si="120">+R93+M93</f>
        <v>0</v>
      </c>
      <c r="T93" s="218"/>
      <c r="U93" s="218"/>
      <c r="V93" s="218"/>
      <c r="W93" s="218">
        <f t="shared" ref="W93" si="121">+U93*E93</f>
        <v>0</v>
      </c>
      <c r="X93" s="218"/>
      <c r="Y93" s="218">
        <f t="shared" ref="Y93" si="122">+S93/F93</f>
        <v>0</v>
      </c>
      <c r="Z93" s="218"/>
      <c r="AA93" s="218">
        <f>+Y93*E93</f>
        <v>0</v>
      </c>
      <c r="AB93" s="341" t="s">
        <v>1735</v>
      </c>
      <c r="AC93" s="834" t="s">
        <v>1736</v>
      </c>
      <c r="AD93" s="206"/>
      <c r="AE93" s="206"/>
      <c r="AF93" s="206"/>
      <c r="AG93" s="200"/>
      <c r="AH93" s="187"/>
    </row>
    <row r="94" spans="1:34" ht="67.150000000000006" customHeight="1" thickBot="1" x14ac:dyDescent="0.35">
      <c r="A94" s="331"/>
      <c r="B94" s="1331" t="s">
        <v>1737</v>
      </c>
      <c r="C94" s="1326"/>
      <c r="D94" s="333"/>
      <c r="E94" s="289">
        <v>0.2</v>
      </c>
      <c r="F94" s="271"/>
      <c r="G94" s="206"/>
      <c r="H94" s="206"/>
      <c r="I94" s="212">
        <f>+AVERAGE(I95:I98)</f>
        <v>0.18466666666666667</v>
      </c>
      <c r="J94" s="212">
        <f>+AVERAGE(J95:J98)</f>
        <v>0.29583333333333334</v>
      </c>
      <c r="K94" s="212">
        <f>+K95+K96+K97+K98</f>
        <v>0.17810000000000001</v>
      </c>
      <c r="L94" s="212">
        <f>+L95+L96+L97+L98</f>
        <v>0.29083333333333333</v>
      </c>
      <c r="M94" s="211"/>
      <c r="N94" s="211"/>
      <c r="O94" s="211"/>
      <c r="P94" s="211"/>
      <c r="Q94" s="211"/>
      <c r="R94" s="211"/>
      <c r="S94" s="211"/>
      <c r="T94" s="235">
        <f>+AVERAGE(T95:T98)</f>
        <v>1</v>
      </c>
      <c r="U94" s="235">
        <f>+AVERAGE(U95:U98)</f>
        <v>0.1439</v>
      </c>
      <c r="V94" s="235">
        <f>+(V95+V96+V97+V98)*E94</f>
        <v>0.18000000000000002</v>
      </c>
      <c r="W94" s="235">
        <f>+(W95+W96+W97+W98)*E94</f>
        <v>2.8934666666666664E-2</v>
      </c>
      <c r="X94" s="212">
        <f>+AVERAGE(X95:X98)</f>
        <v>0.18536666666666668</v>
      </c>
      <c r="Y94" s="212">
        <f>+X94+((Y95-X95)/4)+ ((Y96-X96)/4)+((Y97-X97)/4)+(Y98/4)</f>
        <v>0.22853666666666667</v>
      </c>
      <c r="Z94" s="212">
        <f>+(Z95+Z96+Z97+Z98)*E94</f>
        <v>3.5682999999999999E-2</v>
      </c>
      <c r="AA94" s="212">
        <f>+(AA95+AA96+AA97+AA98)</f>
        <v>0.22181699999999999</v>
      </c>
      <c r="AB94" s="206"/>
      <c r="AC94" s="206"/>
      <c r="AD94" s="206"/>
      <c r="AE94" s="206"/>
      <c r="AF94" s="206"/>
      <c r="AG94" s="200"/>
      <c r="AH94" s="187"/>
    </row>
    <row r="95" spans="1:34" ht="94.9" customHeight="1" thickBot="1" x14ac:dyDescent="0.35">
      <c r="A95" s="331"/>
      <c r="B95" s="1090" t="s">
        <v>1738</v>
      </c>
      <c r="C95" s="1090" t="s">
        <v>1739</v>
      </c>
      <c r="D95" s="333" t="s">
        <v>1701</v>
      </c>
      <c r="E95" s="285">
        <v>0.15</v>
      </c>
      <c r="F95" s="283">
        <v>50000</v>
      </c>
      <c r="G95" s="346">
        <v>5200</v>
      </c>
      <c r="H95" s="346">
        <v>15000</v>
      </c>
      <c r="I95" s="218">
        <f>+G95/F95</f>
        <v>0.104</v>
      </c>
      <c r="J95" s="218">
        <f t="shared" ref="J95:J98" si="123">+H95/F95</f>
        <v>0.3</v>
      </c>
      <c r="K95" s="218">
        <f>+(G95/F95)*E95</f>
        <v>1.5599999999999999E-2</v>
      </c>
      <c r="L95" s="218">
        <f t="shared" ref="L95:L98" si="124">+(H95/F95)*E95</f>
        <v>4.4999999999999998E-2</v>
      </c>
      <c r="M95" s="213">
        <v>5305</v>
      </c>
      <c r="N95" s="670">
        <v>1745</v>
      </c>
      <c r="O95" s="670">
        <v>4389</v>
      </c>
      <c r="P95" s="213"/>
      <c r="Q95" s="213"/>
      <c r="R95" s="213">
        <f t="shared" ref="R95:R98" si="125">+N95+O95+P95+Q95</f>
        <v>6134</v>
      </c>
      <c r="S95" s="213">
        <f t="shared" ref="S95:S98" si="126">+R95+M95</f>
        <v>11439</v>
      </c>
      <c r="T95" s="237">
        <v>1</v>
      </c>
      <c r="U95" s="237">
        <f t="shared" ref="U95:U98" si="127">+R95/H95</f>
        <v>0.40893333333333332</v>
      </c>
      <c r="V95" s="237">
        <f>+T95*E95</f>
        <v>0.15</v>
      </c>
      <c r="W95" s="237">
        <f t="shared" ref="W95:W98" si="128">+U95*E95</f>
        <v>6.1339999999999992E-2</v>
      </c>
      <c r="X95" s="237">
        <f>+M95/F95</f>
        <v>0.1061</v>
      </c>
      <c r="Y95" s="237">
        <f t="shared" ref="Y95:Y97" si="129">+S95/F95</f>
        <v>0.22878000000000001</v>
      </c>
      <c r="Z95" s="218">
        <f>+X95*E95</f>
        <v>1.5914999999999999E-2</v>
      </c>
      <c r="AA95" s="218">
        <f>+Y95*E95</f>
        <v>3.4317E-2</v>
      </c>
      <c r="AB95" s="308" t="s">
        <v>1321</v>
      </c>
      <c r="AC95" s="724" t="s">
        <v>227</v>
      </c>
      <c r="AD95" s="724" t="s">
        <v>1557</v>
      </c>
      <c r="AE95" s="724" t="s">
        <v>885</v>
      </c>
      <c r="AF95" s="206"/>
      <c r="AG95" s="200"/>
      <c r="AH95" s="187"/>
    </row>
    <row r="96" spans="1:34" ht="84.6" customHeight="1" thickBot="1" x14ac:dyDescent="0.35">
      <c r="A96" s="331"/>
      <c r="B96" s="1090" t="s">
        <v>1740</v>
      </c>
      <c r="C96" s="1090" t="s">
        <v>1741</v>
      </c>
      <c r="D96" s="333" t="s">
        <v>1701</v>
      </c>
      <c r="E96" s="337">
        <v>0.25</v>
      </c>
      <c r="F96" s="283">
        <v>4</v>
      </c>
      <c r="G96" s="346">
        <v>1</v>
      </c>
      <c r="H96" s="346">
        <v>1</v>
      </c>
      <c r="I96" s="218">
        <f>+G96/F96</f>
        <v>0.25</v>
      </c>
      <c r="J96" s="218">
        <f t="shared" si="123"/>
        <v>0.25</v>
      </c>
      <c r="K96" s="218">
        <f>+(G96/F96)*E96</f>
        <v>6.25E-2</v>
      </c>
      <c r="L96" s="218">
        <f t="shared" si="124"/>
        <v>6.25E-2</v>
      </c>
      <c r="M96" s="213">
        <v>1</v>
      </c>
      <c r="N96" s="670">
        <v>0</v>
      </c>
      <c r="O96" s="670">
        <v>0</v>
      </c>
      <c r="P96" s="213"/>
      <c r="Q96" s="213"/>
      <c r="R96" s="213">
        <f t="shared" si="125"/>
        <v>0</v>
      </c>
      <c r="S96" s="213">
        <f t="shared" si="126"/>
        <v>1</v>
      </c>
      <c r="T96" s="237">
        <f>+(M96/G96)</f>
        <v>1</v>
      </c>
      <c r="U96" s="237">
        <f t="shared" si="127"/>
        <v>0</v>
      </c>
      <c r="V96" s="237">
        <f>+T96*E96</f>
        <v>0.25</v>
      </c>
      <c r="W96" s="237">
        <f t="shared" si="128"/>
        <v>0</v>
      </c>
      <c r="X96" s="237">
        <f>+M96/F96</f>
        <v>0.25</v>
      </c>
      <c r="Y96" s="237">
        <f t="shared" si="129"/>
        <v>0.25</v>
      </c>
      <c r="Z96" s="218">
        <f>+X96*E96</f>
        <v>6.25E-2</v>
      </c>
      <c r="AA96" s="218">
        <f>+Y96*E96</f>
        <v>6.25E-2</v>
      </c>
      <c r="AB96" s="206"/>
      <c r="AC96" s="724" t="s">
        <v>227</v>
      </c>
      <c r="AD96" s="724" t="s">
        <v>1557</v>
      </c>
      <c r="AE96" s="724" t="s">
        <v>885</v>
      </c>
      <c r="AF96" s="206"/>
      <c r="AG96" s="200"/>
      <c r="AH96" s="187"/>
    </row>
    <row r="97" spans="1:34" ht="103.9" customHeight="1" thickBot="1" x14ac:dyDescent="0.35">
      <c r="A97" s="331"/>
      <c r="B97" s="1090" t="s">
        <v>1742</v>
      </c>
      <c r="C97" s="1090" t="s">
        <v>1743</v>
      </c>
      <c r="D97" s="333" t="s">
        <v>1701</v>
      </c>
      <c r="E97" s="348">
        <v>0.5</v>
      </c>
      <c r="F97" s="283">
        <v>20</v>
      </c>
      <c r="G97" s="346">
        <v>4</v>
      </c>
      <c r="H97" s="346">
        <v>6</v>
      </c>
      <c r="I97" s="218">
        <f>+G97/F97</f>
        <v>0.2</v>
      </c>
      <c r="J97" s="218">
        <f t="shared" si="123"/>
        <v>0.3</v>
      </c>
      <c r="K97" s="218">
        <f>+(G97/F97)*E97</f>
        <v>0.1</v>
      </c>
      <c r="L97" s="218">
        <f t="shared" si="124"/>
        <v>0.15</v>
      </c>
      <c r="M97" s="213">
        <v>4</v>
      </c>
      <c r="N97" s="670">
        <v>1</v>
      </c>
      <c r="O97" s="670">
        <v>0</v>
      </c>
      <c r="P97" s="213"/>
      <c r="Q97" s="213"/>
      <c r="R97" s="213">
        <f t="shared" si="125"/>
        <v>1</v>
      </c>
      <c r="S97" s="213">
        <f t="shared" si="126"/>
        <v>5</v>
      </c>
      <c r="T97" s="237">
        <f>+(M97/G97)</f>
        <v>1</v>
      </c>
      <c r="U97" s="237">
        <f t="shared" si="127"/>
        <v>0.16666666666666666</v>
      </c>
      <c r="V97" s="237">
        <f>+T97*E97</f>
        <v>0.5</v>
      </c>
      <c r="W97" s="237">
        <f t="shared" si="128"/>
        <v>8.3333333333333329E-2</v>
      </c>
      <c r="X97" s="237">
        <f>+M97/F97</f>
        <v>0.2</v>
      </c>
      <c r="Y97" s="237">
        <f t="shared" si="129"/>
        <v>0.25</v>
      </c>
      <c r="Z97" s="218">
        <f>+X97*E97</f>
        <v>0.1</v>
      </c>
      <c r="AA97" s="218">
        <f>+Y97*E97</f>
        <v>0.125</v>
      </c>
      <c r="AB97" s="308" t="s">
        <v>1321</v>
      </c>
      <c r="AC97" s="724" t="s">
        <v>227</v>
      </c>
      <c r="AD97" s="724" t="s">
        <v>1557</v>
      </c>
      <c r="AE97" s="724" t="s">
        <v>885</v>
      </c>
      <c r="AF97" s="206"/>
      <c r="AG97" s="200"/>
      <c r="AH97" s="187"/>
    </row>
    <row r="98" spans="1:34" ht="113.45" customHeight="1" thickBot="1" x14ac:dyDescent="0.35">
      <c r="A98" s="331"/>
      <c r="B98" s="1090" t="s">
        <v>1744</v>
      </c>
      <c r="C98" s="1090" t="s">
        <v>1745</v>
      </c>
      <c r="D98" s="333" t="s">
        <v>1701</v>
      </c>
      <c r="E98" s="282">
        <v>0.1</v>
      </c>
      <c r="F98" s="283">
        <v>1500</v>
      </c>
      <c r="G98" s="349">
        <v>0</v>
      </c>
      <c r="H98" s="349">
        <v>500</v>
      </c>
      <c r="I98" s="218"/>
      <c r="J98" s="218">
        <f t="shared" si="123"/>
        <v>0.33333333333333331</v>
      </c>
      <c r="K98" s="218"/>
      <c r="L98" s="218">
        <f t="shared" si="124"/>
        <v>3.3333333333333333E-2</v>
      </c>
      <c r="M98" s="213"/>
      <c r="N98" s="670">
        <v>0</v>
      </c>
      <c r="O98" s="670">
        <v>0</v>
      </c>
      <c r="P98" s="213"/>
      <c r="Q98" s="213"/>
      <c r="R98" s="213">
        <f t="shared" si="125"/>
        <v>0</v>
      </c>
      <c r="S98" s="213">
        <f t="shared" si="126"/>
        <v>0</v>
      </c>
      <c r="T98" s="237"/>
      <c r="U98" s="237">
        <f t="shared" si="127"/>
        <v>0</v>
      </c>
      <c r="V98" s="237"/>
      <c r="W98" s="237">
        <f t="shared" si="128"/>
        <v>0</v>
      </c>
      <c r="X98" s="237"/>
      <c r="Y98" s="237"/>
      <c r="Z98" s="218"/>
      <c r="AA98" s="218">
        <f>+Y98*E98</f>
        <v>0</v>
      </c>
      <c r="AB98" s="308" t="s">
        <v>1321</v>
      </c>
      <c r="AC98" s="752" t="s">
        <v>127</v>
      </c>
      <c r="AD98" s="724" t="s">
        <v>1557</v>
      </c>
      <c r="AE98" s="724" t="s">
        <v>885</v>
      </c>
      <c r="AF98" s="206"/>
      <c r="AG98" s="200"/>
      <c r="AH98" s="187"/>
    </row>
    <row r="99" spans="1:34" ht="67.150000000000006" customHeight="1" thickBot="1" x14ac:dyDescent="0.35">
      <c r="A99" s="331"/>
      <c r="B99" s="1331" t="s">
        <v>1746</v>
      </c>
      <c r="C99" s="1326"/>
      <c r="D99" s="333"/>
      <c r="E99" s="289">
        <v>0.1</v>
      </c>
      <c r="F99" s="271"/>
      <c r="G99" s="213"/>
      <c r="H99" s="213"/>
      <c r="I99" s="212">
        <f>+AVERAGE(I100:I104)</f>
        <v>0.25</v>
      </c>
      <c r="J99" s="212">
        <f>+AVERAGE(J100:J104)</f>
        <v>0.55000000000000004</v>
      </c>
      <c r="K99" s="212">
        <f>+K100+K101+K102+K103+K104</f>
        <v>0.185</v>
      </c>
      <c r="L99" s="212">
        <f>+L100+L101+L102+L103+L104</f>
        <v>0.44500000000000001</v>
      </c>
      <c r="M99" s="211"/>
      <c r="N99" s="211"/>
      <c r="O99" s="211"/>
      <c r="P99" s="211"/>
      <c r="Q99" s="211"/>
      <c r="R99" s="211"/>
      <c r="S99" s="211"/>
      <c r="T99" s="235">
        <f>+AVERAGE(T100:T104)</f>
        <v>1</v>
      </c>
      <c r="U99" s="235">
        <f>+AVERAGE(U100:U104)</f>
        <v>0.37350000000000005</v>
      </c>
      <c r="V99" s="235">
        <f>+(V100+V101+V102+V103+V104)*E99</f>
        <v>7.3999999999999996E-2</v>
      </c>
      <c r="W99" s="235">
        <f>+(W100+W101+W102+W103+W104)*E99</f>
        <v>5.5725000000000004E-2</v>
      </c>
      <c r="X99" s="212">
        <f>+AVERAGE(X100:X104)</f>
        <v>0.26166666666666666</v>
      </c>
      <c r="Y99" s="212">
        <f>+AVERAGE(Y100:Y104)</f>
        <v>0.362875</v>
      </c>
      <c r="Z99" s="212">
        <f>+(Z100+Z101+Z102+Z103+Z104)*E99</f>
        <v>2.095E-2</v>
      </c>
      <c r="AA99" s="212">
        <f>+(AA100+AA101+AA102+AA103+AA104)</f>
        <v>0.43506250000000002</v>
      </c>
      <c r="AB99" s="206"/>
      <c r="AC99" s="206"/>
      <c r="AD99" s="206"/>
      <c r="AE99" s="206"/>
      <c r="AF99" s="206"/>
      <c r="AG99" s="200"/>
      <c r="AH99" s="187"/>
    </row>
    <row r="100" spans="1:34" ht="101.45" customHeight="1" thickBot="1" x14ac:dyDescent="0.35">
      <c r="A100" s="331"/>
      <c r="B100" s="1090" t="s">
        <v>1747</v>
      </c>
      <c r="C100" s="1090" t="s">
        <v>1748</v>
      </c>
      <c r="D100" s="333" t="s">
        <v>103</v>
      </c>
      <c r="E100" s="285">
        <v>0.06</v>
      </c>
      <c r="F100" s="283">
        <v>1</v>
      </c>
      <c r="G100" s="213">
        <v>0</v>
      </c>
      <c r="H100" s="213">
        <v>1</v>
      </c>
      <c r="I100" s="218"/>
      <c r="J100" s="218">
        <f t="shared" ref="J100:J104" si="130">+H100/F100</f>
        <v>1</v>
      </c>
      <c r="K100" s="218"/>
      <c r="L100" s="218">
        <f t="shared" ref="L100:L104" si="131">+(H100/F100)*E100</f>
        <v>0.06</v>
      </c>
      <c r="M100" s="213"/>
      <c r="N100" s="670">
        <v>0</v>
      </c>
      <c r="O100" s="670">
        <v>0.25</v>
      </c>
      <c r="P100" s="213"/>
      <c r="Q100" s="213"/>
      <c r="R100" s="213">
        <f t="shared" ref="R100:R104" si="132">+N100+O100+P100+Q100</f>
        <v>0.25</v>
      </c>
      <c r="S100" s="213">
        <f t="shared" ref="S100:S104" si="133">+R100+M100</f>
        <v>0.25</v>
      </c>
      <c r="T100" s="218"/>
      <c r="U100" s="237">
        <f t="shared" ref="U100:U104" si="134">+R100/H100</f>
        <v>0.25</v>
      </c>
      <c r="V100" s="237"/>
      <c r="W100" s="237">
        <f t="shared" ref="W100:W104" si="135">+U100*E100</f>
        <v>1.4999999999999999E-2</v>
      </c>
      <c r="X100" s="237"/>
      <c r="Y100" s="237">
        <f t="shared" ref="Y100:Y104" si="136">+S100/F100</f>
        <v>0.25</v>
      </c>
      <c r="Z100" s="218"/>
      <c r="AA100" s="218">
        <f>+Y100*E100</f>
        <v>1.4999999999999999E-2</v>
      </c>
      <c r="AB100" s="308" t="s">
        <v>1321</v>
      </c>
      <c r="AC100" s="752" t="s">
        <v>127</v>
      </c>
      <c r="AD100" s="724" t="s">
        <v>1557</v>
      </c>
      <c r="AE100" s="724" t="s">
        <v>885</v>
      </c>
      <c r="AF100" s="206"/>
      <c r="AG100" s="200"/>
      <c r="AH100" s="187"/>
    </row>
    <row r="101" spans="1:34" ht="89.45" customHeight="1" thickBot="1" x14ac:dyDescent="0.35">
      <c r="A101" s="331"/>
      <c r="B101" s="1090" t="s">
        <v>1749</v>
      </c>
      <c r="C101" s="1090" t="s">
        <v>1750</v>
      </c>
      <c r="D101" s="333" t="s">
        <v>103</v>
      </c>
      <c r="E101" s="285">
        <v>0.2</v>
      </c>
      <c r="F101" s="283">
        <v>1</v>
      </c>
      <c r="G101" s="213">
        <v>0</v>
      </c>
      <c r="H101" s="213">
        <v>1</v>
      </c>
      <c r="I101" s="218"/>
      <c r="J101" s="218">
        <f t="shared" si="130"/>
        <v>1</v>
      </c>
      <c r="K101" s="218"/>
      <c r="L101" s="218">
        <f t="shared" si="131"/>
        <v>0.2</v>
      </c>
      <c r="M101" s="213"/>
      <c r="N101" s="670">
        <v>0</v>
      </c>
      <c r="O101" s="670">
        <v>0.5</v>
      </c>
      <c r="P101" s="213"/>
      <c r="Q101" s="213"/>
      <c r="R101" s="213">
        <f t="shared" si="132"/>
        <v>0.5</v>
      </c>
      <c r="S101" s="213">
        <f t="shared" si="133"/>
        <v>0.5</v>
      </c>
      <c r="T101" s="218"/>
      <c r="U101" s="237">
        <f t="shared" si="134"/>
        <v>0.5</v>
      </c>
      <c r="V101" s="237"/>
      <c r="W101" s="237">
        <f t="shared" si="135"/>
        <v>0.1</v>
      </c>
      <c r="X101" s="237"/>
      <c r="Y101" s="237">
        <f t="shared" si="136"/>
        <v>0.5</v>
      </c>
      <c r="Z101" s="218"/>
      <c r="AA101" s="218">
        <f t="shared" ref="AA101:AA104" si="137">+Y101*E101</f>
        <v>0.1</v>
      </c>
      <c r="AB101" s="308" t="s">
        <v>1321</v>
      </c>
      <c r="AC101" s="752" t="s">
        <v>127</v>
      </c>
      <c r="AD101" s="724" t="s">
        <v>1557</v>
      </c>
      <c r="AE101" s="724" t="s">
        <v>885</v>
      </c>
      <c r="AF101" s="206"/>
      <c r="AG101" s="200"/>
      <c r="AH101" s="187"/>
    </row>
    <row r="102" spans="1:34" ht="83.45" customHeight="1" thickBot="1" x14ac:dyDescent="0.35">
      <c r="A102" s="331"/>
      <c r="B102" s="1090" t="s">
        <v>1751</v>
      </c>
      <c r="C102" s="1090" t="s">
        <v>1752</v>
      </c>
      <c r="D102" s="333" t="s">
        <v>103</v>
      </c>
      <c r="E102" s="285">
        <v>0.7</v>
      </c>
      <c r="F102" s="283">
        <v>8000</v>
      </c>
      <c r="G102" s="213">
        <v>2000</v>
      </c>
      <c r="H102" s="213">
        <v>2000</v>
      </c>
      <c r="I102" s="218">
        <f>+G102/F102</f>
        <v>0.25</v>
      </c>
      <c r="J102" s="218">
        <f t="shared" si="130"/>
        <v>0.25</v>
      </c>
      <c r="K102" s="218">
        <f>+(G102/F102)*E102</f>
        <v>0.17499999999999999</v>
      </c>
      <c r="L102" s="218">
        <f t="shared" si="131"/>
        <v>0.17499999999999999</v>
      </c>
      <c r="M102" s="213">
        <v>2280</v>
      </c>
      <c r="N102" s="670">
        <v>309</v>
      </c>
      <c r="O102" s="670">
        <v>926</v>
      </c>
      <c r="P102" s="213"/>
      <c r="Q102" s="213"/>
      <c r="R102" s="213">
        <f t="shared" si="132"/>
        <v>1235</v>
      </c>
      <c r="S102" s="213">
        <f t="shared" si="133"/>
        <v>3515</v>
      </c>
      <c r="T102" s="218">
        <v>1</v>
      </c>
      <c r="U102" s="237">
        <f t="shared" si="134"/>
        <v>0.61750000000000005</v>
      </c>
      <c r="V102" s="237">
        <f>+T102*E102</f>
        <v>0.7</v>
      </c>
      <c r="W102" s="237">
        <f t="shared" si="135"/>
        <v>0.43225000000000002</v>
      </c>
      <c r="X102" s="237">
        <f>+M102/F102</f>
        <v>0.28499999999999998</v>
      </c>
      <c r="Y102" s="237">
        <f t="shared" si="136"/>
        <v>0.43937500000000002</v>
      </c>
      <c r="Z102" s="218">
        <f>+X102*E102</f>
        <v>0.19949999999999998</v>
      </c>
      <c r="AA102" s="218">
        <f t="shared" si="137"/>
        <v>0.30756250000000002</v>
      </c>
      <c r="AB102" s="308" t="s">
        <v>1321</v>
      </c>
      <c r="AC102" s="724" t="s">
        <v>44</v>
      </c>
      <c r="AD102" s="724" t="s">
        <v>1557</v>
      </c>
      <c r="AE102" s="724" t="s">
        <v>885</v>
      </c>
      <c r="AF102" s="206"/>
      <c r="AG102" s="200"/>
      <c r="AH102" s="187"/>
    </row>
    <row r="103" spans="1:34" ht="99" customHeight="1" thickBot="1" x14ac:dyDescent="0.35">
      <c r="A103" s="331"/>
      <c r="B103" s="1090" t="s">
        <v>1753</v>
      </c>
      <c r="C103" s="1090" t="s">
        <v>1754</v>
      </c>
      <c r="D103" s="333" t="s">
        <v>103</v>
      </c>
      <c r="E103" s="285">
        <v>0.02</v>
      </c>
      <c r="F103" s="283">
        <v>4</v>
      </c>
      <c r="G103" s="213">
        <v>1</v>
      </c>
      <c r="H103" s="213">
        <v>1</v>
      </c>
      <c r="I103" s="218">
        <f>+G103/F103</f>
        <v>0.25</v>
      </c>
      <c r="J103" s="218">
        <f t="shared" si="130"/>
        <v>0.25</v>
      </c>
      <c r="K103" s="218">
        <f>+(G103/F103)*E103</f>
        <v>5.0000000000000001E-3</v>
      </c>
      <c r="L103" s="218">
        <f t="shared" si="131"/>
        <v>5.0000000000000001E-3</v>
      </c>
      <c r="M103" s="213">
        <v>1</v>
      </c>
      <c r="N103" s="670">
        <v>0</v>
      </c>
      <c r="O103" s="670">
        <v>0</v>
      </c>
      <c r="P103" s="213"/>
      <c r="Q103" s="213"/>
      <c r="R103" s="213">
        <f t="shared" si="132"/>
        <v>0</v>
      </c>
      <c r="S103" s="213">
        <f t="shared" si="133"/>
        <v>1</v>
      </c>
      <c r="T103" s="218">
        <f>+(M103/G103)</f>
        <v>1</v>
      </c>
      <c r="U103" s="237">
        <f t="shared" si="134"/>
        <v>0</v>
      </c>
      <c r="V103" s="237">
        <f>+T103*E103</f>
        <v>0.02</v>
      </c>
      <c r="W103" s="237">
        <f t="shared" si="135"/>
        <v>0</v>
      </c>
      <c r="X103" s="237">
        <f>+M103/F103</f>
        <v>0.25</v>
      </c>
      <c r="Y103" s="237">
        <f t="shared" si="136"/>
        <v>0.25</v>
      </c>
      <c r="Z103" s="218">
        <f>+X103*E103</f>
        <v>5.0000000000000001E-3</v>
      </c>
      <c r="AA103" s="218">
        <f t="shared" si="137"/>
        <v>5.0000000000000001E-3</v>
      </c>
      <c r="AB103" s="308" t="s">
        <v>1321</v>
      </c>
      <c r="AC103" s="724" t="s">
        <v>44</v>
      </c>
      <c r="AD103" s="724" t="s">
        <v>1557</v>
      </c>
      <c r="AE103" s="724" t="s">
        <v>885</v>
      </c>
      <c r="AF103" s="206"/>
      <c r="AG103" s="200"/>
      <c r="AH103" s="187"/>
    </row>
    <row r="104" spans="1:34" ht="99" customHeight="1" thickBot="1" x14ac:dyDescent="0.35">
      <c r="A104" s="331"/>
      <c r="B104" s="1090" t="s">
        <v>1755</v>
      </c>
      <c r="C104" s="1090" t="s">
        <v>1756</v>
      </c>
      <c r="D104" s="333" t="s">
        <v>103</v>
      </c>
      <c r="E104" s="337">
        <v>0.02</v>
      </c>
      <c r="F104" s="283">
        <v>4</v>
      </c>
      <c r="G104" s="213">
        <v>1</v>
      </c>
      <c r="H104" s="213">
        <v>1</v>
      </c>
      <c r="I104" s="218">
        <f>+G104/F104</f>
        <v>0.25</v>
      </c>
      <c r="J104" s="218">
        <f t="shared" si="130"/>
        <v>0.25</v>
      </c>
      <c r="K104" s="218">
        <f>+(G104/F104)*E104</f>
        <v>5.0000000000000001E-3</v>
      </c>
      <c r="L104" s="218">
        <f t="shared" si="131"/>
        <v>5.0000000000000001E-3</v>
      </c>
      <c r="M104" s="213">
        <v>1</v>
      </c>
      <c r="N104" s="670">
        <v>0.25</v>
      </c>
      <c r="O104" s="670">
        <v>0.25</v>
      </c>
      <c r="P104" s="213"/>
      <c r="Q104" s="213"/>
      <c r="R104" s="213">
        <f t="shared" si="132"/>
        <v>0.5</v>
      </c>
      <c r="S104" s="213">
        <f t="shared" si="133"/>
        <v>1.5</v>
      </c>
      <c r="T104" s="218">
        <f>+(M104/G104)</f>
        <v>1</v>
      </c>
      <c r="U104" s="237">
        <f t="shared" si="134"/>
        <v>0.5</v>
      </c>
      <c r="V104" s="237">
        <f>+T104*E104</f>
        <v>0.02</v>
      </c>
      <c r="W104" s="237">
        <f t="shared" si="135"/>
        <v>0.01</v>
      </c>
      <c r="X104" s="237">
        <f>+M104/F104</f>
        <v>0.25</v>
      </c>
      <c r="Y104" s="237">
        <f t="shared" si="136"/>
        <v>0.375</v>
      </c>
      <c r="Z104" s="218">
        <f>+X104*E104</f>
        <v>5.0000000000000001E-3</v>
      </c>
      <c r="AA104" s="218">
        <f t="shared" si="137"/>
        <v>7.4999999999999997E-3</v>
      </c>
      <c r="AB104" s="308" t="s">
        <v>1321</v>
      </c>
      <c r="AC104" s="724" t="s">
        <v>44</v>
      </c>
      <c r="AD104" s="724" t="s">
        <v>1557</v>
      </c>
      <c r="AE104" s="724" t="s">
        <v>885</v>
      </c>
      <c r="AF104" s="206"/>
      <c r="AG104" s="200"/>
      <c r="AH104" s="187"/>
    </row>
    <row r="105" spans="1:34" ht="67.150000000000006" customHeight="1" thickBot="1" x14ac:dyDescent="0.35">
      <c r="A105" s="331"/>
      <c r="B105" s="1331" t="s">
        <v>1757</v>
      </c>
      <c r="C105" s="1326"/>
      <c r="D105" s="333"/>
      <c r="E105" s="339">
        <v>0.2</v>
      </c>
      <c r="F105" s="283"/>
      <c r="G105" s="206"/>
      <c r="H105" s="206"/>
      <c r="I105" s="212">
        <f>+AVERAGE(I106:I108)</f>
        <v>0.30555555555555552</v>
      </c>
      <c r="J105" s="212">
        <f>+AVERAGE(J106:J108)</f>
        <v>0.33333333333333331</v>
      </c>
      <c r="K105" s="212">
        <f>+K106+K107+K108</f>
        <v>0.34166666666666667</v>
      </c>
      <c r="L105" s="212">
        <f>+L106+L107+L108</f>
        <v>0.375</v>
      </c>
      <c r="M105" s="211"/>
      <c r="N105" s="211"/>
      <c r="O105" s="211"/>
      <c r="P105" s="211"/>
      <c r="Q105" s="211"/>
      <c r="R105" s="211"/>
      <c r="S105" s="211"/>
      <c r="T105" s="235">
        <f>+AVERAGE(T106:T108)</f>
        <v>0.48266666666666663</v>
      </c>
      <c r="U105" s="235">
        <f>+AVERAGE(U106:U108)</f>
        <v>0.24222222222222223</v>
      </c>
      <c r="V105" s="235">
        <f>+(V106+V107+V108)*E105</f>
        <v>5.5840000000000001E-2</v>
      </c>
      <c r="W105" s="235">
        <f>+(W106+W107+W108)*E105</f>
        <v>2.8133333333333333E-2</v>
      </c>
      <c r="X105" s="212">
        <f>+AVERAGE(X106:X108)</f>
        <v>0.10822222222222222</v>
      </c>
      <c r="Y105" s="212">
        <f>+AVERAGE(Y106:Y108)</f>
        <v>0.16877777777777778</v>
      </c>
      <c r="Z105" s="212">
        <f>+(Z106+Z107+Z108)*E105</f>
        <v>1.0973333333333335E-2</v>
      </c>
      <c r="AA105" s="212">
        <f>+(AA106+AA107+AA108)</f>
        <v>9.003333333333334E-2</v>
      </c>
      <c r="AB105" s="206"/>
      <c r="AC105" s="206"/>
      <c r="AD105" s="206"/>
      <c r="AE105" s="206"/>
      <c r="AF105" s="206"/>
      <c r="AG105" s="200"/>
      <c r="AH105" s="187"/>
    </row>
    <row r="106" spans="1:34" ht="90" customHeight="1" thickBot="1" x14ac:dyDescent="0.35">
      <c r="A106" s="331"/>
      <c r="B106" s="1090" t="s">
        <v>1758</v>
      </c>
      <c r="C106" s="1090" t="s">
        <v>1759</v>
      </c>
      <c r="D106" s="333" t="s">
        <v>103</v>
      </c>
      <c r="E106" s="285">
        <v>0.1</v>
      </c>
      <c r="F106" s="283">
        <v>1</v>
      </c>
      <c r="G106" s="213">
        <v>0.25</v>
      </c>
      <c r="H106" s="213">
        <v>0.25</v>
      </c>
      <c r="I106" s="218">
        <f>+G106/F106</f>
        <v>0.25</v>
      </c>
      <c r="J106" s="218">
        <f t="shared" ref="J106:J108" si="138">+H106/F106</f>
        <v>0.25</v>
      </c>
      <c r="K106" s="218">
        <f>+(G106/F106)*E106</f>
        <v>2.5000000000000001E-2</v>
      </c>
      <c r="L106" s="218">
        <f t="shared" ref="L106:L108" si="139">+(H106/F106)*E106</f>
        <v>2.5000000000000001E-2</v>
      </c>
      <c r="M106" s="213">
        <v>0.25</v>
      </c>
      <c r="N106" s="670">
        <v>0</v>
      </c>
      <c r="O106" s="670">
        <v>0.125</v>
      </c>
      <c r="P106" s="213"/>
      <c r="Q106" s="213"/>
      <c r="R106" s="213">
        <f t="shared" ref="R106:R108" si="140">+N106+O106+P106+Q106</f>
        <v>0.125</v>
      </c>
      <c r="S106" s="213">
        <f t="shared" ref="S106:S108" si="141">+R106+M106</f>
        <v>0.375</v>
      </c>
      <c r="T106" s="218">
        <f>+(M106/G106)</f>
        <v>1</v>
      </c>
      <c r="U106" s="237">
        <f t="shared" ref="U106:U108" si="142">+R106/H106</f>
        <v>0.5</v>
      </c>
      <c r="V106" s="237">
        <f>+T106*E106</f>
        <v>0.1</v>
      </c>
      <c r="W106" s="237">
        <f t="shared" ref="W106:W108" si="143">+U106*E106</f>
        <v>0.05</v>
      </c>
      <c r="X106" s="237">
        <f>+M106/F106</f>
        <v>0.25</v>
      </c>
      <c r="Y106" s="237">
        <f t="shared" ref="Y106:Y108" si="144">+S106/F106</f>
        <v>0.375</v>
      </c>
      <c r="Z106" s="218">
        <f>+X106*E106</f>
        <v>2.5000000000000001E-2</v>
      </c>
      <c r="AA106" s="218">
        <f>+Y106*E106</f>
        <v>3.7500000000000006E-2</v>
      </c>
      <c r="AB106" s="308" t="s">
        <v>1321</v>
      </c>
      <c r="AC106" s="724" t="s">
        <v>44</v>
      </c>
      <c r="AD106" s="724" t="s">
        <v>1557</v>
      </c>
      <c r="AE106" s="724" t="s">
        <v>885</v>
      </c>
      <c r="AF106" s="206"/>
      <c r="AG106" s="200"/>
      <c r="AH106" s="187"/>
    </row>
    <row r="107" spans="1:34" ht="94.15" customHeight="1" thickBot="1" x14ac:dyDescent="0.35">
      <c r="A107" s="331"/>
      <c r="B107" s="1090" t="s">
        <v>1760</v>
      </c>
      <c r="C107" s="1090" t="s">
        <v>1761</v>
      </c>
      <c r="D107" s="333" t="s">
        <v>103</v>
      </c>
      <c r="E107" s="285">
        <v>0.4</v>
      </c>
      <c r="F107" s="283">
        <v>3000</v>
      </c>
      <c r="G107" s="213">
        <v>500</v>
      </c>
      <c r="H107" s="213">
        <v>750</v>
      </c>
      <c r="I107" s="218">
        <f>+G107/F107</f>
        <v>0.16666666666666666</v>
      </c>
      <c r="J107" s="218">
        <f t="shared" si="138"/>
        <v>0.25</v>
      </c>
      <c r="K107" s="218">
        <f>+(G107/F107)*E107</f>
        <v>6.6666666666666666E-2</v>
      </c>
      <c r="L107" s="218">
        <f t="shared" si="139"/>
        <v>0.1</v>
      </c>
      <c r="M107" s="213">
        <v>224</v>
      </c>
      <c r="N107" s="670">
        <v>162</v>
      </c>
      <c r="O107" s="670">
        <v>8</v>
      </c>
      <c r="P107" s="213"/>
      <c r="Q107" s="213"/>
      <c r="R107" s="213">
        <f t="shared" si="140"/>
        <v>170</v>
      </c>
      <c r="S107" s="213">
        <f t="shared" si="141"/>
        <v>394</v>
      </c>
      <c r="T107" s="218">
        <f>+(M107/G107)</f>
        <v>0.44800000000000001</v>
      </c>
      <c r="U107" s="237">
        <f t="shared" si="142"/>
        <v>0.22666666666666666</v>
      </c>
      <c r="V107" s="237">
        <f>+T107*E107</f>
        <v>0.17920000000000003</v>
      </c>
      <c r="W107" s="237">
        <f t="shared" si="143"/>
        <v>9.0666666666666673E-2</v>
      </c>
      <c r="X107" s="237">
        <f>+M107/F107</f>
        <v>7.4666666666666673E-2</v>
      </c>
      <c r="Y107" s="237">
        <f t="shared" si="144"/>
        <v>0.13133333333333333</v>
      </c>
      <c r="Z107" s="218">
        <f>+X107*E107</f>
        <v>2.986666666666667E-2</v>
      </c>
      <c r="AA107" s="218">
        <f>+Y107*E107</f>
        <v>5.2533333333333335E-2</v>
      </c>
      <c r="AB107" s="308" t="s">
        <v>1321</v>
      </c>
      <c r="AC107" s="724" t="s">
        <v>44</v>
      </c>
      <c r="AD107" s="724" t="s">
        <v>1557</v>
      </c>
      <c r="AE107" s="724" t="s">
        <v>885</v>
      </c>
      <c r="AF107" s="206"/>
      <c r="AG107" s="200"/>
      <c r="AH107" s="187"/>
    </row>
    <row r="108" spans="1:34" ht="67.150000000000006" customHeight="1" thickBot="1" x14ac:dyDescent="0.35">
      <c r="A108" s="331"/>
      <c r="B108" s="1090" t="s">
        <v>1762</v>
      </c>
      <c r="C108" s="1090" t="s">
        <v>1763</v>
      </c>
      <c r="D108" s="333" t="s">
        <v>103</v>
      </c>
      <c r="E108" s="285">
        <v>0.5</v>
      </c>
      <c r="F108" s="283">
        <v>1</v>
      </c>
      <c r="G108" s="213">
        <v>0.5</v>
      </c>
      <c r="H108" s="213">
        <v>0.5</v>
      </c>
      <c r="I108" s="218">
        <f>+G108/F108</f>
        <v>0.5</v>
      </c>
      <c r="J108" s="218">
        <f t="shared" si="138"/>
        <v>0.5</v>
      </c>
      <c r="K108" s="218">
        <f>+(G108/F108)*E108</f>
        <v>0.25</v>
      </c>
      <c r="L108" s="218">
        <f t="shared" si="139"/>
        <v>0.25</v>
      </c>
      <c r="M108" s="213">
        <v>0</v>
      </c>
      <c r="N108" s="670">
        <v>0</v>
      </c>
      <c r="O108" s="670">
        <v>0</v>
      </c>
      <c r="P108" s="213"/>
      <c r="Q108" s="213"/>
      <c r="R108" s="213">
        <f t="shared" si="140"/>
        <v>0</v>
      </c>
      <c r="S108" s="213">
        <f t="shared" si="141"/>
        <v>0</v>
      </c>
      <c r="T108" s="218">
        <f>+(M108/G108)</f>
        <v>0</v>
      </c>
      <c r="U108" s="237">
        <f t="shared" si="142"/>
        <v>0</v>
      </c>
      <c r="V108" s="237">
        <f>+T108*E108</f>
        <v>0</v>
      </c>
      <c r="W108" s="237">
        <f t="shared" si="143"/>
        <v>0</v>
      </c>
      <c r="X108" s="237">
        <f>+M108/F108</f>
        <v>0</v>
      </c>
      <c r="Y108" s="237">
        <f t="shared" si="144"/>
        <v>0</v>
      </c>
      <c r="Z108" s="218">
        <f>+X108*E108</f>
        <v>0</v>
      </c>
      <c r="AA108" s="218">
        <f>+Y108*E108</f>
        <v>0</v>
      </c>
      <c r="AB108" s="308" t="s">
        <v>1321</v>
      </c>
      <c r="AC108" s="724" t="s">
        <v>44</v>
      </c>
      <c r="AD108" s="724" t="s">
        <v>1557</v>
      </c>
      <c r="AE108" s="724" t="s">
        <v>885</v>
      </c>
      <c r="AF108" s="206"/>
      <c r="AG108" s="200"/>
      <c r="AH108" s="187"/>
    </row>
    <row r="109" spans="1:34" ht="67.150000000000006" customHeight="1" thickBot="1" x14ac:dyDescent="0.35">
      <c r="A109" s="331"/>
      <c r="B109" s="1332" t="s">
        <v>1764</v>
      </c>
      <c r="C109" s="1326"/>
      <c r="D109" s="333"/>
      <c r="E109" s="291">
        <v>0.2</v>
      </c>
      <c r="F109" s="334">
        <f>E109*V109</f>
        <v>0.15047200000000005</v>
      </c>
      <c r="G109" s="206"/>
      <c r="H109" s="334">
        <f>+E109*W109</f>
        <v>8.4359254731084535E-2</v>
      </c>
      <c r="I109" s="204">
        <f>+(I110+I116+I123+I131+I134+I139)/6</f>
        <v>0.24594907407407407</v>
      </c>
      <c r="J109" s="204">
        <f>+(J110+J116+J123+J131+J134+J139)/6</f>
        <v>0.27793376795162511</v>
      </c>
      <c r="K109" s="205">
        <f>+(K110+K116+K123+K131+K134+K139)/6</f>
        <v>0.20215277777777776</v>
      </c>
      <c r="L109" s="205">
        <f>+(L110+L116+L123+L131+L134+L139)/6</f>
        <v>0.27540873015873013</v>
      </c>
      <c r="M109" s="206"/>
      <c r="N109" s="206"/>
      <c r="O109" s="206"/>
      <c r="P109" s="206"/>
      <c r="Q109" s="206"/>
      <c r="R109" s="206"/>
      <c r="S109" s="206"/>
      <c r="T109" s="204">
        <f>+(T110+T116+T123+T131+T134+T139)/6</f>
        <v>0.92183333333333339</v>
      </c>
      <c r="U109" s="204">
        <f>+(U110+U116+U123+U131+U134+U139)/6</f>
        <v>0.4307264087370471</v>
      </c>
      <c r="V109" s="205">
        <f>+V110+V116+V123+V131+V134+V139</f>
        <v>0.75236000000000014</v>
      </c>
      <c r="W109" s="205">
        <f>+W110+W116+W123+W131+W134+W139</f>
        <v>0.42179627365542266</v>
      </c>
      <c r="X109" s="204">
        <f>(X110+X116+X123+X131+X134+X139)/6</f>
        <v>0.20931944444444447</v>
      </c>
      <c r="Y109" s="204">
        <f>(Y110+Y116+Y123+Y131+Y134+Y139)/6</f>
        <v>0.34377302789802794</v>
      </c>
      <c r="Z109" s="335">
        <f>(Z110+Z116+Z123+Z131+Z134+Z139)</f>
        <v>0.18588916666666666</v>
      </c>
      <c r="AA109" s="335">
        <f>(AA110*E110+AA116*E116+AA123*E123+AA131*E131+AA134*E134+AA139*E139)</f>
        <v>0.31612553030303031</v>
      </c>
      <c r="AB109" s="206"/>
      <c r="AC109" s="206"/>
      <c r="AD109" s="206"/>
      <c r="AE109" s="206"/>
      <c r="AF109" s="206"/>
      <c r="AG109" s="200"/>
      <c r="AH109" s="187"/>
    </row>
    <row r="110" spans="1:34" ht="67.150000000000006" customHeight="1" thickBot="1" x14ac:dyDescent="0.35">
      <c r="A110" s="331"/>
      <c r="B110" s="1331" t="s">
        <v>1765</v>
      </c>
      <c r="C110" s="1326"/>
      <c r="D110" s="333"/>
      <c r="E110" s="289">
        <v>0.2</v>
      </c>
      <c r="F110" s="271"/>
      <c r="G110" s="206"/>
      <c r="H110" s="206"/>
      <c r="I110" s="212">
        <f>+AVERAGE(I111:I115)</f>
        <v>0.20833333333333331</v>
      </c>
      <c r="J110" s="212">
        <f>+AVERAGE(J111:J115)</f>
        <v>0.29833333333333334</v>
      </c>
      <c r="K110" s="212">
        <f>+K111+K112+K113+K114+K115</f>
        <v>0.10833333333333334</v>
      </c>
      <c r="L110" s="212">
        <f>+L111+L112+L113+L114+L115</f>
        <v>0.24833333333333332</v>
      </c>
      <c r="M110" s="211"/>
      <c r="N110" s="211"/>
      <c r="O110" s="211"/>
      <c r="P110" s="211"/>
      <c r="Q110" s="211"/>
      <c r="R110" s="211"/>
      <c r="S110" s="211"/>
      <c r="T110" s="235">
        <f>+AVERAGE(T111:T115)</f>
        <v>1</v>
      </c>
      <c r="U110" s="235">
        <f>+AVERAGE(U111:U115)</f>
        <v>0.84000000000000008</v>
      </c>
      <c r="V110" s="235">
        <f>+(V111+V112+V113+V114+V115)*E110</f>
        <v>0.11000000000000001</v>
      </c>
      <c r="W110" s="235">
        <f>+(W111+W112+W113+W114+W115)*E110</f>
        <v>0.192</v>
      </c>
      <c r="X110" s="212">
        <f>+AVERAGE(X111:X115)</f>
        <v>0.18888888888888888</v>
      </c>
      <c r="Y110" s="212">
        <f>+AVERAGE(Y111:Y115)</f>
        <v>0.43666666666666665</v>
      </c>
      <c r="Z110" s="212">
        <f>+(Z111+Z113+Z114+Z115)*E110</f>
        <v>2.7666666666666669E-2</v>
      </c>
      <c r="AA110" s="212">
        <f>+(AA111+AA113+AA114+AA115)</f>
        <v>0.32166666666666666</v>
      </c>
      <c r="AB110" s="206"/>
      <c r="AC110" s="206"/>
      <c r="AD110" s="206"/>
      <c r="AE110" s="206"/>
      <c r="AF110" s="206"/>
      <c r="AG110" s="200"/>
      <c r="AH110" s="187"/>
    </row>
    <row r="111" spans="1:34" ht="67.150000000000006" customHeight="1" thickBot="1" x14ac:dyDescent="0.35">
      <c r="A111" s="331"/>
      <c r="B111" s="1174" t="s">
        <v>1766</v>
      </c>
      <c r="C111" s="1090" t="s">
        <v>1767</v>
      </c>
      <c r="D111" s="333" t="s">
        <v>716</v>
      </c>
      <c r="E111" s="285">
        <v>0.2</v>
      </c>
      <c r="F111" s="283">
        <v>4</v>
      </c>
      <c r="G111" s="213">
        <v>0</v>
      </c>
      <c r="H111" s="213">
        <v>1</v>
      </c>
      <c r="I111" s="218"/>
      <c r="J111" s="218">
        <f t="shared" ref="J111:J115" si="145">+H111/F111</f>
        <v>0.25</v>
      </c>
      <c r="K111" s="218">
        <v>0</v>
      </c>
      <c r="L111" s="218">
        <f t="shared" ref="L111:L115" si="146">+(H111/F111)*E111</f>
        <v>0.05</v>
      </c>
      <c r="M111" s="294"/>
      <c r="N111" s="670">
        <v>1</v>
      </c>
      <c r="O111" s="670">
        <v>0</v>
      </c>
      <c r="P111" s="294"/>
      <c r="Q111" s="294"/>
      <c r="R111" s="294">
        <f t="shared" ref="R111:R115" si="147">+N111+O111+P111+Q111</f>
        <v>1</v>
      </c>
      <c r="S111" s="294">
        <f t="shared" ref="S111:S115" si="148">+R111+M111</f>
        <v>1</v>
      </c>
      <c r="T111" s="218"/>
      <c r="U111" s="237">
        <f t="shared" ref="U111:U115" si="149">+R111/H111</f>
        <v>1</v>
      </c>
      <c r="V111" s="237"/>
      <c r="W111" s="237">
        <f t="shared" ref="W111:W115" si="150">+U111*E111</f>
        <v>0.2</v>
      </c>
      <c r="X111" s="237"/>
      <c r="Y111" s="237">
        <f t="shared" ref="Y111:Y115" si="151">+S111/F111</f>
        <v>0.25</v>
      </c>
      <c r="Z111" s="218">
        <v>0</v>
      </c>
      <c r="AA111" s="218">
        <v>0</v>
      </c>
      <c r="AB111" s="222" t="s">
        <v>43</v>
      </c>
      <c r="AC111" s="724" t="s">
        <v>44</v>
      </c>
      <c r="AD111" s="724" t="s">
        <v>1557</v>
      </c>
      <c r="AE111" s="724" t="s">
        <v>885</v>
      </c>
      <c r="AF111" s="206"/>
      <c r="AG111" s="200"/>
      <c r="AH111" s="187"/>
    </row>
    <row r="112" spans="1:34" ht="67.150000000000006" customHeight="1" thickBot="1" x14ac:dyDescent="0.35">
      <c r="A112" s="331"/>
      <c r="B112" s="1174" t="s">
        <v>1768</v>
      </c>
      <c r="C112" s="1090" t="s">
        <v>1769</v>
      </c>
      <c r="D112" s="333" t="s">
        <v>716</v>
      </c>
      <c r="E112" s="285">
        <v>0.2</v>
      </c>
      <c r="F112" s="283">
        <v>6</v>
      </c>
      <c r="G112" s="213">
        <v>0</v>
      </c>
      <c r="H112" s="213">
        <v>3</v>
      </c>
      <c r="I112" s="218"/>
      <c r="J112" s="218">
        <f t="shared" si="145"/>
        <v>0.5</v>
      </c>
      <c r="K112" s="218">
        <v>0</v>
      </c>
      <c r="L112" s="218">
        <f t="shared" si="146"/>
        <v>0.1</v>
      </c>
      <c r="M112" s="294"/>
      <c r="N112" s="670">
        <v>3</v>
      </c>
      <c r="O112" s="670">
        <v>0</v>
      </c>
      <c r="P112" s="294"/>
      <c r="Q112" s="294"/>
      <c r="R112" s="294">
        <f t="shared" si="147"/>
        <v>3</v>
      </c>
      <c r="S112" s="294">
        <f t="shared" si="148"/>
        <v>3</v>
      </c>
      <c r="T112" s="218"/>
      <c r="U112" s="237">
        <f t="shared" si="149"/>
        <v>1</v>
      </c>
      <c r="V112" s="237"/>
      <c r="W112" s="237">
        <f t="shared" si="150"/>
        <v>0.2</v>
      </c>
      <c r="X112" s="237"/>
      <c r="Y112" s="237">
        <f t="shared" si="151"/>
        <v>0.5</v>
      </c>
      <c r="Z112" s="218">
        <v>0</v>
      </c>
      <c r="AA112" s="218">
        <v>0</v>
      </c>
      <c r="AB112" s="222" t="s">
        <v>43</v>
      </c>
      <c r="AC112" s="724" t="s">
        <v>44</v>
      </c>
      <c r="AD112" s="724" t="s">
        <v>1557</v>
      </c>
      <c r="AE112" s="724" t="s">
        <v>885</v>
      </c>
      <c r="AF112" s="206"/>
      <c r="AG112" s="200"/>
      <c r="AH112" s="187"/>
    </row>
    <row r="113" spans="1:34" ht="67.150000000000006" customHeight="1" thickBot="1" x14ac:dyDescent="0.35">
      <c r="A113" s="331"/>
      <c r="B113" s="1174" t="s">
        <v>1770</v>
      </c>
      <c r="C113" s="1090" t="s">
        <v>1771</v>
      </c>
      <c r="D113" s="333" t="s">
        <v>716</v>
      </c>
      <c r="E113" s="285">
        <v>0.35</v>
      </c>
      <c r="F113" s="283">
        <v>6</v>
      </c>
      <c r="G113" s="213">
        <v>1</v>
      </c>
      <c r="H113" s="213">
        <v>1</v>
      </c>
      <c r="I113" s="218">
        <f>+G113/F113</f>
        <v>0.16666666666666666</v>
      </c>
      <c r="J113" s="218">
        <f t="shared" si="145"/>
        <v>0.16666666666666666</v>
      </c>
      <c r="K113" s="218">
        <f>+(G113/F113)*E113</f>
        <v>5.8333333333333327E-2</v>
      </c>
      <c r="L113" s="218">
        <f t="shared" si="146"/>
        <v>5.8333333333333327E-2</v>
      </c>
      <c r="M113" s="294">
        <v>1</v>
      </c>
      <c r="N113" s="670">
        <v>1</v>
      </c>
      <c r="O113" s="670">
        <v>0</v>
      </c>
      <c r="P113" s="294"/>
      <c r="Q113" s="294"/>
      <c r="R113" s="294">
        <f t="shared" si="147"/>
        <v>1</v>
      </c>
      <c r="S113" s="294">
        <f t="shared" si="148"/>
        <v>2</v>
      </c>
      <c r="T113" s="218">
        <v>1</v>
      </c>
      <c r="U113" s="237">
        <f t="shared" si="149"/>
        <v>1</v>
      </c>
      <c r="V113" s="237">
        <f>+T113*E113</f>
        <v>0.35</v>
      </c>
      <c r="W113" s="237">
        <f t="shared" si="150"/>
        <v>0.35</v>
      </c>
      <c r="X113" s="237">
        <f>+M113/F113</f>
        <v>0.16666666666666666</v>
      </c>
      <c r="Y113" s="237">
        <f t="shared" si="151"/>
        <v>0.33333333333333331</v>
      </c>
      <c r="Z113" s="218">
        <f>+X113*E113</f>
        <v>5.8333333333333327E-2</v>
      </c>
      <c r="AA113" s="218">
        <f>+Y113*E113</f>
        <v>0.11666666666666665</v>
      </c>
      <c r="AB113" s="222" t="s">
        <v>43</v>
      </c>
      <c r="AC113" s="724" t="s">
        <v>44</v>
      </c>
      <c r="AD113" s="724" t="s">
        <v>1557</v>
      </c>
      <c r="AE113" s="724" t="s">
        <v>885</v>
      </c>
      <c r="AF113" s="206"/>
      <c r="AG113" s="200"/>
      <c r="AH113" s="187"/>
    </row>
    <row r="114" spans="1:34" ht="67.150000000000006" customHeight="1" thickBot="1" x14ac:dyDescent="0.35">
      <c r="A114" s="331"/>
      <c r="B114" s="1174" t="s">
        <v>1772</v>
      </c>
      <c r="C114" s="1090" t="s">
        <v>1773</v>
      </c>
      <c r="D114" s="333" t="s">
        <v>716</v>
      </c>
      <c r="E114" s="285">
        <v>0.2</v>
      </c>
      <c r="F114" s="283">
        <v>40</v>
      </c>
      <c r="G114" s="213">
        <v>10</v>
      </c>
      <c r="H114" s="213">
        <v>3</v>
      </c>
      <c r="I114" s="218">
        <f>+G114/F114</f>
        <v>0.25</v>
      </c>
      <c r="J114" s="218">
        <f t="shared" si="145"/>
        <v>7.4999999999999997E-2</v>
      </c>
      <c r="K114" s="218">
        <f>+(G114/F114)*E114</f>
        <v>0.05</v>
      </c>
      <c r="L114" s="218">
        <f t="shared" si="146"/>
        <v>1.4999999999999999E-2</v>
      </c>
      <c r="M114" s="294">
        <v>16</v>
      </c>
      <c r="N114" s="670">
        <v>0</v>
      </c>
      <c r="O114" s="670">
        <v>3</v>
      </c>
      <c r="P114" s="294"/>
      <c r="Q114" s="294"/>
      <c r="R114" s="294">
        <f t="shared" si="147"/>
        <v>3</v>
      </c>
      <c r="S114" s="294">
        <f t="shared" si="148"/>
        <v>19</v>
      </c>
      <c r="T114" s="218">
        <v>1</v>
      </c>
      <c r="U114" s="237">
        <f t="shared" si="149"/>
        <v>1</v>
      </c>
      <c r="V114" s="237">
        <f>+T114*E114</f>
        <v>0.2</v>
      </c>
      <c r="W114" s="237">
        <f t="shared" si="150"/>
        <v>0.2</v>
      </c>
      <c r="X114" s="237">
        <f>+M114/F114</f>
        <v>0.4</v>
      </c>
      <c r="Y114" s="237">
        <v>1</v>
      </c>
      <c r="Z114" s="218">
        <f>+X114*E114</f>
        <v>8.0000000000000016E-2</v>
      </c>
      <c r="AA114" s="218">
        <f>+Y114*E114</f>
        <v>0.2</v>
      </c>
      <c r="AB114" s="222" t="s">
        <v>43</v>
      </c>
      <c r="AC114" s="724" t="s">
        <v>44</v>
      </c>
      <c r="AD114" s="724" t="s">
        <v>1557</v>
      </c>
      <c r="AE114" s="724" t="s">
        <v>36</v>
      </c>
      <c r="AF114" s="206"/>
      <c r="AG114" s="200"/>
      <c r="AH114" s="187"/>
    </row>
    <row r="115" spans="1:34" ht="67.150000000000006" customHeight="1" thickBot="1" x14ac:dyDescent="0.35">
      <c r="A115" s="331"/>
      <c r="B115" s="1090" t="s">
        <v>1774</v>
      </c>
      <c r="C115" s="1090" t="s">
        <v>1775</v>
      </c>
      <c r="D115" s="333" t="s">
        <v>716</v>
      </c>
      <c r="E115" s="285">
        <v>0.05</v>
      </c>
      <c r="F115" s="283">
        <v>1</v>
      </c>
      <c r="G115" s="213">
        <v>0</v>
      </c>
      <c r="H115" s="213">
        <v>0.5</v>
      </c>
      <c r="I115" s="218"/>
      <c r="J115" s="218">
        <f t="shared" si="145"/>
        <v>0.5</v>
      </c>
      <c r="K115" s="218"/>
      <c r="L115" s="218">
        <f t="shared" si="146"/>
        <v>2.5000000000000001E-2</v>
      </c>
      <c r="M115" s="213"/>
      <c r="N115" s="670"/>
      <c r="O115" s="670">
        <v>0.1</v>
      </c>
      <c r="P115" s="213"/>
      <c r="Q115" s="213"/>
      <c r="R115" s="213">
        <f t="shared" si="147"/>
        <v>0.1</v>
      </c>
      <c r="S115" s="213">
        <f t="shared" si="148"/>
        <v>0.1</v>
      </c>
      <c r="T115" s="218"/>
      <c r="U115" s="237">
        <f t="shared" si="149"/>
        <v>0.2</v>
      </c>
      <c r="V115" s="237"/>
      <c r="W115" s="237">
        <f t="shared" si="150"/>
        <v>1.0000000000000002E-2</v>
      </c>
      <c r="X115" s="1202">
        <v>0</v>
      </c>
      <c r="Y115" s="1202">
        <f t="shared" si="151"/>
        <v>0.1</v>
      </c>
      <c r="Z115" s="218">
        <v>0</v>
      </c>
      <c r="AA115" s="218">
        <f>+Y115*E115</f>
        <v>5.000000000000001E-3</v>
      </c>
      <c r="AB115" s="222" t="s">
        <v>43</v>
      </c>
      <c r="AC115" s="724" t="s">
        <v>44</v>
      </c>
      <c r="AD115" s="724" t="s">
        <v>1557</v>
      </c>
      <c r="AE115" s="724" t="s">
        <v>885</v>
      </c>
      <c r="AF115" s="206"/>
      <c r="AG115" s="200"/>
      <c r="AH115" s="187"/>
    </row>
    <row r="116" spans="1:34" ht="67.150000000000006" customHeight="1" thickBot="1" x14ac:dyDescent="0.35">
      <c r="A116" s="331"/>
      <c r="B116" s="1331" t="s">
        <v>1776</v>
      </c>
      <c r="C116" s="1326"/>
      <c r="D116" s="333"/>
      <c r="E116" s="289">
        <v>0.2</v>
      </c>
      <c r="F116" s="271"/>
      <c r="G116" s="206"/>
      <c r="H116" s="206"/>
      <c r="I116" s="212">
        <f>+AVERAGE(I117:I122)</f>
        <v>0.19999999999999998</v>
      </c>
      <c r="J116" s="212">
        <f>+AVERAGE(J117:J122)</f>
        <v>0.28150000000000003</v>
      </c>
      <c r="K116" s="212">
        <f>+K117+K118+K119+K120+K121+K122</f>
        <v>0.17499999999999999</v>
      </c>
      <c r="L116" s="212">
        <f>+L117+L118+L119+L120+L121+L122</f>
        <v>0.28525</v>
      </c>
      <c r="M116" s="211"/>
      <c r="N116" s="211"/>
      <c r="O116" s="211"/>
      <c r="P116" s="211"/>
      <c r="Q116" s="211"/>
      <c r="R116" s="211"/>
      <c r="S116" s="211"/>
      <c r="T116" s="235">
        <f>+AVERAGE(T117:T122)</f>
        <v>0.90600000000000003</v>
      </c>
      <c r="U116" s="235">
        <f>+AVERAGE(U117:U122)</f>
        <v>0.35873940480323457</v>
      </c>
      <c r="V116" s="235">
        <f>+(V117+V118+V119+V120+V121+V122)*E116</f>
        <v>0.18236000000000002</v>
      </c>
      <c r="W116" s="235">
        <f>+(W117+W118+W119+W120+W121+W122)*E116</f>
        <v>7.5302940322089271E-2</v>
      </c>
      <c r="X116" s="212">
        <f>+AVERAGE(X117:X122)</f>
        <v>0.18400000000000002</v>
      </c>
      <c r="Y116" s="212">
        <f>+AVERAGE(Y117:Y122)</f>
        <v>0.27984848484848485</v>
      </c>
      <c r="Z116" s="212">
        <f>+(Z117+Z118+Z119+Z120+Z121+Z122)*E116</f>
        <v>3.2840000000000001E-2</v>
      </c>
      <c r="AA116" s="212">
        <f>+(AA117+AA118+AA119+AA120+AA121+AA122)</f>
        <v>0.2650818181818182</v>
      </c>
      <c r="AB116" s="206"/>
      <c r="AC116" s="206"/>
      <c r="AD116" s="206"/>
      <c r="AE116" s="206"/>
      <c r="AF116" s="206"/>
      <c r="AG116" s="200"/>
      <c r="AH116" s="187"/>
    </row>
    <row r="117" spans="1:34" ht="67.150000000000006" customHeight="1" thickBot="1" x14ac:dyDescent="0.35">
      <c r="A117" s="331"/>
      <c r="B117" s="1174" t="s">
        <v>1777</v>
      </c>
      <c r="C117" s="1090" t="s">
        <v>1778</v>
      </c>
      <c r="D117" s="333" t="s">
        <v>716</v>
      </c>
      <c r="E117" s="285">
        <v>0.05</v>
      </c>
      <c r="F117" s="283">
        <v>1</v>
      </c>
      <c r="G117" s="294">
        <v>0.25</v>
      </c>
      <c r="H117" s="294">
        <v>0.3</v>
      </c>
      <c r="I117" s="218">
        <f t="shared" ref="I117:I122" si="152">+G117/F117</f>
        <v>0.25</v>
      </c>
      <c r="J117" s="218">
        <f t="shared" ref="J117:J122" si="153">+H117/F117</f>
        <v>0.3</v>
      </c>
      <c r="K117" s="218">
        <f t="shared" ref="K117:K122" si="154">+(G117/F117)*E117</f>
        <v>1.2500000000000001E-2</v>
      </c>
      <c r="L117" s="218">
        <f t="shared" ref="L117:L122" si="155">+(H117/F117)*E117</f>
        <v>1.4999999999999999E-2</v>
      </c>
      <c r="M117" s="294">
        <v>0.19900000000000001</v>
      </c>
      <c r="N117" s="670">
        <v>2.4E-2</v>
      </c>
      <c r="O117" s="670">
        <v>0.03</v>
      </c>
      <c r="P117" s="294"/>
      <c r="Q117" s="294"/>
      <c r="R117" s="294">
        <f t="shared" ref="R117:R122" si="156">+N117+O117+P117+Q117</f>
        <v>5.3999999999999999E-2</v>
      </c>
      <c r="S117" s="294">
        <f t="shared" ref="S117:S122" si="157">+R117+M117</f>
        <v>0.253</v>
      </c>
      <c r="T117" s="218">
        <f t="shared" ref="T117:T122" si="158">+(M117/G117)</f>
        <v>0.79600000000000004</v>
      </c>
      <c r="U117" s="237">
        <f t="shared" ref="U117:U122" si="159">+R117/H117</f>
        <v>0.18</v>
      </c>
      <c r="V117" s="237">
        <f t="shared" ref="V117:V122" si="160">+T117*E117</f>
        <v>3.9800000000000002E-2</v>
      </c>
      <c r="W117" s="237">
        <f t="shared" ref="W117:W122" si="161">+U117*E117</f>
        <v>8.9999999999999993E-3</v>
      </c>
      <c r="X117" s="237">
        <f t="shared" ref="X117:X122" si="162">+M117/F117</f>
        <v>0.19900000000000001</v>
      </c>
      <c r="Y117" s="237">
        <f t="shared" ref="Y117:Y122" si="163">+S117/F117</f>
        <v>0.253</v>
      </c>
      <c r="Z117" s="218">
        <f t="shared" ref="Z117:Z122" si="164">+X117*E117</f>
        <v>9.9500000000000005E-3</v>
      </c>
      <c r="AA117" s="218">
        <f t="shared" ref="AA117:AA122" si="165">+Y117*E117</f>
        <v>1.2650000000000002E-2</v>
      </c>
      <c r="AB117" s="222" t="s">
        <v>43</v>
      </c>
      <c r="AC117" s="724" t="s">
        <v>44</v>
      </c>
      <c r="AD117" s="724" t="s">
        <v>1557</v>
      </c>
      <c r="AE117" s="724" t="s">
        <v>885</v>
      </c>
      <c r="AF117" s="206"/>
      <c r="AG117" s="200"/>
      <c r="AH117" s="187"/>
    </row>
    <row r="118" spans="1:34" ht="83.45" customHeight="1" thickBot="1" x14ac:dyDescent="0.35">
      <c r="A118" s="331"/>
      <c r="B118" s="1174" t="s">
        <v>1779</v>
      </c>
      <c r="C118" s="1090" t="s">
        <v>1780</v>
      </c>
      <c r="D118" s="333" t="s">
        <v>716</v>
      </c>
      <c r="E118" s="285">
        <v>0.25</v>
      </c>
      <c r="F118" s="283">
        <v>1</v>
      </c>
      <c r="G118" s="294">
        <v>0.1</v>
      </c>
      <c r="H118" s="294">
        <v>0.32900000000000001</v>
      </c>
      <c r="I118" s="301">
        <f t="shared" si="152"/>
        <v>0.1</v>
      </c>
      <c r="J118" s="301">
        <f t="shared" si="153"/>
        <v>0.32900000000000001</v>
      </c>
      <c r="K118" s="301">
        <f t="shared" si="154"/>
        <v>2.5000000000000001E-2</v>
      </c>
      <c r="L118" s="301">
        <f t="shared" si="155"/>
        <v>8.2250000000000004E-2</v>
      </c>
      <c r="M118" s="300">
        <v>7.0000000000000007E-2</v>
      </c>
      <c r="N118" s="730">
        <v>2.9000000000000001E-2</v>
      </c>
      <c r="O118" s="730">
        <v>2.8000000000000001E-2</v>
      </c>
      <c r="P118" s="300"/>
      <c r="Q118" s="300"/>
      <c r="R118" s="300">
        <f t="shared" si="156"/>
        <v>5.7000000000000002E-2</v>
      </c>
      <c r="S118" s="300">
        <f t="shared" si="157"/>
        <v>0.127</v>
      </c>
      <c r="T118" s="218">
        <f t="shared" si="158"/>
        <v>0.70000000000000007</v>
      </c>
      <c r="U118" s="237">
        <f t="shared" si="159"/>
        <v>0.17325227963525835</v>
      </c>
      <c r="V118" s="237">
        <f t="shared" si="160"/>
        <v>0.17500000000000002</v>
      </c>
      <c r="W118" s="237">
        <f t="shared" si="161"/>
        <v>4.3313069908814589E-2</v>
      </c>
      <c r="X118" s="237">
        <f t="shared" si="162"/>
        <v>7.0000000000000007E-2</v>
      </c>
      <c r="Y118" s="237">
        <f t="shared" si="163"/>
        <v>0.127</v>
      </c>
      <c r="Z118" s="218">
        <f t="shared" si="164"/>
        <v>1.7500000000000002E-2</v>
      </c>
      <c r="AA118" s="218">
        <f t="shared" si="165"/>
        <v>3.175E-2</v>
      </c>
      <c r="AB118" s="222" t="s">
        <v>43</v>
      </c>
      <c r="AC118" s="724" t="s">
        <v>44</v>
      </c>
      <c r="AD118" s="724" t="s">
        <v>1557</v>
      </c>
      <c r="AE118" s="724" t="s">
        <v>885</v>
      </c>
      <c r="AF118" s="206"/>
      <c r="AG118" s="200"/>
      <c r="AH118" s="187"/>
    </row>
    <row r="119" spans="1:34" ht="67.150000000000006" customHeight="1" thickBot="1" x14ac:dyDescent="0.35">
      <c r="A119" s="331"/>
      <c r="B119" s="1090" t="s">
        <v>1781</v>
      </c>
      <c r="C119" s="1090" t="s">
        <v>1782</v>
      </c>
      <c r="D119" s="333" t="s">
        <v>716</v>
      </c>
      <c r="E119" s="285">
        <v>0.05</v>
      </c>
      <c r="F119" s="283">
        <v>1</v>
      </c>
      <c r="G119" s="213">
        <v>0.25</v>
      </c>
      <c r="H119" s="213">
        <v>0.26</v>
      </c>
      <c r="I119" s="218">
        <f>+G119/F119</f>
        <v>0.25</v>
      </c>
      <c r="J119" s="218">
        <f t="shared" si="153"/>
        <v>0.26</v>
      </c>
      <c r="K119" s="218">
        <f t="shared" si="154"/>
        <v>1.2500000000000001E-2</v>
      </c>
      <c r="L119" s="218">
        <f t="shared" si="155"/>
        <v>1.3000000000000001E-2</v>
      </c>
      <c r="M119" s="213">
        <f>0.94*G119</f>
        <v>0.23499999999999999</v>
      </c>
      <c r="N119" s="670">
        <v>8.2500000000000004E-2</v>
      </c>
      <c r="O119" s="670">
        <v>7.4999999999999997E-3</v>
      </c>
      <c r="P119" s="213"/>
      <c r="Q119" s="213"/>
      <c r="R119" s="213">
        <f t="shared" si="156"/>
        <v>0.09</v>
      </c>
      <c r="S119" s="213">
        <f t="shared" si="157"/>
        <v>0.32499999999999996</v>
      </c>
      <c r="T119" s="218">
        <f t="shared" si="158"/>
        <v>0.94</v>
      </c>
      <c r="U119" s="237">
        <f t="shared" si="159"/>
        <v>0.34615384615384615</v>
      </c>
      <c r="V119" s="237">
        <f t="shared" si="160"/>
        <v>4.7E-2</v>
      </c>
      <c r="W119" s="237">
        <f t="shared" si="161"/>
        <v>1.7307692307692309E-2</v>
      </c>
      <c r="X119" s="237">
        <f t="shared" si="162"/>
        <v>0.23499999999999999</v>
      </c>
      <c r="Y119" s="237">
        <f t="shared" si="163"/>
        <v>0.32499999999999996</v>
      </c>
      <c r="Z119" s="218">
        <f t="shared" si="164"/>
        <v>1.175E-2</v>
      </c>
      <c r="AA119" s="218">
        <f t="shared" si="165"/>
        <v>1.6249999999999997E-2</v>
      </c>
      <c r="AB119" s="222" t="s">
        <v>43</v>
      </c>
      <c r="AC119" s="724" t="s">
        <v>44</v>
      </c>
      <c r="AD119" s="724" t="s">
        <v>1557</v>
      </c>
      <c r="AE119" s="724" t="s">
        <v>885</v>
      </c>
      <c r="AF119" s="206"/>
      <c r="AG119" s="200"/>
      <c r="AH119" s="187"/>
    </row>
    <row r="120" spans="1:34" ht="67.150000000000006" customHeight="1" thickBot="1" x14ac:dyDescent="0.35">
      <c r="A120" s="331"/>
      <c r="B120" s="1174" t="s">
        <v>1783</v>
      </c>
      <c r="C120" s="1090" t="s">
        <v>1784</v>
      </c>
      <c r="D120" s="333" t="s">
        <v>716</v>
      </c>
      <c r="E120" s="285">
        <v>0.25</v>
      </c>
      <c r="F120" s="283">
        <v>1</v>
      </c>
      <c r="G120" s="213">
        <v>0.1</v>
      </c>
      <c r="H120" s="213">
        <v>0.3</v>
      </c>
      <c r="I120" s="218">
        <f t="shared" si="152"/>
        <v>0.1</v>
      </c>
      <c r="J120" s="218">
        <f t="shared" si="153"/>
        <v>0.3</v>
      </c>
      <c r="K120" s="218">
        <f t="shared" si="154"/>
        <v>2.5000000000000001E-2</v>
      </c>
      <c r="L120" s="218">
        <f t="shared" si="155"/>
        <v>7.4999999999999997E-2</v>
      </c>
      <c r="M120" s="213">
        <v>0.1</v>
      </c>
      <c r="N120" s="670">
        <v>6.5000000000000002E-2</v>
      </c>
      <c r="O120" s="670">
        <v>0</v>
      </c>
      <c r="P120" s="213"/>
      <c r="Q120" s="213"/>
      <c r="R120" s="213">
        <f t="shared" si="156"/>
        <v>6.5000000000000002E-2</v>
      </c>
      <c r="S120" s="213">
        <f t="shared" si="157"/>
        <v>0.16500000000000001</v>
      </c>
      <c r="T120" s="218">
        <f t="shared" si="158"/>
        <v>1</v>
      </c>
      <c r="U120" s="237">
        <f t="shared" si="159"/>
        <v>0.21666666666666667</v>
      </c>
      <c r="V120" s="237">
        <f t="shared" si="160"/>
        <v>0.25</v>
      </c>
      <c r="W120" s="237">
        <f t="shared" si="161"/>
        <v>5.4166666666666669E-2</v>
      </c>
      <c r="X120" s="237">
        <f t="shared" si="162"/>
        <v>0.1</v>
      </c>
      <c r="Y120" s="237">
        <f t="shared" si="163"/>
        <v>0.16500000000000001</v>
      </c>
      <c r="Z120" s="218">
        <f t="shared" si="164"/>
        <v>2.5000000000000001E-2</v>
      </c>
      <c r="AA120" s="218">
        <f t="shared" si="165"/>
        <v>4.1250000000000002E-2</v>
      </c>
      <c r="AB120" s="222" t="s">
        <v>43</v>
      </c>
      <c r="AC120" s="724" t="s">
        <v>44</v>
      </c>
      <c r="AD120" s="724" t="s">
        <v>1557</v>
      </c>
      <c r="AE120" s="724" t="s">
        <v>885</v>
      </c>
      <c r="AF120" s="206"/>
      <c r="AG120" s="200"/>
      <c r="AH120" s="187"/>
    </row>
    <row r="121" spans="1:34" ht="101.45" customHeight="1" thickBot="1" x14ac:dyDescent="0.35">
      <c r="A121" s="331"/>
      <c r="B121" s="1174" t="s">
        <v>1785</v>
      </c>
      <c r="C121" s="1090" t="s">
        <v>1786</v>
      </c>
      <c r="D121" s="333" t="s">
        <v>716</v>
      </c>
      <c r="E121" s="285">
        <v>0.05</v>
      </c>
      <c r="F121" s="283">
        <v>4</v>
      </c>
      <c r="G121" s="213">
        <v>1</v>
      </c>
      <c r="H121" s="720">
        <v>1</v>
      </c>
      <c r="I121" s="218">
        <f t="shared" si="152"/>
        <v>0.25</v>
      </c>
      <c r="J121" s="218">
        <f t="shared" si="153"/>
        <v>0.25</v>
      </c>
      <c r="K121" s="218">
        <f t="shared" si="154"/>
        <v>1.2500000000000001E-2</v>
      </c>
      <c r="L121" s="218">
        <f t="shared" si="155"/>
        <v>1.2500000000000001E-2</v>
      </c>
      <c r="M121" s="213">
        <v>1</v>
      </c>
      <c r="N121" s="670">
        <v>0.1</v>
      </c>
      <c r="O121" s="213">
        <v>0.5</v>
      </c>
      <c r="P121" s="213"/>
      <c r="Q121" s="213"/>
      <c r="R121" s="213">
        <f t="shared" si="156"/>
        <v>0.6</v>
      </c>
      <c r="S121" s="213">
        <f t="shared" si="157"/>
        <v>1.6</v>
      </c>
      <c r="T121" s="218">
        <f t="shared" si="158"/>
        <v>1</v>
      </c>
      <c r="U121" s="237">
        <f t="shared" si="159"/>
        <v>0.6</v>
      </c>
      <c r="V121" s="237">
        <f t="shared" si="160"/>
        <v>0.05</v>
      </c>
      <c r="W121" s="237">
        <f t="shared" si="161"/>
        <v>0.03</v>
      </c>
      <c r="X121" s="237">
        <f t="shared" si="162"/>
        <v>0.25</v>
      </c>
      <c r="Y121" s="237">
        <f t="shared" si="163"/>
        <v>0.4</v>
      </c>
      <c r="Z121" s="218">
        <f t="shared" si="164"/>
        <v>1.2500000000000001E-2</v>
      </c>
      <c r="AA121" s="218">
        <f t="shared" si="165"/>
        <v>2.0000000000000004E-2</v>
      </c>
      <c r="AB121" s="222" t="s">
        <v>43</v>
      </c>
      <c r="AC121" s="724" t="s">
        <v>44</v>
      </c>
      <c r="AD121" s="724" t="s">
        <v>1557</v>
      </c>
      <c r="AE121" s="724" t="s">
        <v>885</v>
      </c>
      <c r="AF121" s="206"/>
      <c r="AG121" s="200"/>
      <c r="AH121" s="187"/>
    </row>
    <row r="122" spans="1:34" ht="102" customHeight="1" thickBot="1" x14ac:dyDescent="0.35">
      <c r="A122" s="331"/>
      <c r="B122" s="1174" t="s">
        <v>1787</v>
      </c>
      <c r="C122" s="1090" t="s">
        <v>1788</v>
      </c>
      <c r="D122" s="333" t="s">
        <v>716</v>
      </c>
      <c r="E122" s="285">
        <v>0.35</v>
      </c>
      <c r="F122" s="283">
        <v>44</v>
      </c>
      <c r="G122" s="213">
        <v>11</v>
      </c>
      <c r="H122" s="213">
        <v>11</v>
      </c>
      <c r="I122" s="218">
        <f t="shared" si="152"/>
        <v>0.25</v>
      </c>
      <c r="J122" s="218">
        <f t="shared" si="153"/>
        <v>0.25</v>
      </c>
      <c r="K122" s="218">
        <f t="shared" si="154"/>
        <v>8.7499999999999994E-2</v>
      </c>
      <c r="L122" s="218">
        <f t="shared" si="155"/>
        <v>8.7499999999999994E-2</v>
      </c>
      <c r="M122" s="213">
        <v>11</v>
      </c>
      <c r="N122" s="670">
        <v>5</v>
      </c>
      <c r="O122" s="213">
        <v>2</v>
      </c>
      <c r="P122" s="213"/>
      <c r="Q122" s="213"/>
      <c r="R122" s="213">
        <f t="shared" si="156"/>
        <v>7</v>
      </c>
      <c r="S122" s="213">
        <f t="shared" si="157"/>
        <v>18</v>
      </c>
      <c r="T122" s="218">
        <f t="shared" si="158"/>
        <v>1</v>
      </c>
      <c r="U122" s="237">
        <f t="shared" si="159"/>
        <v>0.63636363636363635</v>
      </c>
      <c r="V122" s="237">
        <f t="shared" si="160"/>
        <v>0.35</v>
      </c>
      <c r="W122" s="237">
        <f t="shared" si="161"/>
        <v>0.22272727272727272</v>
      </c>
      <c r="X122" s="237">
        <f t="shared" si="162"/>
        <v>0.25</v>
      </c>
      <c r="Y122" s="237">
        <f t="shared" si="163"/>
        <v>0.40909090909090912</v>
      </c>
      <c r="Z122" s="218">
        <f t="shared" si="164"/>
        <v>8.7499999999999994E-2</v>
      </c>
      <c r="AA122" s="218">
        <f t="shared" si="165"/>
        <v>0.14318181818181819</v>
      </c>
      <c r="AB122" s="222" t="s">
        <v>43</v>
      </c>
      <c r="AC122" s="724" t="s">
        <v>44</v>
      </c>
      <c r="AD122" s="724" t="s">
        <v>1557</v>
      </c>
      <c r="AE122" s="724" t="s">
        <v>885</v>
      </c>
      <c r="AF122" s="206"/>
      <c r="AG122" s="200"/>
      <c r="AH122" s="187"/>
    </row>
    <row r="123" spans="1:34" ht="67.150000000000006" customHeight="1" thickBot="1" x14ac:dyDescent="0.35">
      <c r="A123" s="331"/>
      <c r="B123" s="1331" t="s">
        <v>1789</v>
      </c>
      <c r="C123" s="1326"/>
      <c r="D123" s="333"/>
      <c r="E123" s="289">
        <v>0.2</v>
      </c>
      <c r="F123" s="271"/>
      <c r="G123" s="206"/>
      <c r="H123" s="206"/>
      <c r="I123" s="212">
        <f>+AVERAGE(I124:I130)</f>
        <v>0.25</v>
      </c>
      <c r="J123" s="212">
        <f>+AVERAGE(J124:J130)</f>
        <v>0.27040816326530609</v>
      </c>
      <c r="K123" s="212">
        <f>K124+K125+K126+K127+K128+K129+K130</f>
        <v>0.2</v>
      </c>
      <c r="L123" s="212">
        <f>L124+L125+L126+L127+L128+L129+L130</f>
        <v>0.26428571428571429</v>
      </c>
      <c r="M123" s="211"/>
      <c r="N123" s="211"/>
      <c r="O123" s="211"/>
      <c r="P123" s="211"/>
      <c r="Q123" s="211"/>
      <c r="R123" s="211"/>
      <c r="S123" s="211"/>
      <c r="T123" s="235">
        <f>+AVERAGE(T124:T130)</f>
        <v>1</v>
      </c>
      <c r="U123" s="235">
        <f>+AVERAGE(U124:U130)</f>
        <v>0.44361904761904764</v>
      </c>
      <c r="V123" s="235">
        <f>+(V124+V125+V126+V127+V128+V129+V130)*E123</f>
        <v>0.16000000000000003</v>
      </c>
      <c r="W123" s="235">
        <f>+(W124+W125+W126+W127+W128+W129+W130)*E123</f>
        <v>9.4493333333333346E-2</v>
      </c>
      <c r="X123" s="212">
        <f>+AVERAGE(X124:X130)</f>
        <v>0.25941666666666668</v>
      </c>
      <c r="Y123" s="345">
        <f>+AVERAGE(Y124:Y130)</f>
        <v>0.34126190476190477</v>
      </c>
      <c r="Z123" s="212">
        <f>+(Z124+Z125+Z126+Z127+Z128+Z129+Z130)*E123</f>
        <v>4.8570000000000002E-2</v>
      </c>
      <c r="AA123" s="212">
        <f>+(AA124+AA125+AA126+AA127+AA128+AA129+AA130)</f>
        <v>0.36731666666666668</v>
      </c>
      <c r="AB123" s="206"/>
      <c r="AC123" s="206"/>
      <c r="AD123" s="206"/>
      <c r="AE123" s="206"/>
      <c r="AF123" s="206"/>
      <c r="AG123" s="200"/>
      <c r="AH123" s="187"/>
    </row>
    <row r="124" spans="1:34" ht="67.150000000000006" customHeight="1" thickBot="1" x14ac:dyDescent="0.35">
      <c r="A124" s="331"/>
      <c r="B124" s="1174" t="s">
        <v>1790</v>
      </c>
      <c r="C124" s="1090" t="s">
        <v>1791</v>
      </c>
      <c r="D124" s="333" t="s">
        <v>716</v>
      </c>
      <c r="E124" s="285">
        <v>0.1</v>
      </c>
      <c r="F124" s="283">
        <v>16</v>
      </c>
      <c r="G124" s="213">
        <v>4</v>
      </c>
      <c r="H124" s="213">
        <v>4</v>
      </c>
      <c r="I124" s="218">
        <f t="shared" ref="I124:I129" si="166">+G124/F124</f>
        <v>0.25</v>
      </c>
      <c r="J124" s="218">
        <f t="shared" ref="J124:J130" si="167">+H124/F124</f>
        <v>0.25</v>
      </c>
      <c r="K124" s="218">
        <f t="shared" ref="K124:K129" si="168">+(G124/F124)*E124</f>
        <v>2.5000000000000001E-2</v>
      </c>
      <c r="L124" s="218">
        <f t="shared" ref="L124:L130" si="169">+(H124/F124)*E124</f>
        <v>2.5000000000000001E-2</v>
      </c>
      <c r="M124" s="294">
        <v>5</v>
      </c>
      <c r="N124" s="670">
        <v>1</v>
      </c>
      <c r="O124" s="670">
        <v>1</v>
      </c>
      <c r="P124" s="294"/>
      <c r="Q124" s="294"/>
      <c r="R124" s="294">
        <f t="shared" ref="R124:R130" si="170">+N124+O124+P124+Q124</f>
        <v>2</v>
      </c>
      <c r="S124" s="294">
        <f t="shared" ref="S124:S130" si="171">+R124+M124</f>
        <v>7</v>
      </c>
      <c r="T124" s="237">
        <v>1</v>
      </c>
      <c r="U124" s="237">
        <f t="shared" ref="U124:U141" si="172">+R124/H124</f>
        <v>0.5</v>
      </c>
      <c r="V124" s="237">
        <f>+T124*E124</f>
        <v>0.1</v>
      </c>
      <c r="W124" s="237">
        <f t="shared" ref="W124:W130" si="173">+U124*E124</f>
        <v>0.05</v>
      </c>
      <c r="X124" s="237">
        <f>+M124/F124</f>
        <v>0.3125</v>
      </c>
      <c r="Y124" s="237">
        <f t="shared" ref="Y124:Y130" si="174">+S124/F124</f>
        <v>0.4375</v>
      </c>
      <c r="Z124" s="218">
        <f>+X124*E124</f>
        <v>3.125E-2</v>
      </c>
      <c r="AA124" s="218">
        <f>+Y124*E124</f>
        <v>4.3750000000000004E-2</v>
      </c>
      <c r="AB124" s="222" t="s">
        <v>43</v>
      </c>
      <c r="AC124" s="724" t="s">
        <v>44</v>
      </c>
      <c r="AD124" s="724" t="s">
        <v>1557</v>
      </c>
      <c r="AE124" s="724" t="s">
        <v>885</v>
      </c>
      <c r="AF124" s="206"/>
      <c r="AG124" s="200"/>
      <c r="AH124" s="187"/>
    </row>
    <row r="125" spans="1:34" ht="67.150000000000006" customHeight="1" thickBot="1" x14ac:dyDescent="0.35">
      <c r="A125" s="331"/>
      <c r="B125" s="1174" t="s">
        <v>1792</v>
      </c>
      <c r="C125" s="1090" t="s">
        <v>1793</v>
      </c>
      <c r="D125" s="333" t="s">
        <v>716</v>
      </c>
      <c r="E125" s="285">
        <v>0.15</v>
      </c>
      <c r="F125" s="283">
        <v>92</v>
      </c>
      <c r="G125" s="213">
        <v>23</v>
      </c>
      <c r="H125" s="213">
        <v>23</v>
      </c>
      <c r="I125" s="218">
        <f t="shared" si="166"/>
        <v>0.25</v>
      </c>
      <c r="J125" s="218">
        <f t="shared" si="167"/>
        <v>0.25</v>
      </c>
      <c r="K125" s="218">
        <f t="shared" si="168"/>
        <v>3.7499999999999999E-2</v>
      </c>
      <c r="L125" s="218">
        <f t="shared" si="169"/>
        <v>3.7499999999999999E-2</v>
      </c>
      <c r="M125" s="294">
        <v>23</v>
      </c>
      <c r="N125" s="720">
        <v>23</v>
      </c>
      <c r="O125" s="670">
        <v>0</v>
      </c>
      <c r="P125" s="294"/>
      <c r="Q125" s="294"/>
      <c r="R125" s="294">
        <f t="shared" si="170"/>
        <v>23</v>
      </c>
      <c r="S125" s="294">
        <f t="shared" si="171"/>
        <v>46</v>
      </c>
      <c r="T125" s="237">
        <f>+(M125/G125)</f>
        <v>1</v>
      </c>
      <c r="U125" s="237">
        <v>0.5</v>
      </c>
      <c r="V125" s="237">
        <f>+T125*E125</f>
        <v>0.15</v>
      </c>
      <c r="W125" s="237">
        <f t="shared" si="173"/>
        <v>7.4999999999999997E-2</v>
      </c>
      <c r="X125" s="237">
        <f>+M125/F125</f>
        <v>0.25</v>
      </c>
      <c r="Y125" s="237">
        <v>0.378</v>
      </c>
      <c r="Z125" s="218">
        <f>+X125*E125</f>
        <v>3.7499999999999999E-2</v>
      </c>
      <c r="AA125" s="218">
        <f>+Y125*E125</f>
        <v>5.67E-2</v>
      </c>
      <c r="AB125" s="222" t="s">
        <v>43</v>
      </c>
      <c r="AC125" s="724" t="s">
        <v>44</v>
      </c>
      <c r="AD125" s="724" t="s">
        <v>1557</v>
      </c>
      <c r="AE125" s="724" t="s">
        <v>885</v>
      </c>
      <c r="AF125" s="206"/>
      <c r="AG125" s="200"/>
      <c r="AH125" s="187"/>
    </row>
    <row r="126" spans="1:34" ht="67.150000000000006" customHeight="1" thickBot="1" x14ac:dyDescent="0.35">
      <c r="A126" s="331"/>
      <c r="B126" s="1174" t="s">
        <v>1794</v>
      </c>
      <c r="C126" s="1090" t="s">
        <v>1795</v>
      </c>
      <c r="D126" s="333" t="s">
        <v>716</v>
      </c>
      <c r="E126" s="285">
        <v>0.15</v>
      </c>
      <c r="F126" s="283">
        <v>1500</v>
      </c>
      <c r="G126" s="213">
        <v>375</v>
      </c>
      <c r="H126" s="213">
        <v>375</v>
      </c>
      <c r="I126" s="218">
        <f t="shared" si="166"/>
        <v>0.25</v>
      </c>
      <c r="J126" s="218">
        <f t="shared" si="167"/>
        <v>0.25</v>
      </c>
      <c r="K126" s="218">
        <f t="shared" si="168"/>
        <v>3.7499999999999999E-2</v>
      </c>
      <c r="L126" s="218">
        <f t="shared" si="169"/>
        <v>3.7499999999999999E-2</v>
      </c>
      <c r="M126" s="294">
        <v>741</v>
      </c>
      <c r="N126" s="670">
        <v>80</v>
      </c>
      <c r="O126" s="670">
        <v>197</v>
      </c>
      <c r="P126" s="294"/>
      <c r="Q126" s="294"/>
      <c r="R126" s="294">
        <f t="shared" si="170"/>
        <v>277</v>
      </c>
      <c r="S126" s="294">
        <f t="shared" si="171"/>
        <v>1018</v>
      </c>
      <c r="T126" s="237">
        <v>1</v>
      </c>
      <c r="U126" s="237">
        <f>+R126/H126</f>
        <v>0.73866666666666669</v>
      </c>
      <c r="V126" s="237">
        <f>+T126*E126</f>
        <v>0.15</v>
      </c>
      <c r="W126" s="237">
        <f t="shared" si="173"/>
        <v>0.1108</v>
      </c>
      <c r="X126" s="237">
        <f>+M126/F126</f>
        <v>0.49399999999999999</v>
      </c>
      <c r="Y126" s="237">
        <f t="shared" si="174"/>
        <v>0.67866666666666664</v>
      </c>
      <c r="Z126" s="218">
        <f>+X126*E126</f>
        <v>7.4099999999999999E-2</v>
      </c>
      <c r="AA126" s="218">
        <f>+Y126*E126</f>
        <v>0.10179999999999999</v>
      </c>
      <c r="AB126" s="222" t="s">
        <v>43</v>
      </c>
      <c r="AC126" s="724" t="s">
        <v>44</v>
      </c>
      <c r="AD126" s="724" t="s">
        <v>1557</v>
      </c>
      <c r="AE126" s="724" t="s">
        <v>885</v>
      </c>
      <c r="AF126" s="206"/>
      <c r="AG126" s="200"/>
      <c r="AH126" s="187"/>
    </row>
    <row r="127" spans="1:34" ht="67.150000000000006" customHeight="1" thickBot="1" x14ac:dyDescent="0.35">
      <c r="A127" s="331"/>
      <c r="B127" s="1174" t="s">
        <v>1796</v>
      </c>
      <c r="C127" s="1090" t="s">
        <v>1797</v>
      </c>
      <c r="D127" s="333" t="s">
        <v>716</v>
      </c>
      <c r="E127" s="285">
        <v>0.1</v>
      </c>
      <c r="F127" s="283">
        <v>12</v>
      </c>
      <c r="G127" s="213">
        <v>3</v>
      </c>
      <c r="H127" s="213">
        <v>3</v>
      </c>
      <c r="I127" s="218">
        <f t="shared" si="166"/>
        <v>0.25</v>
      </c>
      <c r="J127" s="218">
        <f t="shared" si="167"/>
        <v>0.25</v>
      </c>
      <c r="K127" s="218">
        <f t="shared" si="168"/>
        <v>2.5000000000000001E-2</v>
      </c>
      <c r="L127" s="218">
        <f t="shared" si="169"/>
        <v>2.5000000000000001E-2</v>
      </c>
      <c r="M127" s="294">
        <v>3</v>
      </c>
      <c r="N127" s="670">
        <v>1</v>
      </c>
      <c r="O127" s="670">
        <v>1</v>
      </c>
      <c r="P127" s="294"/>
      <c r="Q127" s="294"/>
      <c r="R127" s="294">
        <f t="shared" si="170"/>
        <v>2</v>
      </c>
      <c r="S127" s="294">
        <f t="shared" si="171"/>
        <v>5</v>
      </c>
      <c r="T127" s="237">
        <f>+(M127/G127)</f>
        <v>1</v>
      </c>
      <c r="U127" s="237">
        <f t="shared" si="172"/>
        <v>0.66666666666666663</v>
      </c>
      <c r="V127" s="237">
        <f>+T127*E127</f>
        <v>0.1</v>
      </c>
      <c r="W127" s="237">
        <f t="shared" si="173"/>
        <v>6.6666666666666666E-2</v>
      </c>
      <c r="X127" s="237">
        <f>+M127/F127</f>
        <v>0.25</v>
      </c>
      <c r="Y127" s="237">
        <f t="shared" si="174"/>
        <v>0.41666666666666669</v>
      </c>
      <c r="Z127" s="218">
        <f>+X127*E127</f>
        <v>2.5000000000000001E-2</v>
      </c>
      <c r="AA127" s="218">
        <f>+Y127*E127</f>
        <v>4.1666666666666671E-2</v>
      </c>
      <c r="AB127" s="222" t="s">
        <v>43</v>
      </c>
      <c r="AC127" s="724" t="s">
        <v>44</v>
      </c>
      <c r="AD127" s="724" t="s">
        <v>1557</v>
      </c>
      <c r="AE127" s="724" t="s">
        <v>885</v>
      </c>
      <c r="AF127" s="206"/>
      <c r="AG127" s="200"/>
      <c r="AH127" s="187"/>
    </row>
    <row r="128" spans="1:34" ht="101.45" customHeight="1" thickBot="1" x14ac:dyDescent="0.35">
      <c r="A128" s="331"/>
      <c r="B128" s="1174" t="s">
        <v>1798</v>
      </c>
      <c r="C128" s="1090" t="s">
        <v>1799</v>
      </c>
      <c r="D128" s="333" t="s">
        <v>716</v>
      </c>
      <c r="E128" s="285">
        <v>0.1</v>
      </c>
      <c r="F128" s="283">
        <v>1</v>
      </c>
      <c r="G128" s="294">
        <v>0</v>
      </c>
      <c r="H128" s="294">
        <v>0.5</v>
      </c>
      <c r="I128" s="218"/>
      <c r="J128" s="218">
        <f t="shared" si="167"/>
        <v>0.5</v>
      </c>
      <c r="K128" s="218"/>
      <c r="L128" s="218">
        <f t="shared" si="169"/>
        <v>0.05</v>
      </c>
      <c r="M128" s="294"/>
      <c r="N128" s="670">
        <v>0</v>
      </c>
      <c r="O128" s="670">
        <v>0.1</v>
      </c>
      <c r="P128" s="294"/>
      <c r="Q128" s="294"/>
      <c r="R128" s="294">
        <f t="shared" si="170"/>
        <v>0.1</v>
      </c>
      <c r="S128" s="294">
        <f t="shared" si="171"/>
        <v>0.1</v>
      </c>
      <c r="T128" s="237"/>
      <c r="U128" s="237">
        <f t="shared" si="172"/>
        <v>0.2</v>
      </c>
      <c r="V128" s="237"/>
      <c r="W128" s="237">
        <f t="shared" si="173"/>
        <v>2.0000000000000004E-2</v>
      </c>
      <c r="X128" s="1202">
        <v>0</v>
      </c>
      <c r="Y128" s="1202">
        <f t="shared" si="174"/>
        <v>0.1</v>
      </c>
      <c r="Z128" s="218"/>
      <c r="AA128" s="218">
        <f t="shared" ref="AA128:AA130" si="175">+Y128*E128</f>
        <v>1.0000000000000002E-2</v>
      </c>
      <c r="AB128" s="222" t="s">
        <v>43</v>
      </c>
      <c r="AC128" s="724" t="s">
        <v>44</v>
      </c>
      <c r="AD128" s="724" t="s">
        <v>1557</v>
      </c>
      <c r="AE128" s="724" t="s">
        <v>885</v>
      </c>
      <c r="AF128" s="206"/>
      <c r="AG128" s="200"/>
      <c r="AH128" s="187"/>
    </row>
    <row r="129" spans="1:34" ht="67.150000000000006" customHeight="1" thickBot="1" x14ac:dyDescent="0.35">
      <c r="A129" s="331"/>
      <c r="B129" s="1174" t="s">
        <v>1800</v>
      </c>
      <c r="C129" s="1090" t="s">
        <v>1801</v>
      </c>
      <c r="D129" s="333" t="s">
        <v>716</v>
      </c>
      <c r="E129" s="285">
        <v>0.3</v>
      </c>
      <c r="F129" s="283">
        <f>21*4</f>
        <v>84</v>
      </c>
      <c r="G129" s="213">
        <v>21</v>
      </c>
      <c r="H129" s="213">
        <v>21</v>
      </c>
      <c r="I129" s="218">
        <f t="shared" si="166"/>
        <v>0.25</v>
      </c>
      <c r="J129" s="218">
        <f t="shared" si="167"/>
        <v>0.25</v>
      </c>
      <c r="K129" s="218">
        <f t="shared" si="168"/>
        <v>7.4999999999999997E-2</v>
      </c>
      <c r="L129" s="218">
        <f t="shared" si="169"/>
        <v>7.4999999999999997E-2</v>
      </c>
      <c r="M129" s="213">
        <v>21</v>
      </c>
      <c r="N129" s="720">
        <v>21</v>
      </c>
      <c r="O129" s="670">
        <v>0</v>
      </c>
      <c r="P129" s="213"/>
      <c r="Q129" s="213"/>
      <c r="R129" s="213">
        <f t="shared" si="170"/>
        <v>21</v>
      </c>
      <c r="S129" s="213">
        <f t="shared" si="171"/>
        <v>42</v>
      </c>
      <c r="T129" s="237">
        <f>+(M129/G129)</f>
        <v>1</v>
      </c>
      <c r="U129" s="237">
        <v>0.5</v>
      </c>
      <c r="V129" s="237">
        <f>+T129*E129</f>
        <v>0.3</v>
      </c>
      <c r="W129" s="237">
        <f t="shared" si="173"/>
        <v>0.15</v>
      </c>
      <c r="X129" s="237">
        <f>+M129/F129</f>
        <v>0.25</v>
      </c>
      <c r="Y129" s="237">
        <v>0.378</v>
      </c>
      <c r="Z129" s="218">
        <f>+X129*E129</f>
        <v>7.4999999999999997E-2</v>
      </c>
      <c r="AA129" s="218">
        <f t="shared" si="175"/>
        <v>0.1134</v>
      </c>
      <c r="AB129" s="222" t="s">
        <v>43</v>
      </c>
      <c r="AC129" s="724" t="s">
        <v>44</v>
      </c>
      <c r="AD129" s="724" t="s">
        <v>1557</v>
      </c>
      <c r="AE129" s="724" t="s">
        <v>885</v>
      </c>
      <c r="AF129" s="206"/>
      <c r="AG129" s="200"/>
      <c r="AH129" s="187"/>
    </row>
    <row r="130" spans="1:34" ht="67.150000000000006" customHeight="1" thickBot="1" x14ac:dyDescent="0.35">
      <c r="A130" s="331"/>
      <c r="B130" s="1090" t="s">
        <v>1802</v>
      </c>
      <c r="C130" s="1090" t="s">
        <v>1803</v>
      </c>
      <c r="D130" s="333" t="s">
        <v>716</v>
      </c>
      <c r="E130" s="285">
        <v>0.1</v>
      </c>
      <c r="F130" s="283">
        <v>7</v>
      </c>
      <c r="G130" s="213">
        <v>0</v>
      </c>
      <c r="H130" s="213">
        <v>1</v>
      </c>
      <c r="I130" s="218"/>
      <c r="J130" s="218">
        <f t="shared" si="167"/>
        <v>0.14285714285714285</v>
      </c>
      <c r="K130" s="218"/>
      <c r="L130" s="218">
        <f t="shared" si="169"/>
        <v>1.4285714285714285E-2</v>
      </c>
      <c r="M130" s="294"/>
      <c r="N130" s="670">
        <v>0</v>
      </c>
      <c r="O130" s="670">
        <v>0</v>
      </c>
      <c r="P130" s="294"/>
      <c r="Q130" s="294"/>
      <c r="R130" s="294">
        <f t="shared" si="170"/>
        <v>0</v>
      </c>
      <c r="S130" s="294">
        <f t="shared" si="171"/>
        <v>0</v>
      </c>
      <c r="T130" s="237"/>
      <c r="U130" s="237">
        <f t="shared" si="172"/>
        <v>0</v>
      </c>
      <c r="V130" s="237"/>
      <c r="W130" s="237">
        <f t="shared" si="173"/>
        <v>0</v>
      </c>
      <c r="X130" s="237"/>
      <c r="Y130" s="237">
        <f t="shared" si="174"/>
        <v>0</v>
      </c>
      <c r="Z130" s="218"/>
      <c r="AA130" s="218">
        <f t="shared" si="175"/>
        <v>0</v>
      </c>
      <c r="AB130" s="222" t="s">
        <v>43</v>
      </c>
      <c r="AC130" s="724" t="s">
        <v>44</v>
      </c>
      <c r="AD130" s="724" t="s">
        <v>1557</v>
      </c>
      <c r="AE130" s="724" t="s">
        <v>885</v>
      </c>
      <c r="AF130" s="206"/>
      <c r="AG130" s="200"/>
      <c r="AH130" s="187"/>
    </row>
    <row r="131" spans="1:34" ht="67.150000000000006" customHeight="1" thickBot="1" x14ac:dyDescent="0.35">
      <c r="A131" s="331"/>
      <c r="B131" s="1331" t="s">
        <v>1804</v>
      </c>
      <c r="C131" s="1326"/>
      <c r="D131" s="333"/>
      <c r="E131" s="289">
        <v>0.15</v>
      </c>
      <c r="F131" s="271"/>
      <c r="G131" s="206"/>
      <c r="H131" s="206"/>
      <c r="I131" s="212">
        <f>+AVERAGE(I132:I133)</f>
        <v>0.41111111111111109</v>
      </c>
      <c r="J131" s="212">
        <f>+AVERAGE(J132:J133)</f>
        <v>0.41111111111111109</v>
      </c>
      <c r="K131" s="212">
        <f>+K132+K133</f>
        <v>0.37333333333333329</v>
      </c>
      <c r="L131" s="212">
        <f>+L132+L133</f>
        <v>0.37333333333333329</v>
      </c>
      <c r="M131" s="211"/>
      <c r="N131" s="211"/>
      <c r="O131" s="211"/>
      <c r="P131" s="211"/>
      <c r="Q131" s="211"/>
      <c r="R131" s="211"/>
      <c r="S131" s="211"/>
      <c r="T131" s="235">
        <f>+AVERAGE(T132:T133)</f>
        <v>1</v>
      </c>
      <c r="U131" s="235">
        <f>+AVERAGE(U132:U133)</f>
        <v>0.5</v>
      </c>
      <c r="V131" s="235">
        <f>+(V132+V133)*E131</f>
        <v>0.15</v>
      </c>
      <c r="W131" s="235">
        <f>+(W132+W133)*E131</f>
        <v>0.06</v>
      </c>
      <c r="X131" s="212">
        <f>+AVERAGE(X132:X133)</f>
        <v>0.31111111111111112</v>
      </c>
      <c r="Y131" s="212">
        <f>+AVERAGE(Y132:Y133)</f>
        <v>0.61111111111111116</v>
      </c>
      <c r="Z131" s="212">
        <f>+(Z132+Z133)*E131</f>
        <v>4.3999999999999997E-2</v>
      </c>
      <c r="AA131" s="212">
        <f>+(AA132+AA133)</f>
        <v>0.53333333333333333</v>
      </c>
      <c r="AB131" s="206"/>
      <c r="AC131" s="206"/>
      <c r="AD131" s="206"/>
      <c r="AE131" s="206"/>
      <c r="AF131" s="206"/>
      <c r="AG131" s="200"/>
      <c r="AH131" s="187"/>
    </row>
    <row r="132" spans="1:34" ht="67.150000000000006" customHeight="1" thickBot="1" x14ac:dyDescent="0.35">
      <c r="A132" s="331"/>
      <c r="B132" s="1174" t="s">
        <v>1805</v>
      </c>
      <c r="C132" s="1090" t="s">
        <v>1806</v>
      </c>
      <c r="D132" s="333" t="s">
        <v>716</v>
      </c>
      <c r="E132" s="285">
        <v>0.6</v>
      </c>
      <c r="F132" s="283">
        <v>9</v>
      </c>
      <c r="G132" s="213">
        <v>2</v>
      </c>
      <c r="H132" s="213">
        <v>2</v>
      </c>
      <c r="I132" s="218">
        <f>+G132/F132</f>
        <v>0.22222222222222221</v>
      </c>
      <c r="J132" s="218">
        <f t="shared" ref="J132:J133" si="176">+H132/F132</f>
        <v>0.22222222222222221</v>
      </c>
      <c r="K132" s="218">
        <f>+(G132/F132)*E132</f>
        <v>0.13333333333333333</v>
      </c>
      <c r="L132" s="218">
        <f t="shared" ref="L132:L133" si="177">+(H132/F132)*E132</f>
        <v>0.13333333333333333</v>
      </c>
      <c r="M132" s="213">
        <v>2</v>
      </c>
      <c r="N132" s="670">
        <v>0</v>
      </c>
      <c r="O132" s="670"/>
      <c r="P132" s="213"/>
      <c r="Q132" s="213"/>
      <c r="R132" s="213">
        <f t="shared" ref="R132:R133" si="178">+N132+O132+P132+Q132</f>
        <v>0</v>
      </c>
      <c r="S132" s="213">
        <f t="shared" ref="S132:S133" si="179">+R132+M132</f>
        <v>2</v>
      </c>
      <c r="T132" s="218">
        <f>+(M132/G132)</f>
        <v>1</v>
      </c>
      <c r="U132" s="218">
        <f t="shared" si="172"/>
        <v>0</v>
      </c>
      <c r="V132" s="218">
        <f>+T132*E132</f>
        <v>0.6</v>
      </c>
      <c r="W132" s="218">
        <f t="shared" ref="W132:W133" si="180">+U132*E132</f>
        <v>0</v>
      </c>
      <c r="X132" s="218">
        <f>+M132/F132</f>
        <v>0.22222222222222221</v>
      </c>
      <c r="Y132" s="218">
        <f t="shared" ref="Y132:Y133" si="181">+S132/F132</f>
        <v>0.22222222222222221</v>
      </c>
      <c r="Z132" s="218">
        <f>+X132*E132</f>
        <v>0.13333333333333333</v>
      </c>
      <c r="AA132" s="218">
        <f>+Y132*E132</f>
        <v>0.13333333333333333</v>
      </c>
      <c r="AB132" s="222" t="s">
        <v>43</v>
      </c>
      <c r="AC132" s="724" t="s">
        <v>44</v>
      </c>
      <c r="AD132" s="724" t="s">
        <v>1557</v>
      </c>
      <c r="AE132" s="724" t="s">
        <v>885</v>
      </c>
      <c r="AF132" s="206"/>
      <c r="AG132" s="200"/>
      <c r="AH132" s="187"/>
    </row>
    <row r="133" spans="1:34" ht="67.150000000000006" customHeight="1" thickBot="1" x14ac:dyDescent="0.35">
      <c r="A133" s="331"/>
      <c r="B133" s="1174" t="s">
        <v>1807</v>
      </c>
      <c r="C133" s="1090" t="s">
        <v>1808</v>
      </c>
      <c r="D133" s="333" t="s">
        <v>716</v>
      </c>
      <c r="E133" s="285">
        <v>0.4</v>
      </c>
      <c r="F133" s="283">
        <v>5</v>
      </c>
      <c r="G133" s="213">
        <v>3</v>
      </c>
      <c r="H133" s="213">
        <v>3</v>
      </c>
      <c r="I133" s="218">
        <f>+G133/F133</f>
        <v>0.6</v>
      </c>
      <c r="J133" s="218">
        <f t="shared" si="176"/>
        <v>0.6</v>
      </c>
      <c r="K133" s="218">
        <f>+(G133/F133)*E133</f>
        <v>0.24</v>
      </c>
      <c r="L133" s="218">
        <f t="shared" si="177"/>
        <v>0.24</v>
      </c>
      <c r="M133" s="213">
        <v>2</v>
      </c>
      <c r="N133" s="670">
        <v>0</v>
      </c>
      <c r="O133" s="670">
        <v>3</v>
      </c>
      <c r="P133" s="213"/>
      <c r="Q133" s="213"/>
      <c r="R133" s="213">
        <f t="shared" si="178"/>
        <v>3</v>
      </c>
      <c r="S133" s="213">
        <f t="shared" si="179"/>
        <v>5</v>
      </c>
      <c r="T133" s="218">
        <v>1</v>
      </c>
      <c r="U133" s="218">
        <f t="shared" si="172"/>
        <v>1</v>
      </c>
      <c r="V133" s="218">
        <f>+T133*E133</f>
        <v>0.4</v>
      </c>
      <c r="W133" s="218">
        <f t="shared" si="180"/>
        <v>0.4</v>
      </c>
      <c r="X133" s="218">
        <f>+M133/F133</f>
        <v>0.4</v>
      </c>
      <c r="Y133" s="218">
        <f t="shared" si="181"/>
        <v>1</v>
      </c>
      <c r="Z133" s="218">
        <f>+X133*E133</f>
        <v>0.16000000000000003</v>
      </c>
      <c r="AA133" s="218">
        <f>+Y133*E133</f>
        <v>0.4</v>
      </c>
      <c r="AB133" s="222" t="s">
        <v>43</v>
      </c>
      <c r="AC133" s="724" t="s">
        <v>44</v>
      </c>
      <c r="AD133" s="724" t="s">
        <v>36</v>
      </c>
      <c r="AE133" s="724" t="s">
        <v>885</v>
      </c>
      <c r="AF133" s="206"/>
      <c r="AG133" s="200"/>
      <c r="AH133" s="187"/>
    </row>
    <row r="134" spans="1:34" ht="67.150000000000006" customHeight="1" thickBot="1" x14ac:dyDescent="0.35">
      <c r="A134" s="331"/>
      <c r="B134" s="1331" t="s">
        <v>1809</v>
      </c>
      <c r="C134" s="1326"/>
      <c r="D134" s="333"/>
      <c r="E134" s="289">
        <v>0.2</v>
      </c>
      <c r="F134" s="271"/>
      <c r="G134" s="206"/>
      <c r="H134" s="206"/>
      <c r="I134" s="212">
        <f>+AVERAGE(I135:I138)</f>
        <v>0.25</v>
      </c>
      <c r="J134" s="212">
        <f>+AVERAGE(J135:J138)</f>
        <v>0.125</v>
      </c>
      <c r="K134" s="212">
        <f>+K135+K136+K137+K138</f>
        <v>0.2</v>
      </c>
      <c r="L134" s="212">
        <f>+L135+L136+L137+L138</f>
        <v>0.2</v>
      </c>
      <c r="M134" s="211"/>
      <c r="N134" s="211"/>
      <c r="O134" s="211"/>
      <c r="P134" s="211"/>
      <c r="Q134" s="211"/>
      <c r="R134" s="211"/>
      <c r="S134" s="211"/>
      <c r="T134" s="235">
        <f>+AVERAGE(T135:T138)</f>
        <v>0.625</v>
      </c>
      <c r="U134" s="235">
        <f>+AVERAGE(U135:U138)</f>
        <v>0.25</v>
      </c>
      <c r="V134" s="235">
        <f>+(V135+V136+V137+V138)*E134</f>
        <v>0.1</v>
      </c>
      <c r="W134" s="235">
        <f>+(W135+W136+W137+W138)*F134</f>
        <v>0</v>
      </c>
      <c r="X134" s="212">
        <f>+AVERAGE(X135:X138)</f>
        <v>0.15625</v>
      </c>
      <c r="Y134" s="212">
        <f>+X134+((Y137-X137)/4)+((Y138-X138)/4)</f>
        <v>0.1875</v>
      </c>
      <c r="Z134" s="212">
        <f>+(Z135+Z136+Z137+Z138)*E134</f>
        <v>2.5000000000000001E-2</v>
      </c>
      <c r="AA134" s="212">
        <f>+(AA135+AA136+AA137+AA138)</f>
        <v>0.17499999999999999</v>
      </c>
      <c r="AB134" s="206"/>
      <c r="AC134" s="206"/>
      <c r="AD134" s="206"/>
      <c r="AE134" s="206"/>
      <c r="AF134" s="206"/>
      <c r="AG134" s="200"/>
      <c r="AH134" s="187"/>
    </row>
    <row r="135" spans="1:34" ht="95.45" customHeight="1" thickBot="1" x14ac:dyDescent="0.35">
      <c r="A135" s="331"/>
      <c r="B135" s="1090" t="s">
        <v>1810</v>
      </c>
      <c r="C135" s="1090" t="s">
        <v>1811</v>
      </c>
      <c r="D135" s="333" t="s">
        <v>1812</v>
      </c>
      <c r="E135" s="285">
        <v>0.15</v>
      </c>
      <c r="F135" s="283">
        <v>1</v>
      </c>
      <c r="G135" s="213">
        <v>0</v>
      </c>
      <c r="H135" s="213">
        <v>0</v>
      </c>
      <c r="I135" s="218"/>
      <c r="J135" s="218">
        <f t="shared" ref="J135:J138" si="182">+H135/F135</f>
        <v>0</v>
      </c>
      <c r="K135" s="218"/>
      <c r="L135" s="218">
        <f t="shared" ref="L135:L138" si="183">+(H135/F135)*E135</f>
        <v>0</v>
      </c>
      <c r="M135" s="213"/>
      <c r="N135" s="670"/>
      <c r="O135" s="213"/>
      <c r="P135" s="213"/>
      <c r="Q135" s="213"/>
      <c r="R135" s="213">
        <f t="shared" ref="R135:R138" si="184">+N135+O135+P135+Q135</f>
        <v>0</v>
      </c>
      <c r="S135" s="213">
        <f t="shared" ref="S135:S138" si="185">+R135+M135</f>
        <v>0</v>
      </c>
      <c r="T135" s="218"/>
      <c r="U135" s="218"/>
      <c r="V135" s="218"/>
      <c r="W135" s="218"/>
      <c r="X135" s="218"/>
      <c r="Y135" s="218"/>
      <c r="Z135" s="218"/>
      <c r="AA135" s="218">
        <f>+Y135*E135</f>
        <v>0</v>
      </c>
      <c r="AB135" s="222" t="s">
        <v>43</v>
      </c>
      <c r="AC135" s="206"/>
      <c r="AD135" s="724" t="s">
        <v>1557</v>
      </c>
      <c r="AE135" s="724" t="s">
        <v>885</v>
      </c>
      <c r="AF135" s="206"/>
      <c r="AG135" s="200"/>
      <c r="AH135" s="187"/>
    </row>
    <row r="136" spans="1:34" ht="67.150000000000006" customHeight="1" thickBot="1" x14ac:dyDescent="0.35">
      <c r="A136" s="331"/>
      <c r="B136" s="1090" t="s">
        <v>1813</v>
      </c>
      <c r="C136" s="1090" t="s">
        <v>1814</v>
      </c>
      <c r="D136" s="333" t="s">
        <v>716</v>
      </c>
      <c r="E136" s="285">
        <v>0.05</v>
      </c>
      <c r="F136" s="283">
        <v>1</v>
      </c>
      <c r="G136" s="213">
        <v>0</v>
      </c>
      <c r="H136" s="213">
        <v>0</v>
      </c>
      <c r="I136" s="218"/>
      <c r="J136" s="218">
        <f t="shared" si="182"/>
        <v>0</v>
      </c>
      <c r="K136" s="218"/>
      <c r="L136" s="218">
        <f t="shared" si="183"/>
        <v>0</v>
      </c>
      <c r="M136" s="213"/>
      <c r="N136" s="670"/>
      <c r="O136" s="213"/>
      <c r="P136" s="213"/>
      <c r="Q136" s="213"/>
      <c r="R136" s="213">
        <f t="shared" si="184"/>
        <v>0</v>
      </c>
      <c r="S136" s="213">
        <f t="shared" si="185"/>
        <v>0</v>
      </c>
      <c r="T136" s="218"/>
      <c r="U136" s="218"/>
      <c r="V136" s="218"/>
      <c r="W136" s="218"/>
      <c r="X136" s="218"/>
      <c r="Y136" s="218"/>
      <c r="Z136" s="218"/>
      <c r="AA136" s="218">
        <f>+Y136*E136</f>
        <v>0</v>
      </c>
      <c r="AB136" s="222" t="s">
        <v>43</v>
      </c>
      <c r="AC136" s="206"/>
      <c r="AD136" s="724" t="s">
        <v>1557</v>
      </c>
      <c r="AE136" s="724" t="s">
        <v>885</v>
      </c>
      <c r="AF136" s="206"/>
      <c r="AG136" s="200"/>
      <c r="AH136" s="187"/>
    </row>
    <row r="137" spans="1:34" ht="67.150000000000006" customHeight="1" thickBot="1" x14ac:dyDescent="0.35">
      <c r="A137" s="331"/>
      <c r="B137" s="1174" t="s">
        <v>1815</v>
      </c>
      <c r="C137" s="1090" t="s">
        <v>1816</v>
      </c>
      <c r="D137" s="333" t="s">
        <v>716</v>
      </c>
      <c r="E137" s="285">
        <v>0.4</v>
      </c>
      <c r="F137" s="283">
        <v>48</v>
      </c>
      <c r="G137" s="213">
        <v>12</v>
      </c>
      <c r="H137" s="213">
        <v>12</v>
      </c>
      <c r="I137" s="218">
        <f>+G137/F137</f>
        <v>0.25</v>
      </c>
      <c r="J137" s="218">
        <f t="shared" si="182"/>
        <v>0.25</v>
      </c>
      <c r="K137" s="218">
        <f>+(G137/F137)*E137</f>
        <v>0.1</v>
      </c>
      <c r="L137" s="218">
        <f t="shared" si="183"/>
        <v>0.1</v>
      </c>
      <c r="M137" s="213">
        <v>11</v>
      </c>
      <c r="N137" s="670">
        <v>0</v>
      </c>
      <c r="O137" s="213">
        <v>2</v>
      </c>
      <c r="P137" s="213"/>
      <c r="Q137" s="213"/>
      <c r="R137" s="213">
        <f t="shared" si="184"/>
        <v>2</v>
      </c>
      <c r="S137" s="213">
        <f t="shared" si="185"/>
        <v>13</v>
      </c>
      <c r="T137" s="218">
        <f>+(M137/G137)</f>
        <v>0.91666666666666663</v>
      </c>
      <c r="U137" s="218">
        <f t="shared" si="172"/>
        <v>0.16666666666666666</v>
      </c>
      <c r="V137" s="218">
        <f>+T137*E137</f>
        <v>0.3666666666666667</v>
      </c>
      <c r="W137" s="218">
        <f t="shared" ref="W137:W138" si="186">+U137*E137</f>
        <v>6.6666666666666666E-2</v>
      </c>
      <c r="X137" s="218">
        <f>+M137/F137</f>
        <v>0.22916666666666666</v>
      </c>
      <c r="Y137" s="218">
        <f t="shared" ref="Y137:Y138" si="187">+S137/F137</f>
        <v>0.27083333333333331</v>
      </c>
      <c r="Z137" s="218">
        <f>+X137*E137</f>
        <v>9.1666666666666674E-2</v>
      </c>
      <c r="AA137" s="218">
        <f>+Y137*E137</f>
        <v>0.10833333333333334</v>
      </c>
      <c r="AB137" s="222" t="s">
        <v>43</v>
      </c>
      <c r="AC137" s="724" t="s">
        <v>44</v>
      </c>
      <c r="AD137" s="724" t="s">
        <v>1557</v>
      </c>
      <c r="AE137" s="724" t="s">
        <v>885</v>
      </c>
      <c r="AF137" s="206"/>
      <c r="AG137" s="200"/>
      <c r="AH137" s="187"/>
    </row>
    <row r="138" spans="1:34" ht="148.9" customHeight="1" thickBot="1" x14ac:dyDescent="0.35">
      <c r="A138" s="331"/>
      <c r="B138" s="1174" t="s">
        <v>1817</v>
      </c>
      <c r="C138" s="1090" t="s">
        <v>1818</v>
      </c>
      <c r="D138" s="333" t="s">
        <v>716</v>
      </c>
      <c r="E138" s="285">
        <v>0.4</v>
      </c>
      <c r="F138" s="283">
        <v>12</v>
      </c>
      <c r="G138" s="213">
        <v>3</v>
      </c>
      <c r="H138" s="213">
        <v>3</v>
      </c>
      <c r="I138" s="218">
        <f>+G138/F138</f>
        <v>0.25</v>
      </c>
      <c r="J138" s="218">
        <f t="shared" si="182"/>
        <v>0.25</v>
      </c>
      <c r="K138" s="218">
        <f>+(G138/F138)*E138</f>
        <v>0.1</v>
      </c>
      <c r="L138" s="218">
        <f t="shared" si="183"/>
        <v>0.1</v>
      </c>
      <c r="M138" s="213">
        <v>1</v>
      </c>
      <c r="N138" s="670">
        <v>1</v>
      </c>
      <c r="O138" s="213"/>
      <c r="P138" s="213"/>
      <c r="Q138" s="213"/>
      <c r="R138" s="213">
        <f t="shared" si="184"/>
        <v>1</v>
      </c>
      <c r="S138" s="213">
        <f t="shared" si="185"/>
        <v>2</v>
      </c>
      <c r="T138" s="218">
        <f>+(M138/G138)</f>
        <v>0.33333333333333331</v>
      </c>
      <c r="U138" s="218">
        <f t="shared" si="172"/>
        <v>0.33333333333333331</v>
      </c>
      <c r="V138" s="218">
        <f>+T138*E138</f>
        <v>0.13333333333333333</v>
      </c>
      <c r="W138" s="218">
        <f t="shared" si="186"/>
        <v>0.13333333333333333</v>
      </c>
      <c r="X138" s="218">
        <f>+M138/F138</f>
        <v>8.3333333333333329E-2</v>
      </c>
      <c r="Y138" s="218">
        <f t="shared" si="187"/>
        <v>0.16666666666666666</v>
      </c>
      <c r="Z138" s="218">
        <f>+X138*E138</f>
        <v>3.3333333333333333E-2</v>
      </c>
      <c r="AA138" s="218">
        <f>+Y138*E138</f>
        <v>6.6666666666666666E-2</v>
      </c>
      <c r="AB138" s="350" t="s">
        <v>43</v>
      </c>
      <c r="AC138" s="724" t="s">
        <v>44</v>
      </c>
      <c r="AD138" s="724" t="s">
        <v>1557</v>
      </c>
      <c r="AE138" s="724" t="s">
        <v>885</v>
      </c>
      <c r="AF138" s="206"/>
      <c r="AG138" s="200"/>
      <c r="AH138" s="187"/>
    </row>
    <row r="139" spans="1:34" ht="67.150000000000006" customHeight="1" thickBot="1" x14ac:dyDescent="0.35">
      <c r="A139" s="331"/>
      <c r="B139" s="1331" t="s">
        <v>1819</v>
      </c>
      <c r="C139" s="1326"/>
      <c r="D139" s="333"/>
      <c r="E139" s="289">
        <v>0.05</v>
      </c>
      <c r="F139" s="271"/>
      <c r="G139" s="206"/>
      <c r="H139" s="206"/>
      <c r="I139" s="212">
        <f>+AVERAGE(I140:I141)</f>
        <v>0.15625</v>
      </c>
      <c r="J139" s="212">
        <f>+AVERAGE(J140:J141)</f>
        <v>0.28125</v>
      </c>
      <c r="K139" s="212">
        <f>+K140+K141</f>
        <v>0.15625</v>
      </c>
      <c r="L139" s="212">
        <f>+L140+L141</f>
        <v>0.28125</v>
      </c>
      <c r="M139" s="211"/>
      <c r="N139" s="211"/>
      <c r="O139" s="211"/>
      <c r="P139" s="211"/>
      <c r="Q139" s="211"/>
      <c r="R139" s="211"/>
      <c r="S139" s="211"/>
      <c r="T139" s="235">
        <f>+AVERAGE(T140:T141)</f>
        <v>1</v>
      </c>
      <c r="U139" s="235">
        <f>+AVERAGE(U140:U141)</f>
        <v>0.192</v>
      </c>
      <c r="V139" s="235">
        <f>+(V140+V141)*E139</f>
        <v>0.05</v>
      </c>
      <c r="W139" s="235">
        <f>+(W140+W141)*F139</f>
        <v>0</v>
      </c>
      <c r="X139" s="212">
        <f>+AVERAGE(X140:X141)</f>
        <v>0.15625</v>
      </c>
      <c r="Y139" s="212">
        <f>+AVERAGE(Y140:Y141)</f>
        <v>0.20625000000000002</v>
      </c>
      <c r="Z139" s="278">
        <f>+(Z140+Z141)*E139</f>
        <v>7.8125E-3</v>
      </c>
      <c r="AA139" s="278">
        <f>+(AA140+AA141)</f>
        <v>0.20625000000000002</v>
      </c>
      <c r="AB139" s="206"/>
      <c r="AC139" s="206"/>
      <c r="AD139" s="206"/>
      <c r="AE139" s="206"/>
      <c r="AF139" s="206"/>
      <c r="AG139" s="200"/>
      <c r="AH139" s="187"/>
    </row>
    <row r="140" spans="1:34" ht="95.45" customHeight="1" thickBot="1" x14ac:dyDescent="0.35">
      <c r="A140" s="331"/>
      <c r="B140" s="1174" t="s">
        <v>1820</v>
      </c>
      <c r="C140" s="1174" t="s">
        <v>1821</v>
      </c>
      <c r="D140" s="333" t="s">
        <v>1822</v>
      </c>
      <c r="E140" s="285">
        <v>0.5</v>
      </c>
      <c r="F140" s="283">
        <v>4</v>
      </c>
      <c r="G140" s="213">
        <v>0.25</v>
      </c>
      <c r="H140" s="213">
        <f>1+0.25</f>
        <v>1.25</v>
      </c>
      <c r="I140" s="218">
        <f>+G140/F140</f>
        <v>6.25E-2</v>
      </c>
      <c r="J140" s="218">
        <f t="shared" ref="J140:J141" si="188">+H140/F140</f>
        <v>0.3125</v>
      </c>
      <c r="K140" s="218">
        <f>+(G140/F140)*E140</f>
        <v>3.125E-2</v>
      </c>
      <c r="L140" s="218">
        <f t="shared" ref="L140:L141" si="189">+(H140/F140)*E140</f>
        <v>0.15625</v>
      </c>
      <c r="M140" s="294">
        <v>0.25</v>
      </c>
      <c r="N140" s="670">
        <v>0.05</v>
      </c>
      <c r="O140" s="670">
        <v>0.03</v>
      </c>
      <c r="P140" s="294"/>
      <c r="Q140" s="294"/>
      <c r="R140" s="294">
        <f t="shared" ref="R140:R141" si="190">+N140+O140+P140+Q140</f>
        <v>0.08</v>
      </c>
      <c r="S140" s="294">
        <f t="shared" ref="S140:S141" si="191">+R140+M140</f>
        <v>0.33</v>
      </c>
      <c r="T140" s="218">
        <f>+(M140/G140)</f>
        <v>1</v>
      </c>
      <c r="U140" s="218">
        <f t="shared" si="172"/>
        <v>6.4000000000000001E-2</v>
      </c>
      <c r="V140" s="218">
        <f>+T140*E140</f>
        <v>0.5</v>
      </c>
      <c r="W140" s="218">
        <f t="shared" ref="W140:W141" si="192">+U140*E140</f>
        <v>3.2000000000000001E-2</v>
      </c>
      <c r="X140" s="218">
        <f>+M140/F140</f>
        <v>6.25E-2</v>
      </c>
      <c r="Y140" s="218">
        <f t="shared" ref="Y140:Y141" si="193">+S140/F140</f>
        <v>8.2500000000000004E-2</v>
      </c>
      <c r="Z140" s="218">
        <f>+X140*E140</f>
        <v>3.125E-2</v>
      </c>
      <c r="AA140" s="218">
        <f>+Y140*E140</f>
        <v>4.1250000000000002E-2</v>
      </c>
      <c r="AB140" s="351" t="s">
        <v>1823</v>
      </c>
      <c r="AC140" s="724" t="s">
        <v>1824</v>
      </c>
      <c r="AD140" s="724" t="s">
        <v>1557</v>
      </c>
      <c r="AE140" s="724" t="s">
        <v>1825</v>
      </c>
      <c r="AF140" s="206"/>
      <c r="AG140" s="200"/>
      <c r="AH140" s="187"/>
    </row>
    <row r="141" spans="1:34" ht="93" customHeight="1" thickBot="1" x14ac:dyDescent="0.35">
      <c r="A141" s="331"/>
      <c r="B141" s="1175" t="s">
        <v>1826</v>
      </c>
      <c r="C141" s="1175" t="s">
        <v>1827</v>
      </c>
      <c r="D141" s="333" t="s">
        <v>1822</v>
      </c>
      <c r="E141" s="337">
        <v>0.5</v>
      </c>
      <c r="F141" s="283">
        <v>1</v>
      </c>
      <c r="G141" s="213">
        <v>0.25</v>
      </c>
      <c r="H141" s="294">
        <v>0.25</v>
      </c>
      <c r="I141" s="218">
        <f>+G141/F141</f>
        <v>0.25</v>
      </c>
      <c r="J141" s="218">
        <f t="shared" si="188"/>
        <v>0.25</v>
      </c>
      <c r="K141" s="218">
        <f>+(G141/F141)*E141</f>
        <v>0.125</v>
      </c>
      <c r="L141" s="218">
        <f t="shared" si="189"/>
        <v>0.125</v>
      </c>
      <c r="M141" s="294">
        <v>0.25</v>
      </c>
      <c r="N141" s="670">
        <v>0.05</v>
      </c>
      <c r="O141" s="670">
        <v>0.03</v>
      </c>
      <c r="P141" s="294"/>
      <c r="Q141" s="294"/>
      <c r="R141" s="294">
        <f t="shared" si="190"/>
        <v>0.08</v>
      </c>
      <c r="S141" s="294">
        <f t="shared" si="191"/>
        <v>0.33</v>
      </c>
      <c r="T141" s="218">
        <f>+(M141/G141)</f>
        <v>1</v>
      </c>
      <c r="U141" s="218">
        <f t="shared" si="172"/>
        <v>0.32</v>
      </c>
      <c r="V141" s="218">
        <f>+T141*E141</f>
        <v>0.5</v>
      </c>
      <c r="W141" s="218">
        <f t="shared" si="192"/>
        <v>0.16</v>
      </c>
      <c r="X141" s="218">
        <f>+M141/F141</f>
        <v>0.25</v>
      </c>
      <c r="Y141" s="218">
        <f t="shared" si="193"/>
        <v>0.33</v>
      </c>
      <c r="Z141" s="218">
        <f>+X141*E141</f>
        <v>0.125</v>
      </c>
      <c r="AA141" s="218">
        <f>+Y141*E141</f>
        <v>0.16500000000000001</v>
      </c>
      <c r="AB141" s="351" t="s">
        <v>1823</v>
      </c>
      <c r="AC141" s="724" t="s">
        <v>1828</v>
      </c>
      <c r="AD141" s="724" t="s">
        <v>1557</v>
      </c>
      <c r="AE141" s="886" t="s">
        <v>1829</v>
      </c>
      <c r="AF141" s="206"/>
      <c r="AG141" s="200"/>
      <c r="AH141" s="187"/>
    </row>
    <row r="142" spans="1:34" ht="67.150000000000006" customHeight="1" thickBot="1" x14ac:dyDescent="0.35">
      <c r="A142" s="187"/>
      <c r="B142" s="187"/>
      <c r="C142" s="187"/>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52"/>
      <c r="AE142" s="252"/>
      <c r="AF142" s="252"/>
      <c r="AG142" s="187"/>
      <c r="AH142" s="187"/>
    </row>
    <row r="143" spans="1:34" ht="67.150000000000006" customHeight="1" thickBot="1" x14ac:dyDescent="0.35">
      <c r="A143" s="187"/>
      <c r="B143" s="187"/>
      <c r="C143" s="187"/>
      <c r="D143" s="187"/>
      <c r="E143" s="187"/>
      <c r="F143" s="187"/>
      <c r="G143" s="187"/>
      <c r="H143" s="187"/>
      <c r="I143" s="187"/>
      <c r="J143" s="187"/>
      <c r="K143" s="187"/>
      <c r="L143" s="187"/>
      <c r="M143" s="187"/>
      <c r="N143" s="187"/>
      <c r="O143" s="187"/>
      <c r="P143" s="187"/>
      <c r="Q143" s="187"/>
      <c r="R143" s="187"/>
      <c r="S143" s="187"/>
      <c r="T143" s="187"/>
      <c r="U143" s="187"/>
      <c r="V143" s="187"/>
      <c r="W143" s="187"/>
      <c r="X143" s="187"/>
      <c r="Y143" s="187"/>
      <c r="Z143" s="187"/>
      <c r="AA143" s="187"/>
      <c r="AB143" s="187"/>
      <c r="AC143" s="187"/>
      <c r="AD143" s="187"/>
      <c r="AE143" s="187"/>
      <c r="AF143" s="187"/>
      <c r="AG143" s="187"/>
      <c r="AH143" s="187"/>
    </row>
    <row r="144" spans="1:34" ht="67.150000000000006" customHeight="1" thickBot="1" x14ac:dyDescent="0.35">
      <c r="A144" s="187"/>
      <c r="B144" s="187"/>
      <c r="C144" s="187"/>
      <c r="D144" s="187"/>
      <c r="E144" s="187"/>
      <c r="F144" s="187"/>
      <c r="G144" s="187"/>
      <c r="H144" s="187"/>
      <c r="I144" s="187"/>
      <c r="J144" s="187"/>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row>
    <row r="145" spans="1:34" ht="67.150000000000006" customHeight="1" thickBot="1" x14ac:dyDescent="0.35">
      <c r="A145" s="187"/>
      <c r="B145" s="187"/>
      <c r="C145" s="187"/>
      <c r="D145" s="187"/>
      <c r="E145" s="187"/>
      <c r="F145" s="187"/>
      <c r="G145" s="187"/>
      <c r="H145" s="187"/>
      <c r="I145" s="187"/>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row>
    <row r="146" spans="1:34" ht="67.150000000000006" customHeight="1" thickBot="1" x14ac:dyDescent="0.35">
      <c r="A146" s="187"/>
      <c r="B146" s="187"/>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row>
    <row r="147" spans="1:34" ht="67.150000000000006" customHeight="1" thickBot="1" x14ac:dyDescent="0.35">
      <c r="A147" s="187"/>
      <c r="B147" s="187"/>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row>
    <row r="148" spans="1:34" ht="67.150000000000006" customHeight="1" thickBot="1" x14ac:dyDescent="0.35">
      <c r="A148" s="187"/>
      <c r="B148" s="187"/>
      <c r="C148" s="187"/>
      <c r="D148" s="187"/>
      <c r="E148" s="187"/>
      <c r="F148" s="187"/>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row>
    <row r="149" spans="1:34" ht="67.150000000000006" customHeight="1" thickBot="1" x14ac:dyDescent="0.35">
      <c r="A149" s="187"/>
      <c r="B149" s="187"/>
      <c r="C149" s="187"/>
      <c r="D149" s="187"/>
      <c r="E149" s="187"/>
      <c r="F149" s="187"/>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row>
    <row r="150" spans="1:34" ht="67.150000000000006" customHeight="1" thickBot="1" x14ac:dyDescent="0.35">
      <c r="A150" s="187"/>
      <c r="B150" s="187"/>
      <c r="C150" s="187"/>
      <c r="D150" s="187"/>
      <c r="E150" s="187"/>
      <c r="F150" s="187"/>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row>
    <row r="151" spans="1:34" ht="67.150000000000006" customHeight="1" thickBot="1" x14ac:dyDescent="0.35">
      <c r="A151" s="187"/>
      <c r="B151" s="187"/>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row>
    <row r="152" spans="1:34" ht="67.150000000000006" customHeight="1" thickBot="1" x14ac:dyDescent="0.35">
      <c r="A152" s="187"/>
      <c r="B152" s="187"/>
      <c r="C152" s="187"/>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row>
    <row r="153" spans="1:34" ht="67.150000000000006" customHeight="1" thickBot="1" x14ac:dyDescent="0.35">
      <c r="A153" s="187"/>
      <c r="B153" s="187"/>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row>
    <row r="154" spans="1:34" ht="67.150000000000006" customHeight="1" thickBot="1" x14ac:dyDescent="0.35">
      <c r="A154" s="187"/>
      <c r="B154" s="187"/>
      <c r="C154" s="187"/>
      <c r="D154" s="187"/>
      <c r="E154" s="187"/>
      <c r="F154" s="187"/>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row>
    <row r="155" spans="1:34" ht="67.150000000000006" customHeight="1" thickBot="1" x14ac:dyDescent="0.35">
      <c r="A155" s="187"/>
      <c r="B155" s="187"/>
      <c r="C155" s="187"/>
      <c r="D155" s="187"/>
      <c r="E155" s="187"/>
      <c r="F155" s="187"/>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row>
    <row r="156" spans="1:34" ht="67.150000000000006" customHeight="1" thickBot="1" x14ac:dyDescent="0.35">
      <c r="A156" s="187"/>
      <c r="B156" s="187"/>
      <c r="C156" s="187"/>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row>
    <row r="157" spans="1:34" ht="67.150000000000006" customHeight="1" thickBot="1" x14ac:dyDescent="0.35">
      <c r="A157" s="187"/>
      <c r="B157" s="187"/>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row>
    <row r="158" spans="1:34" ht="67.150000000000006" customHeight="1" thickBot="1" x14ac:dyDescent="0.35">
      <c r="A158" s="187"/>
      <c r="B158" s="187"/>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c r="AG158" s="187"/>
      <c r="AH158" s="187"/>
    </row>
    <row r="159" spans="1:34" ht="67.150000000000006" customHeight="1" thickBot="1" x14ac:dyDescent="0.35">
      <c r="A159" s="187"/>
      <c r="B159" s="187"/>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row>
    <row r="160" spans="1:34" ht="67.150000000000006" customHeight="1" thickBot="1" x14ac:dyDescent="0.35">
      <c r="A160" s="187"/>
      <c r="B160" s="187"/>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row>
    <row r="161" spans="1:34" ht="67.150000000000006" customHeight="1" thickBot="1" x14ac:dyDescent="0.35">
      <c r="A161" s="187"/>
      <c r="B161" s="187"/>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row>
    <row r="162" spans="1:34" ht="67.150000000000006" customHeight="1" thickBot="1" x14ac:dyDescent="0.35">
      <c r="A162" s="187"/>
      <c r="B162" s="187"/>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c r="AG162" s="187"/>
      <c r="AH162" s="187"/>
    </row>
    <row r="163" spans="1:34" ht="67.150000000000006" customHeight="1" thickBot="1" x14ac:dyDescent="0.35">
      <c r="A163" s="187"/>
      <c r="B163" s="187"/>
      <c r="C163" s="187"/>
      <c r="D163" s="187"/>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row>
    <row r="164" spans="1:34" ht="67.150000000000006" customHeight="1" thickBot="1" x14ac:dyDescent="0.35">
      <c r="A164" s="187"/>
      <c r="B164" s="187"/>
      <c r="C164" s="187"/>
      <c r="D164" s="187"/>
      <c r="E164" s="187"/>
      <c r="F164" s="187"/>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row>
    <row r="165" spans="1:34" ht="67.150000000000006" customHeight="1" thickBot="1" x14ac:dyDescent="0.35">
      <c r="A165" s="187"/>
      <c r="B165" s="187"/>
      <c r="C165" s="187"/>
      <c r="D165" s="187"/>
      <c r="E165" s="187"/>
      <c r="F165" s="187"/>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c r="AG165" s="187"/>
      <c r="AH165" s="187"/>
    </row>
    <row r="166" spans="1:34" ht="67.150000000000006" customHeight="1" thickBot="1" x14ac:dyDescent="0.35">
      <c r="A166" s="187"/>
      <c r="B166" s="187"/>
      <c r="C166" s="187"/>
      <c r="D166" s="187"/>
      <c r="E166" s="187"/>
      <c r="F166" s="187"/>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c r="AG166" s="187"/>
      <c r="AH166" s="187"/>
    </row>
    <row r="167" spans="1:34" ht="67.150000000000006" customHeight="1" thickBot="1" x14ac:dyDescent="0.35">
      <c r="A167" s="187"/>
      <c r="B167" s="187"/>
      <c r="C167" s="187"/>
      <c r="D167" s="187"/>
      <c r="E167" s="187"/>
      <c r="F167" s="187"/>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row>
    <row r="168" spans="1:34" ht="67.150000000000006" customHeight="1" thickBot="1" x14ac:dyDescent="0.35">
      <c r="A168" s="187"/>
      <c r="B168" s="187"/>
      <c r="C168" s="187"/>
      <c r="D168" s="187"/>
      <c r="E168" s="187"/>
      <c r="F168" s="187"/>
      <c r="G168" s="187"/>
      <c r="H168" s="187"/>
      <c r="I168" s="187"/>
      <c r="J168" s="187"/>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row>
    <row r="169" spans="1:34" ht="67.150000000000006" customHeight="1" thickBot="1" x14ac:dyDescent="0.35">
      <c r="A169" s="187"/>
      <c r="B169" s="187"/>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row>
    <row r="170" spans="1:34" ht="67.150000000000006" customHeight="1" thickBot="1" x14ac:dyDescent="0.35">
      <c r="A170" s="187"/>
      <c r="B170" s="187"/>
      <c r="C170" s="187"/>
      <c r="D170" s="187"/>
      <c r="E170" s="187"/>
      <c r="F170" s="187"/>
      <c r="G170" s="187"/>
      <c r="H170" s="187"/>
      <c r="I170" s="187"/>
      <c r="J170" s="187"/>
      <c r="K170" s="187"/>
      <c r="L170" s="187"/>
      <c r="M170" s="187"/>
      <c r="N170" s="187"/>
      <c r="O170" s="187"/>
      <c r="P170" s="187"/>
      <c r="Q170" s="187"/>
      <c r="R170" s="187"/>
      <c r="S170" s="187"/>
      <c r="T170" s="187"/>
      <c r="U170" s="187"/>
      <c r="V170" s="187"/>
      <c r="W170" s="187"/>
      <c r="X170" s="187"/>
      <c r="Y170" s="187"/>
      <c r="Z170" s="187"/>
      <c r="AA170" s="187"/>
      <c r="AB170" s="187"/>
      <c r="AC170" s="187"/>
      <c r="AD170" s="187"/>
      <c r="AE170" s="187"/>
      <c r="AF170" s="187"/>
      <c r="AG170" s="187"/>
      <c r="AH170" s="187"/>
    </row>
    <row r="171" spans="1:34" ht="67.150000000000006" customHeight="1" thickBot="1" x14ac:dyDescent="0.35">
      <c r="A171" s="187"/>
      <c r="B171" s="187"/>
      <c r="C171" s="187"/>
      <c r="D171" s="187"/>
      <c r="E171" s="187"/>
      <c r="F171" s="187"/>
      <c r="G171" s="187"/>
      <c r="H171" s="187"/>
      <c r="I171" s="187"/>
      <c r="J171" s="187"/>
      <c r="K171" s="187"/>
      <c r="L171" s="187"/>
      <c r="M171" s="187"/>
      <c r="N171" s="187"/>
      <c r="O171" s="187"/>
      <c r="P171" s="187"/>
      <c r="Q171" s="187"/>
      <c r="R171" s="187"/>
      <c r="S171" s="187"/>
      <c r="T171" s="187"/>
      <c r="U171" s="187"/>
      <c r="V171" s="187"/>
      <c r="W171" s="187"/>
      <c r="X171" s="187"/>
      <c r="Y171" s="187"/>
      <c r="Z171" s="187"/>
      <c r="AA171" s="187"/>
      <c r="AB171" s="187"/>
      <c r="AC171" s="187"/>
      <c r="AD171" s="187"/>
      <c r="AE171" s="187"/>
      <c r="AF171" s="187"/>
      <c r="AG171" s="187"/>
      <c r="AH171" s="187"/>
    </row>
    <row r="172" spans="1:34" ht="67.150000000000006" customHeight="1" thickBot="1" x14ac:dyDescent="0.35">
      <c r="A172" s="187"/>
      <c r="B172" s="187"/>
      <c r="C172" s="187"/>
      <c r="D172" s="187"/>
      <c r="E172" s="187"/>
      <c r="F172" s="187"/>
      <c r="G172" s="187"/>
      <c r="H172" s="187"/>
      <c r="I172" s="187"/>
      <c r="J172" s="187"/>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c r="AH172" s="187"/>
    </row>
    <row r="173" spans="1:34" ht="67.150000000000006" customHeight="1" thickBot="1" x14ac:dyDescent="0.35">
      <c r="A173" s="187"/>
      <c r="B173" s="187"/>
      <c r="C173" s="187"/>
      <c r="D173" s="187"/>
      <c r="E173" s="187"/>
      <c r="F173" s="187"/>
      <c r="G173" s="187"/>
      <c r="H173" s="187"/>
      <c r="I173" s="187"/>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c r="AH173" s="187"/>
    </row>
    <row r="174" spans="1:34" ht="67.150000000000006" customHeight="1" thickBot="1" x14ac:dyDescent="0.35">
      <c r="A174" s="187"/>
      <c r="B174" s="187"/>
      <c r="C174" s="187"/>
      <c r="D174" s="187"/>
      <c r="E174" s="187"/>
      <c r="F174" s="187"/>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row>
    <row r="175" spans="1:34" ht="67.150000000000006" customHeight="1" thickBot="1" x14ac:dyDescent="0.35">
      <c r="A175" s="187"/>
      <c r="B175" s="187"/>
      <c r="C175" s="187"/>
      <c r="D175" s="187"/>
      <c r="E175" s="187"/>
      <c r="F175" s="187"/>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row>
    <row r="176" spans="1:34" ht="67.150000000000006" customHeight="1" thickBot="1" x14ac:dyDescent="0.35">
      <c r="A176" s="187"/>
      <c r="B176" s="187"/>
      <c r="C176" s="187"/>
      <c r="D176" s="187"/>
      <c r="E176" s="187"/>
      <c r="F176" s="187"/>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row>
    <row r="177" spans="1:34" ht="67.150000000000006" customHeight="1" thickBot="1" x14ac:dyDescent="0.35">
      <c r="A177" s="187"/>
      <c r="B177" s="187"/>
      <c r="C177" s="187"/>
      <c r="D177" s="187"/>
      <c r="E177" s="187"/>
      <c r="F177" s="187"/>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row>
    <row r="178" spans="1:34" ht="67.150000000000006" customHeight="1" thickBot="1" x14ac:dyDescent="0.35">
      <c r="A178" s="187"/>
      <c r="B178" s="187"/>
      <c r="C178" s="187"/>
      <c r="D178" s="187"/>
      <c r="E178" s="187"/>
      <c r="F178" s="187"/>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c r="AG178" s="187"/>
      <c r="AH178" s="187"/>
    </row>
    <row r="179" spans="1:34" ht="67.150000000000006" customHeight="1" thickBot="1" x14ac:dyDescent="0.35">
      <c r="A179" s="187"/>
      <c r="B179" s="187"/>
      <c r="C179" s="187"/>
      <c r="D179" s="187"/>
      <c r="E179" s="187"/>
      <c r="F179" s="187"/>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c r="AG179" s="187"/>
      <c r="AH179" s="187"/>
    </row>
    <row r="180" spans="1:34" ht="67.150000000000006" customHeight="1" thickBot="1" x14ac:dyDescent="0.35">
      <c r="A180" s="187"/>
      <c r="B180" s="187"/>
      <c r="C180" s="187"/>
      <c r="D180" s="187"/>
      <c r="E180" s="187"/>
      <c r="F180" s="187"/>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c r="AG180" s="187"/>
      <c r="AH180" s="187"/>
    </row>
    <row r="181" spans="1:34" ht="67.150000000000006" customHeight="1" thickBot="1" x14ac:dyDescent="0.35">
      <c r="A181" s="187"/>
      <c r="B181" s="187"/>
      <c r="C181" s="187"/>
      <c r="D181" s="187"/>
      <c r="E181" s="187"/>
      <c r="F181" s="187"/>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c r="AG181" s="187"/>
      <c r="AH181" s="187"/>
    </row>
    <row r="182" spans="1:34" ht="67.150000000000006" customHeight="1" thickBot="1" x14ac:dyDescent="0.35">
      <c r="A182" s="187"/>
      <c r="B182" s="187"/>
      <c r="C182" s="187"/>
      <c r="D182" s="187"/>
      <c r="E182" s="187"/>
      <c r="F182" s="187"/>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c r="AG182" s="187"/>
      <c r="AH182" s="187"/>
    </row>
    <row r="183" spans="1:34" ht="67.150000000000006" customHeight="1" thickBot="1" x14ac:dyDescent="0.35">
      <c r="A183" s="187"/>
      <c r="B183" s="187"/>
      <c r="C183" s="187"/>
      <c r="D183" s="187"/>
      <c r="E183" s="187"/>
      <c r="F183" s="187"/>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c r="AG183" s="187"/>
      <c r="AH183" s="187"/>
    </row>
    <row r="184" spans="1:34" ht="67.150000000000006" customHeight="1" thickBot="1" x14ac:dyDescent="0.35">
      <c r="A184" s="187"/>
      <c r="B184" s="187"/>
      <c r="C184" s="187"/>
      <c r="D184" s="187"/>
      <c r="E184" s="187"/>
      <c r="F184" s="187"/>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c r="AH184" s="187"/>
    </row>
    <row r="185" spans="1:34" ht="67.150000000000006" customHeight="1" thickBot="1" x14ac:dyDescent="0.35">
      <c r="A185" s="187"/>
      <c r="B185" s="187"/>
      <c r="C185" s="187"/>
      <c r="D185" s="187"/>
      <c r="E185" s="187"/>
      <c r="F185" s="187"/>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c r="AH185" s="187"/>
    </row>
    <row r="186" spans="1:34" ht="67.150000000000006" customHeight="1" thickBot="1" x14ac:dyDescent="0.35">
      <c r="A186" s="187"/>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row>
    <row r="187" spans="1:34" ht="67.150000000000006" customHeight="1" thickBot="1" x14ac:dyDescent="0.35">
      <c r="A187" s="187"/>
      <c r="B187" s="187"/>
      <c r="C187" s="187"/>
      <c r="D187" s="187"/>
      <c r="E187" s="187"/>
      <c r="F187" s="187"/>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row>
    <row r="188" spans="1:34" ht="67.150000000000006" customHeight="1" thickBot="1" x14ac:dyDescent="0.35">
      <c r="A188" s="187"/>
      <c r="B188" s="187"/>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row>
    <row r="189" spans="1:34" ht="67.150000000000006" customHeight="1" thickBot="1" x14ac:dyDescent="0.35">
      <c r="A189" s="187"/>
      <c r="B189" s="187"/>
      <c r="C189" s="187"/>
      <c r="D189" s="187"/>
      <c r="E189" s="187"/>
      <c r="F189" s="187"/>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c r="AG189" s="187"/>
      <c r="AH189" s="187"/>
    </row>
    <row r="190" spans="1:34" ht="67.150000000000006" customHeight="1" thickBot="1" x14ac:dyDescent="0.35">
      <c r="A190" s="187"/>
      <c r="B190" s="187"/>
      <c r="C190" s="187"/>
      <c r="D190" s="187"/>
      <c r="E190" s="187"/>
      <c r="F190" s="187"/>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c r="AG190" s="187"/>
      <c r="AH190" s="187"/>
    </row>
    <row r="191" spans="1:34" ht="67.150000000000006" customHeight="1" thickBot="1" x14ac:dyDescent="0.35">
      <c r="A191" s="187"/>
      <c r="B191" s="187"/>
      <c r="C191" s="187"/>
      <c r="D191" s="187"/>
      <c r="E191" s="187"/>
      <c r="F191" s="187"/>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c r="AG191" s="187"/>
      <c r="AH191" s="187"/>
    </row>
    <row r="192" spans="1:34" ht="67.150000000000006" customHeight="1" thickBot="1" x14ac:dyDescent="0.35">
      <c r="A192" s="187"/>
      <c r="B192" s="187"/>
      <c r="C192" s="187"/>
      <c r="D192" s="187"/>
      <c r="E192" s="187"/>
      <c r="F192" s="187"/>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c r="AH192" s="187"/>
    </row>
    <row r="193" spans="1:34" ht="67.150000000000006" customHeight="1" thickBot="1" x14ac:dyDescent="0.35">
      <c r="A193" s="187"/>
      <c r="B193" s="187"/>
      <c r="C193" s="187"/>
      <c r="D193" s="187"/>
      <c r="E193" s="187"/>
      <c r="F193" s="187"/>
      <c r="G193" s="187"/>
      <c r="H193" s="187"/>
      <c r="I193" s="187"/>
      <c r="J193" s="187"/>
      <c r="K193" s="187"/>
      <c r="L193" s="187"/>
      <c r="M193" s="187"/>
      <c r="N193" s="187"/>
      <c r="O193" s="187"/>
      <c r="P193" s="187"/>
      <c r="Q193" s="187"/>
      <c r="R193" s="187"/>
      <c r="S193" s="187"/>
      <c r="T193" s="187"/>
      <c r="U193" s="187"/>
      <c r="V193" s="187"/>
      <c r="W193" s="187"/>
      <c r="X193" s="187"/>
      <c r="Y193" s="187"/>
      <c r="Z193" s="187"/>
      <c r="AA193" s="187"/>
      <c r="AB193" s="187"/>
      <c r="AC193" s="187"/>
      <c r="AD193" s="187"/>
      <c r="AE193" s="187"/>
      <c r="AF193" s="187"/>
      <c r="AG193" s="187"/>
      <c r="AH193" s="187"/>
    </row>
    <row r="194" spans="1:34" ht="67.150000000000006" customHeight="1" thickBot="1" x14ac:dyDescent="0.35">
      <c r="A194" s="187"/>
      <c r="B194" s="187"/>
      <c r="C194" s="187"/>
      <c r="D194" s="187"/>
      <c r="E194" s="187"/>
      <c r="F194" s="187"/>
      <c r="G194" s="187"/>
      <c r="H194" s="187"/>
      <c r="I194" s="187"/>
      <c r="J194" s="187"/>
      <c r="K194" s="187"/>
      <c r="L194" s="187"/>
      <c r="M194" s="187"/>
      <c r="N194" s="187"/>
      <c r="O194" s="187"/>
      <c r="P194" s="187"/>
      <c r="Q194" s="187"/>
      <c r="R194" s="187"/>
      <c r="S194" s="187"/>
      <c r="T194" s="187"/>
      <c r="U194" s="187"/>
      <c r="V194" s="187"/>
      <c r="W194" s="187"/>
      <c r="X194" s="187"/>
      <c r="Y194" s="187"/>
      <c r="Z194" s="187"/>
      <c r="AA194" s="187"/>
      <c r="AB194" s="187"/>
      <c r="AC194" s="187"/>
      <c r="AD194" s="187"/>
      <c r="AE194" s="187"/>
      <c r="AF194" s="187"/>
      <c r="AG194" s="187"/>
      <c r="AH194" s="187"/>
    </row>
    <row r="195" spans="1:34" ht="67.150000000000006" customHeight="1" thickBot="1" x14ac:dyDescent="0.35">
      <c r="A195" s="187"/>
      <c r="B195" s="187"/>
      <c r="C195" s="187"/>
      <c r="D195" s="187"/>
      <c r="E195" s="187"/>
      <c r="F195" s="187"/>
      <c r="G195" s="187"/>
      <c r="H195" s="187"/>
      <c r="I195" s="187"/>
      <c r="J195" s="187"/>
      <c r="K195" s="187"/>
      <c r="L195" s="187"/>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c r="AH195" s="187"/>
    </row>
    <row r="196" spans="1:34" ht="67.150000000000006" customHeight="1" thickBot="1" x14ac:dyDescent="0.35">
      <c r="A196" s="187"/>
      <c r="B196" s="187"/>
      <c r="C196" s="187"/>
      <c r="D196" s="187"/>
      <c r="E196" s="187"/>
      <c r="F196" s="187"/>
      <c r="G196" s="187"/>
      <c r="H196" s="187"/>
      <c r="I196" s="187"/>
      <c r="J196" s="187"/>
      <c r="K196" s="187"/>
      <c r="L196" s="187"/>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row>
    <row r="197" spans="1:34" ht="67.150000000000006" customHeight="1" thickBot="1" x14ac:dyDescent="0.35">
      <c r="A197" s="187"/>
      <c r="B197" s="187"/>
      <c r="C197" s="187"/>
      <c r="D197" s="187"/>
      <c r="E197" s="187"/>
      <c r="F197" s="187"/>
      <c r="G197" s="187"/>
      <c r="H197" s="187"/>
      <c r="I197" s="187"/>
      <c r="J197" s="187"/>
      <c r="K197" s="187"/>
      <c r="L197" s="187"/>
      <c r="M197" s="187"/>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row>
    <row r="198" spans="1:34" ht="67.150000000000006" customHeight="1" thickBot="1" x14ac:dyDescent="0.35">
      <c r="A198" s="187"/>
      <c r="B198" s="187"/>
      <c r="C198" s="187"/>
      <c r="D198" s="187"/>
      <c r="E198" s="187"/>
      <c r="F198" s="187"/>
      <c r="G198" s="187"/>
      <c r="H198" s="187"/>
      <c r="I198" s="187"/>
      <c r="J198" s="187"/>
      <c r="K198" s="187"/>
      <c r="L198" s="187"/>
      <c r="M198" s="187"/>
      <c r="N198" s="187"/>
      <c r="O198" s="187"/>
      <c r="P198" s="187"/>
      <c r="Q198" s="187"/>
      <c r="R198" s="187"/>
      <c r="S198" s="187"/>
      <c r="T198" s="187"/>
      <c r="U198" s="187"/>
      <c r="V198" s="187"/>
      <c r="W198" s="187"/>
      <c r="X198" s="187"/>
      <c r="Y198" s="187"/>
      <c r="Z198" s="187"/>
      <c r="AA198" s="187"/>
      <c r="AB198" s="187"/>
      <c r="AC198" s="187"/>
      <c r="AD198" s="187"/>
      <c r="AE198" s="187"/>
      <c r="AF198" s="187"/>
      <c r="AG198" s="187"/>
      <c r="AH198" s="187"/>
    </row>
    <row r="199" spans="1:34" ht="67.150000000000006" customHeight="1" thickBot="1" x14ac:dyDescent="0.35">
      <c r="A199" s="187"/>
      <c r="B199" s="187"/>
      <c r="C199" s="187"/>
      <c r="D199" s="187"/>
      <c r="E199" s="187"/>
      <c r="F199" s="187"/>
      <c r="G199" s="187"/>
      <c r="H199" s="187"/>
      <c r="I199" s="187"/>
      <c r="J199" s="187"/>
      <c r="K199" s="187"/>
      <c r="L199" s="187"/>
      <c r="M199" s="187"/>
      <c r="N199" s="187"/>
      <c r="O199" s="187"/>
      <c r="P199" s="187"/>
      <c r="Q199" s="187"/>
      <c r="R199" s="187"/>
      <c r="S199" s="187"/>
      <c r="T199" s="187"/>
      <c r="U199" s="187"/>
      <c r="V199" s="187"/>
      <c r="W199" s="187"/>
      <c r="X199" s="187"/>
      <c r="Y199" s="187"/>
      <c r="Z199" s="187"/>
      <c r="AA199" s="187"/>
      <c r="AB199" s="187"/>
      <c r="AC199" s="187"/>
      <c r="AD199" s="187"/>
      <c r="AE199" s="187"/>
      <c r="AF199" s="187"/>
      <c r="AG199" s="187"/>
      <c r="AH199" s="187"/>
    </row>
    <row r="200" spans="1:34" ht="67.150000000000006" customHeight="1" thickBot="1" x14ac:dyDescent="0.35">
      <c r="A200" s="187"/>
      <c r="B200" s="187"/>
      <c r="C200" s="187"/>
      <c r="D200" s="187"/>
      <c r="E200" s="187"/>
      <c r="F200" s="187"/>
      <c r="G200" s="187"/>
      <c r="H200" s="187"/>
      <c r="I200" s="187"/>
      <c r="J200" s="187"/>
      <c r="K200" s="187"/>
      <c r="L200" s="187"/>
      <c r="M200" s="187"/>
      <c r="N200" s="187"/>
      <c r="O200" s="187"/>
      <c r="P200" s="187"/>
      <c r="Q200" s="187"/>
      <c r="R200" s="187"/>
      <c r="S200" s="187"/>
      <c r="T200" s="187"/>
      <c r="U200" s="187"/>
      <c r="V200" s="187"/>
      <c r="W200" s="187"/>
      <c r="X200" s="187"/>
      <c r="Y200" s="187"/>
      <c r="Z200" s="187"/>
      <c r="AA200" s="187"/>
      <c r="AB200" s="187"/>
      <c r="AC200" s="187"/>
      <c r="AD200" s="187"/>
      <c r="AE200" s="187"/>
      <c r="AF200" s="187"/>
      <c r="AG200" s="187"/>
      <c r="AH200" s="187"/>
    </row>
    <row r="201" spans="1:34" ht="67.150000000000006" customHeight="1" thickBot="1" x14ac:dyDescent="0.35">
      <c r="A201" s="187"/>
      <c r="B201" s="187"/>
      <c r="C201" s="187"/>
      <c r="D201" s="187"/>
      <c r="E201" s="187"/>
      <c r="F201" s="187"/>
      <c r="G201" s="187"/>
      <c r="H201" s="187"/>
      <c r="I201" s="187"/>
      <c r="J201" s="187"/>
      <c r="K201" s="187"/>
      <c r="L201" s="187"/>
      <c r="M201" s="187"/>
      <c r="N201" s="187"/>
      <c r="O201" s="187"/>
      <c r="P201" s="187"/>
      <c r="Q201" s="187"/>
      <c r="R201" s="187"/>
      <c r="S201" s="187"/>
      <c r="T201" s="187"/>
      <c r="U201" s="187"/>
      <c r="V201" s="187"/>
      <c r="W201" s="187"/>
      <c r="X201" s="187"/>
      <c r="Y201" s="187"/>
      <c r="Z201" s="187"/>
      <c r="AA201" s="187"/>
      <c r="AB201" s="187"/>
      <c r="AC201" s="187"/>
      <c r="AD201" s="187"/>
      <c r="AE201" s="187"/>
      <c r="AF201" s="187"/>
      <c r="AG201" s="187"/>
      <c r="AH201" s="187"/>
    </row>
    <row r="202" spans="1:34" ht="67.150000000000006" customHeight="1" thickBot="1" x14ac:dyDescent="0.35">
      <c r="A202" s="187"/>
      <c r="B202" s="187"/>
      <c r="C202" s="187"/>
      <c r="D202" s="187"/>
      <c r="E202" s="187"/>
      <c r="F202" s="187"/>
      <c r="G202" s="187"/>
      <c r="H202" s="187"/>
      <c r="I202" s="187"/>
      <c r="J202" s="187"/>
      <c r="K202" s="187"/>
      <c r="L202" s="187"/>
      <c r="M202" s="187"/>
      <c r="N202" s="187"/>
      <c r="O202" s="187"/>
      <c r="P202" s="187"/>
      <c r="Q202" s="187"/>
      <c r="R202" s="187"/>
      <c r="S202" s="187"/>
      <c r="T202" s="187"/>
      <c r="U202" s="187"/>
      <c r="V202" s="187"/>
      <c r="W202" s="187"/>
      <c r="X202" s="187"/>
      <c r="Y202" s="187"/>
      <c r="Z202" s="187"/>
      <c r="AA202" s="187"/>
      <c r="AB202" s="187"/>
      <c r="AC202" s="187"/>
      <c r="AD202" s="187"/>
      <c r="AE202" s="187"/>
      <c r="AF202" s="187"/>
      <c r="AG202" s="187"/>
      <c r="AH202" s="187"/>
    </row>
    <row r="203" spans="1:34" ht="67.150000000000006" customHeight="1" thickBot="1" x14ac:dyDescent="0.35">
      <c r="A203" s="187"/>
      <c r="B203" s="187"/>
      <c r="C203" s="187"/>
      <c r="D203" s="187"/>
      <c r="E203" s="187"/>
      <c r="F203" s="187"/>
      <c r="G203" s="187"/>
      <c r="H203" s="187"/>
      <c r="I203" s="187"/>
      <c r="J203" s="187"/>
      <c r="K203" s="187"/>
      <c r="L203" s="187"/>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row>
    <row r="204" spans="1:34" ht="67.150000000000006" customHeight="1" thickBot="1" x14ac:dyDescent="0.35">
      <c r="A204" s="187"/>
      <c r="B204" s="187"/>
      <c r="C204" s="187"/>
      <c r="D204" s="187"/>
      <c r="E204" s="187"/>
      <c r="F204" s="187"/>
      <c r="G204" s="187"/>
      <c r="H204" s="187"/>
      <c r="I204" s="187"/>
      <c r="J204" s="187"/>
      <c r="K204" s="187"/>
      <c r="L204" s="187"/>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c r="AH204" s="187"/>
    </row>
    <row r="205" spans="1:34" ht="67.150000000000006" customHeight="1" thickBot="1" x14ac:dyDescent="0.35">
      <c r="A205" s="187"/>
      <c r="B205" s="187"/>
      <c r="C205" s="187"/>
      <c r="D205" s="187"/>
      <c r="E205" s="187"/>
      <c r="F205" s="187"/>
      <c r="G205" s="187"/>
      <c r="H205" s="187"/>
      <c r="I205" s="187"/>
      <c r="J205" s="187"/>
      <c r="K205" s="187"/>
      <c r="L205" s="187"/>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row>
    <row r="206" spans="1:34" ht="67.150000000000006" customHeight="1" thickBot="1" x14ac:dyDescent="0.35">
      <c r="A206" s="187"/>
      <c r="B206" s="187"/>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row>
    <row r="207" spans="1:34" ht="67.150000000000006" customHeight="1" thickBot="1" x14ac:dyDescent="0.35">
      <c r="A207" s="187"/>
      <c r="B207" s="187"/>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187"/>
      <c r="Y207" s="187"/>
      <c r="Z207" s="187"/>
      <c r="AA207" s="187"/>
      <c r="AB207" s="187"/>
      <c r="AC207" s="187"/>
      <c r="AD207" s="187"/>
      <c r="AE207" s="187"/>
      <c r="AF207" s="187"/>
      <c r="AG207" s="187"/>
      <c r="AH207" s="187"/>
    </row>
    <row r="208" spans="1:34" ht="67.150000000000006" customHeight="1" thickBot="1" x14ac:dyDescent="0.35">
      <c r="A208" s="187"/>
      <c r="B208" s="187"/>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187"/>
      <c r="Y208" s="187"/>
      <c r="Z208" s="187"/>
      <c r="AA208" s="187"/>
      <c r="AB208" s="187"/>
      <c r="AC208" s="187"/>
      <c r="AD208" s="187"/>
      <c r="AE208" s="187"/>
      <c r="AF208" s="187"/>
      <c r="AG208" s="187"/>
      <c r="AH208" s="187"/>
    </row>
    <row r="209" spans="1:34" ht="67.150000000000006" customHeight="1" thickBot="1" x14ac:dyDescent="0.35">
      <c r="A209" s="187"/>
      <c r="B209" s="187"/>
      <c r="C209" s="187"/>
      <c r="D209" s="187"/>
      <c r="E209" s="187"/>
      <c r="F209" s="187"/>
      <c r="G209" s="187"/>
      <c r="H209" s="187"/>
      <c r="I209" s="187"/>
      <c r="J209" s="187"/>
      <c r="K209" s="187"/>
      <c r="L209" s="187"/>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c r="AH209" s="187"/>
    </row>
    <row r="210" spans="1:34" ht="67.150000000000006" customHeight="1" thickBot="1" x14ac:dyDescent="0.35">
      <c r="A210" s="187"/>
      <c r="B210" s="187"/>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row>
    <row r="211" spans="1:34" ht="67.150000000000006" customHeight="1" thickBot="1" x14ac:dyDescent="0.35">
      <c r="A211" s="187"/>
      <c r="B211" s="187"/>
      <c r="C211" s="187"/>
      <c r="D211" s="187"/>
      <c r="E211" s="187"/>
      <c r="F211" s="187"/>
      <c r="G211" s="187"/>
      <c r="H211" s="187"/>
      <c r="I211" s="187"/>
      <c r="J211" s="187"/>
      <c r="K211" s="187"/>
      <c r="L211" s="187"/>
      <c r="M211" s="187"/>
      <c r="N211" s="187"/>
      <c r="O211" s="187"/>
      <c r="P211" s="187"/>
      <c r="Q211" s="187"/>
      <c r="R211" s="187"/>
      <c r="S211" s="187"/>
      <c r="T211" s="187"/>
      <c r="U211" s="187"/>
      <c r="V211" s="187"/>
      <c r="W211" s="187"/>
      <c r="X211" s="187"/>
      <c r="Y211" s="187"/>
      <c r="Z211" s="187"/>
      <c r="AA211" s="187"/>
      <c r="AB211" s="187"/>
      <c r="AC211" s="187"/>
      <c r="AD211" s="187"/>
      <c r="AE211" s="187"/>
      <c r="AF211" s="187"/>
      <c r="AG211" s="187"/>
      <c r="AH211" s="187"/>
    </row>
    <row r="212" spans="1:34" ht="67.150000000000006" customHeight="1" thickBot="1" x14ac:dyDescent="0.35">
      <c r="A212" s="187"/>
      <c r="B212" s="187"/>
      <c r="C212" s="187"/>
      <c r="D212" s="187"/>
      <c r="E212" s="187"/>
      <c r="F212" s="187"/>
      <c r="G212" s="187"/>
      <c r="H212" s="187"/>
      <c r="I212" s="187"/>
      <c r="J212" s="187"/>
      <c r="K212" s="187"/>
      <c r="L212" s="187"/>
      <c r="M212" s="187"/>
      <c r="N212" s="187"/>
      <c r="O212" s="187"/>
      <c r="P212" s="187"/>
      <c r="Q212" s="187"/>
      <c r="R212" s="187"/>
      <c r="S212" s="187"/>
      <c r="T212" s="187"/>
      <c r="U212" s="187"/>
      <c r="V212" s="187"/>
      <c r="W212" s="187"/>
      <c r="X212" s="187"/>
      <c r="Y212" s="187"/>
      <c r="Z212" s="187"/>
      <c r="AA212" s="187"/>
      <c r="AB212" s="187"/>
      <c r="AC212" s="187"/>
      <c r="AD212" s="187"/>
      <c r="AE212" s="187"/>
      <c r="AF212" s="187"/>
      <c r="AG212" s="187"/>
      <c r="AH212" s="187"/>
    </row>
    <row r="213" spans="1:34" ht="67.150000000000006" customHeight="1" thickBot="1" x14ac:dyDescent="0.35">
      <c r="A213" s="187"/>
      <c r="B213" s="187"/>
      <c r="C213" s="187"/>
      <c r="D213" s="187"/>
      <c r="E213" s="187"/>
      <c r="F213" s="187"/>
      <c r="G213" s="187"/>
      <c r="H213" s="187"/>
      <c r="I213" s="187"/>
      <c r="J213" s="187"/>
      <c r="K213" s="187"/>
      <c r="L213" s="187"/>
      <c r="M213" s="187"/>
      <c r="N213" s="187"/>
      <c r="O213" s="187"/>
      <c r="P213" s="187"/>
      <c r="Q213" s="187"/>
      <c r="R213" s="187"/>
      <c r="S213" s="187"/>
      <c r="T213" s="187"/>
      <c r="U213" s="187"/>
      <c r="V213" s="187"/>
      <c r="W213" s="187"/>
      <c r="X213" s="187"/>
      <c r="Y213" s="187"/>
      <c r="Z213" s="187"/>
      <c r="AA213" s="187"/>
      <c r="AB213" s="187"/>
      <c r="AC213" s="187"/>
      <c r="AD213" s="187"/>
      <c r="AE213" s="187"/>
      <c r="AF213" s="187"/>
      <c r="AG213" s="187"/>
      <c r="AH213" s="187"/>
    </row>
    <row r="214" spans="1:34" ht="67.150000000000006" customHeight="1" thickBot="1" x14ac:dyDescent="0.35">
      <c r="A214" s="187"/>
      <c r="B214" s="187"/>
      <c r="C214" s="187"/>
      <c r="D214" s="187"/>
      <c r="E214" s="187"/>
      <c r="F214" s="187"/>
      <c r="G214" s="187"/>
      <c r="H214" s="187"/>
      <c r="I214" s="187"/>
      <c r="J214" s="187"/>
      <c r="K214" s="187"/>
      <c r="L214" s="187"/>
      <c r="M214" s="187"/>
      <c r="N214" s="187"/>
      <c r="O214" s="187"/>
      <c r="P214" s="187"/>
      <c r="Q214" s="187"/>
      <c r="R214" s="187"/>
      <c r="S214" s="187"/>
      <c r="T214" s="187"/>
      <c r="U214" s="187"/>
      <c r="V214" s="187"/>
      <c r="W214" s="187"/>
      <c r="X214" s="187"/>
      <c r="Y214" s="187"/>
      <c r="Z214" s="187"/>
      <c r="AA214" s="187"/>
      <c r="AB214" s="187"/>
      <c r="AC214" s="187"/>
      <c r="AD214" s="187"/>
      <c r="AE214" s="187"/>
      <c r="AF214" s="187"/>
      <c r="AG214" s="187"/>
      <c r="AH214" s="187"/>
    </row>
    <row r="215" spans="1:34" ht="67.150000000000006" customHeight="1" thickBot="1" x14ac:dyDescent="0.35">
      <c r="A215" s="187"/>
      <c r="B215" s="187"/>
      <c r="C215" s="187"/>
      <c r="D215" s="187"/>
      <c r="E215" s="187"/>
      <c r="F215" s="187"/>
      <c r="G215" s="187"/>
      <c r="H215" s="187"/>
      <c r="I215" s="187"/>
      <c r="J215" s="187"/>
      <c r="K215" s="187"/>
      <c r="L215" s="187"/>
      <c r="M215" s="187"/>
      <c r="N215" s="187"/>
      <c r="O215" s="187"/>
      <c r="P215" s="187"/>
      <c r="Q215" s="187"/>
      <c r="R215" s="187"/>
      <c r="S215" s="187"/>
      <c r="T215" s="187"/>
      <c r="U215" s="187"/>
      <c r="V215" s="187"/>
      <c r="W215" s="187"/>
      <c r="X215" s="187"/>
      <c r="Y215" s="187"/>
      <c r="Z215" s="187"/>
      <c r="AA215" s="187"/>
      <c r="AB215" s="187"/>
      <c r="AC215" s="187"/>
      <c r="AD215" s="187"/>
      <c r="AE215" s="187"/>
      <c r="AF215" s="187"/>
      <c r="AG215" s="187"/>
      <c r="AH215" s="187"/>
    </row>
    <row r="216" spans="1:34" ht="67.150000000000006" customHeight="1" thickBot="1" x14ac:dyDescent="0.35">
      <c r="A216" s="187"/>
      <c r="B216" s="187"/>
      <c r="C216" s="187"/>
      <c r="D216" s="187"/>
      <c r="E216" s="187"/>
      <c r="F216" s="187"/>
      <c r="G216" s="187"/>
      <c r="H216" s="187"/>
      <c r="I216" s="187"/>
      <c r="J216" s="187"/>
      <c r="K216" s="187"/>
      <c r="L216" s="187"/>
      <c r="M216" s="187"/>
      <c r="N216" s="187"/>
      <c r="O216" s="187"/>
      <c r="P216" s="187"/>
      <c r="Q216" s="187"/>
      <c r="R216" s="187"/>
      <c r="S216" s="187"/>
      <c r="T216" s="187"/>
      <c r="U216" s="187"/>
      <c r="V216" s="187"/>
      <c r="W216" s="187"/>
      <c r="X216" s="187"/>
      <c r="Y216" s="187"/>
      <c r="Z216" s="187"/>
      <c r="AA216" s="187"/>
      <c r="AB216" s="187"/>
      <c r="AC216" s="187"/>
      <c r="AD216" s="187"/>
      <c r="AE216" s="187"/>
      <c r="AF216" s="187"/>
      <c r="AG216" s="187"/>
      <c r="AH216" s="187"/>
    </row>
    <row r="217" spans="1:34" ht="67.150000000000006" customHeight="1" thickBot="1" x14ac:dyDescent="0.35">
      <c r="A217" s="187"/>
      <c r="B217" s="187"/>
      <c r="C217" s="187"/>
      <c r="D217" s="187"/>
      <c r="E217" s="187"/>
      <c r="F217" s="187"/>
      <c r="G217" s="187"/>
      <c r="H217" s="187"/>
      <c r="I217" s="187"/>
      <c r="J217" s="187"/>
      <c r="K217" s="187"/>
      <c r="L217" s="187"/>
      <c r="M217" s="187"/>
      <c r="N217" s="187"/>
      <c r="O217" s="187"/>
      <c r="P217" s="187"/>
      <c r="Q217" s="187"/>
      <c r="R217" s="187"/>
      <c r="S217" s="187"/>
      <c r="T217" s="187"/>
      <c r="U217" s="187"/>
      <c r="V217" s="187"/>
      <c r="W217" s="187"/>
      <c r="X217" s="187"/>
      <c r="Y217" s="187"/>
      <c r="Z217" s="187"/>
      <c r="AA217" s="187"/>
      <c r="AB217" s="187"/>
      <c r="AC217" s="187"/>
      <c r="AD217" s="187"/>
      <c r="AE217" s="187"/>
      <c r="AF217" s="187"/>
      <c r="AG217" s="187"/>
      <c r="AH217" s="187"/>
    </row>
    <row r="218" spans="1:34" ht="67.150000000000006" customHeight="1" thickBot="1" x14ac:dyDescent="0.35">
      <c r="A218" s="187"/>
      <c r="B218" s="187"/>
      <c r="C218" s="187"/>
      <c r="D218" s="187"/>
      <c r="E218" s="187"/>
      <c r="F218" s="187"/>
      <c r="G218" s="187"/>
      <c r="H218" s="187"/>
      <c r="I218" s="187"/>
      <c r="J218" s="187"/>
      <c r="K218" s="187"/>
      <c r="L218" s="187"/>
      <c r="M218" s="187"/>
      <c r="N218" s="187"/>
      <c r="O218" s="187"/>
      <c r="P218" s="187"/>
      <c r="Q218" s="187"/>
      <c r="R218" s="187"/>
      <c r="S218" s="187"/>
      <c r="T218" s="187"/>
      <c r="U218" s="187"/>
      <c r="V218" s="187"/>
      <c r="W218" s="187"/>
      <c r="X218" s="187"/>
      <c r="Y218" s="187"/>
      <c r="Z218" s="187"/>
      <c r="AA218" s="187"/>
      <c r="AB218" s="187"/>
      <c r="AC218" s="187"/>
      <c r="AD218" s="187"/>
      <c r="AE218" s="187"/>
      <c r="AF218" s="187"/>
      <c r="AG218" s="187"/>
      <c r="AH218" s="187"/>
    </row>
    <row r="219" spans="1:34" ht="67.150000000000006" customHeight="1" thickBot="1" x14ac:dyDescent="0.35">
      <c r="A219" s="187"/>
      <c r="B219" s="187"/>
      <c r="C219" s="187"/>
      <c r="D219" s="187"/>
      <c r="E219" s="187"/>
      <c r="F219" s="187"/>
      <c r="G219" s="187"/>
      <c r="H219" s="187"/>
      <c r="I219" s="187"/>
      <c r="J219" s="187"/>
      <c r="K219" s="187"/>
      <c r="L219" s="187"/>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c r="AH219" s="187"/>
    </row>
    <row r="220" spans="1:34" ht="67.150000000000006" customHeight="1" thickBot="1" x14ac:dyDescent="0.35">
      <c r="A220" s="187"/>
      <c r="B220" s="187"/>
      <c r="C220" s="187"/>
      <c r="D220" s="187"/>
      <c r="E220" s="187"/>
      <c r="F220" s="187"/>
      <c r="G220" s="187"/>
      <c r="H220" s="187"/>
      <c r="I220" s="187"/>
      <c r="J220" s="187"/>
      <c r="K220" s="187"/>
      <c r="L220" s="187"/>
      <c r="M220" s="187"/>
      <c r="N220" s="187"/>
      <c r="O220" s="187"/>
      <c r="P220" s="187"/>
      <c r="Q220" s="187"/>
      <c r="R220" s="187"/>
      <c r="S220" s="187"/>
      <c r="T220" s="187"/>
      <c r="U220" s="187"/>
      <c r="V220" s="187"/>
      <c r="W220" s="187"/>
      <c r="X220" s="187"/>
      <c r="Y220" s="187"/>
      <c r="Z220" s="187"/>
      <c r="AA220" s="187"/>
      <c r="AB220" s="187"/>
      <c r="AC220" s="187"/>
      <c r="AD220" s="187"/>
      <c r="AE220" s="187"/>
      <c r="AF220" s="187"/>
      <c r="AG220" s="187"/>
      <c r="AH220" s="187"/>
    </row>
    <row r="221" spans="1:34" ht="67.150000000000006" customHeight="1" thickBot="1" x14ac:dyDescent="0.35">
      <c r="A221" s="187"/>
      <c r="B221" s="187"/>
      <c r="C221" s="187"/>
      <c r="D221" s="187"/>
      <c r="E221" s="187"/>
      <c r="F221" s="187"/>
      <c r="G221" s="187"/>
      <c r="H221" s="187"/>
      <c r="I221" s="187"/>
      <c r="J221" s="187"/>
      <c r="K221" s="187"/>
      <c r="L221" s="187"/>
      <c r="M221" s="187"/>
      <c r="N221" s="187"/>
      <c r="O221" s="187"/>
      <c r="P221" s="187"/>
      <c r="Q221" s="187"/>
      <c r="R221" s="187"/>
      <c r="S221" s="187"/>
      <c r="T221" s="187"/>
      <c r="U221" s="187"/>
      <c r="V221" s="187"/>
      <c r="W221" s="187"/>
      <c r="X221" s="187"/>
      <c r="Y221" s="187"/>
      <c r="Z221" s="187"/>
      <c r="AA221" s="187"/>
      <c r="AB221" s="187"/>
      <c r="AC221" s="187"/>
      <c r="AD221" s="187"/>
      <c r="AE221" s="187"/>
      <c r="AF221" s="187"/>
      <c r="AG221" s="187"/>
      <c r="AH221" s="187"/>
    </row>
    <row r="222" spans="1:34" ht="67.150000000000006" customHeight="1" thickBot="1" x14ac:dyDescent="0.35">
      <c r="A222" s="187"/>
      <c r="B222" s="187"/>
      <c r="C222" s="187"/>
      <c r="D222" s="187"/>
      <c r="E222" s="187"/>
      <c r="F222" s="187"/>
      <c r="G222" s="187"/>
      <c r="H222" s="187"/>
      <c r="I222" s="187"/>
      <c r="J222" s="187"/>
      <c r="K222" s="187"/>
      <c r="L222" s="187"/>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row>
    <row r="223" spans="1:34" ht="67.150000000000006" customHeight="1" thickBot="1" x14ac:dyDescent="0.35">
      <c r="A223" s="187"/>
      <c r="B223" s="187"/>
      <c r="C223" s="187"/>
      <c r="D223" s="187"/>
      <c r="E223" s="187"/>
      <c r="F223" s="187"/>
      <c r="G223" s="187"/>
      <c r="H223" s="187"/>
      <c r="I223" s="187"/>
      <c r="J223" s="187"/>
      <c r="K223" s="187"/>
      <c r="L223" s="187"/>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row>
    <row r="224" spans="1:34" ht="67.150000000000006" customHeight="1" thickBot="1" x14ac:dyDescent="0.35">
      <c r="A224" s="187"/>
      <c r="B224" s="187"/>
      <c r="C224" s="187"/>
      <c r="D224" s="187"/>
      <c r="E224" s="187"/>
      <c r="F224" s="187"/>
      <c r="G224" s="187"/>
      <c r="H224" s="187"/>
      <c r="I224" s="187"/>
      <c r="J224" s="187"/>
      <c r="K224" s="187"/>
      <c r="L224" s="187"/>
      <c r="M224" s="187"/>
      <c r="N224" s="187"/>
      <c r="O224" s="187"/>
      <c r="P224" s="187"/>
      <c r="Q224" s="187"/>
      <c r="R224" s="187"/>
      <c r="S224" s="187"/>
      <c r="T224" s="187"/>
      <c r="U224" s="187"/>
      <c r="V224" s="187"/>
      <c r="W224" s="187"/>
      <c r="X224" s="187"/>
      <c r="Y224" s="187"/>
      <c r="Z224" s="187"/>
      <c r="AA224" s="187"/>
      <c r="AB224" s="187"/>
      <c r="AC224" s="187"/>
      <c r="AD224" s="187"/>
      <c r="AE224" s="187"/>
      <c r="AF224" s="187"/>
      <c r="AG224" s="187"/>
      <c r="AH224" s="187"/>
    </row>
    <row r="225" spans="1:34" ht="67.150000000000006" customHeight="1" thickBot="1" x14ac:dyDescent="0.35">
      <c r="A225" s="187"/>
      <c r="B225" s="187"/>
      <c r="C225" s="187"/>
      <c r="D225" s="187"/>
      <c r="E225" s="187"/>
      <c r="F225" s="187"/>
      <c r="G225" s="187"/>
      <c r="H225" s="187"/>
      <c r="I225" s="187"/>
      <c r="J225" s="187"/>
      <c r="K225" s="187"/>
      <c r="L225" s="187"/>
      <c r="M225" s="187"/>
      <c r="N225" s="187"/>
      <c r="O225" s="187"/>
      <c r="P225" s="187"/>
      <c r="Q225" s="187"/>
      <c r="R225" s="187"/>
      <c r="S225" s="187"/>
      <c r="T225" s="187"/>
      <c r="U225" s="187"/>
      <c r="V225" s="187"/>
      <c r="W225" s="187"/>
      <c r="X225" s="187"/>
      <c r="Y225" s="187"/>
      <c r="Z225" s="187"/>
      <c r="AA225" s="187"/>
      <c r="AB225" s="187"/>
      <c r="AC225" s="187"/>
      <c r="AD225" s="187"/>
      <c r="AE225" s="187"/>
      <c r="AF225" s="187"/>
      <c r="AG225" s="187"/>
      <c r="AH225" s="187"/>
    </row>
    <row r="226" spans="1:34" ht="67.150000000000006" customHeight="1" thickBot="1" x14ac:dyDescent="0.35">
      <c r="A226" s="187"/>
      <c r="B226" s="187"/>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row>
    <row r="227" spans="1:34" ht="67.150000000000006" customHeight="1" thickBot="1" x14ac:dyDescent="0.35">
      <c r="A227" s="187"/>
      <c r="B227" s="187"/>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c r="AH227" s="187"/>
    </row>
    <row r="228" spans="1:34" ht="67.150000000000006" customHeight="1" thickBot="1" x14ac:dyDescent="0.35">
      <c r="A228" s="187"/>
      <c r="B228" s="187"/>
      <c r="C228" s="187"/>
      <c r="D228" s="187"/>
      <c r="E228" s="187"/>
      <c r="F228" s="187"/>
      <c r="G228" s="187"/>
      <c r="H228" s="187"/>
      <c r="I228" s="187"/>
      <c r="J228" s="187"/>
      <c r="K228" s="187"/>
      <c r="L228" s="187"/>
      <c r="M228" s="187"/>
      <c r="N228" s="187"/>
      <c r="O228" s="187"/>
      <c r="P228" s="187"/>
      <c r="Q228" s="187"/>
      <c r="R228" s="187"/>
      <c r="S228" s="187"/>
      <c r="T228" s="187"/>
      <c r="U228" s="187"/>
      <c r="V228" s="187"/>
      <c r="W228" s="187"/>
      <c r="X228" s="187"/>
      <c r="Y228" s="187"/>
      <c r="Z228" s="187"/>
      <c r="AA228" s="187"/>
      <c r="AB228" s="187"/>
      <c r="AC228" s="187"/>
      <c r="AD228" s="187"/>
      <c r="AE228" s="187"/>
      <c r="AF228" s="187"/>
      <c r="AG228" s="187"/>
      <c r="AH228" s="187"/>
    </row>
    <row r="229" spans="1:34" ht="67.150000000000006" customHeight="1" thickBot="1" x14ac:dyDescent="0.35">
      <c r="A229" s="187"/>
      <c r="B229" s="187"/>
      <c r="C229" s="187"/>
      <c r="D229" s="187"/>
      <c r="E229" s="187"/>
      <c r="F229" s="187"/>
      <c r="G229" s="187"/>
      <c r="H229" s="187"/>
      <c r="I229" s="187"/>
      <c r="J229" s="187"/>
      <c r="K229" s="187"/>
      <c r="L229" s="187"/>
      <c r="M229" s="187"/>
      <c r="N229" s="187"/>
      <c r="O229" s="187"/>
      <c r="P229" s="187"/>
      <c r="Q229" s="187"/>
      <c r="R229" s="187"/>
      <c r="S229" s="187"/>
      <c r="T229" s="187"/>
      <c r="U229" s="187"/>
      <c r="V229" s="187"/>
      <c r="W229" s="187"/>
      <c r="X229" s="187"/>
      <c r="Y229" s="187"/>
      <c r="Z229" s="187"/>
      <c r="AA229" s="187"/>
      <c r="AB229" s="187"/>
      <c r="AC229" s="187"/>
      <c r="AD229" s="187"/>
      <c r="AE229" s="187"/>
      <c r="AF229" s="187"/>
      <c r="AG229" s="187"/>
      <c r="AH229" s="187"/>
    </row>
    <row r="230" spans="1:34" ht="67.150000000000006" customHeight="1" thickBot="1" x14ac:dyDescent="0.35">
      <c r="A230" s="187"/>
      <c r="B230" s="187"/>
      <c r="C230" s="187"/>
      <c r="D230" s="187"/>
      <c r="E230" s="187"/>
      <c r="F230" s="187"/>
      <c r="G230" s="187"/>
      <c r="H230" s="187"/>
      <c r="I230" s="187"/>
      <c r="J230" s="187"/>
      <c r="K230" s="187"/>
      <c r="L230" s="187"/>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c r="AH230" s="187"/>
    </row>
    <row r="231" spans="1:34" ht="67.150000000000006" customHeight="1" thickBot="1" x14ac:dyDescent="0.35">
      <c r="A231" s="187"/>
      <c r="B231" s="187"/>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187"/>
      <c r="Y231" s="187"/>
      <c r="Z231" s="187"/>
      <c r="AA231" s="187"/>
      <c r="AB231" s="187"/>
      <c r="AC231" s="187"/>
      <c r="AD231" s="187"/>
      <c r="AE231" s="187"/>
      <c r="AF231" s="187"/>
      <c r="AG231" s="187"/>
      <c r="AH231" s="187"/>
    </row>
    <row r="232" spans="1:34" ht="67.150000000000006" customHeight="1" thickBot="1" x14ac:dyDescent="0.35">
      <c r="A232" s="187"/>
      <c r="B232" s="187"/>
      <c r="C232" s="187"/>
      <c r="D232" s="187"/>
      <c r="E232" s="187"/>
      <c r="F232" s="187"/>
      <c r="G232" s="187"/>
      <c r="H232" s="187"/>
      <c r="I232" s="187"/>
      <c r="J232" s="187"/>
      <c r="K232" s="187"/>
      <c r="L232" s="187"/>
      <c r="M232" s="187"/>
      <c r="N232" s="187"/>
      <c r="O232" s="187"/>
      <c r="P232" s="187"/>
      <c r="Q232" s="187"/>
      <c r="R232" s="187"/>
      <c r="S232" s="187"/>
      <c r="T232" s="187"/>
      <c r="U232" s="187"/>
      <c r="V232" s="187"/>
      <c r="W232" s="187"/>
      <c r="X232" s="187"/>
      <c r="Y232" s="187"/>
      <c r="Z232" s="187"/>
      <c r="AA232" s="187"/>
      <c r="AB232" s="187"/>
      <c r="AC232" s="187"/>
      <c r="AD232" s="187"/>
      <c r="AE232" s="187"/>
      <c r="AF232" s="187"/>
      <c r="AG232" s="187"/>
      <c r="AH232" s="187"/>
    </row>
    <row r="233" spans="1:34" ht="67.150000000000006" customHeight="1" thickBot="1" x14ac:dyDescent="0.35">
      <c r="A233" s="187"/>
      <c r="B233" s="187"/>
      <c r="C233" s="187"/>
      <c r="D233" s="187"/>
      <c r="E233" s="187"/>
      <c r="F233" s="187"/>
      <c r="G233" s="187"/>
      <c r="H233" s="187"/>
      <c r="I233" s="187"/>
      <c r="J233" s="187"/>
      <c r="K233" s="187"/>
      <c r="L233" s="187"/>
      <c r="M233" s="187"/>
      <c r="N233" s="187"/>
      <c r="O233" s="187"/>
      <c r="P233" s="187"/>
      <c r="Q233" s="187"/>
      <c r="R233" s="187"/>
      <c r="S233" s="187"/>
      <c r="T233" s="187"/>
      <c r="U233" s="187"/>
      <c r="V233" s="187"/>
      <c r="W233" s="187"/>
      <c r="X233" s="187"/>
      <c r="Y233" s="187"/>
      <c r="Z233" s="187"/>
      <c r="AA233" s="187"/>
      <c r="AB233" s="187"/>
      <c r="AC233" s="187"/>
      <c r="AD233" s="187"/>
      <c r="AE233" s="187"/>
      <c r="AF233" s="187"/>
      <c r="AG233" s="187"/>
      <c r="AH233" s="187"/>
    </row>
    <row r="234" spans="1:34" ht="67.150000000000006" customHeight="1" thickBot="1" x14ac:dyDescent="0.35">
      <c r="A234" s="187"/>
      <c r="B234" s="187"/>
      <c r="C234" s="187"/>
      <c r="D234" s="187"/>
      <c r="E234" s="187"/>
      <c r="F234" s="187"/>
      <c r="G234" s="187"/>
      <c r="H234" s="187"/>
      <c r="I234" s="187"/>
      <c r="J234" s="187"/>
      <c r="K234" s="187"/>
      <c r="L234" s="187"/>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c r="AH234" s="187"/>
    </row>
    <row r="235" spans="1:34" ht="67.150000000000006" customHeight="1" thickBot="1" x14ac:dyDescent="0.35">
      <c r="A235" s="187"/>
      <c r="B235" s="187"/>
      <c r="C235" s="187"/>
      <c r="D235" s="187"/>
      <c r="E235" s="187"/>
      <c r="F235" s="187"/>
      <c r="G235" s="187"/>
      <c r="H235" s="187"/>
      <c r="I235" s="187"/>
      <c r="J235" s="187"/>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row>
    <row r="236" spans="1:34" ht="67.150000000000006" customHeight="1" thickBot="1" x14ac:dyDescent="0.35">
      <c r="A236" s="187"/>
      <c r="B236" s="187"/>
      <c r="C236" s="187"/>
      <c r="D236" s="187"/>
      <c r="E236" s="187"/>
      <c r="F236" s="187"/>
      <c r="G236" s="187"/>
      <c r="H236" s="187"/>
      <c r="I236" s="187"/>
      <c r="J236" s="187"/>
      <c r="K236" s="187"/>
      <c r="L236" s="187"/>
      <c r="M236" s="187"/>
      <c r="N236" s="187"/>
      <c r="O236" s="187"/>
      <c r="P236" s="187"/>
      <c r="Q236" s="187"/>
      <c r="R236" s="187"/>
      <c r="S236" s="187"/>
      <c r="T236" s="187"/>
      <c r="U236" s="187"/>
      <c r="V236" s="187"/>
      <c r="W236" s="187"/>
      <c r="X236" s="187"/>
      <c r="Y236" s="187"/>
      <c r="Z236" s="187"/>
      <c r="AA236" s="187"/>
      <c r="AB236" s="187"/>
      <c r="AC236" s="187"/>
      <c r="AD236" s="187"/>
      <c r="AE236" s="187"/>
      <c r="AF236" s="187"/>
      <c r="AG236" s="187"/>
      <c r="AH236" s="187"/>
    </row>
    <row r="237" spans="1:34" ht="67.150000000000006" customHeight="1" thickBot="1" x14ac:dyDescent="0.35">
      <c r="A237" s="187"/>
      <c r="B237" s="187"/>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row>
    <row r="238" spans="1:34" ht="67.150000000000006" customHeight="1" thickBot="1" x14ac:dyDescent="0.35">
      <c r="A238" s="187"/>
      <c r="B238" s="187"/>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row>
    <row r="239" spans="1:34" ht="67.150000000000006" customHeight="1" thickBot="1" x14ac:dyDescent="0.35">
      <c r="A239" s="187"/>
      <c r="B239" s="187"/>
      <c r="C239" s="187"/>
      <c r="D239" s="187"/>
      <c r="E239" s="187"/>
      <c r="F239" s="187"/>
      <c r="G239" s="187"/>
      <c r="H239" s="187"/>
      <c r="I239" s="187"/>
      <c r="J239" s="187"/>
      <c r="K239" s="187"/>
      <c r="L239" s="187"/>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row>
    <row r="240" spans="1:34" ht="67.150000000000006" customHeight="1" thickBot="1" x14ac:dyDescent="0.35">
      <c r="A240" s="187"/>
      <c r="B240" s="187"/>
      <c r="C240" s="187"/>
      <c r="D240" s="187"/>
      <c r="E240" s="187"/>
      <c r="F240" s="187"/>
      <c r="G240" s="187"/>
      <c r="H240" s="187"/>
      <c r="I240" s="187"/>
      <c r="J240" s="187"/>
      <c r="K240" s="187"/>
      <c r="L240" s="187"/>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row>
    <row r="241" spans="1:34" ht="67.150000000000006" customHeight="1" thickBot="1" x14ac:dyDescent="0.35">
      <c r="A241" s="187"/>
      <c r="B241" s="187"/>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row>
    <row r="242" spans="1:34" ht="67.150000000000006" customHeight="1" thickBot="1" x14ac:dyDescent="0.35">
      <c r="A242" s="187"/>
      <c r="B242" s="187"/>
      <c r="C242" s="187"/>
      <c r="D242" s="187"/>
      <c r="E242" s="187"/>
      <c r="F242" s="187"/>
      <c r="G242" s="187"/>
      <c r="H242" s="187"/>
      <c r="I242" s="187"/>
      <c r="J242" s="187"/>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row>
    <row r="243" spans="1:34" ht="67.150000000000006" customHeight="1" thickBot="1" x14ac:dyDescent="0.35">
      <c r="A243" s="187"/>
      <c r="B243" s="187"/>
      <c r="C243" s="187"/>
      <c r="D243" s="187"/>
      <c r="E243" s="187"/>
      <c r="F243" s="187"/>
      <c r="G243" s="187"/>
      <c r="H243" s="187"/>
      <c r="I243" s="187"/>
      <c r="J243" s="187"/>
      <c r="K243" s="187"/>
      <c r="L243" s="187"/>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row>
    <row r="244" spans="1:34" ht="67.150000000000006" customHeight="1" thickBot="1" x14ac:dyDescent="0.35">
      <c r="A244" s="187"/>
      <c r="B244" s="187"/>
      <c r="C244" s="187"/>
      <c r="D244" s="187"/>
      <c r="E244" s="187"/>
      <c r="F244" s="187"/>
      <c r="G244" s="187"/>
      <c r="H244" s="187"/>
      <c r="I244" s="187"/>
      <c r="J244" s="187"/>
      <c r="K244" s="187"/>
      <c r="L244" s="187"/>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c r="AH244" s="187"/>
    </row>
    <row r="245" spans="1:34" ht="67.150000000000006" customHeight="1" thickBot="1" x14ac:dyDescent="0.35">
      <c r="A245" s="187"/>
      <c r="B245" s="187"/>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row>
    <row r="246" spans="1:34" ht="67.150000000000006" customHeight="1" thickBot="1" x14ac:dyDescent="0.35">
      <c r="A246" s="187"/>
      <c r="B246" s="187"/>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row>
    <row r="247" spans="1:34" ht="67.150000000000006" customHeight="1" thickBot="1" x14ac:dyDescent="0.35">
      <c r="A247" s="187"/>
      <c r="B247" s="187"/>
      <c r="C247" s="187"/>
      <c r="D247" s="187"/>
      <c r="E247" s="187"/>
      <c r="F247" s="187"/>
      <c r="G247" s="187"/>
      <c r="H247" s="187"/>
      <c r="I247" s="187"/>
      <c r="J247" s="187"/>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row>
    <row r="248" spans="1:34" ht="67.150000000000006" customHeight="1" thickBot="1" x14ac:dyDescent="0.35">
      <c r="A248" s="187"/>
      <c r="B248" s="187"/>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row>
    <row r="249" spans="1:34" ht="67.150000000000006" customHeight="1" thickBot="1" x14ac:dyDescent="0.35">
      <c r="A249" s="187"/>
      <c r="B249" s="187"/>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row>
    <row r="250" spans="1:34" ht="67.150000000000006" customHeight="1" thickBot="1" x14ac:dyDescent="0.35">
      <c r="A250" s="187"/>
      <c r="B250" s="187"/>
      <c r="C250" s="187"/>
      <c r="D250" s="187"/>
      <c r="E250" s="187"/>
      <c r="F250" s="187"/>
      <c r="G250" s="187"/>
      <c r="H250" s="187"/>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87"/>
      <c r="AH250" s="187"/>
    </row>
    <row r="251" spans="1:34" ht="67.150000000000006" customHeight="1" thickBot="1" x14ac:dyDescent="0.35">
      <c r="A251" s="187"/>
      <c r="B251" s="187"/>
      <c r="C251" s="187"/>
      <c r="D251" s="187"/>
      <c r="E251" s="187"/>
      <c r="F251" s="187"/>
      <c r="G251" s="187"/>
      <c r="H251" s="187"/>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row>
    <row r="252" spans="1:34" ht="67.150000000000006" customHeight="1" thickBot="1" x14ac:dyDescent="0.35">
      <c r="A252" s="187"/>
      <c r="B252" s="187"/>
      <c r="C252" s="187"/>
      <c r="D252" s="187"/>
      <c r="E252" s="187"/>
      <c r="F252" s="187"/>
      <c r="G252" s="187"/>
      <c r="H252" s="187"/>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row>
    <row r="253" spans="1:34" ht="67.150000000000006" customHeight="1" thickBot="1" x14ac:dyDescent="0.35">
      <c r="A253" s="187"/>
      <c r="B253" s="187"/>
      <c r="C253" s="187"/>
      <c r="D253" s="187"/>
      <c r="E253" s="187"/>
      <c r="F253" s="187"/>
      <c r="G253" s="187"/>
      <c r="H253" s="187"/>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row>
    <row r="254" spans="1:34" ht="67.150000000000006" customHeight="1" thickBot="1" x14ac:dyDescent="0.35">
      <c r="A254" s="187"/>
      <c r="B254" s="187"/>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row>
    <row r="255" spans="1:34" ht="67.150000000000006" customHeight="1" thickBot="1" x14ac:dyDescent="0.35">
      <c r="A255" s="187"/>
      <c r="B255" s="187"/>
      <c r="C255" s="187"/>
      <c r="D255" s="187"/>
      <c r="E255" s="187"/>
      <c r="F255" s="187"/>
      <c r="G255" s="187"/>
      <c r="H255" s="187"/>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87"/>
      <c r="AH255" s="187"/>
    </row>
    <row r="256" spans="1:34" ht="67.150000000000006" customHeight="1" thickBot="1" x14ac:dyDescent="0.35">
      <c r="A256" s="187"/>
      <c r="B256" s="187"/>
      <c r="C256" s="187"/>
      <c r="D256" s="187"/>
      <c r="E256" s="187"/>
      <c r="F256" s="187"/>
      <c r="G256" s="187"/>
      <c r="H256" s="187"/>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row>
    <row r="257" spans="1:34" ht="67.150000000000006" customHeight="1" thickBot="1" x14ac:dyDescent="0.35">
      <c r="A257" s="187"/>
      <c r="B257" s="187"/>
      <c r="C257" s="187"/>
      <c r="D257" s="187"/>
      <c r="E257" s="187"/>
      <c r="F257" s="187"/>
      <c r="G257" s="187"/>
      <c r="H257" s="187"/>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row>
    <row r="258" spans="1:34" ht="67.150000000000006" customHeight="1" thickBot="1" x14ac:dyDescent="0.35">
      <c r="A258" s="187"/>
      <c r="B258" s="187"/>
      <c r="C258" s="187"/>
      <c r="D258" s="187"/>
      <c r="E258" s="187"/>
      <c r="F258" s="187"/>
      <c r="G258" s="187"/>
      <c r="H258" s="187"/>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row>
    <row r="259" spans="1:34" ht="67.150000000000006" customHeight="1" thickBot="1" x14ac:dyDescent="0.35">
      <c r="A259" s="187"/>
      <c r="B259" s="187"/>
      <c r="C259" s="187"/>
      <c r="D259" s="187"/>
      <c r="E259" s="187"/>
      <c r="F259" s="187"/>
      <c r="G259" s="187"/>
      <c r="H259" s="187"/>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row>
    <row r="260" spans="1:34" ht="67.150000000000006" customHeight="1" thickBot="1" x14ac:dyDescent="0.35">
      <c r="A260" s="187"/>
      <c r="B260" s="187"/>
      <c r="C260" s="187"/>
      <c r="D260" s="187"/>
      <c r="E260" s="187"/>
      <c r="F260" s="187"/>
      <c r="G260" s="187"/>
      <c r="H260" s="187"/>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row>
    <row r="261" spans="1:34" ht="67.150000000000006" customHeight="1" thickBot="1" x14ac:dyDescent="0.35">
      <c r="A261" s="187"/>
      <c r="B261" s="187"/>
      <c r="C261" s="187"/>
      <c r="D261" s="187"/>
      <c r="E261" s="187"/>
      <c r="F261" s="187"/>
      <c r="G261" s="187"/>
      <c r="H261" s="187"/>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row>
    <row r="262" spans="1:34" ht="67.150000000000006" customHeight="1" thickBot="1" x14ac:dyDescent="0.35">
      <c r="A262" s="187"/>
      <c r="B262" s="187"/>
      <c r="C262" s="187"/>
      <c r="D262" s="187"/>
      <c r="E262" s="187"/>
      <c r="F262" s="187"/>
      <c r="G262" s="187"/>
      <c r="H262" s="187"/>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row>
    <row r="263" spans="1:34" ht="67.150000000000006" customHeight="1" thickBot="1" x14ac:dyDescent="0.35">
      <c r="A263" s="187"/>
      <c r="B263" s="187"/>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row>
    <row r="264" spans="1:34" ht="67.150000000000006" customHeight="1" thickBot="1" x14ac:dyDescent="0.35">
      <c r="A264" s="187"/>
      <c r="B264" s="187"/>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row>
    <row r="265" spans="1:34" ht="67.150000000000006" customHeight="1" thickBot="1" x14ac:dyDescent="0.35">
      <c r="A265" s="187"/>
      <c r="B265" s="187"/>
      <c r="C265" s="187"/>
      <c r="D265" s="187"/>
      <c r="E265" s="187"/>
      <c r="F265" s="187"/>
      <c r="G265" s="187"/>
      <c r="H265" s="187"/>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row>
    <row r="266" spans="1:34" ht="67.150000000000006" customHeight="1" thickBot="1" x14ac:dyDescent="0.35">
      <c r="A266" s="187"/>
      <c r="B266" s="187"/>
      <c r="C266" s="187"/>
      <c r="D266" s="187"/>
      <c r="E266" s="187"/>
      <c r="F266" s="187"/>
      <c r="G266" s="187"/>
      <c r="H266" s="187"/>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row>
    <row r="267" spans="1:34" ht="67.150000000000006" customHeight="1" thickBot="1" x14ac:dyDescent="0.35">
      <c r="A267" s="187"/>
      <c r="B267" s="187"/>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row>
    <row r="268" spans="1:34" ht="67.150000000000006" customHeight="1" thickBot="1" x14ac:dyDescent="0.35">
      <c r="A268" s="187"/>
      <c r="B268" s="187"/>
      <c r="C268" s="187"/>
      <c r="D268" s="187"/>
      <c r="E268" s="187"/>
      <c r="F268" s="187"/>
      <c r="G268" s="187"/>
      <c r="H268" s="187"/>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row>
    <row r="269" spans="1:34" ht="67.150000000000006" customHeight="1" thickBot="1" x14ac:dyDescent="0.35">
      <c r="A269" s="187"/>
      <c r="B269" s="187"/>
      <c r="C269" s="187"/>
      <c r="D269" s="187"/>
      <c r="E269" s="187"/>
      <c r="F269" s="187"/>
      <c r="G269" s="187"/>
      <c r="H269" s="187"/>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row>
    <row r="270" spans="1:34" ht="67.150000000000006" customHeight="1" thickBot="1" x14ac:dyDescent="0.35">
      <c r="A270" s="187"/>
      <c r="B270" s="187"/>
      <c r="C270" s="187"/>
      <c r="D270" s="187"/>
      <c r="E270" s="187"/>
      <c r="F270" s="187"/>
      <c r="G270" s="187"/>
      <c r="H270" s="187"/>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row>
    <row r="271" spans="1:34" ht="67.150000000000006" customHeight="1" thickBot="1" x14ac:dyDescent="0.35">
      <c r="A271" s="187"/>
      <c r="B271" s="187"/>
      <c r="C271" s="187"/>
      <c r="D271" s="187"/>
      <c r="E271" s="187"/>
      <c r="F271" s="187"/>
      <c r="G271" s="187"/>
      <c r="H271" s="187"/>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row>
    <row r="272" spans="1:34" ht="67.150000000000006" customHeight="1" thickBot="1" x14ac:dyDescent="0.35">
      <c r="A272" s="187"/>
      <c r="B272" s="187"/>
      <c r="C272" s="187"/>
      <c r="D272" s="187"/>
      <c r="E272" s="187"/>
      <c r="F272" s="187"/>
      <c r="G272" s="187"/>
      <c r="H272" s="187"/>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row>
    <row r="273" spans="1:34" ht="67.150000000000006" customHeight="1" thickBot="1" x14ac:dyDescent="0.35">
      <c r="A273" s="187"/>
      <c r="B273" s="187"/>
      <c r="C273" s="187"/>
      <c r="D273" s="187"/>
      <c r="E273" s="187"/>
      <c r="F273" s="187"/>
      <c r="G273" s="187"/>
      <c r="H273" s="187"/>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87"/>
      <c r="AH273" s="187"/>
    </row>
    <row r="274" spans="1:34" ht="67.150000000000006" customHeight="1" thickBot="1" x14ac:dyDescent="0.35">
      <c r="A274" s="187"/>
      <c r="B274" s="187"/>
      <c r="C274" s="187"/>
      <c r="D274" s="187"/>
      <c r="E274" s="187"/>
      <c r="F274" s="187"/>
      <c r="G274" s="187"/>
      <c r="H274" s="187"/>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row>
    <row r="275" spans="1:34" ht="67.150000000000006" customHeight="1" thickBot="1" x14ac:dyDescent="0.35">
      <c r="A275" s="187"/>
      <c r="B275" s="187"/>
      <c r="C275" s="187"/>
      <c r="D275" s="187"/>
      <c r="E275" s="187"/>
      <c r="F275" s="187"/>
      <c r="G275" s="187"/>
      <c r="H275" s="187"/>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row>
    <row r="276" spans="1:34" ht="67.150000000000006" customHeight="1" thickBot="1" x14ac:dyDescent="0.35">
      <c r="A276" s="187"/>
      <c r="B276" s="187"/>
      <c r="C276" s="187"/>
      <c r="D276" s="187"/>
      <c r="E276" s="187"/>
      <c r="F276" s="187"/>
      <c r="G276" s="187"/>
      <c r="H276" s="187"/>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row>
    <row r="277" spans="1:34" ht="67.150000000000006" customHeight="1" thickBot="1" x14ac:dyDescent="0.35">
      <c r="A277" s="187"/>
      <c r="B277" s="187"/>
      <c r="C277" s="187"/>
      <c r="D277" s="187"/>
      <c r="E277" s="187"/>
      <c r="F277" s="187"/>
      <c r="G277" s="187"/>
      <c r="H277" s="187"/>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row>
    <row r="278" spans="1:34" ht="67.150000000000006" customHeight="1" thickBot="1" x14ac:dyDescent="0.35">
      <c r="A278" s="187"/>
      <c r="B278" s="187"/>
      <c r="C278" s="187"/>
      <c r="D278" s="187"/>
      <c r="E278" s="187"/>
      <c r="F278" s="187"/>
      <c r="G278" s="187"/>
      <c r="H278" s="187"/>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87"/>
      <c r="AH278" s="187"/>
    </row>
    <row r="279" spans="1:34" ht="67.150000000000006" customHeight="1" thickBot="1" x14ac:dyDescent="0.35">
      <c r="A279" s="187"/>
      <c r="B279" s="187"/>
      <c r="C279" s="187"/>
      <c r="D279" s="187"/>
      <c r="E279" s="187"/>
      <c r="F279" s="187"/>
      <c r="G279" s="187"/>
      <c r="H279" s="187"/>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row>
    <row r="280" spans="1:34" ht="67.150000000000006" customHeight="1" thickBot="1" x14ac:dyDescent="0.35">
      <c r="A280" s="187"/>
      <c r="B280" s="187"/>
      <c r="C280" s="187"/>
      <c r="D280" s="187"/>
      <c r="E280" s="187"/>
      <c r="F280" s="187"/>
      <c r="G280" s="187"/>
      <c r="H280" s="187"/>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row>
    <row r="281" spans="1:34" ht="67.150000000000006" customHeight="1" thickBot="1" x14ac:dyDescent="0.35">
      <c r="A281" s="187"/>
      <c r="B281" s="187"/>
      <c r="C281" s="187"/>
      <c r="D281" s="187"/>
      <c r="E281" s="187"/>
      <c r="F281" s="187"/>
      <c r="G281" s="187"/>
      <c r="H281" s="187"/>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row>
    <row r="282" spans="1:34" ht="67.150000000000006" customHeight="1" thickBot="1" x14ac:dyDescent="0.35">
      <c r="A282" s="187"/>
      <c r="B282" s="187"/>
      <c r="C282" s="187"/>
      <c r="D282" s="187"/>
      <c r="E282" s="187"/>
      <c r="F282" s="187"/>
      <c r="G282" s="187"/>
      <c r="H282" s="187"/>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row>
    <row r="283" spans="1:34" ht="67.150000000000006" customHeight="1" thickBot="1" x14ac:dyDescent="0.35">
      <c r="A283" s="187"/>
      <c r="B283" s="187"/>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87"/>
      <c r="AH283" s="187"/>
    </row>
    <row r="284" spans="1:34" ht="67.150000000000006" customHeight="1" thickBot="1" x14ac:dyDescent="0.35">
      <c r="A284" s="187"/>
      <c r="B284" s="187"/>
      <c r="C284" s="187"/>
      <c r="D284" s="187"/>
      <c r="E284" s="187"/>
      <c r="F284" s="187"/>
      <c r="G284" s="187"/>
      <c r="H284" s="187"/>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row>
    <row r="285" spans="1:34" ht="67.150000000000006" customHeight="1" thickBot="1" x14ac:dyDescent="0.35">
      <c r="A285" s="187"/>
      <c r="B285" s="187"/>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row>
    <row r="286" spans="1:34" ht="67.150000000000006" customHeight="1" thickBot="1" x14ac:dyDescent="0.35">
      <c r="A286" s="187"/>
      <c r="B286" s="187"/>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87"/>
      <c r="AH286" s="187"/>
    </row>
    <row r="287" spans="1:34" ht="67.150000000000006" customHeight="1" thickBot="1" x14ac:dyDescent="0.35">
      <c r="A287" s="187"/>
      <c r="B287" s="187"/>
      <c r="C287" s="187"/>
      <c r="D287" s="187"/>
      <c r="E287" s="187"/>
      <c r="F287" s="187"/>
      <c r="G287" s="187"/>
      <c r="H287" s="187"/>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row>
    <row r="288" spans="1:34" ht="67.150000000000006" customHeight="1" thickBot="1" x14ac:dyDescent="0.35">
      <c r="A288" s="187"/>
      <c r="B288" s="187"/>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row>
    <row r="289" spans="1:34" ht="67.150000000000006" customHeight="1" thickBot="1" x14ac:dyDescent="0.35">
      <c r="A289" s="187"/>
      <c r="B289" s="187"/>
      <c r="C289" s="187"/>
      <c r="D289" s="187"/>
      <c r="E289" s="187"/>
      <c r="F289" s="187"/>
      <c r="G289" s="187"/>
      <c r="H289" s="187"/>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row>
    <row r="290" spans="1:34" ht="67.150000000000006" customHeight="1" thickBot="1" x14ac:dyDescent="0.35">
      <c r="A290" s="187"/>
      <c r="B290" s="187"/>
      <c r="C290" s="187"/>
      <c r="D290" s="187"/>
      <c r="E290" s="187"/>
      <c r="F290" s="187"/>
      <c r="G290" s="187"/>
      <c r="H290" s="187"/>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row>
    <row r="291" spans="1:34" ht="67.150000000000006" customHeight="1" thickBot="1" x14ac:dyDescent="0.35">
      <c r="A291" s="187"/>
      <c r="B291" s="187"/>
      <c r="C291" s="187"/>
      <c r="D291" s="187"/>
      <c r="E291" s="187"/>
      <c r="F291" s="187"/>
      <c r="G291" s="187"/>
      <c r="H291" s="187"/>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row>
    <row r="292" spans="1:34" ht="67.150000000000006" customHeight="1" thickBot="1" x14ac:dyDescent="0.35">
      <c r="A292" s="187"/>
      <c r="B292" s="187"/>
      <c r="C292" s="187"/>
      <c r="D292" s="187"/>
      <c r="E292" s="187"/>
      <c r="F292" s="187"/>
      <c r="G292" s="187"/>
      <c r="H292" s="187"/>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87"/>
      <c r="AH292" s="187"/>
    </row>
    <row r="293" spans="1:34" ht="67.150000000000006" customHeight="1" thickBot="1" x14ac:dyDescent="0.35">
      <c r="A293" s="187"/>
      <c r="B293" s="187"/>
      <c r="C293" s="187"/>
      <c r="D293" s="187"/>
      <c r="E293" s="187"/>
      <c r="F293" s="187"/>
      <c r="G293" s="187"/>
      <c r="H293" s="187"/>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row>
    <row r="294" spans="1:34" ht="67.150000000000006" customHeight="1" thickBot="1" x14ac:dyDescent="0.35">
      <c r="A294" s="187"/>
      <c r="B294" s="187"/>
      <c r="C294" s="187"/>
      <c r="D294" s="187"/>
      <c r="E294" s="187"/>
      <c r="F294" s="187"/>
      <c r="G294" s="187"/>
      <c r="H294" s="187"/>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row>
    <row r="295" spans="1:34" ht="67.150000000000006" customHeight="1" thickBot="1" x14ac:dyDescent="0.35">
      <c r="A295" s="187"/>
      <c r="B295" s="187"/>
      <c r="C295" s="187"/>
      <c r="D295" s="187"/>
      <c r="E295" s="187"/>
      <c r="F295" s="187"/>
      <c r="G295" s="187"/>
      <c r="H295" s="187"/>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row>
    <row r="296" spans="1:34" ht="67.150000000000006" customHeight="1" thickBot="1" x14ac:dyDescent="0.35">
      <c r="A296" s="187"/>
      <c r="B296" s="187"/>
      <c r="C296" s="187"/>
      <c r="D296" s="187"/>
      <c r="E296" s="187"/>
      <c r="F296" s="187"/>
      <c r="G296" s="187"/>
      <c r="H296" s="187"/>
      <c r="I296" s="187"/>
      <c r="J296" s="187"/>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row>
    <row r="297" spans="1:34" ht="67.150000000000006" customHeight="1" thickBot="1" x14ac:dyDescent="0.35">
      <c r="A297" s="187"/>
      <c r="B297" s="187"/>
      <c r="C297" s="187"/>
      <c r="D297" s="187"/>
      <c r="E297" s="187"/>
      <c r="F297" s="187"/>
      <c r="G297" s="187"/>
      <c r="H297" s="187"/>
      <c r="I297" s="187"/>
      <c r="J297" s="187"/>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row>
    <row r="298" spans="1:34" ht="67.150000000000006" customHeight="1" thickBot="1" x14ac:dyDescent="0.35">
      <c r="A298" s="187"/>
      <c r="B298" s="187"/>
      <c r="C298" s="187"/>
      <c r="D298" s="187"/>
      <c r="E298" s="187"/>
      <c r="F298" s="187"/>
      <c r="G298" s="187"/>
      <c r="H298" s="187"/>
      <c r="I298" s="187"/>
      <c r="J298" s="187"/>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row>
    <row r="299" spans="1:34" ht="67.150000000000006" customHeight="1" thickBot="1" x14ac:dyDescent="0.35">
      <c r="A299" s="187"/>
      <c r="B299" s="187"/>
      <c r="C299" s="187"/>
      <c r="D299" s="187"/>
      <c r="E299" s="187"/>
      <c r="F299" s="187"/>
      <c r="G299" s="187"/>
      <c r="H299" s="187"/>
      <c r="I299" s="187"/>
      <c r="J299" s="187"/>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row>
    <row r="300" spans="1:34" ht="67.150000000000006" customHeight="1" thickBot="1" x14ac:dyDescent="0.35">
      <c r="A300" s="187"/>
      <c r="B300" s="187"/>
      <c r="C300" s="187"/>
      <c r="D300" s="187"/>
      <c r="E300" s="187"/>
      <c r="F300" s="187"/>
      <c r="G300" s="187"/>
      <c r="H300" s="187"/>
      <c r="I300" s="187"/>
      <c r="J300" s="187"/>
      <c r="K300" s="187"/>
      <c r="L300" s="187"/>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row>
    <row r="301" spans="1:34" ht="67.150000000000006" customHeight="1" thickBot="1" x14ac:dyDescent="0.35">
      <c r="A301" s="187"/>
      <c r="B301" s="187"/>
      <c r="C301" s="187"/>
      <c r="D301" s="187"/>
      <c r="E301" s="187"/>
      <c r="F301" s="187"/>
      <c r="G301" s="187"/>
      <c r="H301" s="187"/>
      <c r="I301" s="187"/>
      <c r="J301" s="187"/>
      <c r="K301" s="187"/>
      <c r="L301" s="187"/>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row>
    <row r="302" spans="1:34" ht="67.150000000000006" customHeight="1" thickBot="1" x14ac:dyDescent="0.35">
      <c r="A302" s="187"/>
      <c r="B302" s="187"/>
      <c r="C302" s="187"/>
      <c r="D302" s="187"/>
      <c r="E302" s="187"/>
      <c r="F302" s="187"/>
      <c r="G302" s="187"/>
      <c r="H302" s="187"/>
      <c r="I302" s="187"/>
      <c r="J302" s="187"/>
      <c r="K302" s="187"/>
      <c r="L302" s="187"/>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row>
    <row r="303" spans="1:34" ht="67.150000000000006" customHeight="1" thickBot="1" x14ac:dyDescent="0.35">
      <c r="A303" s="187"/>
      <c r="B303" s="187"/>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row>
    <row r="304" spans="1:34" ht="67.150000000000006" customHeight="1" thickBot="1" x14ac:dyDescent="0.35">
      <c r="A304" s="187"/>
      <c r="B304" s="187"/>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row>
    <row r="305" spans="1:34" ht="67.150000000000006" customHeight="1" thickBot="1" x14ac:dyDescent="0.35">
      <c r="A305" s="187"/>
      <c r="B305" s="187"/>
      <c r="C305" s="187"/>
      <c r="D305" s="187"/>
      <c r="E305" s="187"/>
      <c r="F305" s="187"/>
      <c r="G305" s="187"/>
      <c r="H305" s="187"/>
      <c r="I305" s="187"/>
      <c r="J305" s="187"/>
      <c r="K305" s="187"/>
      <c r="L305" s="187"/>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row>
    <row r="306" spans="1:34" ht="67.150000000000006" customHeight="1" thickBot="1" x14ac:dyDescent="0.35">
      <c r="A306" s="187"/>
      <c r="B306" s="187"/>
      <c r="C306" s="187"/>
      <c r="D306" s="187"/>
      <c r="E306" s="187"/>
      <c r="F306" s="187"/>
      <c r="G306" s="187"/>
      <c r="H306" s="187"/>
      <c r="I306" s="187"/>
      <c r="J306" s="187"/>
      <c r="K306" s="187"/>
      <c r="L306" s="187"/>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row>
    <row r="307" spans="1:34" ht="67.150000000000006" customHeight="1" thickBot="1" x14ac:dyDescent="0.35">
      <c r="A307" s="187"/>
      <c r="B307" s="187"/>
      <c r="C307" s="187"/>
      <c r="D307" s="187"/>
      <c r="E307" s="187"/>
      <c r="F307" s="187"/>
      <c r="G307" s="187"/>
      <c r="H307" s="187"/>
      <c r="I307" s="187"/>
      <c r="J307" s="187"/>
      <c r="K307" s="187"/>
      <c r="L307" s="187"/>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row>
    <row r="308" spans="1:34" ht="67.150000000000006" customHeight="1" thickBot="1" x14ac:dyDescent="0.35">
      <c r="A308" s="187"/>
      <c r="B308" s="187"/>
      <c r="C308" s="187"/>
      <c r="D308" s="187"/>
      <c r="E308" s="187"/>
      <c r="F308" s="187"/>
      <c r="G308" s="187"/>
      <c r="H308" s="187"/>
      <c r="I308" s="187"/>
      <c r="J308" s="187"/>
      <c r="K308" s="187"/>
      <c r="L308" s="187"/>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row>
    <row r="309" spans="1:34" ht="67.150000000000006" customHeight="1" thickBot="1" x14ac:dyDescent="0.35">
      <c r="A309" s="187"/>
      <c r="B309" s="187"/>
      <c r="C309" s="187"/>
      <c r="D309" s="187"/>
      <c r="E309" s="187"/>
      <c r="F309" s="187"/>
      <c r="G309" s="187"/>
      <c r="H309" s="187"/>
      <c r="I309" s="187"/>
      <c r="J309" s="187"/>
      <c r="K309" s="187"/>
      <c r="L309" s="187"/>
      <c r="M309" s="187"/>
      <c r="N309" s="187"/>
      <c r="O309" s="187"/>
      <c r="P309" s="187"/>
      <c r="Q309" s="187"/>
      <c r="R309" s="187"/>
      <c r="S309" s="187"/>
      <c r="T309" s="187"/>
      <c r="U309" s="187"/>
      <c r="V309" s="187"/>
      <c r="W309" s="187"/>
      <c r="X309" s="187"/>
      <c r="Y309" s="187"/>
      <c r="Z309" s="187"/>
      <c r="AA309" s="187"/>
      <c r="AB309" s="187"/>
      <c r="AC309" s="187"/>
      <c r="AD309" s="187"/>
      <c r="AE309" s="187"/>
      <c r="AF309" s="187"/>
      <c r="AG309" s="187"/>
      <c r="AH309" s="187"/>
    </row>
    <row r="310" spans="1:34" ht="67.150000000000006" customHeight="1" thickBot="1" x14ac:dyDescent="0.35">
      <c r="A310" s="187"/>
      <c r="B310" s="187"/>
      <c r="C310" s="187"/>
      <c r="D310" s="187"/>
      <c r="E310" s="187"/>
      <c r="F310" s="187"/>
      <c r="G310" s="187"/>
      <c r="H310" s="187"/>
      <c r="I310" s="187"/>
      <c r="J310" s="187"/>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row>
    <row r="311" spans="1:34" ht="67.150000000000006" customHeight="1" thickBot="1" x14ac:dyDescent="0.35">
      <c r="A311" s="187"/>
      <c r="B311" s="187"/>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row>
    <row r="312" spans="1:34" ht="67.150000000000006" customHeight="1" thickBot="1" x14ac:dyDescent="0.35">
      <c r="A312" s="187"/>
      <c r="B312" s="187"/>
      <c r="C312" s="187"/>
      <c r="D312" s="187"/>
      <c r="E312" s="187"/>
      <c r="F312" s="187"/>
      <c r="G312" s="187"/>
      <c r="H312" s="187"/>
      <c r="I312" s="187"/>
      <c r="J312" s="187"/>
      <c r="K312" s="187"/>
      <c r="L312" s="187"/>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row>
    <row r="313" spans="1:34" ht="67.150000000000006" customHeight="1" thickBot="1" x14ac:dyDescent="0.35">
      <c r="A313" s="187"/>
      <c r="B313" s="187"/>
      <c r="C313" s="187"/>
      <c r="D313" s="187"/>
      <c r="E313" s="187"/>
      <c r="F313" s="187"/>
      <c r="G313" s="187"/>
      <c r="H313" s="187"/>
      <c r="I313" s="187"/>
      <c r="J313" s="187"/>
      <c r="K313" s="187"/>
      <c r="L313" s="187"/>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row>
    <row r="314" spans="1:34" ht="67.150000000000006" customHeight="1" thickBot="1" x14ac:dyDescent="0.35">
      <c r="A314" s="187"/>
      <c r="B314" s="187"/>
      <c r="C314" s="187"/>
      <c r="D314" s="187"/>
      <c r="E314" s="187"/>
      <c r="F314" s="187"/>
      <c r="G314" s="187"/>
      <c r="H314" s="187"/>
      <c r="I314" s="187"/>
      <c r="J314" s="187"/>
      <c r="K314" s="187"/>
      <c r="L314" s="187"/>
      <c r="M314" s="187"/>
      <c r="N314" s="187"/>
      <c r="O314" s="187"/>
      <c r="P314" s="187"/>
      <c r="Q314" s="187"/>
      <c r="R314" s="187"/>
      <c r="S314" s="187"/>
      <c r="T314" s="187"/>
      <c r="U314" s="187"/>
      <c r="V314" s="187"/>
      <c r="W314" s="187"/>
      <c r="X314" s="187"/>
      <c r="Y314" s="187"/>
      <c r="Z314" s="187"/>
      <c r="AA314" s="187"/>
      <c r="AB314" s="187"/>
      <c r="AC314" s="187"/>
      <c r="AD314" s="187"/>
      <c r="AE314" s="187"/>
      <c r="AF314" s="187"/>
      <c r="AG314" s="187"/>
      <c r="AH314" s="187"/>
    </row>
    <row r="315" spans="1:34" ht="67.150000000000006" customHeight="1" thickBot="1" x14ac:dyDescent="0.35">
      <c r="A315" s="187"/>
      <c r="B315" s="187"/>
      <c r="C315" s="187"/>
      <c r="D315" s="187"/>
      <c r="E315" s="187"/>
      <c r="F315" s="187"/>
      <c r="G315" s="187"/>
      <c r="H315" s="187"/>
      <c r="I315" s="187"/>
      <c r="J315" s="187"/>
      <c r="K315" s="187"/>
      <c r="L315" s="187"/>
      <c r="M315" s="187"/>
      <c r="N315" s="187"/>
      <c r="O315" s="187"/>
      <c r="P315" s="187"/>
      <c r="Q315" s="187"/>
      <c r="R315" s="187"/>
      <c r="S315" s="187"/>
      <c r="T315" s="187"/>
      <c r="U315" s="187"/>
      <c r="V315" s="187"/>
      <c r="W315" s="187"/>
      <c r="X315" s="187"/>
      <c r="Y315" s="187"/>
      <c r="Z315" s="187"/>
      <c r="AA315" s="187"/>
      <c r="AB315" s="187"/>
      <c r="AC315" s="187"/>
      <c r="AD315" s="187"/>
      <c r="AE315" s="187"/>
      <c r="AF315" s="187"/>
      <c r="AG315" s="187"/>
      <c r="AH315" s="187"/>
    </row>
    <row r="316" spans="1:34" ht="67.150000000000006" customHeight="1" thickBot="1" x14ac:dyDescent="0.35">
      <c r="A316" s="187"/>
      <c r="B316" s="187"/>
      <c r="C316" s="187"/>
      <c r="D316" s="187"/>
      <c r="E316" s="187"/>
      <c r="F316" s="187"/>
      <c r="G316" s="187"/>
      <c r="H316" s="187"/>
      <c r="I316" s="187"/>
      <c r="J316" s="187"/>
      <c r="K316" s="187"/>
      <c r="L316" s="187"/>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row>
    <row r="317" spans="1:34" ht="67.150000000000006" customHeight="1" thickBot="1" x14ac:dyDescent="0.35">
      <c r="A317" s="187"/>
      <c r="B317" s="187"/>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row>
    <row r="318" spans="1:34" ht="67.150000000000006" customHeight="1" thickBot="1" x14ac:dyDescent="0.35">
      <c r="A318" s="187"/>
      <c r="B318" s="187"/>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row>
    <row r="319" spans="1:34" ht="67.150000000000006" customHeight="1" thickBot="1" x14ac:dyDescent="0.35">
      <c r="A319" s="187"/>
      <c r="B319" s="187"/>
      <c r="C319" s="187"/>
      <c r="D319" s="187"/>
      <c r="E319" s="187"/>
      <c r="F319" s="187"/>
      <c r="G319" s="187"/>
      <c r="H319" s="187"/>
      <c r="I319" s="187"/>
      <c r="J319" s="187"/>
      <c r="K319" s="187"/>
      <c r="L319" s="187"/>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row>
    <row r="320" spans="1:34" ht="67.150000000000006" customHeight="1" thickBot="1" x14ac:dyDescent="0.35">
      <c r="A320" s="187"/>
      <c r="B320" s="187"/>
      <c r="C320" s="187"/>
      <c r="D320" s="187"/>
      <c r="E320" s="187"/>
      <c r="F320" s="187"/>
      <c r="G320" s="187"/>
      <c r="H320" s="187"/>
      <c r="I320" s="187"/>
      <c r="J320" s="187"/>
      <c r="K320" s="187"/>
      <c r="L320" s="187"/>
      <c r="M320" s="187"/>
      <c r="N320" s="187"/>
      <c r="O320" s="187"/>
      <c r="P320" s="187"/>
      <c r="Q320" s="187"/>
      <c r="R320" s="187"/>
      <c r="S320" s="187"/>
      <c r="T320" s="187"/>
      <c r="U320" s="187"/>
      <c r="V320" s="187"/>
      <c r="W320" s="187"/>
      <c r="X320" s="187"/>
      <c r="Y320" s="187"/>
      <c r="Z320" s="187"/>
      <c r="AA320" s="187"/>
      <c r="AB320" s="187"/>
      <c r="AC320" s="187"/>
      <c r="AD320" s="187"/>
      <c r="AE320" s="187"/>
      <c r="AF320" s="187"/>
      <c r="AG320" s="187"/>
      <c r="AH320" s="187"/>
    </row>
    <row r="321" spans="1:34" ht="67.150000000000006" customHeight="1" thickBot="1" x14ac:dyDescent="0.35">
      <c r="A321" s="187"/>
      <c r="B321" s="187"/>
      <c r="C321" s="187"/>
      <c r="D321" s="187"/>
      <c r="E321" s="187"/>
      <c r="F321" s="187"/>
      <c r="G321" s="187"/>
      <c r="H321" s="187"/>
      <c r="I321" s="187"/>
      <c r="J321" s="187"/>
      <c r="K321" s="187"/>
      <c r="L321" s="187"/>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row>
    <row r="322" spans="1:34" ht="67.150000000000006" customHeight="1" thickBot="1" x14ac:dyDescent="0.35">
      <c r="A322" s="187"/>
      <c r="B322" s="187"/>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row>
    <row r="323" spans="1:34" ht="67.150000000000006" customHeight="1" thickBot="1" x14ac:dyDescent="0.35">
      <c r="A323" s="187"/>
      <c r="B323" s="187"/>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87"/>
      <c r="Z323" s="187"/>
      <c r="AA323" s="187"/>
      <c r="AB323" s="187"/>
      <c r="AC323" s="187"/>
      <c r="AD323" s="187"/>
      <c r="AE323" s="187"/>
      <c r="AF323" s="187"/>
      <c r="AG323" s="187"/>
      <c r="AH323" s="187"/>
    </row>
    <row r="324" spans="1:34" ht="67.150000000000006" customHeight="1" thickBot="1" x14ac:dyDescent="0.35">
      <c r="A324" s="187"/>
      <c r="B324" s="187"/>
      <c r="C324" s="187"/>
      <c r="D324" s="187"/>
      <c r="E324" s="187"/>
      <c r="F324" s="187"/>
      <c r="G324" s="187"/>
      <c r="H324" s="187"/>
      <c r="I324" s="187"/>
      <c r="J324" s="187"/>
      <c r="K324" s="187"/>
      <c r="L324" s="187"/>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row>
    <row r="325" spans="1:34" ht="67.150000000000006" customHeight="1" thickBot="1" x14ac:dyDescent="0.35">
      <c r="A325" s="187"/>
      <c r="B325" s="187"/>
      <c r="C325" s="187"/>
      <c r="D325" s="187"/>
      <c r="E325" s="187"/>
      <c r="F325" s="187"/>
      <c r="G325" s="187"/>
      <c r="H325" s="187"/>
      <c r="I325" s="187"/>
      <c r="J325" s="187"/>
      <c r="K325" s="187"/>
      <c r="L325" s="187"/>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row>
    <row r="326" spans="1:34" ht="67.150000000000006" customHeight="1" thickBot="1" x14ac:dyDescent="0.35">
      <c r="A326" s="187"/>
      <c r="B326" s="187"/>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row>
    <row r="327" spans="1:34" ht="67.150000000000006" customHeight="1" thickBot="1" x14ac:dyDescent="0.35">
      <c r="A327" s="187"/>
      <c r="B327" s="187"/>
      <c r="C327" s="187"/>
      <c r="D327" s="187"/>
      <c r="E327" s="187"/>
      <c r="F327" s="187"/>
      <c r="G327" s="187"/>
      <c r="H327" s="187"/>
      <c r="I327" s="187"/>
      <c r="J327" s="187"/>
      <c r="K327" s="187"/>
      <c r="L327" s="187"/>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row>
    <row r="328" spans="1:34" ht="67.150000000000006" customHeight="1" thickBot="1" x14ac:dyDescent="0.35">
      <c r="A328" s="187"/>
      <c r="B328" s="187"/>
      <c r="C328" s="187"/>
      <c r="D328" s="187"/>
      <c r="E328" s="187"/>
      <c r="F328" s="187"/>
      <c r="G328" s="187"/>
      <c r="H328" s="187"/>
      <c r="I328" s="187"/>
      <c r="J328" s="187"/>
      <c r="K328" s="187"/>
      <c r="L328" s="187"/>
      <c r="M328" s="187"/>
      <c r="N328" s="187"/>
      <c r="O328" s="187"/>
      <c r="P328" s="187"/>
      <c r="Q328" s="187"/>
      <c r="R328" s="187"/>
      <c r="S328" s="187"/>
      <c r="T328" s="187"/>
      <c r="U328" s="187"/>
      <c r="V328" s="187"/>
      <c r="W328" s="187"/>
      <c r="X328" s="187"/>
      <c r="Y328" s="187"/>
      <c r="Z328" s="187"/>
      <c r="AA328" s="187"/>
      <c r="AB328" s="187"/>
      <c r="AC328" s="187"/>
      <c r="AD328" s="187"/>
      <c r="AE328" s="187"/>
      <c r="AF328" s="187"/>
      <c r="AG328" s="187"/>
      <c r="AH328" s="187"/>
    </row>
    <row r="329" spans="1:34" ht="67.150000000000006" customHeight="1" thickBot="1" x14ac:dyDescent="0.35">
      <c r="A329" s="187"/>
      <c r="B329" s="187"/>
      <c r="C329" s="187"/>
      <c r="D329" s="187"/>
      <c r="E329" s="187"/>
      <c r="F329" s="187"/>
      <c r="G329" s="187"/>
      <c r="H329" s="187"/>
      <c r="I329" s="187"/>
      <c r="J329" s="187"/>
      <c r="K329" s="187"/>
      <c r="L329" s="187"/>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row>
    <row r="330" spans="1:34" ht="67.150000000000006" customHeight="1" thickBot="1" x14ac:dyDescent="0.35">
      <c r="A330" s="187"/>
      <c r="B330" s="187"/>
      <c r="C330" s="187"/>
      <c r="D330" s="187"/>
      <c r="E330" s="187"/>
      <c r="F330" s="187"/>
      <c r="G330" s="187"/>
      <c r="H330" s="187"/>
      <c r="I330" s="187"/>
      <c r="J330" s="187"/>
      <c r="K330" s="187"/>
      <c r="L330" s="187"/>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row>
    <row r="331" spans="1:34" ht="67.150000000000006" customHeight="1" thickBot="1" x14ac:dyDescent="0.35">
      <c r="A331" s="187"/>
      <c r="B331" s="187"/>
      <c r="C331" s="187"/>
      <c r="D331" s="187"/>
      <c r="E331" s="187"/>
      <c r="F331" s="187"/>
      <c r="G331" s="187"/>
      <c r="H331" s="187"/>
      <c r="I331" s="187"/>
      <c r="J331" s="187"/>
      <c r="K331" s="187"/>
      <c r="L331" s="187"/>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row>
    <row r="332" spans="1:34" ht="67.150000000000006" customHeight="1" thickBot="1" x14ac:dyDescent="0.35">
      <c r="A332" s="187"/>
      <c r="B332" s="187"/>
      <c r="C332" s="187"/>
      <c r="D332" s="187"/>
      <c r="E332" s="187"/>
      <c r="F332" s="187"/>
      <c r="G332" s="187"/>
      <c r="H332" s="187"/>
      <c r="I332" s="187"/>
      <c r="J332" s="187"/>
      <c r="K332" s="187"/>
      <c r="L332" s="187"/>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row>
    <row r="333" spans="1:34" ht="67.150000000000006" customHeight="1" thickBot="1" x14ac:dyDescent="0.35">
      <c r="A333" s="187"/>
      <c r="B333" s="187"/>
      <c r="C333" s="187"/>
      <c r="D333" s="187"/>
      <c r="E333" s="187"/>
      <c r="F333" s="187"/>
      <c r="G333" s="187"/>
      <c r="H333" s="187"/>
      <c r="I333" s="187"/>
      <c r="J333" s="187"/>
      <c r="K333" s="187"/>
      <c r="L333" s="187"/>
      <c r="M333" s="187"/>
      <c r="N333" s="187"/>
      <c r="O333" s="187"/>
      <c r="P333" s="187"/>
      <c r="Q333" s="187"/>
      <c r="R333" s="187"/>
      <c r="S333" s="187"/>
      <c r="T333" s="187"/>
      <c r="U333" s="187"/>
      <c r="V333" s="187"/>
      <c r="W333" s="187"/>
      <c r="X333" s="187"/>
      <c r="Y333" s="187"/>
      <c r="Z333" s="187"/>
      <c r="AA333" s="187"/>
      <c r="AB333" s="187"/>
      <c r="AC333" s="187"/>
      <c r="AD333" s="187"/>
      <c r="AE333" s="187"/>
      <c r="AF333" s="187"/>
      <c r="AG333" s="187"/>
      <c r="AH333" s="187"/>
    </row>
    <row r="334" spans="1:34" ht="67.150000000000006" customHeight="1" thickBot="1" x14ac:dyDescent="0.35">
      <c r="A334" s="187"/>
      <c r="B334" s="187"/>
      <c r="C334" s="187"/>
      <c r="D334" s="187"/>
      <c r="E334" s="187"/>
      <c r="F334" s="187"/>
      <c r="G334" s="187"/>
      <c r="H334" s="187"/>
      <c r="I334" s="187"/>
      <c r="J334" s="187"/>
      <c r="K334" s="187"/>
      <c r="L334" s="187"/>
      <c r="M334" s="187"/>
      <c r="N334" s="187"/>
      <c r="O334" s="187"/>
      <c r="P334" s="187"/>
      <c r="Q334" s="187"/>
      <c r="R334" s="187"/>
      <c r="S334" s="187"/>
      <c r="T334" s="187"/>
      <c r="U334" s="187"/>
      <c r="V334" s="187"/>
      <c r="W334" s="187"/>
      <c r="X334" s="187"/>
      <c r="Y334" s="187"/>
      <c r="Z334" s="187"/>
      <c r="AA334" s="187"/>
      <c r="AB334" s="187"/>
      <c r="AC334" s="187"/>
      <c r="AD334" s="187"/>
      <c r="AE334" s="187"/>
      <c r="AF334" s="187"/>
      <c r="AG334" s="187"/>
      <c r="AH334" s="187"/>
    </row>
    <row r="335" spans="1:34" ht="67.150000000000006" customHeight="1" thickBot="1" x14ac:dyDescent="0.35">
      <c r="A335" s="187"/>
      <c r="B335" s="187"/>
      <c r="C335" s="187"/>
      <c r="D335" s="187"/>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row>
    <row r="336" spans="1:34" ht="67.150000000000006" customHeight="1" thickBot="1" x14ac:dyDescent="0.35">
      <c r="A336" s="187"/>
      <c r="B336" s="187"/>
      <c r="C336" s="187"/>
      <c r="D336" s="187"/>
      <c r="E336" s="187"/>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row>
    <row r="337" spans="1:34" ht="67.150000000000006" customHeight="1" thickBot="1" x14ac:dyDescent="0.35">
      <c r="A337" s="187"/>
      <c r="B337" s="187"/>
      <c r="C337" s="187"/>
      <c r="D337" s="187"/>
      <c r="E337" s="187"/>
      <c r="F337" s="187"/>
      <c r="G337" s="187"/>
      <c r="H337" s="187"/>
      <c r="I337" s="187"/>
      <c r="J337" s="187"/>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row>
    <row r="338" spans="1:34" ht="67.150000000000006" customHeight="1" thickBot="1" x14ac:dyDescent="0.35">
      <c r="A338" s="187"/>
      <c r="B338" s="187"/>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row>
    <row r="339" spans="1:34" ht="67.150000000000006" customHeight="1" thickBot="1" x14ac:dyDescent="0.35">
      <c r="A339" s="187"/>
      <c r="B339" s="187"/>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row>
    <row r="340" spans="1:34" ht="67.150000000000006" customHeight="1" thickBot="1" x14ac:dyDescent="0.35">
      <c r="A340" s="187"/>
      <c r="B340" s="187"/>
      <c r="C340" s="187"/>
      <c r="D340" s="187"/>
      <c r="E340" s="187"/>
      <c r="F340" s="187"/>
      <c r="G340" s="187"/>
      <c r="H340" s="187"/>
      <c r="I340" s="187"/>
      <c r="J340" s="187"/>
      <c r="K340" s="187"/>
      <c r="L340" s="187"/>
      <c r="M340" s="187"/>
      <c r="N340" s="187"/>
      <c r="O340" s="187"/>
      <c r="P340" s="187"/>
      <c r="Q340" s="187"/>
      <c r="R340" s="187"/>
      <c r="S340" s="187"/>
      <c r="T340" s="187"/>
      <c r="U340" s="187"/>
      <c r="V340" s="187"/>
      <c r="W340" s="187"/>
      <c r="X340" s="187"/>
      <c r="Y340" s="187"/>
      <c r="Z340" s="187"/>
      <c r="AA340" s="187"/>
      <c r="AB340" s="187"/>
      <c r="AC340" s="187"/>
      <c r="AD340" s="187"/>
      <c r="AE340" s="187"/>
      <c r="AF340" s="187"/>
      <c r="AG340" s="187"/>
      <c r="AH340" s="187"/>
    </row>
    <row r="341" spans="1:34" ht="67.150000000000006" customHeight="1" thickBot="1" x14ac:dyDescent="0.35">
      <c r="A341" s="187"/>
      <c r="B341" s="187"/>
      <c r="C341" s="187"/>
      <c r="D341" s="187"/>
      <c r="E341" s="187"/>
      <c r="F341" s="187"/>
      <c r="G341" s="187"/>
      <c r="H341" s="187"/>
      <c r="I341" s="187"/>
      <c r="J341" s="187"/>
      <c r="K341" s="187"/>
      <c r="L341" s="187"/>
      <c r="M341" s="187"/>
      <c r="N341" s="187"/>
      <c r="O341" s="187"/>
      <c r="P341" s="187"/>
      <c r="Q341" s="187"/>
      <c r="R341" s="187"/>
      <c r="S341" s="187"/>
      <c r="T341" s="187"/>
      <c r="U341" s="187"/>
      <c r="V341" s="187"/>
      <c r="W341" s="187"/>
      <c r="X341" s="187"/>
      <c r="Y341" s="187"/>
      <c r="Z341" s="187"/>
      <c r="AA341" s="187"/>
      <c r="AB341" s="187"/>
      <c r="AC341" s="187"/>
      <c r="AD341" s="187"/>
      <c r="AE341" s="187"/>
      <c r="AF341" s="187"/>
      <c r="AG341" s="187"/>
      <c r="AH341" s="187"/>
    </row>
  </sheetData>
  <autoFilter ref="A2:AI141" xr:uid="{00000000-0009-0000-0000-000004000000}">
    <sortState xmlns:xlrd2="http://schemas.microsoft.com/office/spreadsheetml/2017/richdata2" ref="A3:S141">
      <sortCondition sortBy="cellColor" ref="B2" dxfId="0"/>
    </sortState>
  </autoFilter>
  <mergeCells count="38">
    <mergeCell ref="B17:C17"/>
    <mergeCell ref="B2:C2"/>
    <mergeCell ref="B3:C3"/>
    <mergeCell ref="B4:C4"/>
    <mergeCell ref="B5:C5"/>
    <mergeCell ref="B9:C9"/>
    <mergeCell ref="B12:C12"/>
    <mergeCell ref="B57:C57"/>
    <mergeCell ref="B18:C18"/>
    <mergeCell ref="B23:C23"/>
    <mergeCell ref="B26:C26"/>
    <mergeCell ref="B30:C30"/>
    <mergeCell ref="B32:C32"/>
    <mergeCell ref="B36:C36"/>
    <mergeCell ref="B40:C40"/>
    <mergeCell ref="B43:C43"/>
    <mergeCell ref="B48:C48"/>
    <mergeCell ref="B49:C49"/>
    <mergeCell ref="B55:C55"/>
    <mergeCell ref="B105:C105"/>
    <mergeCell ref="B58:C58"/>
    <mergeCell ref="B61:C61"/>
    <mergeCell ref="B66:C66"/>
    <mergeCell ref="B68:C68"/>
    <mergeCell ref="B74:C74"/>
    <mergeCell ref="B77:C77"/>
    <mergeCell ref="B78:C78"/>
    <mergeCell ref="B85:C85"/>
    <mergeCell ref="B92:C92"/>
    <mergeCell ref="B94:C94"/>
    <mergeCell ref="B99:C99"/>
    <mergeCell ref="B139:C139"/>
    <mergeCell ref="B109:C109"/>
    <mergeCell ref="B110:C110"/>
    <mergeCell ref="B116:C116"/>
    <mergeCell ref="B123:C123"/>
    <mergeCell ref="B131:C131"/>
    <mergeCell ref="B134:C134"/>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1000"/>
  <sheetViews>
    <sheetView zoomScale="28" zoomScaleNormal="28" workbookViewId="0">
      <pane xSplit="3" ySplit="4" topLeftCell="D44" activePane="bottomRight" state="frozen"/>
      <selection pane="topRight" activeCell="D1" sqref="D1"/>
      <selection pane="bottomLeft" activeCell="A5" sqref="A5"/>
      <selection pane="bottomRight" activeCell="M50" sqref="M50"/>
    </sheetView>
  </sheetViews>
  <sheetFormatPr baseColWidth="10" defaultColWidth="14.42578125" defaultRowHeight="15" customHeight="1" x14ac:dyDescent="0.35"/>
  <cols>
    <col min="1" max="1" width="7.85546875" style="136" hidden="1" customWidth="1"/>
    <col min="2" max="2" width="64.5703125" style="136" customWidth="1"/>
    <col min="3" max="3" width="73.28515625" style="136" customWidth="1"/>
    <col min="4" max="4" width="57.5703125" style="136" customWidth="1"/>
    <col min="5" max="5" width="34" style="136" customWidth="1"/>
    <col min="6" max="6" width="43.140625" style="136" customWidth="1"/>
    <col min="7" max="7" width="36.7109375" style="136" customWidth="1"/>
    <col min="8" max="8" width="33.140625" style="136" customWidth="1"/>
    <col min="9" max="9" width="42.7109375" style="136" customWidth="1"/>
    <col min="10" max="10" width="40.28515625" style="136" customWidth="1"/>
    <col min="11" max="12" width="50" style="136" hidden="1" customWidth="1"/>
    <col min="13" max="14" width="40.28515625" style="136" customWidth="1"/>
    <col min="15" max="15" width="41" style="136" customWidth="1"/>
    <col min="16" max="16" width="33.28515625" style="136" hidden="1" customWidth="1"/>
    <col min="17" max="17" width="31.7109375" style="136" hidden="1" customWidth="1"/>
    <col min="18" max="18" width="33.28515625" style="136" customWidth="1"/>
    <col min="19" max="19" width="31.7109375" style="136" customWidth="1"/>
    <col min="20" max="20" width="41.140625" style="136" customWidth="1"/>
    <col min="21" max="21" width="41.7109375" style="136" customWidth="1"/>
    <col min="22" max="22" width="38.85546875" style="136" hidden="1" customWidth="1"/>
    <col min="23" max="23" width="36.7109375" style="136" hidden="1" customWidth="1"/>
    <col min="24" max="24" width="41.7109375" style="136" customWidth="1"/>
    <col min="25" max="25" width="44.140625" style="136" customWidth="1"/>
    <col min="26" max="27" width="50.140625" style="136" customWidth="1"/>
    <col min="28" max="28" width="55.28515625" style="174" hidden="1" customWidth="1"/>
    <col min="29" max="29" width="68.85546875" style="136" customWidth="1"/>
    <col min="30" max="30" width="54.7109375" style="136" hidden="1" customWidth="1"/>
    <col min="31" max="31" width="54.7109375" style="136" customWidth="1"/>
    <col min="32" max="32" width="47.140625" style="136" customWidth="1"/>
    <col min="33" max="33" width="66.7109375" style="136" customWidth="1"/>
    <col min="34" max="34" width="36.85546875" style="136" customWidth="1"/>
    <col min="35" max="40" width="10.7109375" style="136" customWidth="1"/>
    <col min="41" max="16384" width="14.42578125" style="136"/>
  </cols>
  <sheetData>
    <row r="1" spans="1:34" ht="21.75" thickBot="1" x14ac:dyDescent="0.4">
      <c r="A1" s="135"/>
      <c r="B1" s="693"/>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4"/>
      <c r="AC1" s="693"/>
      <c r="AD1" s="693"/>
      <c r="AE1" s="693"/>
      <c r="AF1" s="693"/>
      <c r="AG1" s="135"/>
      <c r="AH1" s="135"/>
    </row>
    <row r="2" spans="1:34" ht="161.44999999999999" customHeight="1" thickBot="1" x14ac:dyDescent="0.4">
      <c r="A2" s="692"/>
      <c r="B2" s="1339" t="s">
        <v>1830</v>
      </c>
      <c r="C2" s="1340"/>
      <c r="D2" s="701" t="s">
        <v>1</v>
      </c>
      <c r="E2" s="702" t="s">
        <v>2</v>
      </c>
      <c r="F2" s="702" t="s">
        <v>3</v>
      </c>
      <c r="G2" s="702" t="s">
        <v>4</v>
      </c>
      <c r="H2" s="644" t="s">
        <v>5</v>
      </c>
      <c r="I2" s="702" t="s">
        <v>6</v>
      </c>
      <c r="J2" s="57" t="s">
        <v>7</v>
      </c>
      <c r="K2" s="705" t="s">
        <v>8</v>
      </c>
      <c r="L2" s="648" t="s">
        <v>9</v>
      </c>
      <c r="M2" s="703" t="s">
        <v>10</v>
      </c>
      <c r="N2" s="706" t="s">
        <v>11</v>
      </c>
      <c r="O2" s="706" t="s">
        <v>12</v>
      </c>
      <c r="P2" s="706" t="s">
        <v>13</v>
      </c>
      <c r="Q2" s="706" t="s">
        <v>1831</v>
      </c>
      <c r="R2" s="706" t="s">
        <v>15</v>
      </c>
      <c r="S2" s="706" t="s">
        <v>16</v>
      </c>
      <c r="T2" s="702" t="s">
        <v>17</v>
      </c>
      <c r="U2" s="682" t="s">
        <v>18</v>
      </c>
      <c r="V2" s="705" t="s">
        <v>19</v>
      </c>
      <c r="W2" s="684" t="s">
        <v>20</v>
      </c>
      <c r="X2" s="702" t="s">
        <v>458</v>
      </c>
      <c r="Y2" s="686" t="s">
        <v>875</v>
      </c>
      <c r="Z2" s="687" t="s">
        <v>23</v>
      </c>
      <c r="AA2" s="792" t="s">
        <v>24</v>
      </c>
      <c r="AB2" s="704" t="s">
        <v>876</v>
      </c>
      <c r="AC2" s="377" t="s">
        <v>26</v>
      </c>
      <c r="AD2" s="378" t="s">
        <v>877</v>
      </c>
      <c r="AE2" s="363" t="s">
        <v>28</v>
      </c>
      <c r="AF2" s="376" t="s">
        <v>25</v>
      </c>
      <c r="AG2" s="135"/>
      <c r="AH2" s="135"/>
    </row>
    <row r="3" spans="1:34" ht="93" customHeight="1" thickBot="1" x14ac:dyDescent="0.75">
      <c r="A3" s="137"/>
      <c r="B3" s="1341" t="s">
        <v>1832</v>
      </c>
      <c r="C3" s="1342"/>
      <c r="D3" s="695"/>
      <c r="E3" s="696">
        <v>0.02</v>
      </c>
      <c r="F3" s="697"/>
      <c r="G3" s="695"/>
      <c r="H3" s="695"/>
      <c r="I3" s="689">
        <f>(I4+I30)/2</f>
        <v>0.25509259259259259</v>
      </c>
      <c r="J3" s="689">
        <f>(J4+J30)/2</f>
        <v>0.27093915343915342</v>
      </c>
      <c r="K3" s="690">
        <f>(K4+K30)/2</f>
        <v>6.9222222222222241E-2</v>
      </c>
      <c r="L3" s="690">
        <f>(L4+L30)/2</f>
        <v>0.26068055555555558</v>
      </c>
      <c r="M3" s="698"/>
      <c r="N3" s="698"/>
      <c r="O3" s="698"/>
      <c r="P3" s="698"/>
      <c r="Q3" s="698"/>
      <c r="R3" s="698"/>
      <c r="S3" s="698"/>
      <c r="T3" s="920">
        <f>(T4+T30)/2</f>
        <v>0.40277777777777779</v>
      </c>
      <c r="U3" s="920">
        <f>(U4+U30)/2</f>
        <v>0.39426851851851852</v>
      </c>
      <c r="V3" s="921">
        <f>+F4+F30</f>
        <v>0.13582500000000003</v>
      </c>
      <c r="W3" s="921">
        <f>+H4+H30</f>
        <v>0.25919000000000003</v>
      </c>
      <c r="X3" s="920">
        <f>(X4+X30)/2</f>
        <v>5.5588624338624326E-2</v>
      </c>
      <c r="Y3" s="920">
        <f>(Y4+Y30)/2</f>
        <v>0.17479861111111111</v>
      </c>
      <c r="Z3" s="921">
        <f>(Z4*E5+Z30*E30)</f>
        <v>2.0592916666666666E-2</v>
      </c>
      <c r="AA3" s="921">
        <f>(AA4*E4+AA30*E30)</f>
        <v>0.13189708333333333</v>
      </c>
      <c r="AB3" s="699"/>
      <c r="AC3" s="700"/>
      <c r="AD3" s="157"/>
      <c r="AE3" s="157"/>
      <c r="AF3" s="157"/>
      <c r="AG3" s="135"/>
      <c r="AH3" s="135"/>
    </row>
    <row r="4" spans="1:34" ht="106.9" customHeight="1" thickBot="1" x14ac:dyDescent="0.4">
      <c r="A4" s="137"/>
      <c r="B4" s="1343" t="s">
        <v>1833</v>
      </c>
      <c r="C4" s="1338"/>
      <c r="D4" s="163"/>
      <c r="E4" s="164">
        <v>0.75</v>
      </c>
      <c r="F4" s="165">
        <f>+E4*V4</f>
        <v>0.12300000000000003</v>
      </c>
      <c r="G4" s="146"/>
      <c r="H4" s="165">
        <f>+E4*W4</f>
        <v>0.18070000000000003</v>
      </c>
      <c r="I4" s="148">
        <f>+(I5+I14+I22)/3</f>
        <v>0.28333333333333333</v>
      </c>
      <c r="J4" s="148">
        <f>+(J5+J14+J22)/3</f>
        <v>0.22595238095238099</v>
      </c>
      <c r="K4" s="149">
        <f>+(K5+K14+K22)/3</f>
        <v>5.4833333333333345E-2</v>
      </c>
      <c r="L4" s="149">
        <f>+(L5+L14+L22)/3</f>
        <v>0.22125000000000003</v>
      </c>
      <c r="M4" s="146"/>
      <c r="N4" s="146"/>
      <c r="O4" s="146"/>
      <c r="P4" s="146"/>
      <c r="Q4" s="146"/>
      <c r="R4" s="146"/>
      <c r="S4" s="146"/>
      <c r="T4" s="148">
        <f>+(T5+T14+T22)/3</f>
        <v>0.58333333333333337</v>
      </c>
      <c r="U4" s="148">
        <f>+(U5+U14+U22)/3</f>
        <v>0.46870370370370368</v>
      </c>
      <c r="V4" s="149">
        <f>+V5+V14+V22</f>
        <v>0.16400000000000003</v>
      </c>
      <c r="W4" s="149">
        <f>+W5+W14+W22</f>
        <v>0.24093333333333336</v>
      </c>
      <c r="X4" s="148">
        <f>(X5+X14+X22)/3</f>
        <v>6.4880952380952372E-2</v>
      </c>
      <c r="Y4" s="148">
        <f>(Y5+Y14+Y22)/3</f>
        <v>0.21113425925925924</v>
      </c>
      <c r="Z4" s="149">
        <f>(Z5+Z14+Z22)</f>
        <v>4.5466666666666669E-2</v>
      </c>
      <c r="AA4" s="149">
        <f>(AA5*E5+AA14*E14+AA22*E22)</f>
        <v>0.13831111111111113</v>
      </c>
      <c r="AB4" s="143"/>
      <c r="AC4" s="145"/>
      <c r="AD4" s="135"/>
      <c r="AE4" s="135"/>
      <c r="AF4" s="135"/>
      <c r="AG4" s="135"/>
      <c r="AH4" s="135"/>
    </row>
    <row r="5" spans="1:34" ht="98.45" customHeight="1" thickBot="1" x14ac:dyDescent="0.4">
      <c r="A5" s="137"/>
      <c r="B5" s="1337" t="s">
        <v>1834</v>
      </c>
      <c r="C5" s="1338"/>
      <c r="D5" s="163"/>
      <c r="E5" s="103">
        <v>0.4</v>
      </c>
      <c r="F5" s="150"/>
      <c r="G5" s="146"/>
      <c r="H5" s="146"/>
      <c r="I5" s="151">
        <f>+AVERAGE(I6:I13)</f>
        <v>0.19999999999999998</v>
      </c>
      <c r="J5" s="151">
        <f>+AVERAGE(J6:J13)</f>
        <v>0.22666666666666666</v>
      </c>
      <c r="K5" s="151">
        <f>+K6+K7+K8+K9+K10+K11+K12+K13</f>
        <v>8.7000000000000008E-2</v>
      </c>
      <c r="L5" s="151">
        <f>+L6+L7+L8+L9+L10+L11+L12+L13</f>
        <v>0.16666666666666663</v>
      </c>
      <c r="M5" s="152"/>
      <c r="N5" s="152"/>
      <c r="O5" s="152"/>
      <c r="P5" s="152"/>
      <c r="Q5" s="152"/>
      <c r="R5" s="152"/>
      <c r="S5" s="152"/>
      <c r="T5" s="708">
        <f>+AVERAGE(T6:T13)</f>
        <v>0.75</v>
      </c>
      <c r="U5" s="708">
        <f>+AVERAGE(U6:U13)</f>
        <v>0.40750000000000003</v>
      </c>
      <c r="V5" s="708">
        <f>+(V6+V7+V8+V9+V10+V11+V12+V13)*E5</f>
        <v>0.14400000000000002</v>
      </c>
      <c r="W5" s="708">
        <f>+(W6+W7+W8+W9+W10+W11+W12+W13)*E5</f>
        <v>0.10560000000000001</v>
      </c>
      <c r="X5" s="151">
        <f>+AVERAGE(X6:X13)</f>
        <v>0.13749999999999998</v>
      </c>
      <c r="Y5" s="151">
        <f>+((Y6-X6)/8)+((Y7-X7)/8)+((Y8-X8)/8)+((Y9-X9/8))+((Y10-X10/8))+((Y11-X11)/8)+((Y12-X12)/8)+((Y13-X13)/8)+X5</f>
        <v>0.19729166666666664</v>
      </c>
      <c r="Z5" s="151">
        <f>+(Z6+Z7+Z8+Z9+Z10+Z11+Z12+Z13)*E5</f>
        <v>3.7466666666666669E-2</v>
      </c>
      <c r="AA5" s="151">
        <f>+(AA6+AA7+AA8+AA9+AA10+AA11+AA12+AA13)</f>
        <v>0.13716666666666669</v>
      </c>
      <c r="AB5" s="138"/>
      <c r="AC5" s="1005" t="s">
        <v>328</v>
      </c>
      <c r="AD5" s="135"/>
      <c r="AE5" s="135"/>
      <c r="AF5" s="135"/>
      <c r="AG5" s="135"/>
      <c r="AH5" s="135"/>
    </row>
    <row r="6" spans="1:34" ht="148.9" customHeight="1" thickBot="1" x14ac:dyDescent="0.4">
      <c r="A6" s="137"/>
      <c r="B6" s="1091" t="s">
        <v>1835</v>
      </c>
      <c r="C6" s="1092" t="s">
        <v>1836</v>
      </c>
      <c r="D6" s="163" t="s">
        <v>1837</v>
      </c>
      <c r="E6" s="158">
        <v>0.2</v>
      </c>
      <c r="F6" s="153">
        <v>60</v>
      </c>
      <c r="G6" s="166">
        <v>0</v>
      </c>
      <c r="H6" s="166">
        <v>20</v>
      </c>
      <c r="I6" s="154"/>
      <c r="J6" s="154">
        <f>+H6/F6</f>
        <v>0.33333333333333331</v>
      </c>
      <c r="K6" s="154"/>
      <c r="L6" s="154">
        <f>+(H6/F6)*E6</f>
        <v>6.6666666666666666E-2</v>
      </c>
      <c r="M6" s="166"/>
      <c r="N6" s="709">
        <v>4</v>
      </c>
      <c r="O6" s="709">
        <v>7</v>
      </c>
      <c r="P6" s="166"/>
      <c r="Q6" s="166"/>
      <c r="R6" s="707">
        <f t="shared" ref="R6:R13" si="0">+N6+O6+P6+Q6</f>
        <v>11</v>
      </c>
      <c r="S6" s="707">
        <f t="shared" ref="S6:S13" si="1">+R6+M6</f>
        <v>11</v>
      </c>
      <c r="T6" s="154"/>
      <c r="U6" s="154">
        <f t="shared" ref="U6:U13" si="2">+R6/H6</f>
        <v>0.55000000000000004</v>
      </c>
      <c r="V6" s="154"/>
      <c r="W6" s="154">
        <f>+U6*E6</f>
        <v>0.11000000000000001</v>
      </c>
      <c r="X6" s="154"/>
      <c r="Y6" s="154">
        <f t="shared" ref="Y6:Y13" si="3">+S6/F6</f>
        <v>0.18333333333333332</v>
      </c>
      <c r="Z6" s="154">
        <f>+Y6*E6</f>
        <v>3.6666666666666667E-2</v>
      </c>
      <c r="AA6" s="154">
        <f>+Y6*E6</f>
        <v>3.6666666666666667E-2</v>
      </c>
      <c r="AB6" s="747" t="s">
        <v>43</v>
      </c>
      <c r="AC6" s="749" t="s">
        <v>44</v>
      </c>
      <c r="AD6" s="145"/>
      <c r="AE6" s="765" t="s">
        <v>469</v>
      </c>
      <c r="AF6" s="135"/>
      <c r="AG6" s="135"/>
      <c r="AH6" s="135"/>
    </row>
    <row r="7" spans="1:34" ht="142.15" customHeight="1" thickBot="1" x14ac:dyDescent="0.4">
      <c r="A7" s="137"/>
      <c r="B7" s="1091" t="s">
        <v>1838</v>
      </c>
      <c r="C7" s="1092" t="s">
        <v>1839</v>
      </c>
      <c r="D7" s="163" t="s">
        <v>1840</v>
      </c>
      <c r="E7" s="104">
        <v>0.2</v>
      </c>
      <c r="F7" s="153">
        <v>500</v>
      </c>
      <c r="G7" s="166">
        <v>50</v>
      </c>
      <c r="H7" s="166">
        <v>150</v>
      </c>
      <c r="I7" s="154">
        <f t="shared" ref="I7:I13" si="4">+G7/F7</f>
        <v>0.1</v>
      </c>
      <c r="J7" s="154">
        <f t="shared" ref="J7:J29" si="5">+H7/F7</f>
        <v>0.3</v>
      </c>
      <c r="K7" s="154">
        <f t="shared" ref="K7:K13" si="6">+(G7/F7)*E7</f>
        <v>2.0000000000000004E-2</v>
      </c>
      <c r="L7" s="154">
        <f>+(H7/F7)*E7</f>
        <v>0.06</v>
      </c>
      <c r="M7" s="166">
        <v>50</v>
      </c>
      <c r="N7" s="709">
        <v>25</v>
      </c>
      <c r="O7" s="709">
        <v>50</v>
      </c>
      <c r="P7" s="166"/>
      <c r="Q7" s="166"/>
      <c r="R7" s="707">
        <f t="shared" si="0"/>
        <v>75</v>
      </c>
      <c r="S7" s="707">
        <f t="shared" si="1"/>
        <v>125</v>
      </c>
      <c r="T7" s="154">
        <f>+(M7/G7)</f>
        <v>1</v>
      </c>
      <c r="U7" s="154">
        <f t="shared" si="2"/>
        <v>0.5</v>
      </c>
      <c r="V7" s="154">
        <f t="shared" ref="V7:V13" si="7">+T7*E7</f>
        <v>0.2</v>
      </c>
      <c r="W7" s="154">
        <f>+U7*E7</f>
        <v>0.1</v>
      </c>
      <c r="X7" s="154">
        <f t="shared" ref="X7:X13" si="8">+M7/F7</f>
        <v>0.1</v>
      </c>
      <c r="Y7" s="154">
        <f t="shared" si="3"/>
        <v>0.25</v>
      </c>
      <c r="Z7" s="154">
        <f t="shared" ref="Z7:Z13" si="9">+X7*E7</f>
        <v>2.0000000000000004E-2</v>
      </c>
      <c r="AA7" s="154">
        <f>+Y7*E7</f>
        <v>0.05</v>
      </c>
      <c r="AB7" s="156" t="s">
        <v>43</v>
      </c>
      <c r="AC7" s="749" t="s">
        <v>44</v>
      </c>
      <c r="AD7" s="135"/>
      <c r="AE7" s="765" t="s">
        <v>469</v>
      </c>
      <c r="AF7" s="135"/>
      <c r="AG7" s="135"/>
      <c r="AH7" s="135"/>
    </row>
    <row r="8" spans="1:34" ht="187.15" customHeight="1" thickBot="1" x14ac:dyDescent="0.4">
      <c r="A8" s="137"/>
      <c r="B8" s="1091" t="s">
        <v>1841</v>
      </c>
      <c r="C8" s="1092" t="s">
        <v>1842</v>
      </c>
      <c r="D8" s="163" t="s">
        <v>1840</v>
      </c>
      <c r="E8" s="104">
        <v>0.1</v>
      </c>
      <c r="F8" s="153">
        <v>1</v>
      </c>
      <c r="G8" s="166">
        <v>0.25</v>
      </c>
      <c r="H8" s="166">
        <v>0.25</v>
      </c>
      <c r="I8" s="154">
        <f t="shared" si="4"/>
        <v>0.25</v>
      </c>
      <c r="J8" s="154">
        <f t="shared" si="5"/>
        <v>0.25</v>
      </c>
      <c r="K8" s="154">
        <f t="shared" si="6"/>
        <v>2.5000000000000001E-2</v>
      </c>
      <c r="L8" s="154">
        <f>+(H8/F8)*E8</f>
        <v>2.5000000000000001E-2</v>
      </c>
      <c r="M8" s="166">
        <v>0.25</v>
      </c>
      <c r="N8" s="709">
        <v>0</v>
      </c>
      <c r="O8" s="709">
        <v>0.12</v>
      </c>
      <c r="P8" s="166"/>
      <c r="Q8" s="166"/>
      <c r="R8" s="707">
        <f t="shared" si="0"/>
        <v>0.12</v>
      </c>
      <c r="S8" s="707">
        <f t="shared" si="1"/>
        <v>0.37</v>
      </c>
      <c r="T8" s="154">
        <f t="shared" ref="T8:T13" si="10">+(M8/G8)</f>
        <v>1</v>
      </c>
      <c r="U8" s="154">
        <f t="shared" si="2"/>
        <v>0.48</v>
      </c>
      <c r="V8" s="154">
        <f t="shared" si="7"/>
        <v>0.1</v>
      </c>
      <c r="W8" s="154">
        <f t="shared" ref="W8:W29" si="11">+U8*E8</f>
        <v>4.8000000000000001E-2</v>
      </c>
      <c r="X8" s="154">
        <f t="shared" si="8"/>
        <v>0.25</v>
      </c>
      <c r="Y8" s="154">
        <f t="shared" si="3"/>
        <v>0.37</v>
      </c>
      <c r="Z8" s="154">
        <f>+X8*E8</f>
        <v>2.5000000000000001E-2</v>
      </c>
      <c r="AA8" s="154">
        <f>+Y8*E8</f>
        <v>3.6999999999999998E-2</v>
      </c>
      <c r="AB8" s="156" t="s">
        <v>43</v>
      </c>
      <c r="AC8" s="749" t="s">
        <v>44</v>
      </c>
      <c r="AD8" s="135"/>
      <c r="AE8" s="765" t="s">
        <v>469</v>
      </c>
      <c r="AF8" s="135"/>
      <c r="AG8" s="135"/>
      <c r="AH8" s="135"/>
    </row>
    <row r="9" spans="1:34" ht="174.6" customHeight="1" thickBot="1" x14ac:dyDescent="0.4">
      <c r="A9" s="137"/>
      <c r="B9" s="1091" t="s">
        <v>1843</v>
      </c>
      <c r="C9" s="1092" t="s">
        <v>1844</v>
      </c>
      <c r="D9" s="163" t="s">
        <v>1840</v>
      </c>
      <c r="E9" s="104">
        <v>0.1</v>
      </c>
      <c r="F9" s="153">
        <v>1</v>
      </c>
      <c r="G9" s="166">
        <v>0</v>
      </c>
      <c r="H9" s="166">
        <v>0</v>
      </c>
      <c r="I9" s="154"/>
      <c r="J9" s="154"/>
      <c r="K9" s="154"/>
      <c r="L9" s="154"/>
      <c r="M9" s="166"/>
      <c r="N9" s="709"/>
      <c r="O9" s="166"/>
      <c r="P9" s="166"/>
      <c r="Q9" s="166"/>
      <c r="R9" s="707">
        <f t="shared" si="0"/>
        <v>0</v>
      </c>
      <c r="S9" s="707">
        <f t="shared" si="1"/>
        <v>0</v>
      </c>
      <c r="T9" s="154"/>
      <c r="U9" s="154"/>
      <c r="V9" s="154"/>
      <c r="W9" s="154"/>
      <c r="X9" s="154"/>
      <c r="Y9" s="154"/>
      <c r="Z9" s="154">
        <v>0</v>
      </c>
      <c r="AA9" s="154">
        <f t="shared" ref="AA9:AA12" si="12">+Y9*E9</f>
        <v>0</v>
      </c>
      <c r="AB9" s="156" t="s">
        <v>43</v>
      </c>
      <c r="AC9" s="749" t="s">
        <v>44</v>
      </c>
      <c r="AD9" s="135"/>
      <c r="AE9" s="765" t="s">
        <v>469</v>
      </c>
      <c r="AF9" s="135"/>
      <c r="AG9" s="135"/>
      <c r="AH9" s="135"/>
    </row>
    <row r="10" spans="1:34" ht="150" customHeight="1" thickBot="1" x14ac:dyDescent="0.4">
      <c r="A10" s="137"/>
      <c r="B10" s="1091" t="s">
        <v>1845</v>
      </c>
      <c r="C10" s="1092" t="s">
        <v>1846</v>
      </c>
      <c r="D10" s="163" t="s">
        <v>1840</v>
      </c>
      <c r="E10" s="104">
        <v>0.1</v>
      </c>
      <c r="F10" s="153">
        <v>1</v>
      </c>
      <c r="G10" s="166">
        <v>0</v>
      </c>
      <c r="H10" s="166">
        <v>0</v>
      </c>
      <c r="I10" s="154"/>
      <c r="J10" s="154"/>
      <c r="K10" s="154"/>
      <c r="L10" s="154"/>
      <c r="M10" s="166"/>
      <c r="N10" s="709"/>
      <c r="O10" s="166"/>
      <c r="P10" s="166"/>
      <c r="Q10" s="166"/>
      <c r="R10" s="707">
        <f t="shared" si="0"/>
        <v>0</v>
      </c>
      <c r="S10" s="707">
        <f t="shared" si="1"/>
        <v>0</v>
      </c>
      <c r="T10" s="154"/>
      <c r="U10" s="154"/>
      <c r="V10" s="154"/>
      <c r="W10" s="154"/>
      <c r="X10" s="154"/>
      <c r="Y10" s="154"/>
      <c r="Z10" s="154">
        <v>0</v>
      </c>
      <c r="AA10" s="154">
        <f t="shared" si="12"/>
        <v>0</v>
      </c>
      <c r="AB10" s="156" t="s">
        <v>43</v>
      </c>
      <c r="AC10" s="749" t="s">
        <v>44</v>
      </c>
      <c r="AD10" s="135"/>
      <c r="AE10" s="760" t="s">
        <v>1847</v>
      </c>
      <c r="AF10" s="135"/>
      <c r="AG10" s="135"/>
      <c r="AH10" s="135"/>
    </row>
    <row r="11" spans="1:34" ht="136.9" customHeight="1" thickBot="1" x14ac:dyDescent="0.4">
      <c r="A11" s="137"/>
      <c r="B11" s="1091" t="s">
        <v>1848</v>
      </c>
      <c r="C11" s="1092" t="s">
        <v>1849</v>
      </c>
      <c r="D11" s="163" t="s">
        <v>1840</v>
      </c>
      <c r="E11" s="104">
        <v>0.12</v>
      </c>
      <c r="F11" s="153">
        <v>4</v>
      </c>
      <c r="G11" s="166">
        <v>1</v>
      </c>
      <c r="H11" s="166">
        <v>0</v>
      </c>
      <c r="I11" s="154">
        <f t="shared" si="4"/>
        <v>0.25</v>
      </c>
      <c r="J11" s="154"/>
      <c r="K11" s="154">
        <f t="shared" si="6"/>
        <v>0.03</v>
      </c>
      <c r="L11" s="154"/>
      <c r="M11" s="166">
        <v>0</v>
      </c>
      <c r="N11" s="709"/>
      <c r="O11" s="166"/>
      <c r="P11" s="166"/>
      <c r="Q11" s="166"/>
      <c r="R11" s="707">
        <f t="shared" si="0"/>
        <v>0</v>
      </c>
      <c r="S11" s="707">
        <f t="shared" si="1"/>
        <v>0</v>
      </c>
      <c r="T11" s="154">
        <f t="shared" si="10"/>
        <v>0</v>
      </c>
      <c r="U11" s="154"/>
      <c r="V11" s="154">
        <f t="shared" si="7"/>
        <v>0</v>
      </c>
      <c r="W11" s="154"/>
      <c r="X11" s="154">
        <f t="shared" si="8"/>
        <v>0</v>
      </c>
      <c r="Y11" s="154">
        <f t="shared" si="3"/>
        <v>0</v>
      </c>
      <c r="Z11" s="154">
        <f t="shared" si="9"/>
        <v>0</v>
      </c>
      <c r="AA11" s="154">
        <f t="shared" si="12"/>
        <v>0</v>
      </c>
      <c r="AB11" s="156" t="s">
        <v>43</v>
      </c>
      <c r="AC11" s="749" t="s">
        <v>44</v>
      </c>
      <c r="AD11" s="135"/>
      <c r="AE11" s="765" t="s">
        <v>469</v>
      </c>
      <c r="AF11" s="135"/>
      <c r="AG11" s="135"/>
      <c r="AH11" s="135"/>
    </row>
    <row r="12" spans="1:34" ht="136.9" customHeight="1" thickBot="1" x14ac:dyDescent="0.4">
      <c r="A12" s="137"/>
      <c r="B12" s="1091" t="s">
        <v>1850</v>
      </c>
      <c r="C12" s="1092" t="s">
        <v>1851</v>
      </c>
      <c r="D12" s="163" t="s">
        <v>1840</v>
      </c>
      <c r="E12" s="104">
        <v>0.12</v>
      </c>
      <c r="F12" s="153">
        <v>6</v>
      </c>
      <c r="G12" s="166">
        <v>0</v>
      </c>
      <c r="H12" s="166">
        <v>0</v>
      </c>
      <c r="I12" s="154"/>
      <c r="J12" s="154">
        <f t="shared" si="5"/>
        <v>0</v>
      </c>
      <c r="K12" s="154"/>
      <c r="L12" s="154">
        <f t="shared" ref="L12:L29" si="13">+(H12/F12)*E12</f>
        <v>0</v>
      </c>
      <c r="M12" s="166"/>
      <c r="N12" s="709"/>
      <c r="O12" s="166"/>
      <c r="P12" s="166"/>
      <c r="Q12" s="166"/>
      <c r="R12" s="707">
        <f t="shared" si="0"/>
        <v>0</v>
      </c>
      <c r="S12" s="707">
        <f t="shared" si="1"/>
        <v>0</v>
      </c>
      <c r="T12" s="154"/>
      <c r="U12" s="154"/>
      <c r="V12" s="154"/>
      <c r="W12" s="154"/>
      <c r="X12" s="154"/>
      <c r="Y12" s="154"/>
      <c r="Z12" s="154"/>
      <c r="AA12" s="154">
        <f t="shared" si="12"/>
        <v>0</v>
      </c>
      <c r="AB12" s="156" t="s">
        <v>43</v>
      </c>
      <c r="AC12" s="765" t="s">
        <v>44</v>
      </c>
      <c r="AD12" s="135"/>
      <c r="AE12" s="765" t="s">
        <v>469</v>
      </c>
      <c r="AF12" s="135"/>
      <c r="AG12" s="135"/>
      <c r="AH12" s="135"/>
    </row>
    <row r="13" spans="1:34" ht="184.9" customHeight="1" thickBot="1" x14ac:dyDescent="0.4">
      <c r="A13" s="137"/>
      <c r="B13" s="141" t="s">
        <v>1852</v>
      </c>
      <c r="C13" s="160" t="s">
        <v>1853</v>
      </c>
      <c r="D13" s="163" t="s">
        <v>1840</v>
      </c>
      <c r="E13" s="104">
        <v>0.06</v>
      </c>
      <c r="F13" s="153">
        <v>33</v>
      </c>
      <c r="G13" s="166">
        <v>6.6</v>
      </c>
      <c r="H13" s="166">
        <v>8.25</v>
      </c>
      <c r="I13" s="154">
        <f t="shared" si="4"/>
        <v>0.19999999999999998</v>
      </c>
      <c r="J13" s="154">
        <f t="shared" si="5"/>
        <v>0.25</v>
      </c>
      <c r="K13" s="154">
        <f t="shared" si="6"/>
        <v>1.1999999999999999E-2</v>
      </c>
      <c r="L13" s="154">
        <f t="shared" si="13"/>
        <v>1.4999999999999999E-2</v>
      </c>
      <c r="M13" s="166">
        <v>6.6</v>
      </c>
      <c r="N13" s="709">
        <v>0</v>
      </c>
      <c r="O13" s="166">
        <f>0.1*H13</f>
        <v>0.82500000000000007</v>
      </c>
      <c r="P13" s="166"/>
      <c r="Q13" s="166"/>
      <c r="R13" s="707">
        <f t="shared" si="0"/>
        <v>0.82500000000000007</v>
      </c>
      <c r="S13" s="707">
        <f t="shared" si="1"/>
        <v>7.4249999999999998</v>
      </c>
      <c r="T13" s="154">
        <f t="shared" si="10"/>
        <v>1</v>
      </c>
      <c r="U13" s="154">
        <f t="shared" si="2"/>
        <v>0.1</v>
      </c>
      <c r="V13" s="154">
        <f t="shared" si="7"/>
        <v>0.06</v>
      </c>
      <c r="W13" s="154">
        <f t="shared" si="11"/>
        <v>6.0000000000000001E-3</v>
      </c>
      <c r="X13" s="154">
        <f t="shared" si="8"/>
        <v>0.19999999999999998</v>
      </c>
      <c r="Y13" s="154">
        <f t="shared" si="3"/>
        <v>0.22500000000000001</v>
      </c>
      <c r="Z13" s="154">
        <f t="shared" si="9"/>
        <v>1.1999999999999999E-2</v>
      </c>
      <c r="AA13" s="154">
        <f>+Y13*E13</f>
        <v>1.35E-2</v>
      </c>
      <c r="AB13" s="747" t="s">
        <v>43</v>
      </c>
      <c r="AC13" s="760" t="s">
        <v>1854</v>
      </c>
      <c r="AD13" s="145"/>
      <c r="AE13" s="760" t="s">
        <v>1855</v>
      </c>
      <c r="AF13" s="135"/>
      <c r="AG13" s="135"/>
      <c r="AH13" s="135"/>
    </row>
    <row r="14" spans="1:34" ht="84" customHeight="1" thickBot="1" x14ac:dyDescent="0.4">
      <c r="A14" s="137"/>
      <c r="B14" s="1337" t="s">
        <v>1856</v>
      </c>
      <c r="C14" s="1338"/>
      <c r="D14" s="163"/>
      <c r="E14" s="103">
        <v>0.4</v>
      </c>
      <c r="F14" s="153"/>
      <c r="G14" s="166"/>
      <c r="H14" s="166"/>
      <c r="I14" s="151">
        <f>+AVERAGE(I15:I21)</f>
        <v>0.25</v>
      </c>
      <c r="J14" s="151">
        <f>+AVERAGE(J15:J21)</f>
        <v>0.11904761904761904</v>
      </c>
      <c r="K14" s="151">
        <f>+K15+K16+K17+K18+K19+K20+K21</f>
        <v>3.7500000000000006E-2</v>
      </c>
      <c r="L14" s="151">
        <f>+L15+L16+L17+L18+L19+L20+L21</f>
        <v>0.17083333333333334</v>
      </c>
      <c r="M14" s="152"/>
      <c r="N14" s="152"/>
      <c r="O14" s="152"/>
      <c r="P14" s="152"/>
      <c r="Q14" s="152"/>
      <c r="R14" s="152"/>
      <c r="S14" s="152"/>
      <c r="T14" s="708">
        <f>+AVERAGE(T15:T21)</f>
        <v>0</v>
      </c>
      <c r="U14" s="708">
        <f>+AVERAGE(U15:U21)</f>
        <v>0.4861111111111111</v>
      </c>
      <c r="V14" s="708">
        <f>+(V15+V16+V17+V18+V19+V20+V21)*E14</f>
        <v>0</v>
      </c>
      <c r="W14" s="708">
        <f>+(W15+W16+W17+W18+W19+W20+W21)*E14</f>
        <v>9.3333333333333338E-2</v>
      </c>
      <c r="X14" s="151">
        <f>+AVERAGE(X15:X21)</f>
        <v>0</v>
      </c>
      <c r="Y14" s="151">
        <f>+AVERAGE(Y15:Y21)</f>
        <v>0.20039682539682538</v>
      </c>
      <c r="Z14" s="151">
        <f>+(Z15+Z16+Z17+Z18+Z19+Z20+Z21)*E14</f>
        <v>0</v>
      </c>
      <c r="AA14" s="151">
        <f>+(AA15+AA16+AA17+AA18+AA19+AA20+AA21)</f>
        <v>0.12361111111111112</v>
      </c>
      <c r="AB14" s="138"/>
      <c r="AC14" s="700"/>
      <c r="AD14" s="135"/>
      <c r="AE14" s="135"/>
      <c r="AF14" s="135"/>
      <c r="AG14" s="135"/>
      <c r="AH14" s="135"/>
    </row>
    <row r="15" spans="1:34" ht="116.45" customHeight="1" thickBot="1" x14ac:dyDescent="0.4">
      <c r="A15" s="137"/>
      <c r="B15" s="1203" t="s">
        <v>1857</v>
      </c>
      <c r="C15" s="1204" t="s">
        <v>1858</v>
      </c>
      <c r="D15" s="1160" t="s">
        <v>219</v>
      </c>
      <c r="E15" s="161">
        <v>0.05</v>
      </c>
      <c r="F15" s="153">
        <v>4</v>
      </c>
      <c r="G15" s="166">
        <v>0</v>
      </c>
      <c r="H15" s="166"/>
      <c r="I15" s="154"/>
      <c r="J15" s="154">
        <f t="shared" si="5"/>
        <v>0</v>
      </c>
      <c r="K15" s="154"/>
      <c r="L15" s="154">
        <f t="shared" si="13"/>
        <v>0</v>
      </c>
      <c r="M15" s="166"/>
      <c r="N15" s="709"/>
      <c r="O15" s="166"/>
      <c r="P15" s="166"/>
      <c r="Q15" s="166"/>
      <c r="R15" s="707">
        <f t="shared" ref="R15:R21" si="14">+N15+O15+P15+Q15</f>
        <v>0</v>
      </c>
      <c r="S15" s="707">
        <v>4</v>
      </c>
      <c r="T15" s="154"/>
      <c r="U15" s="154"/>
      <c r="V15" s="154"/>
      <c r="W15" s="154">
        <f t="shared" si="11"/>
        <v>0</v>
      </c>
      <c r="X15" s="154"/>
      <c r="Y15" s="154">
        <f t="shared" ref="Y15:Y21" si="15">+S15/F15</f>
        <v>1</v>
      </c>
      <c r="Z15" s="154"/>
      <c r="AA15" s="154">
        <f>+Y15*E15</f>
        <v>0.05</v>
      </c>
      <c r="AB15" s="144" t="s">
        <v>354</v>
      </c>
      <c r="AC15" s="760" t="s">
        <v>71</v>
      </c>
      <c r="AD15" s="760" t="s">
        <v>71</v>
      </c>
      <c r="AE15" s="760" t="s">
        <v>1859</v>
      </c>
      <c r="AF15" s="135"/>
      <c r="AG15" s="135"/>
      <c r="AH15" s="135"/>
    </row>
    <row r="16" spans="1:34" ht="133.15" customHeight="1" thickBot="1" x14ac:dyDescent="0.4">
      <c r="A16" s="137"/>
      <c r="B16" s="141" t="s">
        <v>1860</v>
      </c>
      <c r="C16" s="160" t="s">
        <v>1861</v>
      </c>
      <c r="D16" s="1160" t="s">
        <v>219</v>
      </c>
      <c r="E16" s="161">
        <v>0.05</v>
      </c>
      <c r="F16" s="153">
        <v>1</v>
      </c>
      <c r="G16" s="166">
        <v>0</v>
      </c>
      <c r="H16" s="166"/>
      <c r="I16" s="154"/>
      <c r="J16" s="154">
        <f t="shared" si="5"/>
        <v>0</v>
      </c>
      <c r="K16" s="154"/>
      <c r="L16" s="154">
        <f t="shared" si="13"/>
        <v>0</v>
      </c>
      <c r="M16" s="166"/>
      <c r="N16" s="709"/>
      <c r="O16" s="166"/>
      <c r="P16" s="166"/>
      <c r="Q16" s="166"/>
      <c r="R16" s="707">
        <f t="shared" si="14"/>
        <v>0</v>
      </c>
      <c r="S16" s="707">
        <f t="shared" ref="S16:S21" si="16">+R16+M16</f>
        <v>0</v>
      </c>
      <c r="T16" s="154"/>
      <c r="U16" s="154"/>
      <c r="V16" s="154"/>
      <c r="W16" s="154">
        <f t="shared" si="11"/>
        <v>0</v>
      </c>
      <c r="X16" s="154"/>
      <c r="Y16" s="154">
        <f t="shared" si="15"/>
        <v>0</v>
      </c>
      <c r="Z16" s="154"/>
      <c r="AA16" s="154">
        <f t="shared" ref="AA16" si="17">+Y16*E16</f>
        <v>0</v>
      </c>
      <c r="AB16" s="144" t="s">
        <v>354</v>
      </c>
      <c r="AC16" s="760" t="s">
        <v>71</v>
      </c>
      <c r="AD16" s="135"/>
      <c r="AE16" s="760" t="s">
        <v>1862</v>
      </c>
      <c r="AF16" s="135"/>
      <c r="AG16" s="135"/>
      <c r="AH16" s="135"/>
    </row>
    <row r="17" spans="1:34" ht="109.9" customHeight="1" thickBot="1" x14ac:dyDescent="0.4">
      <c r="A17" s="137"/>
      <c r="B17" s="1091" t="s">
        <v>1863</v>
      </c>
      <c r="C17" s="1092" t="s">
        <v>1864</v>
      </c>
      <c r="D17" s="163" t="s">
        <v>795</v>
      </c>
      <c r="E17" s="104">
        <v>0.05</v>
      </c>
      <c r="F17" s="153">
        <v>4</v>
      </c>
      <c r="G17" s="166">
        <v>1</v>
      </c>
      <c r="H17" s="166">
        <v>1</v>
      </c>
      <c r="I17" s="154">
        <f>+G17/F17</f>
        <v>0.25</v>
      </c>
      <c r="J17" s="154">
        <f t="shared" si="5"/>
        <v>0.25</v>
      </c>
      <c r="K17" s="154">
        <f>+(G17/F17)*E17</f>
        <v>1.2500000000000001E-2</v>
      </c>
      <c r="L17" s="154">
        <f t="shared" si="13"/>
        <v>1.2500000000000001E-2</v>
      </c>
      <c r="M17" s="166">
        <v>0</v>
      </c>
      <c r="N17" s="709">
        <v>0</v>
      </c>
      <c r="O17" s="166">
        <v>1</v>
      </c>
      <c r="P17" s="166"/>
      <c r="Q17" s="166"/>
      <c r="R17" s="707">
        <f t="shared" si="14"/>
        <v>1</v>
      </c>
      <c r="S17" s="707">
        <f t="shared" si="16"/>
        <v>1</v>
      </c>
      <c r="T17" s="154">
        <f>+(M17/G17)</f>
        <v>0</v>
      </c>
      <c r="U17" s="154">
        <f t="shared" ref="U17:U21" si="18">+R17/H17</f>
        <v>1</v>
      </c>
      <c r="V17" s="154">
        <f>+T17*E17</f>
        <v>0</v>
      </c>
      <c r="W17" s="154">
        <f t="shared" si="11"/>
        <v>0.05</v>
      </c>
      <c r="X17" s="154">
        <f>+M17/F17</f>
        <v>0</v>
      </c>
      <c r="Y17" s="154">
        <f t="shared" si="15"/>
        <v>0.25</v>
      </c>
      <c r="Z17" s="154">
        <f>+X17*E17</f>
        <v>0</v>
      </c>
      <c r="AA17" s="154">
        <f>+Y17*E17</f>
        <v>1.2500000000000001E-2</v>
      </c>
      <c r="AB17" s="156" t="s">
        <v>43</v>
      </c>
      <c r="AC17" s="765" t="s">
        <v>44</v>
      </c>
      <c r="AD17" s="765" t="s">
        <v>1865</v>
      </c>
      <c r="AE17" s="765" t="s">
        <v>469</v>
      </c>
      <c r="AF17" s="135"/>
      <c r="AG17" s="135"/>
      <c r="AH17" s="135"/>
    </row>
    <row r="18" spans="1:34" ht="88.15" customHeight="1" thickBot="1" x14ac:dyDescent="0.4">
      <c r="A18" s="137"/>
      <c r="B18" s="1091" t="s">
        <v>1866</v>
      </c>
      <c r="C18" s="1092" t="s">
        <v>1867</v>
      </c>
      <c r="D18" s="163" t="s">
        <v>795</v>
      </c>
      <c r="E18" s="104">
        <v>0.1</v>
      </c>
      <c r="F18" s="153">
        <v>4</v>
      </c>
      <c r="G18" s="166">
        <v>1</v>
      </c>
      <c r="H18" s="166">
        <v>1</v>
      </c>
      <c r="I18" s="154">
        <f>+G18/F18</f>
        <v>0.25</v>
      </c>
      <c r="J18" s="154">
        <f t="shared" si="5"/>
        <v>0.25</v>
      </c>
      <c r="K18" s="154">
        <f>+(G18/F18)*E18</f>
        <v>2.5000000000000001E-2</v>
      </c>
      <c r="L18" s="154">
        <f t="shared" si="13"/>
        <v>2.5000000000000001E-2</v>
      </c>
      <c r="M18" s="166">
        <v>0</v>
      </c>
      <c r="N18" s="709">
        <v>0</v>
      </c>
      <c r="O18" s="166">
        <v>0</v>
      </c>
      <c r="P18" s="166"/>
      <c r="Q18" s="166"/>
      <c r="R18" s="707">
        <f t="shared" si="14"/>
        <v>0</v>
      </c>
      <c r="S18" s="707">
        <f t="shared" si="16"/>
        <v>0</v>
      </c>
      <c r="T18" s="154">
        <f>+(M18/G18)</f>
        <v>0</v>
      </c>
      <c r="U18" s="154">
        <f t="shared" si="18"/>
        <v>0</v>
      </c>
      <c r="V18" s="154">
        <f>+T18*E18</f>
        <v>0</v>
      </c>
      <c r="W18" s="154">
        <f t="shared" si="11"/>
        <v>0</v>
      </c>
      <c r="X18" s="154">
        <f>+M18/F18</f>
        <v>0</v>
      </c>
      <c r="Y18" s="154">
        <f t="shared" si="15"/>
        <v>0</v>
      </c>
      <c r="Z18" s="154">
        <f>+X18*E18</f>
        <v>0</v>
      </c>
      <c r="AA18" s="154">
        <f>+Y18*E18</f>
        <v>0</v>
      </c>
      <c r="AB18" s="156" t="s">
        <v>43</v>
      </c>
      <c r="AC18" s="765" t="s">
        <v>44</v>
      </c>
      <c r="AD18" s="749" t="s">
        <v>1865</v>
      </c>
      <c r="AE18" s="749" t="s">
        <v>469</v>
      </c>
      <c r="AF18" s="135"/>
      <c r="AG18" s="135"/>
      <c r="AH18" s="135"/>
    </row>
    <row r="19" spans="1:34" ht="175.15" customHeight="1" thickBot="1" x14ac:dyDescent="0.4">
      <c r="A19" s="137"/>
      <c r="B19" s="1091" t="s">
        <v>1868</v>
      </c>
      <c r="C19" s="1092" t="s">
        <v>1869</v>
      </c>
      <c r="D19" s="163" t="s">
        <v>950</v>
      </c>
      <c r="E19" s="104">
        <v>0.05</v>
      </c>
      <c r="F19" s="153">
        <v>1</v>
      </c>
      <c r="G19" s="166">
        <v>0</v>
      </c>
      <c r="H19" s="166">
        <v>0</v>
      </c>
      <c r="I19" s="154"/>
      <c r="J19" s="154">
        <f t="shared" si="5"/>
        <v>0</v>
      </c>
      <c r="K19" s="154"/>
      <c r="L19" s="154">
        <f t="shared" si="13"/>
        <v>0</v>
      </c>
      <c r="M19" s="166"/>
      <c r="N19" s="709"/>
      <c r="O19" s="166"/>
      <c r="P19" s="166"/>
      <c r="Q19" s="166"/>
      <c r="R19" s="707">
        <f t="shared" si="14"/>
        <v>0</v>
      </c>
      <c r="S19" s="707">
        <f t="shared" si="16"/>
        <v>0</v>
      </c>
      <c r="T19" s="154"/>
      <c r="U19" s="154"/>
      <c r="V19" s="154"/>
      <c r="W19" s="154">
        <f t="shared" si="11"/>
        <v>0</v>
      </c>
      <c r="X19" s="154"/>
      <c r="Y19" s="154">
        <f t="shared" si="15"/>
        <v>0</v>
      </c>
      <c r="Z19" s="154"/>
      <c r="AA19" s="154">
        <f t="shared" ref="AA19:AA21" si="19">+Y19*E19</f>
        <v>0</v>
      </c>
      <c r="AB19" s="747" t="s">
        <v>43</v>
      </c>
      <c r="AC19" s="760" t="s">
        <v>1870</v>
      </c>
      <c r="AD19" s="700"/>
      <c r="AE19" s="1188" t="s">
        <v>1871</v>
      </c>
      <c r="AF19" s="135"/>
      <c r="AG19" s="135"/>
      <c r="AH19" s="135"/>
    </row>
    <row r="20" spans="1:34" ht="137.44999999999999" customHeight="1" thickBot="1" x14ac:dyDescent="0.4">
      <c r="A20" s="137"/>
      <c r="B20" s="1091" t="s">
        <v>1872</v>
      </c>
      <c r="C20" s="1092" t="s">
        <v>1873</v>
      </c>
      <c r="D20" s="163" t="s">
        <v>950</v>
      </c>
      <c r="E20" s="104">
        <v>0.3</v>
      </c>
      <c r="F20" s="153">
        <v>396</v>
      </c>
      <c r="G20" s="166">
        <v>0</v>
      </c>
      <c r="H20" s="166">
        <v>0</v>
      </c>
      <c r="I20" s="154"/>
      <c r="J20" s="154">
        <f t="shared" si="5"/>
        <v>0</v>
      </c>
      <c r="K20" s="154"/>
      <c r="L20" s="154">
        <f t="shared" si="13"/>
        <v>0</v>
      </c>
      <c r="M20" s="166"/>
      <c r="N20" s="709"/>
      <c r="O20" s="709"/>
      <c r="P20" s="166"/>
      <c r="Q20" s="166"/>
      <c r="R20" s="707">
        <f t="shared" si="14"/>
        <v>0</v>
      </c>
      <c r="S20" s="707">
        <f t="shared" si="16"/>
        <v>0</v>
      </c>
      <c r="T20" s="154"/>
      <c r="U20" s="154"/>
      <c r="V20" s="154"/>
      <c r="W20" s="154">
        <f t="shared" si="11"/>
        <v>0</v>
      </c>
      <c r="X20" s="154"/>
      <c r="Y20" s="154">
        <f t="shared" si="15"/>
        <v>0</v>
      </c>
      <c r="Z20" s="154"/>
      <c r="AA20" s="154">
        <f t="shared" si="19"/>
        <v>0</v>
      </c>
      <c r="AB20" s="747" t="s">
        <v>43</v>
      </c>
      <c r="AC20" s="760" t="s">
        <v>1870</v>
      </c>
      <c r="AD20" s="145"/>
      <c r="AE20" s="1188" t="s">
        <v>1871</v>
      </c>
      <c r="AF20" s="135"/>
      <c r="AG20" s="135"/>
      <c r="AH20" s="135"/>
    </row>
    <row r="21" spans="1:34" ht="118.15" customHeight="1" thickBot="1" x14ac:dyDescent="0.4">
      <c r="A21" s="137"/>
      <c r="B21" s="1093" t="s">
        <v>1874</v>
      </c>
      <c r="C21" s="1094" t="s">
        <v>1875</v>
      </c>
      <c r="D21" s="163" t="s">
        <v>704</v>
      </c>
      <c r="E21" s="104">
        <v>0.4</v>
      </c>
      <c r="F21" s="153">
        <f>450*4</f>
        <v>1800</v>
      </c>
      <c r="G21" s="166">
        <v>0</v>
      </c>
      <c r="H21" s="166">
        <v>600</v>
      </c>
      <c r="I21" s="154"/>
      <c r="J21" s="154">
        <f t="shared" si="5"/>
        <v>0.33333333333333331</v>
      </c>
      <c r="K21" s="154"/>
      <c r="L21" s="154">
        <f t="shared" si="13"/>
        <v>0.13333333333333333</v>
      </c>
      <c r="M21" s="166"/>
      <c r="N21" s="709"/>
      <c r="O21" s="709">
        <v>275</v>
      </c>
      <c r="P21" s="166"/>
      <c r="Q21" s="166"/>
      <c r="R21" s="707">
        <f t="shared" si="14"/>
        <v>275</v>
      </c>
      <c r="S21" s="707">
        <f t="shared" si="16"/>
        <v>275</v>
      </c>
      <c r="T21" s="154"/>
      <c r="U21" s="155">
        <f t="shared" si="18"/>
        <v>0.45833333333333331</v>
      </c>
      <c r="V21" s="154"/>
      <c r="W21" s="154">
        <f t="shared" si="11"/>
        <v>0.18333333333333335</v>
      </c>
      <c r="X21" s="154"/>
      <c r="Y21" s="155">
        <f t="shared" si="15"/>
        <v>0.15277777777777779</v>
      </c>
      <c r="Z21" s="154"/>
      <c r="AA21" s="154">
        <f t="shared" si="19"/>
        <v>6.1111111111111116E-2</v>
      </c>
      <c r="AB21" s="142" t="s">
        <v>1876</v>
      </c>
      <c r="AC21" s="760" t="s">
        <v>127</v>
      </c>
      <c r="AD21" s="749" t="s">
        <v>1865</v>
      </c>
      <c r="AE21" s="749" t="s">
        <v>469</v>
      </c>
      <c r="AF21" s="135"/>
      <c r="AG21" s="135"/>
      <c r="AH21" s="135"/>
    </row>
    <row r="22" spans="1:34" ht="75" customHeight="1" thickBot="1" x14ac:dyDescent="0.4">
      <c r="A22" s="137"/>
      <c r="B22" s="1337" t="s">
        <v>1877</v>
      </c>
      <c r="C22" s="1338"/>
      <c r="D22" s="163"/>
      <c r="E22" s="103">
        <v>0.2</v>
      </c>
      <c r="F22" s="153"/>
      <c r="G22" s="166"/>
      <c r="H22" s="166"/>
      <c r="I22" s="151">
        <f>+AVERAGE(I23:I29)</f>
        <v>0.4</v>
      </c>
      <c r="J22" s="151">
        <f>+AVERAGE(J23:J29)</f>
        <v>0.33214285714285718</v>
      </c>
      <c r="K22" s="151">
        <f>+K23+K24+K25+K26+K27+K28+K29</f>
        <v>4.0000000000000008E-2</v>
      </c>
      <c r="L22" s="151">
        <f>+L23+L24+L25+L26+L27+L28+L29</f>
        <v>0.32625000000000004</v>
      </c>
      <c r="M22" s="152"/>
      <c r="N22" s="152"/>
      <c r="O22" s="152"/>
      <c r="P22" s="152"/>
      <c r="Q22" s="152"/>
      <c r="R22" s="152"/>
      <c r="S22" s="152"/>
      <c r="T22" s="708">
        <f>+AVERAGE(T23:T29)</f>
        <v>1</v>
      </c>
      <c r="U22" s="708">
        <f>+AVERAGE(U23:U29)</f>
        <v>0.51249999999999996</v>
      </c>
      <c r="V22" s="708">
        <f>+(V23+V24+V25+V26+V27+V28+V29)*E22</f>
        <v>2.0000000000000004E-2</v>
      </c>
      <c r="W22" s="708">
        <f>+(W23+W24+W25+W26+W27+W28+W29)*E22</f>
        <v>4.200000000000001E-2</v>
      </c>
      <c r="X22" s="151">
        <f>+AVERAGE(X23:X29)*(1/7)</f>
        <v>5.7142857142857141E-2</v>
      </c>
      <c r="Y22" s="151">
        <f>+X22+((Y23-X23)/7)+((Y25-X25)/7)+((Y26-X26)/7)</f>
        <v>0.23571428571428571</v>
      </c>
      <c r="Z22" s="151">
        <f>+(Z23+Z24+Z25+Z26+Z27+Z28+Z29)*E22</f>
        <v>8.0000000000000019E-3</v>
      </c>
      <c r="AA22" s="151">
        <f>+(AA23+AA24+AA25+AA26+AA27+AA28+AA29)</f>
        <v>0.17</v>
      </c>
      <c r="AB22" s="138"/>
      <c r="AC22" s="748"/>
      <c r="AD22" s="157"/>
      <c r="AE22" s="157"/>
      <c r="AF22" s="135"/>
      <c r="AG22" s="135"/>
      <c r="AH22" s="135"/>
    </row>
    <row r="23" spans="1:34" ht="139.9" customHeight="1" thickBot="1" x14ac:dyDescent="0.4">
      <c r="A23" s="137"/>
      <c r="B23" s="1093" t="s">
        <v>1878</v>
      </c>
      <c r="C23" s="1094" t="s">
        <v>1879</v>
      </c>
      <c r="D23" s="163" t="s">
        <v>716</v>
      </c>
      <c r="E23" s="104">
        <v>0.1</v>
      </c>
      <c r="F23" s="153">
        <v>5</v>
      </c>
      <c r="G23" s="166">
        <v>2</v>
      </c>
      <c r="H23" s="166">
        <v>1</v>
      </c>
      <c r="I23" s="154">
        <f>+G23/F23</f>
        <v>0.4</v>
      </c>
      <c r="J23" s="154">
        <f t="shared" si="5"/>
        <v>0.2</v>
      </c>
      <c r="K23" s="154">
        <f>+(G23/F23)*E23</f>
        <v>4.0000000000000008E-2</v>
      </c>
      <c r="L23" s="154">
        <f t="shared" si="13"/>
        <v>2.0000000000000004E-2</v>
      </c>
      <c r="M23" s="166">
        <v>2</v>
      </c>
      <c r="N23" s="709">
        <v>0</v>
      </c>
      <c r="O23" s="166">
        <v>1</v>
      </c>
      <c r="P23" s="166"/>
      <c r="Q23" s="166"/>
      <c r="R23" s="707">
        <f t="shared" ref="R23:R29" si="20">+N23+O23+P23+Q23</f>
        <v>1</v>
      </c>
      <c r="S23" s="707">
        <f t="shared" ref="S23:S29" si="21">+R23+M23</f>
        <v>3</v>
      </c>
      <c r="T23" s="154">
        <f>+(M23/G23)</f>
        <v>1</v>
      </c>
      <c r="U23" s="154">
        <f t="shared" ref="U23:U29" si="22">+R23/H23</f>
        <v>1</v>
      </c>
      <c r="V23" s="154">
        <f>+T23*E23</f>
        <v>0.1</v>
      </c>
      <c r="W23" s="154">
        <f t="shared" si="11"/>
        <v>0.1</v>
      </c>
      <c r="X23" s="154">
        <f>+M23/F23</f>
        <v>0.4</v>
      </c>
      <c r="Y23" s="154">
        <f t="shared" ref="Y23:Y26" si="23">+S23/F23</f>
        <v>0.6</v>
      </c>
      <c r="Z23" s="154">
        <f>+X23*E23</f>
        <v>4.0000000000000008E-2</v>
      </c>
      <c r="AA23" s="154">
        <f>+Y23*E23</f>
        <v>0.06</v>
      </c>
      <c r="AB23" s="747" t="s">
        <v>43</v>
      </c>
      <c r="AC23" s="763" t="s">
        <v>44</v>
      </c>
      <c r="AD23" s="145"/>
      <c r="AE23" s="749" t="s">
        <v>469</v>
      </c>
      <c r="AF23" s="135"/>
      <c r="AG23" s="135"/>
      <c r="AH23" s="135"/>
    </row>
    <row r="24" spans="1:34" ht="139.9" customHeight="1" thickBot="1" x14ac:dyDescent="0.4">
      <c r="A24" s="137"/>
      <c r="B24" s="139" t="s">
        <v>1880</v>
      </c>
      <c r="C24" s="167" t="s">
        <v>1881</v>
      </c>
      <c r="D24" s="163" t="s">
        <v>1257</v>
      </c>
      <c r="E24" s="104">
        <v>0.15</v>
      </c>
      <c r="F24" s="153">
        <v>1</v>
      </c>
      <c r="G24" s="166">
        <v>0</v>
      </c>
      <c r="H24" s="166"/>
      <c r="I24" s="154"/>
      <c r="J24" s="154">
        <f t="shared" si="5"/>
        <v>0</v>
      </c>
      <c r="K24" s="154"/>
      <c r="L24" s="154">
        <f t="shared" si="13"/>
        <v>0</v>
      </c>
      <c r="M24" s="166"/>
      <c r="N24" s="709"/>
      <c r="O24" s="166"/>
      <c r="P24" s="166"/>
      <c r="Q24" s="166"/>
      <c r="R24" s="707">
        <f t="shared" si="20"/>
        <v>0</v>
      </c>
      <c r="S24" s="707">
        <f t="shared" si="21"/>
        <v>0</v>
      </c>
      <c r="T24" s="154"/>
      <c r="U24" s="154"/>
      <c r="V24" s="154"/>
      <c r="W24" s="154"/>
      <c r="X24" s="154"/>
      <c r="Y24" s="154"/>
      <c r="Z24" s="154"/>
      <c r="AA24" s="154">
        <f t="shared" ref="AA24:AA29" si="24">+Y24*E24</f>
        <v>0</v>
      </c>
      <c r="AB24" s="142" t="s">
        <v>1882</v>
      </c>
      <c r="AC24" s="760" t="s">
        <v>71</v>
      </c>
      <c r="AD24" s="765" t="s">
        <v>1865</v>
      </c>
      <c r="AE24" s="760" t="s">
        <v>71</v>
      </c>
      <c r="AF24" s="135"/>
      <c r="AG24" s="135"/>
      <c r="AH24" s="135"/>
    </row>
    <row r="25" spans="1:34" ht="139.9" customHeight="1" thickBot="1" x14ac:dyDescent="0.4">
      <c r="A25" s="137"/>
      <c r="B25" s="1091" t="s">
        <v>1883</v>
      </c>
      <c r="C25" s="1092" t="s">
        <v>1884</v>
      </c>
      <c r="D25" s="163" t="s">
        <v>724</v>
      </c>
      <c r="E25" s="104">
        <v>0.2</v>
      </c>
      <c r="F25" s="153">
        <v>1</v>
      </c>
      <c r="G25" s="166">
        <v>0</v>
      </c>
      <c r="H25" s="166">
        <v>1</v>
      </c>
      <c r="I25" s="154"/>
      <c r="J25" s="154">
        <f t="shared" si="5"/>
        <v>1</v>
      </c>
      <c r="K25" s="154"/>
      <c r="L25" s="154">
        <f t="shared" si="13"/>
        <v>0.2</v>
      </c>
      <c r="M25" s="166"/>
      <c r="N25" s="709">
        <v>0</v>
      </c>
      <c r="O25" s="166">
        <v>0.05</v>
      </c>
      <c r="P25" s="166"/>
      <c r="Q25" s="166"/>
      <c r="R25" s="707">
        <f t="shared" si="20"/>
        <v>0.05</v>
      </c>
      <c r="S25" s="707">
        <f t="shared" si="21"/>
        <v>0.05</v>
      </c>
      <c r="T25" s="154"/>
      <c r="U25" s="154">
        <f t="shared" si="22"/>
        <v>0.05</v>
      </c>
      <c r="V25" s="154"/>
      <c r="W25" s="154">
        <f t="shared" si="11"/>
        <v>1.0000000000000002E-2</v>
      </c>
      <c r="X25" s="154"/>
      <c r="Y25" s="154">
        <f t="shared" si="23"/>
        <v>0.05</v>
      </c>
      <c r="Z25" s="154"/>
      <c r="AA25" s="154">
        <f t="shared" si="24"/>
        <v>1.0000000000000002E-2</v>
      </c>
      <c r="AB25" s="156" t="s">
        <v>43</v>
      </c>
      <c r="AC25" s="760" t="s">
        <v>127</v>
      </c>
      <c r="AD25" s="1108" t="s">
        <v>1865</v>
      </c>
      <c r="AE25" s="749" t="s">
        <v>469</v>
      </c>
      <c r="AF25" s="135"/>
      <c r="AG25" s="135"/>
      <c r="AH25" s="135"/>
    </row>
    <row r="26" spans="1:34" ht="139.9" customHeight="1" thickBot="1" x14ac:dyDescent="0.4">
      <c r="A26" s="137"/>
      <c r="B26" s="1091" t="s">
        <v>1885</v>
      </c>
      <c r="C26" s="1092" t="s">
        <v>1886</v>
      </c>
      <c r="D26" s="163" t="s">
        <v>1431</v>
      </c>
      <c r="E26" s="104">
        <v>0.1</v>
      </c>
      <c r="F26" s="153">
        <v>1</v>
      </c>
      <c r="G26" s="166">
        <v>0</v>
      </c>
      <c r="H26" s="166">
        <v>1</v>
      </c>
      <c r="I26" s="154"/>
      <c r="J26" s="154">
        <f t="shared" si="5"/>
        <v>1</v>
      </c>
      <c r="K26" s="154"/>
      <c r="L26" s="154">
        <f t="shared" si="13"/>
        <v>0.1</v>
      </c>
      <c r="M26" s="166"/>
      <c r="N26" s="709">
        <v>0</v>
      </c>
      <c r="O26" s="709">
        <v>1</v>
      </c>
      <c r="P26" s="166"/>
      <c r="Q26" s="166"/>
      <c r="R26" s="707">
        <f t="shared" si="20"/>
        <v>1</v>
      </c>
      <c r="S26" s="707">
        <f t="shared" si="21"/>
        <v>1</v>
      </c>
      <c r="T26" s="154"/>
      <c r="U26" s="154">
        <f t="shared" si="22"/>
        <v>1</v>
      </c>
      <c r="V26" s="154"/>
      <c r="W26" s="154">
        <f t="shared" si="11"/>
        <v>0.1</v>
      </c>
      <c r="X26" s="154"/>
      <c r="Y26" s="154">
        <f t="shared" si="23"/>
        <v>1</v>
      </c>
      <c r="Z26" s="154"/>
      <c r="AA26" s="154">
        <f t="shared" si="24"/>
        <v>0.1</v>
      </c>
      <c r="AB26" s="142" t="s">
        <v>1887</v>
      </c>
      <c r="AC26" s="760" t="s">
        <v>127</v>
      </c>
      <c r="AD26" s="135"/>
      <c r="AE26" s="749" t="s">
        <v>36</v>
      </c>
      <c r="AF26" s="135"/>
      <c r="AG26" s="135"/>
      <c r="AH26" s="135"/>
    </row>
    <row r="27" spans="1:34" ht="139.9" customHeight="1" thickBot="1" x14ac:dyDescent="0.4">
      <c r="A27" s="137"/>
      <c r="B27" s="140" t="s">
        <v>1888</v>
      </c>
      <c r="C27" s="159" t="s">
        <v>1889</v>
      </c>
      <c r="D27" s="168" t="s">
        <v>1890</v>
      </c>
      <c r="E27" s="104">
        <v>0.2</v>
      </c>
      <c r="F27" s="153">
        <v>1</v>
      </c>
      <c r="G27" s="166">
        <v>0</v>
      </c>
      <c r="H27" s="166"/>
      <c r="I27" s="154"/>
      <c r="J27" s="154">
        <f t="shared" si="5"/>
        <v>0</v>
      </c>
      <c r="K27" s="154"/>
      <c r="L27" s="154">
        <f t="shared" si="13"/>
        <v>0</v>
      </c>
      <c r="M27" s="166"/>
      <c r="N27" s="709"/>
      <c r="O27" s="166"/>
      <c r="P27" s="166"/>
      <c r="Q27" s="166"/>
      <c r="R27" s="707">
        <f t="shared" si="20"/>
        <v>0</v>
      </c>
      <c r="S27" s="707">
        <f t="shared" si="21"/>
        <v>0</v>
      </c>
      <c r="T27" s="154"/>
      <c r="U27" s="154"/>
      <c r="V27" s="154"/>
      <c r="W27" s="154">
        <f t="shared" si="11"/>
        <v>0</v>
      </c>
      <c r="X27" s="154"/>
      <c r="Y27" s="154"/>
      <c r="Z27" s="154"/>
      <c r="AA27" s="154">
        <f t="shared" si="24"/>
        <v>0</v>
      </c>
      <c r="AB27" s="142" t="s">
        <v>1891</v>
      </c>
      <c r="AC27" s="760" t="s">
        <v>71</v>
      </c>
      <c r="AD27" s="135"/>
      <c r="AE27" s="760" t="s">
        <v>71</v>
      </c>
      <c r="AF27" s="135"/>
      <c r="AG27" s="135"/>
      <c r="AH27" s="135"/>
    </row>
    <row r="28" spans="1:34" ht="139.9" customHeight="1" thickBot="1" x14ac:dyDescent="0.4">
      <c r="A28" s="137"/>
      <c r="B28" s="139" t="s">
        <v>1892</v>
      </c>
      <c r="C28" s="167" t="s">
        <v>1893</v>
      </c>
      <c r="D28" s="169" t="s">
        <v>1894</v>
      </c>
      <c r="E28" s="104">
        <v>0.2</v>
      </c>
      <c r="F28" s="153">
        <v>1</v>
      </c>
      <c r="G28" s="166">
        <v>0</v>
      </c>
      <c r="H28" s="166"/>
      <c r="I28" s="154"/>
      <c r="J28" s="154">
        <f t="shared" si="5"/>
        <v>0</v>
      </c>
      <c r="K28" s="154"/>
      <c r="L28" s="154">
        <f t="shared" si="13"/>
        <v>0</v>
      </c>
      <c r="M28" s="166"/>
      <c r="N28" s="709"/>
      <c r="O28" s="166"/>
      <c r="P28" s="166"/>
      <c r="Q28" s="166"/>
      <c r="R28" s="707">
        <f t="shared" si="20"/>
        <v>0</v>
      </c>
      <c r="S28" s="707">
        <f t="shared" si="21"/>
        <v>0</v>
      </c>
      <c r="T28" s="154"/>
      <c r="U28" s="154"/>
      <c r="V28" s="154"/>
      <c r="W28" s="154">
        <f t="shared" si="11"/>
        <v>0</v>
      </c>
      <c r="X28" s="154"/>
      <c r="Y28" s="154"/>
      <c r="Z28" s="154"/>
      <c r="AA28" s="154">
        <f t="shared" si="24"/>
        <v>0</v>
      </c>
      <c r="AB28" s="142" t="s">
        <v>1895</v>
      </c>
      <c r="AC28" s="760" t="s">
        <v>71</v>
      </c>
      <c r="AD28" s="135"/>
      <c r="AE28" s="760" t="s">
        <v>71</v>
      </c>
      <c r="AF28" s="135"/>
      <c r="AG28" s="135"/>
      <c r="AH28" s="135"/>
    </row>
    <row r="29" spans="1:34" ht="139.9" customHeight="1" thickBot="1" x14ac:dyDescent="0.4">
      <c r="A29" s="137"/>
      <c r="B29" s="1093" t="s">
        <v>1896</v>
      </c>
      <c r="C29" s="1094" t="s">
        <v>1897</v>
      </c>
      <c r="D29" s="170" t="s">
        <v>716</v>
      </c>
      <c r="E29" s="104">
        <v>0.05</v>
      </c>
      <c r="F29" s="153">
        <v>16</v>
      </c>
      <c r="G29" s="166">
        <v>0</v>
      </c>
      <c r="H29" s="166">
        <v>2</v>
      </c>
      <c r="I29" s="154"/>
      <c r="J29" s="154">
        <f t="shared" si="5"/>
        <v>0.125</v>
      </c>
      <c r="K29" s="154"/>
      <c r="L29" s="154">
        <f t="shared" si="13"/>
        <v>6.2500000000000003E-3</v>
      </c>
      <c r="M29" s="166"/>
      <c r="N29" s="709">
        <v>0</v>
      </c>
      <c r="O29" s="166">
        <v>0</v>
      </c>
      <c r="P29" s="166"/>
      <c r="Q29" s="166"/>
      <c r="R29" s="707">
        <f t="shared" si="20"/>
        <v>0</v>
      </c>
      <c r="S29" s="707">
        <f t="shared" si="21"/>
        <v>0</v>
      </c>
      <c r="T29" s="154"/>
      <c r="U29" s="154">
        <f t="shared" si="22"/>
        <v>0</v>
      </c>
      <c r="V29" s="154"/>
      <c r="W29" s="154">
        <f t="shared" si="11"/>
        <v>0</v>
      </c>
      <c r="X29" s="154"/>
      <c r="Y29" s="154"/>
      <c r="Z29" s="154"/>
      <c r="AA29" s="154">
        <f t="shared" si="24"/>
        <v>0</v>
      </c>
      <c r="AB29" s="747" t="s">
        <v>43</v>
      </c>
      <c r="AC29" s="760" t="s">
        <v>127</v>
      </c>
      <c r="AD29" s="765" t="s">
        <v>1865</v>
      </c>
      <c r="AE29" s="749" t="s">
        <v>469</v>
      </c>
      <c r="AF29" s="135"/>
      <c r="AG29" s="135"/>
      <c r="AH29" s="135"/>
    </row>
    <row r="30" spans="1:34" ht="71.25" customHeight="1" thickBot="1" x14ac:dyDescent="0.4">
      <c r="A30" s="137"/>
      <c r="B30" s="1343" t="s">
        <v>1898</v>
      </c>
      <c r="C30" s="1338"/>
      <c r="D30" s="163"/>
      <c r="E30" s="147">
        <v>0.25</v>
      </c>
      <c r="F30" s="165">
        <f>+E30*V30</f>
        <v>1.2824999999999998E-2</v>
      </c>
      <c r="G30" s="146"/>
      <c r="H30" s="165">
        <f>+E30*W30</f>
        <v>7.8490000000000004E-2</v>
      </c>
      <c r="I30" s="148">
        <f>+(I31+I40+I47)/3</f>
        <v>0.22685185185185186</v>
      </c>
      <c r="J30" s="148">
        <f>+(J31+J40+J47)/3</f>
        <v>0.31592592592592589</v>
      </c>
      <c r="K30" s="149">
        <f>+(K31+K40+K47)/3</f>
        <v>8.3611111111111122E-2</v>
      </c>
      <c r="L30" s="149">
        <f>+(L31+L40+L47)/3</f>
        <v>0.30011111111111111</v>
      </c>
      <c r="M30" s="146"/>
      <c r="N30" s="146"/>
      <c r="O30" s="146"/>
      <c r="P30" s="146"/>
      <c r="Q30" s="146"/>
      <c r="R30" s="146"/>
      <c r="S30" s="146"/>
      <c r="T30" s="148">
        <f>+(T31+T40+T47)/3</f>
        <v>0.22222222222222221</v>
      </c>
      <c r="U30" s="148">
        <f>+(U31+U40+U47)/3</f>
        <v>0.31983333333333336</v>
      </c>
      <c r="V30" s="149">
        <f>+V31+V40+V47</f>
        <v>5.1299999999999991E-2</v>
      </c>
      <c r="W30" s="149">
        <f>+W31+W40+W47</f>
        <v>0.31396000000000002</v>
      </c>
      <c r="X30" s="148">
        <f>(X31+X40+X47)/3</f>
        <v>4.6296296296296287E-2</v>
      </c>
      <c r="Y30" s="148">
        <f>(Y31+Y40+Y47)/3</f>
        <v>0.13846296296296298</v>
      </c>
      <c r="Z30" s="149">
        <f>(Z31+Z40+Z47)</f>
        <v>9.6249999999999999E-3</v>
      </c>
      <c r="AA30" s="149">
        <f>(AA31*E31+AA40*E40+AA47*E47)</f>
        <v>0.11265500000000001</v>
      </c>
      <c r="AB30" s="143"/>
      <c r="AC30" s="700"/>
      <c r="AD30" s="135"/>
      <c r="AE30" s="135"/>
      <c r="AF30" s="135"/>
      <c r="AG30" s="135"/>
      <c r="AH30" s="135"/>
    </row>
    <row r="31" spans="1:34" ht="63" customHeight="1" thickBot="1" x14ac:dyDescent="0.4">
      <c r="A31" s="137"/>
      <c r="B31" s="1337" t="s">
        <v>1899</v>
      </c>
      <c r="C31" s="1338"/>
      <c r="D31" s="163"/>
      <c r="E31" s="103">
        <v>0.3</v>
      </c>
      <c r="F31" s="153"/>
      <c r="G31" s="146"/>
      <c r="H31" s="146"/>
      <c r="I31" s="151">
        <f>+AVERAGE(I32:I39)</f>
        <v>0.30555555555555552</v>
      </c>
      <c r="J31" s="151">
        <f>+AVERAGE(J32:J39)</f>
        <v>0.35833333333333323</v>
      </c>
      <c r="K31" s="151">
        <f>+K32+K33+K34+K35+K36+K37+K38+K39</f>
        <v>0.18208333333333335</v>
      </c>
      <c r="L31" s="151">
        <f>+L32+L33+L34+L35+L36+L37+L38+L39</f>
        <v>0.32074999999999998</v>
      </c>
      <c r="M31" s="152"/>
      <c r="N31" s="152"/>
      <c r="O31" s="152"/>
      <c r="P31" s="152"/>
      <c r="Q31" s="152"/>
      <c r="R31" s="152"/>
      <c r="S31" s="152"/>
      <c r="T31" s="708">
        <f>+AVERAGE(T32:T39)</f>
        <v>0.66666666666666663</v>
      </c>
      <c r="U31" s="708">
        <f>+AVERAGE(U32:U39)</f>
        <v>6.666666666666668E-2</v>
      </c>
      <c r="V31" s="708">
        <f>+(V32+V33+V34+V35+V36+V37+V38+V39)*E31</f>
        <v>5.1299999999999991E-2</v>
      </c>
      <c r="W31" s="708">
        <f>+(W32+W33+W34+W35+W36+W37+W38+W39)*E31</f>
        <v>5.1600000000000005E-3</v>
      </c>
      <c r="X31" s="151">
        <f>+AVERAGE(X32:X39)</f>
        <v>0.13888888888888887</v>
      </c>
      <c r="Y31" s="151">
        <f>+((Y32-X32)/8)+((Y33-X33)/8)+((Y34-X34)/8)+((Y35-X35)/8)+((Y36-X36)/8)+((Y37-X37)/8)+((Y38-X38)/8)+((Y39-X39)/8)+X31</f>
        <v>0.15138888888888888</v>
      </c>
      <c r="Z31" s="151">
        <f>+(Z32+Z33+Z34+Z35+Z36+Z37+Z38+Z39)*E31</f>
        <v>9.6249999999999999E-3</v>
      </c>
      <c r="AA31" s="151">
        <f>+(AA32+AA33+AA34+AA35+AA36+AA37+AA38+AA39)</f>
        <v>3.6383333333333337E-2</v>
      </c>
      <c r="AB31" s="138"/>
      <c r="AC31" s="1005" t="s">
        <v>328</v>
      </c>
      <c r="AD31" s="135"/>
      <c r="AE31" s="135"/>
      <c r="AF31" s="135"/>
      <c r="AG31" s="135"/>
      <c r="AH31" s="135"/>
    </row>
    <row r="32" spans="1:34" ht="133.9" customHeight="1" thickBot="1" x14ac:dyDescent="0.4">
      <c r="A32" s="137"/>
      <c r="B32" s="1091" t="s">
        <v>1900</v>
      </c>
      <c r="C32" s="1092" t="s">
        <v>1901</v>
      </c>
      <c r="D32" s="171" t="s">
        <v>47</v>
      </c>
      <c r="E32" s="104">
        <v>0.15</v>
      </c>
      <c r="F32" s="153">
        <v>5</v>
      </c>
      <c r="G32" s="166">
        <v>0</v>
      </c>
      <c r="H32" s="166">
        <v>0</v>
      </c>
      <c r="I32" s="154"/>
      <c r="J32" s="154"/>
      <c r="K32" s="154"/>
      <c r="L32" s="154"/>
      <c r="M32" s="166"/>
      <c r="N32" s="709"/>
      <c r="O32" s="166"/>
      <c r="P32" s="166"/>
      <c r="Q32" s="166"/>
      <c r="R32" s="707">
        <f t="shared" ref="R32:R39" si="25">+N32+O32+P32+Q32</f>
        <v>0</v>
      </c>
      <c r="S32" s="707">
        <f t="shared" ref="S32:S39" si="26">+R32+M32</f>
        <v>0</v>
      </c>
      <c r="T32" s="154"/>
      <c r="U32" s="154"/>
      <c r="V32" s="154"/>
      <c r="W32" s="154"/>
      <c r="X32" s="154"/>
      <c r="Y32" s="154"/>
      <c r="Z32" s="154">
        <v>0</v>
      </c>
      <c r="AA32" s="154">
        <f>+Y32*E32</f>
        <v>0</v>
      </c>
      <c r="AB32" s="747" t="s">
        <v>43</v>
      </c>
      <c r="AC32" s="763" t="s">
        <v>44</v>
      </c>
      <c r="AD32" s="763" t="s">
        <v>1865</v>
      </c>
      <c r="AE32" s="749" t="s">
        <v>469</v>
      </c>
      <c r="AF32" s="135"/>
      <c r="AG32" s="135"/>
      <c r="AH32" s="135"/>
    </row>
    <row r="33" spans="1:34" ht="72" customHeight="1" thickBot="1" x14ac:dyDescent="0.4">
      <c r="A33" s="137"/>
      <c r="B33" s="1091" t="s">
        <v>1902</v>
      </c>
      <c r="C33" s="1092" t="s">
        <v>1903</v>
      </c>
      <c r="D33" s="171" t="s">
        <v>47</v>
      </c>
      <c r="E33" s="104">
        <v>0.3</v>
      </c>
      <c r="F33" s="153">
        <v>1</v>
      </c>
      <c r="G33" s="166">
        <v>0.5</v>
      </c>
      <c r="H33" s="166">
        <v>0.5</v>
      </c>
      <c r="I33" s="154">
        <f t="shared" ref="I33:I39" si="27">+G33/F33</f>
        <v>0.5</v>
      </c>
      <c r="J33" s="154">
        <f t="shared" ref="J33:J39" si="28">+H33/F33</f>
        <v>0.5</v>
      </c>
      <c r="K33" s="154">
        <f t="shared" ref="K33:K39" si="29">+(G33/F33)*E33</f>
        <v>0.15</v>
      </c>
      <c r="L33" s="154">
        <f t="shared" ref="L33:L39" si="30">+(H33/F33)*E33</f>
        <v>0.15</v>
      </c>
      <c r="M33" s="166">
        <v>0</v>
      </c>
      <c r="N33" s="709">
        <v>0</v>
      </c>
      <c r="O33" s="166">
        <v>0</v>
      </c>
      <c r="P33" s="166"/>
      <c r="Q33" s="166"/>
      <c r="R33" s="707">
        <f t="shared" si="25"/>
        <v>0</v>
      </c>
      <c r="S33" s="707">
        <f t="shared" si="26"/>
        <v>0</v>
      </c>
      <c r="T33" s="154">
        <f t="shared" ref="T33:T39" si="31">+(M33/G33)</f>
        <v>0</v>
      </c>
      <c r="U33" s="154">
        <f t="shared" ref="U33:U39" si="32">+R33/H33</f>
        <v>0</v>
      </c>
      <c r="V33" s="154">
        <f t="shared" ref="V33:V39" si="33">+T33*E33</f>
        <v>0</v>
      </c>
      <c r="W33" s="154">
        <f t="shared" ref="W33:W39" si="34">+U33*E33</f>
        <v>0</v>
      </c>
      <c r="X33" s="154">
        <f t="shared" ref="X33:X39" si="35">+M33/F33</f>
        <v>0</v>
      </c>
      <c r="Y33" s="154">
        <f t="shared" ref="Y33:Y39" si="36">+S33/F33</f>
        <v>0</v>
      </c>
      <c r="Z33" s="154">
        <f t="shared" ref="Z33:Z39" si="37">+X33*E33</f>
        <v>0</v>
      </c>
      <c r="AA33" s="154">
        <f t="shared" ref="AA33:AA39" si="38">+Y33*E33</f>
        <v>0</v>
      </c>
      <c r="AB33" s="747" t="s">
        <v>43</v>
      </c>
      <c r="AC33" s="763" t="s">
        <v>44</v>
      </c>
      <c r="AD33" s="763" t="s">
        <v>1865</v>
      </c>
      <c r="AE33" s="749" t="s">
        <v>469</v>
      </c>
      <c r="AF33" s="135"/>
      <c r="AG33" s="135"/>
      <c r="AH33" s="135"/>
    </row>
    <row r="34" spans="1:34" ht="148.9" customHeight="1" thickBot="1" x14ac:dyDescent="0.4">
      <c r="A34" s="137"/>
      <c r="B34" s="1091" t="s">
        <v>1904</v>
      </c>
      <c r="C34" s="1092" t="s">
        <v>1905</v>
      </c>
      <c r="D34" s="163" t="s">
        <v>704</v>
      </c>
      <c r="E34" s="104">
        <v>0.15</v>
      </c>
      <c r="F34" s="153">
        <v>450</v>
      </c>
      <c r="G34" s="166">
        <v>0</v>
      </c>
      <c r="H34" s="166">
        <v>150</v>
      </c>
      <c r="I34" s="154"/>
      <c r="J34" s="154">
        <f t="shared" si="28"/>
        <v>0.33333333333333331</v>
      </c>
      <c r="K34" s="154"/>
      <c r="L34" s="154">
        <f t="shared" si="30"/>
        <v>4.9999999999999996E-2</v>
      </c>
      <c r="M34" s="166"/>
      <c r="N34" s="709">
        <v>0</v>
      </c>
      <c r="O34" s="709">
        <v>0</v>
      </c>
      <c r="P34" s="166"/>
      <c r="Q34" s="166"/>
      <c r="R34" s="707">
        <f t="shared" si="25"/>
        <v>0</v>
      </c>
      <c r="S34" s="707">
        <f t="shared" si="26"/>
        <v>0</v>
      </c>
      <c r="T34" s="154"/>
      <c r="U34" s="154">
        <f t="shared" si="32"/>
        <v>0</v>
      </c>
      <c r="V34" s="154"/>
      <c r="W34" s="154">
        <f t="shared" si="34"/>
        <v>0</v>
      </c>
      <c r="X34" s="154"/>
      <c r="Y34" s="154"/>
      <c r="Z34" s="154"/>
      <c r="AA34" s="154">
        <f t="shared" si="38"/>
        <v>0</v>
      </c>
      <c r="AB34" s="142" t="s">
        <v>1906</v>
      </c>
      <c r="AC34" s="760" t="s">
        <v>127</v>
      </c>
      <c r="AD34" s="763" t="s">
        <v>1865</v>
      </c>
      <c r="AE34" s="749" t="s">
        <v>469</v>
      </c>
      <c r="AF34" s="135"/>
      <c r="AG34" s="135"/>
      <c r="AH34" s="135"/>
    </row>
    <row r="35" spans="1:34" ht="81" customHeight="1" thickBot="1" x14ac:dyDescent="0.4">
      <c r="A35" s="137"/>
      <c r="B35" s="1093" t="s">
        <v>1907</v>
      </c>
      <c r="C35" s="1094" t="s">
        <v>1908</v>
      </c>
      <c r="D35" s="171" t="s">
        <v>47</v>
      </c>
      <c r="E35" s="104">
        <v>0.128</v>
      </c>
      <c r="F35" s="153">
        <v>6</v>
      </c>
      <c r="G35" s="166">
        <v>1</v>
      </c>
      <c r="H35" s="166">
        <v>2</v>
      </c>
      <c r="I35" s="154">
        <f t="shared" si="27"/>
        <v>0.16666666666666666</v>
      </c>
      <c r="J35" s="154">
        <f t="shared" si="28"/>
        <v>0.33333333333333331</v>
      </c>
      <c r="K35" s="154">
        <f t="shared" si="29"/>
        <v>2.1333333333333333E-2</v>
      </c>
      <c r="L35" s="154">
        <f t="shared" si="30"/>
        <v>4.2666666666666665E-2</v>
      </c>
      <c r="M35" s="166">
        <v>1</v>
      </c>
      <c r="N35" s="709">
        <v>0</v>
      </c>
      <c r="O35" s="166">
        <v>0</v>
      </c>
      <c r="P35" s="166"/>
      <c r="Q35" s="166"/>
      <c r="R35" s="707">
        <f t="shared" si="25"/>
        <v>0</v>
      </c>
      <c r="S35" s="707">
        <f t="shared" si="26"/>
        <v>1</v>
      </c>
      <c r="T35" s="154">
        <f t="shared" si="31"/>
        <v>1</v>
      </c>
      <c r="U35" s="154">
        <f t="shared" si="32"/>
        <v>0</v>
      </c>
      <c r="V35" s="154">
        <f t="shared" si="33"/>
        <v>0.128</v>
      </c>
      <c r="W35" s="154">
        <f t="shared" si="34"/>
        <v>0</v>
      </c>
      <c r="X35" s="154">
        <f t="shared" si="35"/>
        <v>0.16666666666666666</v>
      </c>
      <c r="Y35" s="154">
        <f t="shared" si="36"/>
        <v>0.16666666666666666</v>
      </c>
      <c r="Z35" s="154">
        <f t="shared" si="37"/>
        <v>2.1333333333333333E-2</v>
      </c>
      <c r="AA35" s="154">
        <f t="shared" si="38"/>
        <v>2.1333333333333333E-2</v>
      </c>
      <c r="AB35" s="747" t="s">
        <v>43</v>
      </c>
      <c r="AC35" s="763" t="s">
        <v>44</v>
      </c>
      <c r="AD35" s="763" t="s">
        <v>1865</v>
      </c>
      <c r="AE35" s="749" t="s">
        <v>469</v>
      </c>
      <c r="AF35" s="135"/>
      <c r="AG35" s="135"/>
      <c r="AH35" s="135"/>
    </row>
    <row r="36" spans="1:34" ht="107.45" customHeight="1" thickBot="1" x14ac:dyDescent="0.4">
      <c r="A36" s="137"/>
      <c r="B36" s="1091" t="s">
        <v>1909</v>
      </c>
      <c r="C36" s="1092" t="s">
        <v>1910</v>
      </c>
      <c r="D36" s="171" t="s">
        <v>47</v>
      </c>
      <c r="E36" s="104">
        <v>8.500000000000002E-2</v>
      </c>
      <c r="F36" s="153">
        <v>5</v>
      </c>
      <c r="G36" s="166">
        <v>0</v>
      </c>
      <c r="H36" s="166">
        <v>2</v>
      </c>
      <c r="I36" s="154"/>
      <c r="J36" s="154">
        <f t="shared" si="28"/>
        <v>0.4</v>
      </c>
      <c r="K36" s="154"/>
      <c r="L36" s="154">
        <f t="shared" si="30"/>
        <v>3.4000000000000009E-2</v>
      </c>
      <c r="M36" s="166"/>
      <c r="N36" s="709">
        <v>0</v>
      </c>
      <c r="O36" s="166">
        <v>0</v>
      </c>
      <c r="P36" s="166"/>
      <c r="Q36" s="166"/>
      <c r="R36" s="707">
        <f t="shared" si="25"/>
        <v>0</v>
      </c>
      <c r="S36" s="707">
        <f t="shared" si="26"/>
        <v>0</v>
      </c>
      <c r="T36" s="154"/>
      <c r="U36" s="154">
        <f t="shared" si="32"/>
        <v>0</v>
      </c>
      <c r="V36" s="154"/>
      <c r="W36" s="154">
        <f t="shared" si="34"/>
        <v>0</v>
      </c>
      <c r="X36" s="154"/>
      <c r="Y36" s="154">
        <f t="shared" si="36"/>
        <v>0</v>
      </c>
      <c r="Z36" s="154">
        <f>+X36*E36</f>
        <v>0</v>
      </c>
      <c r="AA36" s="154">
        <f t="shared" si="38"/>
        <v>0</v>
      </c>
      <c r="AB36" s="747" t="s">
        <v>43</v>
      </c>
      <c r="AC36" s="764" t="s">
        <v>44</v>
      </c>
      <c r="AD36" s="763" t="s">
        <v>1865</v>
      </c>
      <c r="AE36" s="749" t="s">
        <v>469</v>
      </c>
      <c r="AF36" s="135"/>
      <c r="AG36" s="135"/>
      <c r="AH36" s="135"/>
    </row>
    <row r="37" spans="1:34" ht="123.6" customHeight="1" thickBot="1" x14ac:dyDescent="0.4">
      <c r="A37" s="137"/>
      <c r="B37" s="1091" t="s">
        <v>1911</v>
      </c>
      <c r="C37" s="1092" t="s">
        <v>1912</v>
      </c>
      <c r="D37" s="171" t="s">
        <v>47</v>
      </c>
      <c r="E37" s="104">
        <v>0.1</v>
      </c>
      <c r="F37" s="153">
        <v>6</v>
      </c>
      <c r="G37" s="166">
        <v>0</v>
      </c>
      <c r="H37" s="166">
        <v>2</v>
      </c>
      <c r="I37" s="154"/>
      <c r="J37" s="154">
        <f t="shared" si="28"/>
        <v>0.33333333333333331</v>
      </c>
      <c r="K37" s="154"/>
      <c r="L37" s="154">
        <f t="shared" si="30"/>
        <v>3.3333333333333333E-2</v>
      </c>
      <c r="M37" s="166"/>
      <c r="N37" s="709">
        <v>0</v>
      </c>
      <c r="O37" s="166">
        <v>0</v>
      </c>
      <c r="P37" s="166"/>
      <c r="Q37" s="166"/>
      <c r="R37" s="707">
        <f t="shared" si="25"/>
        <v>0</v>
      </c>
      <c r="S37" s="707">
        <f t="shared" si="26"/>
        <v>0</v>
      </c>
      <c r="T37" s="154"/>
      <c r="U37" s="154">
        <f t="shared" si="32"/>
        <v>0</v>
      </c>
      <c r="V37" s="154"/>
      <c r="W37" s="154">
        <f t="shared" si="34"/>
        <v>0</v>
      </c>
      <c r="X37" s="154"/>
      <c r="Y37" s="154">
        <f t="shared" si="36"/>
        <v>0</v>
      </c>
      <c r="Z37" s="154">
        <f t="shared" si="37"/>
        <v>0</v>
      </c>
      <c r="AA37" s="154">
        <f>+Y37*E37</f>
        <v>0</v>
      </c>
      <c r="AB37" s="747" t="s">
        <v>43</v>
      </c>
      <c r="AC37" s="763" t="s">
        <v>44</v>
      </c>
      <c r="AD37" s="763" t="s">
        <v>1865</v>
      </c>
      <c r="AE37" s="749" t="s">
        <v>469</v>
      </c>
      <c r="AF37" s="135"/>
      <c r="AG37" s="135"/>
      <c r="AH37" s="135"/>
    </row>
    <row r="38" spans="1:34" ht="118.9" customHeight="1" thickBot="1" x14ac:dyDescent="0.4">
      <c r="A38" s="137"/>
      <c r="B38" s="1091" t="s">
        <v>1913</v>
      </c>
      <c r="C38" s="1092" t="s">
        <v>1914</v>
      </c>
      <c r="D38" s="171" t="s">
        <v>47</v>
      </c>
      <c r="E38" s="104">
        <v>4.250000000000001E-2</v>
      </c>
      <c r="F38" s="153">
        <v>1</v>
      </c>
      <c r="G38" s="166">
        <v>0</v>
      </c>
      <c r="H38" s="166">
        <v>0</v>
      </c>
      <c r="I38" s="154"/>
      <c r="J38" s="154"/>
      <c r="K38" s="154"/>
      <c r="L38" s="154"/>
      <c r="M38" s="166"/>
      <c r="N38" s="709"/>
      <c r="O38" s="166"/>
      <c r="P38" s="166"/>
      <c r="Q38" s="166"/>
      <c r="R38" s="707">
        <f t="shared" si="25"/>
        <v>0</v>
      </c>
      <c r="S38" s="707">
        <f t="shared" si="26"/>
        <v>0</v>
      </c>
      <c r="T38" s="154"/>
      <c r="U38" s="154"/>
      <c r="V38" s="154"/>
      <c r="W38" s="154"/>
      <c r="X38" s="154"/>
      <c r="Y38" s="154"/>
      <c r="Z38" s="154">
        <v>0</v>
      </c>
      <c r="AA38" s="154">
        <f t="shared" si="38"/>
        <v>0</v>
      </c>
      <c r="AB38" s="747" t="s">
        <v>43</v>
      </c>
      <c r="AC38" s="763" t="s">
        <v>44</v>
      </c>
      <c r="AD38" s="763" t="s">
        <v>1865</v>
      </c>
      <c r="AE38" s="749" t="s">
        <v>469</v>
      </c>
      <c r="AF38" s="135"/>
      <c r="AG38" s="135"/>
      <c r="AH38" s="135"/>
    </row>
    <row r="39" spans="1:34" ht="120.6" customHeight="1" thickBot="1" x14ac:dyDescent="0.4">
      <c r="A39" s="137"/>
      <c r="B39" s="1091" t="s">
        <v>1915</v>
      </c>
      <c r="C39" s="1092" t="s">
        <v>1916</v>
      </c>
      <c r="D39" s="171" t="s">
        <v>47</v>
      </c>
      <c r="E39" s="104">
        <v>4.2999999999999997E-2</v>
      </c>
      <c r="F39" s="153">
        <v>6</v>
      </c>
      <c r="G39" s="166">
        <v>1.5</v>
      </c>
      <c r="H39" s="166">
        <f>0.25*6</f>
        <v>1.5</v>
      </c>
      <c r="I39" s="154">
        <f t="shared" si="27"/>
        <v>0.25</v>
      </c>
      <c r="J39" s="154">
        <f t="shared" si="28"/>
        <v>0.25</v>
      </c>
      <c r="K39" s="154">
        <f t="shared" si="29"/>
        <v>1.0749999999999999E-2</v>
      </c>
      <c r="L39" s="154">
        <f t="shared" si="30"/>
        <v>1.0749999999999999E-2</v>
      </c>
      <c r="M39" s="166">
        <v>1.5</v>
      </c>
      <c r="N39" s="709">
        <v>0</v>
      </c>
      <c r="O39" s="166">
        <f>0.4*H39</f>
        <v>0.60000000000000009</v>
      </c>
      <c r="P39" s="166"/>
      <c r="Q39" s="166"/>
      <c r="R39" s="707">
        <f t="shared" si="25"/>
        <v>0.60000000000000009</v>
      </c>
      <c r="S39" s="707">
        <f t="shared" si="26"/>
        <v>2.1</v>
      </c>
      <c r="T39" s="154">
        <f t="shared" si="31"/>
        <v>1</v>
      </c>
      <c r="U39" s="154">
        <f t="shared" si="32"/>
        <v>0.40000000000000008</v>
      </c>
      <c r="V39" s="154">
        <f t="shared" si="33"/>
        <v>4.2999999999999997E-2</v>
      </c>
      <c r="W39" s="154">
        <f t="shared" si="34"/>
        <v>1.7200000000000003E-2</v>
      </c>
      <c r="X39" s="154">
        <f t="shared" si="35"/>
        <v>0.25</v>
      </c>
      <c r="Y39" s="154">
        <f t="shared" si="36"/>
        <v>0.35000000000000003</v>
      </c>
      <c r="Z39" s="154">
        <f t="shared" si="37"/>
        <v>1.0749999999999999E-2</v>
      </c>
      <c r="AA39" s="154">
        <f t="shared" si="38"/>
        <v>1.5050000000000001E-2</v>
      </c>
      <c r="AB39" s="747" t="s">
        <v>43</v>
      </c>
      <c r="AC39" s="760" t="s">
        <v>1854</v>
      </c>
      <c r="AD39" s="763" t="s">
        <v>1865</v>
      </c>
      <c r="AE39" s="749" t="s">
        <v>469</v>
      </c>
      <c r="AF39" s="135"/>
      <c r="AG39" s="135"/>
      <c r="AH39" s="135"/>
    </row>
    <row r="40" spans="1:34" ht="57" customHeight="1" thickBot="1" x14ac:dyDescent="0.4">
      <c r="A40" s="137"/>
      <c r="B40" s="1337" t="s">
        <v>1917</v>
      </c>
      <c r="C40" s="1338"/>
      <c r="D40" s="163"/>
      <c r="E40" s="103">
        <v>0.3</v>
      </c>
      <c r="F40" s="153"/>
      <c r="G40" s="166"/>
      <c r="H40" s="166"/>
      <c r="I40" s="151">
        <f>+AVERAGE(I41:I46)</f>
        <v>0.25</v>
      </c>
      <c r="J40" s="151">
        <f>+AVERAGE(J41:J46)</f>
        <v>0.32777777777777778</v>
      </c>
      <c r="K40" s="151">
        <f>+K41+K42+K43+K44+K45+K46</f>
        <v>3.7499999999999999E-2</v>
      </c>
      <c r="L40" s="151">
        <f>+L41+L42+L43+L44+L45+L46</f>
        <v>0.28416666666666668</v>
      </c>
      <c r="M40" s="152"/>
      <c r="N40" s="152"/>
      <c r="O40" s="152"/>
      <c r="P40" s="152"/>
      <c r="Q40" s="152"/>
      <c r="R40" s="152"/>
      <c r="S40" s="152"/>
      <c r="T40" s="708">
        <f>+AVERAGE(T41:T46)</f>
        <v>0</v>
      </c>
      <c r="U40" s="708">
        <f>+AVERAGE(U41:U46)</f>
        <v>0.35533333333333333</v>
      </c>
      <c r="V40" s="708">
        <f>+(V41+V42+V43+V44+V45+V46)*E40</f>
        <v>0</v>
      </c>
      <c r="W40" s="708">
        <f>+(W41+W42+W43+W44+W45+W46)*E40</f>
        <v>0.12279999999999999</v>
      </c>
      <c r="X40" s="151">
        <f>+AVERAGE(X41:X46)</f>
        <v>0</v>
      </c>
      <c r="Y40" s="151">
        <f>+AVERAGE(Y41:Y46)</f>
        <v>0.128</v>
      </c>
      <c r="Z40" s="151">
        <f>+(Z41+Z42+Z43+Z44+Z45+Z46)*E40</f>
        <v>0</v>
      </c>
      <c r="AA40" s="151">
        <f>+(AA41+AA42+AA43+AA44+AA45+AA46)</f>
        <v>0.14380000000000001</v>
      </c>
      <c r="AB40" s="138"/>
      <c r="AC40" s="759"/>
      <c r="AD40" s="135"/>
      <c r="AE40" s="135"/>
      <c r="AF40" s="135"/>
      <c r="AG40" s="135"/>
      <c r="AH40" s="135"/>
    </row>
    <row r="41" spans="1:34" ht="93" customHeight="1" thickBot="1" x14ac:dyDescent="0.4">
      <c r="A41" s="137"/>
      <c r="B41" s="1093" t="s">
        <v>1918</v>
      </c>
      <c r="C41" s="1094" t="s">
        <v>1919</v>
      </c>
      <c r="D41" s="163" t="s">
        <v>219</v>
      </c>
      <c r="E41" s="104">
        <v>0.1</v>
      </c>
      <c r="F41" s="153">
        <v>6</v>
      </c>
      <c r="G41" s="166">
        <v>0</v>
      </c>
      <c r="H41" s="166">
        <v>1</v>
      </c>
      <c r="I41" s="154"/>
      <c r="J41" s="154">
        <f t="shared" ref="J41:J46" si="39">+H41/F41</f>
        <v>0.16666666666666666</v>
      </c>
      <c r="K41" s="154"/>
      <c r="L41" s="154">
        <f t="shared" ref="L41:L46" si="40">+(H41/F41)*E41</f>
        <v>1.6666666666666666E-2</v>
      </c>
      <c r="M41" s="166"/>
      <c r="N41" s="709">
        <v>0</v>
      </c>
      <c r="O41" s="709">
        <v>0</v>
      </c>
      <c r="P41" s="166"/>
      <c r="Q41" s="166"/>
      <c r="R41" s="707">
        <f t="shared" ref="R41:R46" si="41">+N41+O41+P41+Q41</f>
        <v>0</v>
      </c>
      <c r="S41" s="707">
        <f t="shared" ref="S41:S46" si="42">+R41+M41</f>
        <v>0</v>
      </c>
      <c r="T41" s="154"/>
      <c r="U41" s="154">
        <v>0</v>
      </c>
      <c r="V41" s="154"/>
      <c r="W41" s="154">
        <f t="shared" ref="W41:W46" si="43">+U41*E41</f>
        <v>0</v>
      </c>
      <c r="X41" s="154"/>
      <c r="Y41" s="154">
        <f t="shared" ref="Y41:Y46" si="44">+S41/F41</f>
        <v>0</v>
      </c>
      <c r="Z41" s="154"/>
      <c r="AA41" s="154">
        <f t="shared" ref="AA41:AA46" si="45">+Y41*E41</f>
        <v>0</v>
      </c>
      <c r="AB41" s="761" t="s">
        <v>1920</v>
      </c>
      <c r="AC41" s="760" t="s">
        <v>1870</v>
      </c>
      <c r="AD41" s="1107" t="s">
        <v>1865</v>
      </c>
      <c r="AE41" s="763" t="s">
        <v>469</v>
      </c>
      <c r="AF41" s="135"/>
      <c r="AG41" s="135"/>
      <c r="AH41" s="135"/>
    </row>
    <row r="42" spans="1:34" ht="97.9" customHeight="1" thickBot="1" x14ac:dyDescent="0.4">
      <c r="A42" s="137"/>
      <c r="B42" s="1093" t="s">
        <v>1921</v>
      </c>
      <c r="C42" s="1094" t="s">
        <v>1922</v>
      </c>
      <c r="D42" s="163" t="s">
        <v>219</v>
      </c>
      <c r="E42" s="104">
        <v>0.1</v>
      </c>
      <c r="F42" s="153">
        <v>4</v>
      </c>
      <c r="G42" s="166">
        <v>0</v>
      </c>
      <c r="H42" s="166">
        <v>1</v>
      </c>
      <c r="I42" s="154"/>
      <c r="J42" s="154">
        <f t="shared" si="39"/>
        <v>0.25</v>
      </c>
      <c r="K42" s="154"/>
      <c r="L42" s="154">
        <f t="shared" si="40"/>
        <v>2.5000000000000001E-2</v>
      </c>
      <c r="M42" s="166"/>
      <c r="N42" s="709">
        <v>0</v>
      </c>
      <c r="O42" s="709">
        <v>0</v>
      </c>
      <c r="P42" s="166"/>
      <c r="Q42" s="166"/>
      <c r="R42" s="707">
        <f t="shared" si="41"/>
        <v>0</v>
      </c>
      <c r="S42" s="707">
        <v>1</v>
      </c>
      <c r="T42" s="154"/>
      <c r="U42" s="154">
        <v>0</v>
      </c>
      <c r="V42" s="154"/>
      <c r="W42" s="154">
        <f t="shared" si="43"/>
        <v>0</v>
      </c>
      <c r="X42" s="154"/>
      <c r="Y42" s="154">
        <f t="shared" si="44"/>
        <v>0.25</v>
      </c>
      <c r="Z42" s="154"/>
      <c r="AA42" s="154">
        <f t="shared" si="45"/>
        <v>2.5000000000000001E-2</v>
      </c>
      <c r="AB42" s="761" t="s">
        <v>1923</v>
      </c>
      <c r="AC42" s="760" t="s">
        <v>1870</v>
      </c>
      <c r="AD42" s="1107" t="s">
        <v>1865</v>
      </c>
      <c r="AE42" s="760" t="s">
        <v>1924</v>
      </c>
      <c r="AF42" s="135"/>
      <c r="AG42" s="135"/>
      <c r="AH42" s="135"/>
    </row>
    <row r="43" spans="1:34" ht="153" customHeight="1" thickBot="1" x14ac:dyDescent="0.4">
      <c r="A43" s="137"/>
      <c r="B43" s="1091" t="s">
        <v>1925</v>
      </c>
      <c r="C43" s="1092" t="s">
        <v>1926</v>
      </c>
      <c r="D43" s="163" t="s">
        <v>103</v>
      </c>
      <c r="E43" s="104">
        <v>0.35</v>
      </c>
      <c r="F43" s="153">
        <v>500</v>
      </c>
      <c r="G43" s="166">
        <v>0</v>
      </c>
      <c r="H43" s="166">
        <v>150</v>
      </c>
      <c r="I43" s="154"/>
      <c r="J43" s="154">
        <f t="shared" si="39"/>
        <v>0.3</v>
      </c>
      <c r="K43" s="154"/>
      <c r="L43" s="154">
        <f t="shared" si="40"/>
        <v>0.105</v>
      </c>
      <c r="M43" s="166"/>
      <c r="N43" s="709">
        <v>0</v>
      </c>
      <c r="O43" s="709">
        <v>109</v>
      </c>
      <c r="P43" s="166"/>
      <c r="Q43" s="166"/>
      <c r="R43" s="707">
        <f t="shared" si="41"/>
        <v>109</v>
      </c>
      <c r="S43" s="707">
        <f t="shared" si="42"/>
        <v>109</v>
      </c>
      <c r="T43" s="154"/>
      <c r="U43" s="154">
        <f t="shared" ref="U43:U45" si="46">+R43/H43</f>
        <v>0.72666666666666668</v>
      </c>
      <c r="V43" s="154"/>
      <c r="W43" s="154">
        <f t="shared" si="43"/>
        <v>0.2543333333333333</v>
      </c>
      <c r="X43" s="154"/>
      <c r="Y43" s="154">
        <f t="shared" si="44"/>
        <v>0.218</v>
      </c>
      <c r="Z43" s="154"/>
      <c r="AA43" s="154">
        <f>+Y43*E43</f>
        <v>7.6299999999999993E-2</v>
      </c>
      <c r="AB43" s="747" t="s">
        <v>43</v>
      </c>
      <c r="AC43" s="762" t="s">
        <v>127</v>
      </c>
      <c r="AD43" s="763" t="s">
        <v>1865</v>
      </c>
      <c r="AE43" s="763" t="s">
        <v>469</v>
      </c>
      <c r="AF43" s="135"/>
      <c r="AG43" s="135"/>
      <c r="AH43" s="135"/>
    </row>
    <row r="44" spans="1:34" ht="93" customHeight="1" thickBot="1" x14ac:dyDescent="0.4">
      <c r="A44" s="137"/>
      <c r="B44" s="1091" t="s">
        <v>1927</v>
      </c>
      <c r="C44" s="1092" t="s">
        <v>1928</v>
      </c>
      <c r="D44" s="163" t="s">
        <v>795</v>
      </c>
      <c r="E44" s="104">
        <v>0.15</v>
      </c>
      <c r="F44" s="153">
        <v>4</v>
      </c>
      <c r="G44" s="166">
        <v>1</v>
      </c>
      <c r="H44" s="166">
        <v>1</v>
      </c>
      <c r="I44" s="154">
        <f>+G44/F44</f>
        <v>0.25</v>
      </c>
      <c r="J44" s="154">
        <f t="shared" si="39"/>
        <v>0.25</v>
      </c>
      <c r="K44" s="154">
        <f>+(G44/F44)*E44</f>
        <v>3.7499999999999999E-2</v>
      </c>
      <c r="L44" s="154">
        <f t="shared" si="40"/>
        <v>3.7499999999999999E-2</v>
      </c>
      <c r="M44" s="166">
        <v>0</v>
      </c>
      <c r="N44" s="709">
        <v>0</v>
      </c>
      <c r="O44" s="166">
        <v>1</v>
      </c>
      <c r="P44" s="166"/>
      <c r="Q44" s="166"/>
      <c r="R44" s="707">
        <f t="shared" si="41"/>
        <v>1</v>
      </c>
      <c r="S44" s="707">
        <f t="shared" si="42"/>
        <v>1</v>
      </c>
      <c r="T44" s="154">
        <f>+(M44/G44)</f>
        <v>0</v>
      </c>
      <c r="U44" s="154">
        <f t="shared" si="46"/>
        <v>1</v>
      </c>
      <c r="V44" s="154">
        <f>+T44*E44</f>
        <v>0</v>
      </c>
      <c r="W44" s="154">
        <f t="shared" si="43"/>
        <v>0.15</v>
      </c>
      <c r="X44" s="154">
        <f>+M44/F44</f>
        <v>0</v>
      </c>
      <c r="Y44" s="154">
        <f t="shared" si="44"/>
        <v>0.25</v>
      </c>
      <c r="Z44" s="154">
        <f>+X44*E44</f>
        <v>0</v>
      </c>
      <c r="AA44" s="154">
        <f t="shared" si="45"/>
        <v>3.7499999999999999E-2</v>
      </c>
      <c r="AB44" s="156" t="s">
        <v>43</v>
      </c>
      <c r="AC44" s="763" t="s">
        <v>44</v>
      </c>
      <c r="AD44" s="765" t="s">
        <v>1865</v>
      </c>
      <c r="AE44" s="763" t="s">
        <v>469</v>
      </c>
      <c r="AF44" s="135"/>
      <c r="AG44" s="135"/>
      <c r="AH44" s="135"/>
    </row>
    <row r="45" spans="1:34" ht="141" customHeight="1" thickBot="1" x14ac:dyDescent="0.4">
      <c r="A45" s="137"/>
      <c r="B45" s="1093" t="s">
        <v>1929</v>
      </c>
      <c r="C45" s="1094" t="s">
        <v>1930</v>
      </c>
      <c r="D45" s="163" t="s">
        <v>724</v>
      </c>
      <c r="E45" s="104">
        <v>0.1</v>
      </c>
      <c r="F45" s="153">
        <v>1</v>
      </c>
      <c r="G45" s="166">
        <v>0</v>
      </c>
      <c r="H45" s="166">
        <v>1</v>
      </c>
      <c r="I45" s="154"/>
      <c r="J45" s="154">
        <f t="shared" si="39"/>
        <v>1</v>
      </c>
      <c r="K45" s="154"/>
      <c r="L45" s="154">
        <f t="shared" si="40"/>
        <v>0.1</v>
      </c>
      <c r="M45" s="166"/>
      <c r="N45" s="709">
        <v>0</v>
      </c>
      <c r="O45" s="709">
        <v>0.05</v>
      </c>
      <c r="P45" s="166"/>
      <c r="Q45" s="166"/>
      <c r="R45" s="707">
        <f t="shared" si="41"/>
        <v>0.05</v>
      </c>
      <c r="S45" s="707">
        <f t="shared" si="42"/>
        <v>0.05</v>
      </c>
      <c r="T45" s="154"/>
      <c r="U45" s="154">
        <f t="shared" si="46"/>
        <v>0.05</v>
      </c>
      <c r="V45" s="154"/>
      <c r="W45" s="154">
        <f t="shared" si="43"/>
        <v>5.000000000000001E-3</v>
      </c>
      <c r="X45" s="154"/>
      <c r="Y45" s="154">
        <f t="shared" si="44"/>
        <v>0.05</v>
      </c>
      <c r="Z45" s="154"/>
      <c r="AA45" s="154">
        <f t="shared" si="45"/>
        <v>5.000000000000001E-3</v>
      </c>
      <c r="AB45" s="156" t="s">
        <v>43</v>
      </c>
      <c r="AC45" s="762" t="s">
        <v>127</v>
      </c>
      <c r="AD45" s="1108" t="s">
        <v>1865</v>
      </c>
      <c r="AE45" s="763" t="s">
        <v>469</v>
      </c>
      <c r="AF45" s="135"/>
      <c r="AG45" s="135"/>
      <c r="AH45" s="135"/>
    </row>
    <row r="46" spans="1:34" ht="93" customHeight="1" thickBot="1" x14ac:dyDescent="0.4">
      <c r="A46" s="137"/>
      <c r="B46" s="1091" t="s">
        <v>1931</v>
      </c>
      <c r="C46" s="1092" t="s">
        <v>1932</v>
      </c>
      <c r="D46" s="172" t="s">
        <v>950</v>
      </c>
      <c r="E46" s="104">
        <v>0.2</v>
      </c>
      <c r="F46" s="153">
        <v>60</v>
      </c>
      <c r="G46" s="166">
        <v>0</v>
      </c>
      <c r="H46" s="166">
        <v>0</v>
      </c>
      <c r="I46" s="154"/>
      <c r="J46" s="154">
        <f t="shared" si="39"/>
        <v>0</v>
      </c>
      <c r="K46" s="154"/>
      <c r="L46" s="154">
        <f t="shared" si="40"/>
        <v>0</v>
      </c>
      <c r="M46" s="166"/>
      <c r="N46" s="709"/>
      <c r="O46" s="166"/>
      <c r="P46" s="166"/>
      <c r="Q46" s="166"/>
      <c r="R46" s="707">
        <f t="shared" si="41"/>
        <v>0</v>
      </c>
      <c r="S46" s="707">
        <f t="shared" si="42"/>
        <v>0</v>
      </c>
      <c r="T46" s="154"/>
      <c r="U46" s="154"/>
      <c r="V46" s="154"/>
      <c r="W46" s="154">
        <f t="shared" si="43"/>
        <v>0</v>
      </c>
      <c r="X46" s="154"/>
      <c r="Y46" s="154">
        <f t="shared" si="44"/>
        <v>0</v>
      </c>
      <c r="Z46" s="154"/>
      <c r="AA46" s="154">
        <f t="shared" si="45"/>
        <v>0</v>
      </c>
      <c r="AB46" s="747" t="s">
        <v>43</v>
      </c>
      <c r="AC46" s="760" t="s">
        <v>1870</v>
      </c>
      <c r="AD46" s="145"/>
      <c r="AE46" s="1188" t="s">
        <v>1871</v>
      </c>
      <c r="AF46" s="135"/>
      <c r="AG46" s="135"/>
      <c r="AH46" s="135"/>
    </row>
    <row r="47" spans="1:34" ht="57" customHeight="1" thickBot="1" x14ac:dyDescent="0.4">
      <c r="A47" s="137"/>
      <c r="B47" s="1337" t="s">
        <v>1933</v>
      </c>
      <c r="C47" s="1338"/>
      <c r="D47" s="163"/>
      <c r="E47" s="103">
        <v>0.4</v>
      </c>
      <c r="F47" s="153"/>
      <c r="G47" s="166"/>
      <c r="H47" s="166"/>
      <c r="I47" s="151">
        <f>+AVERAGE(I48:I52)</f>
        <v>0.125</v>
      </c>
      <c r="J47" s="151">
        <f>+AVERAGE(J48:J52)</f>
        <v>0.26166666666666666</v>
      </c>
      <c r="K47" s="151">
        <f>+K48+K49+K50+K51+K52</f>
        <v>3.125E-2</v>
      </c>
      <c r="L47" s="151">
        <f>+L48+L49+L50+L51+L52</f>
        <v>0.29541666666666666</v>
      </c>
      <c r="M47" s="152"/>
      <c r="N47" s="152"/>
      <c r="O47" s="152"/>
      <c r="P47" s="152"/>
      <c r="Q47" s="152"/>
      <c r="R47" s="152"/>
      <c r="S47" s="152"/>
      <c r="T47" s="708">
        <f>+AVERAGE(T48:T52)</f>
        <v>0</v>
      </c>
      <c r="U47" s="708">
        <f>+AVERAGE(U48:U52)</f>
        <v>0.53749999999999998</v>
      </c>
      <c r="V47" s="708">
        <f>+(V48+V49+V50+V51+V52)*E47</f>
        <v>0</v>
      </c>
      <c r="W47" s="708">
        <f>+(W48+W49+W50+W51+W52)*E47</f>
        <v>0.18600000000000003</v>
      </c>
      <c r="X47" s="151">
        <f>+AVERAGE(X48:X52)</f>
        <v>0</v>
      </c>
      <c r="Y47" s="151">
        <f>+AVERAGE(Y48:Y52)</f>
        <v>0.13599999999999998</v>
      </c>
      <c r="Z47" s="151">
        <f>+(Z48+Z49+Z50+Z51+Z52)*E47</f>
        <v>0</v>
      </c>
      <c r="AA47" s="151">
        <f>+(AA48+AA49+AA50+AA51+AA52)</f>
        <v>0.14649999999999999</v>
      </c>
      <c r="AB47" s="138"/>
      <c r="AC47" s="759"/>
      <c r="AD47" s="135"/>
      <c r="AE47" s="135"/>
      <c r="AF47" s="135"/>
      <c r="AG47" s="135"/>
      <c r="AH47" s="135"/>
    </row>
    <row r="48" spans="1:34" ht="154.15" customHeight="1" thickBot="1" x14ac:dyDescent="0.4">
      <c r="A48" s="137"/>
      <c r="B48" s="1091" t="s">
        <v>1934</v>
      </c>
      <c r="C48" s="1092" t="s">
        <v>1935</v>
      </c>
      <c r="D48" s="163" t="s">
        <v>103</v>
      </c>
      <c r="E48" s="104">
        <v>0.2</v>
      </c>
      <c r="F48" s="153">
        <v>60</v>
      </c>
      <c r="G48" s="166">
        <v>0</v>
      </c>
      <c r="H48" s="166">
        <v>20</v>
      </c>
      <c r="I48" s="154"/>
      <c r="J48" s="154">
        <f t="shared" ref="J48:J52" si="47">+H48/F48</f>
        <v>0.33333333333333331</v>
      </c>
      <c r="K48" s="154"/>
      <c r="L48" s="154">
        <f t="shared" ref="L48:L52" si="48">+(H48/F48)*E48</f>
        <v>6.6666666666666666E-2</v>
      </c>
      <c r="M48" s="166"/>
      <c r="N48" s="709">
        <v>0</v>
      </c>
      <c r="O48" s="709">
        <v>9</v>
      </c>
      <c r="P48" s="166"/>
      <c r="Q48" s="166"/>
      <c r="R48" s="707">
        <f t="shared" ref="R48:R52" si="49">+N48+O48+P48+Q48</f>
        <v>9</v>
      </c>
      <c r="S48" s="707">
        <f t="shared" ref="S48:S52" si="50">+R48+M48</f>
        <v>9</v>
      </c>
      <c r="T48" s="154"/>
      <c r="U48" s="154">
        <f t="shared" ref="U48:U51" si="51">+R48/H48</f>
        <v>0.45</v>
      </c>
      <c r="V48" s="154"/>
      <c r="W48" s="154">
        <f t="shared" ref="W48:W52" si="52">+U48*E48</f>
        <v>9.0000000000000011E-2</v>
      </c>
      <c r="X48" s="154"/>
      <c r="Y48" s="154">
        <f t="shared" ref="Y48:Y52" si="53">+S48/F48</f>
        <v>0.15</v>
      </c>
      <c r="Z48" s="154"/>
      <c r="AA48" s="154">
        <f t="shared" ref="AA48:AA52" si="54">+Y48*E48</f>
        <v>0.03</v>
      </c>
      <c r="AB48" s="747" t="s">
        <v>43</v>
      </c>
      <c r="AC48" s="760" t="s">
        <v>127</v>
      </c>
      <c r="AD48" s="763" t="s">
        <v>1865</v>
      </c>
      <c r="AE48" s="763" t="s">
        <v>469</v>
      </c>
      <c r="AF48" s="135"/>
      <c r="AG48" s="135"/>
      <c r="AH48" s="135"/>
    </row>
    <row r="49" spans="1:34" ht="98.45" customHeight="1" thickBot="1" x14ac:dyDescent="0.4">
      <c r="A49" s="137"/>
      <c r="B49" s="1091" t="s">
        <v>1936</v>
      </c>
      <c r="C49" s="1092" t="s">
        <v>1937</v>
      </c>
      <c r="D49" s="168" t="s">
        <v>1938</v>
      </c>
      <c r="E49" s="104">
        <v>0.25</v>
      </c>
      <c r="F49" s="153">
        <v>200</v>
      </c>
      <c r="G49" s="166">
        <v>25</v>
      </c>
      <c r="H49" s="166">
        <v>75</v>
      </c>
      <c r="I49" s="154">
        <f>+G49/F49</f>
        <v>0.125</v>
      </c>
      <c r="J49" s="154">
        <f t="shared" si="47"/>
        <v>0.375</v>
      </c>
      <c r="K49" s="154">
        <f>+(G49/F49)*E49</f>
        <v>3.125E-2</v>
      </c>
      <c r="L49" s="154">
        <f t="shared" si="48"/>
        <v>9.375E-2</v>
      </c>
      <c r="M49" s="166">
        <v>0</v>
      </c>
      <c r="N49" s="709">
        <v>0</v>
      </c>
      <c r="O49" s="166">
        <v>0</v>
      </c>
      <c r="P49" s="166"/>
      <c r="Q49" s="166"/>
      <c r="R49" s="707">
        <f t="shared" si="49"/>
        <v>0</v>
      </c>
      <c r="S49" s="707">
        <f t="shared" si="50"/>
        <v>0</v>
      </c>
      <c r="T49" s="154">
        <f>+(M49/G49)</f>
        <v>0</v>
      </c>
      <c r="U49" s="154">
        <f t="shared" si="51"/>
        <v>0</v>
      </c>
      <c r="V49" s="154">
        <f>+T49*E49</f>
        <v>0</v>
      </c>
      <c r="W49" s="154">
        <f t="shared" si="52"/>
        <v>0</v>
      </c>
      <c r="X49" s="154">
        <f>+M49/F49</f>
        <v>0</v>
      </c>
      <c r="Y49" s="154">
        <f t="shared" si="53"/>
        <v>0</v>
      </c>
      <c r="Z49" s="154">
        <f>+X49*E49</f>
        <v>0</v>
      </c>
      <c r="AA49" s="154">
        <f t="shared" si="54"/>
        <v>0</v>
      </c>
      <c r="AB49" s="156" t="s">
        <v>43</v>
      </c>
      <c r="AC49" s="763" t="s">
        <v>44</v>
      </c>
      <c r="AD49" s="763" t="s">
        <v>1865</v>
      </c>
      <c r="AE49" s="763" t="s">
        <v>469</v>
      </c>
      <c r="AF49" s="135"/>
      <c r="AG49" s="135"/>
      <c r="AH49" s="135"/>
    </row>
    <row r="50" spans="1:34" ht="154.15" customHeight="1" thickBot="1" x14ac:dyDescent="0.4">
      <c r="A50" s="137"/>
      <c r="B50" s="139" t="s">
        <v>1939</v>
      </c>
      <c r="C50" s="167" t="s">
        <v>1940</v>
      </c>
      <c r="D50" s="169" t="s">
        <v>658</v>
      </c>
      <c r="E50" s="104">
        <v>0.1</v>
      </c>
      <c r="F50" s="153">
        <v>8</v>
      </c>
      <c r="G50" s="166">
        <v>0</v>
      </c>
      <c r="H50" s="166"/>
      <c r="I50" s="154"/>
      <c r="J50" s="154">
        <f t="shared" si="47"/>
        <v>0</v>
      </c>
      <c r="K50" s="154"/>
      <c r="L50" s="154">
        <f t="shared" si="48"/>
        <v>0</v>
      </c>
      <c r="M50" s="166"/>
      <c r="N50" s="709"/>
      <c r="O50" s="166"/>
      <c r="P50" s="166"/>
      <c r="Q50" s="166"/>
      <c r="R50" s="707">
        <f t="shared" si="49"/>
        <v>0</v>
      </c>
      <c r="S50" s="707">
        <f t="shared" si="50"/>
        <v>0</v>
      </c>
      <c r="T50" s="154"/>
      <c r="U50" s="154"/>
      <c r="V50" s="154"/>
      <c r="W50" s="154">
        <f t="shared" si="52"/>
        <v>0</v>
      </c>
      <c r="X50" s="154"/>
      <c r="Y50" s="154">
        <f t="shared" si="53"/>
        <v>0</v>
      </c>
      <c r="Z50" s="154"/>
      <c r="AA50" s="154">
        <f t="shared" si="54"/>
        <v>0</v>
      </c>
      <c r="AB50" s="142" t="s">
        <v>1895</v>
      </c>
      <c r="AD50" s="135"/>
      <c r="AE50" s="135"/>
      <c r="AF50" s="135"/>
      <c r="AG50" s="135"/>
      <c r="AH50" s="135"/>
    </row>
    <row r="51" spans="1:34" ht="97.9" customHeight="1" thickBot="1" x14ac:dyDescent="0.4">
      <c r="A51" s="137"/>
      <c r="B51" s="1093" t="s">
        <v>1941</v>
      </c>
      <c r="C51" s="1094" t="s">
        <v>1942</v>
      </c>
      <c r="D51" s="170" t="s">
        <v>1943</v>
      </c>
      <c r="E51" s="104">
        <v>0.25</v>
      </c>
      <c r="F51" s="153">
        <v>100</v>
      </c>
      <c r="G51" s="166"/>
      <c r="H51" s="166">
        <v>30</v>
      </c>
      <c r="I51" s="154"/>
      <c r="J51" s="154">
        <f t="shared" si="47"/>
        <v>0.3</v>
      </c>
      <c r="K51" s="154"/>
      <c r="L51" s="154">
        <f t="shared" si="48"/>
        <v>7.4999999999999997E-2</v>
      </c>
      <c r="M51" s="166"/>
      <c r="N51" s="709">
        <v>21</v>
      </c>
      <c r="O51" s="709">
        <v>0</v>
      </c>
      <c r="P51" s="166"/>
      <c r="Q51" s="166"/>
      <c r="R51" s="707">
        <f t="shared" si="49"/>
        <v>21</v>
      </c>
      <c r="S51" s="707">
        <f t="shared" si="50"/>
        <v>21</v>
      </c>
      <c r="T51" s="154"/>
      <c r="U51" s="154">
        <f t="shared" si="51"/>
        <v>0.7</v>
      </c>
      <c r="V51" s="154"/>
      <c r="W51" s="154">
        <f t="shared" si="52"/>
        <v>0.17499999999999999</v>
      </c>
      <c r="X51" s="154"/>
      <c r="Y51" s="154">
        <f t="shared" si="53"/>
        <v>0.21</v>
      </c>
      <c r="Z51" s="154"/>
      <c r="AA51" s="154">
        <f>+Y51*E51</f>
        <v>5.2499999999999998E-2</v>
      </c>
      <c r="AB51" s="156" t="s">
        <v>43</v>
      </c>
      <c r="AC51" s="763" t="s">
        <v>44</v>
      </c>
      <c r="AD51" s="763" t="s">
        <v>1865</v>
      </c>
      <c r="AE51" s="763" t="s">
        <v>469</v>
      </c>
      <c r="AF51" s="135"/>
      <c r="AG51" s="135"/>
      <c r="AH51" s="135"/>
    </row>
    <row r="52" spans="1:34" ht="122.45" customHeight="1" thickBot="1" x14ac:dyDescent="0.4">
      <c r="A52" s="137"/>
      <c r="B52" s="1093" t="s">
        <v>1944</v>
      </c>
      <c r="C52" s="1094" t="s">
        <v>1945</v>
      </c>
      <c r="D52" s="163" t="s">
        <v>1943</v>
      </c>
      <c r="E52" s="104">
        <v>0.2</v>
      </c>
      <c r="F52" s="153">
        <v>100</v>
      </c>
      <c r="G52" s="166"/>
      <c r="H52" s="166">
        <v>30</v>
      </c>
      <c r="I52" s="154"/>
      <c r="J52" s="154">
        <f t="shared" si="47"/>
        <v>0.3</v>
      </c>
      <c r="K52" s="154"/>
      <c r="L52" s="154">
        <f t="shared" si="48"/>
        <v>0.06</v>
      </c>
      <c r="M52" s="166"/>
      <c r="N52" s="709">
        <v>0</v>
      </c>
      <c r="O52" s="709">
        <v>32</v>
      </c>
      <c r="P52" s="166"/>
      <c r="Q52" s="166"/>
      <c r="R52" s="707">
        <f t="shared" si="49"/>
        <v>32</v>
      </c>
      <c r="S52" s="707">
        <f t="shared" si="50"/>
        <v>32</v>
      </c>
      <c r="T52" s="154"/>
      <c r="U52" s="154">
        <v>1</v>
      </c>
      <c r="V52" s="154"/>
      <c r="W52" s="154">
        <f t="shared" si="52"/>
        <v>0.2</v>
      </c>
      <c r="X52" s="155"/>
      <c r="Y52" s="154">
        <f t="shared" si="53"/>
        <v>0.32</v>
      </c>
      <c r="Z52" s="155"/>
      <c r="AA52" s="155">
        <f t="shared" si="54"/>
        <v>6.4000000000000001E-2</v>
      </c>
      <c r="AB52" s="156" t="s">
        <v>43</v>
      </c>
      <c r="AC52" s="762" t="s">
        <v>127</v>
      </c>
      <c r="AD52" s="763" t="s">
        <v>1865</v>
      </c>
      <c r="AE52" s="763" t="s">
        <v>469</v>
      </c>
      <c r="AF52" s="135"/>
      <c r="AG52" s="135"/>
      <c r="AH52" s="135"/>
    </row>
    <row r="53" spans="1:34" ht="15.75" customHeight="1" thickBot="1" x14ac:dyDescent="0.4">
      <c r="A53" s="135"/>
      <c r="B53" s="135"/>
      <c r="C53" s="135"/>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73"/>
      <c r="AC53" s="135"/>
      <c r="AD53" s="135"/>
      <c r="AE53" s="135"/>
      <c r="AF53" s="135"/>
      <c r="AG53" s="135"/>
      <c r="AH53" s="135"/>
    </row>
    <row r="54" spans="1:34" ht="15.75" customHeight="1" thickBot="1" x14ac:dyDescent="0.4">
      <c r="A54" s="135"/>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62"/>
      <c r="AC54" s="135"/>
      <c r="AD54" s="135"/>
      <c r="AE54" s="135"/>
      <c r="AF54" s="135"/>
      <c r="AG54" s="135"/>
      <c r="AH54" s="135"/>
    </row>
    <row r="55" spans="1:34" ht="15.75" customHeight="1" thickBot="1" x14ac:dyDescent="0.4">
      <c r="A55" s="135"/>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62"/>
      <c r="AC55" s="135"/>
      <c r="AD55" s="135"/>
      <c r="AE55" s="135"/>
      <c r="AF55" s="135"/>
      <c r="AG55" s="135"/>
      <c r="AH55" s="135"/>
    </row>
    <row r="56" spans="1:34" ht="15.75" customHeight="1" x14ac:dyDescent="0.35">
      <c r="A56" s="135"/>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62"/>
      <c r="AC56" s="135"/>
      <c r="AD56" s="135"/>
      <c r="AE56" s="135"/>
      <c r="AF56" s="135"/>
      <c r="AG56" s="135"/>
      <c r="AH56" s="135"/>
    </row>
    <row r="57" spans="1:34" ht="15.75" customHeight="1" x14ac:dyDescent="0.35">
      <c r="A57" s="135"/>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62"/>
      <c r="AC57" s="135"/>
      <c r="AD57" s="135"/>
      <c r="AE57" s="135"/>
      <c r="AF57" s="135"/>
      <c r="AG57" s="135"/>
      <c r="AH57" s="135"/>
    </row>
    <row r="58" spans="1:34" ht="15.75" customHeight="1" x14ac:dyDescent="0.35">
      <c r="A58" s="135"/>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62"/>
      <c r="AC58" s="135"/>
      <c r="AD58" s="135"/>
      <c r="AE58" s="135"/>
      <c r="AF58" s="135"/>
      <c r="AG58" s="135"/>
      <c r="AH58" s="135"/>
    </row>
    <row r="59" spans="1:34" ht="15.75" customHeight="1" x14ac:dyDescent="0.35">
      <c r="A59" s="135"/>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62"/>
      <c r="AC59" s="135"/>
      <c r="AD59" s="135"/>
      <c r="AE59" s="135"/>
      <c r="AF59" s="135"/>
      <c r="AG59" s="135"/>
      <c r="AH59" s="135"/>
    </row>
    <row r="60" spans="1:34" ht="15.75" customHeight="1" x14ac:dyDescent="0.35">
      <c r="A60" s="135"/>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62"/>
      <c r="AC60" s="135"/>
      <c r="AD60" s="135"/>
      <c r="AE60" s="135"/>
      <c r="AF60" s="135"/>
      <c r="AG60" s="135"/>
      <c r="AH60" s="135"/>
    </row>
    <row r="61" spans="1:34" ht="15.75" customHeight="1" x14ac:dyDescent="0.35">
      <c r="A61" s="135"/>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62"/>
      <c r="AC61" s="135"/>
      <c r="AD61" s="135"/>
      <c r="AE61" s="135"/>
      <c r="AF61" s="135"/>
      <c r="AG61" s="135"/>
      <c r="AH61" s="135"/>
    </row>
    <row r="62" spans="1:34" ht="15.75" customHeight="1" x14ac:dyDescent="0.35">
      <c r="A62" s="135"/>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62"/>
      <c r="AC62" s="135"/>
      <c r="AD62" s="135"/>
      <c r="AE62" s="135"/>
      <c r="AF62" s="135"/>
      <c r="AG62" s="135"/>
      <c r="AH62" s="135"/>
    </row>
    <row r="63" spans="1:34" ht="15.75" customHeight="1" x14ac:dyDescent="0.35">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62"/>
      <c r="AC63" s="135"/>
      <c r="AD63" s="135"/>
      <c r="AE63" s="135"/>
      <c r="AF63" s="135"/>
      <c r="AG63" s="135"/>
      <c r="AH63" s="135"/>
    </row>
    <row r="64" spans="1:34" ht="15.75" customHeight="1" x14ac:dyDescent="0.35">
      <c r="A64" s="135"/>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62"/>
      <c r="AC64" s="135"/>
      <c r="AD64" s="135"/>
      <c r="AE64" s="135"/>
      <c r="AF64" s="135"/>
      <c r="AG64" s="135"/>
      <c r="AH64" s="135"/>
    </row>
    <row r="65" spans="1:34" ht="15.75" customHeight="1" x14ac:dyDescent="0.35">
      <c r="A65" s="135"/>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62"/>
      <c r="AC65" s="135"/>
      <c r="AD65" s="135"/>
      <c r="AE65" s="135"/>
      <c r="AF65" s="135"/>
      <c r="AG65" s="135"/>
      <c r="AH65" s="135"/>
    </row>
    <row r="66" spans="1:34" ht="15.75" customHeight="1" x14ac:dyDescent="0.35">
      <c r="A66" s="135"/>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62"/>
      <c r="AC66" s="135"/>
      <c r="AD66" s="135"/>
      <c r="AE66" s="135"/>
      <c r="AF66" s="135"/>
      <c r="AG66" s="135"/>
      <c r="AH66" s="135"/>
    </row>
    <row r="67" spans="1:34" ht="15.75" customHeight="1" x14ac:dyDescent="0.35">
      <c r="A67" s="135"/>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62"/>
      <c r="AC67" s="135"/>
      <c r="AD67" s="135"/>
      <c r="AE67" s="135"/>
      <c r="AF67" s="135"/>
      <c r="AG67" s="135"/>
      <c r="AH67" s="135"/>
    </row>
    <row r="68" spans="1:34" ht="15.75" customHeight="1" x14ac:dyDescent="0.35">
      <c r="A68" s="135"/>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62"/>
      <c r="AC68" s="135"/>
      <c r="AD68" s="135"/>
      <c r="AE68" s="135"/>
      <c r="AF68" s="135"/>
      <c r="AG68" s="135"/>
      <c r="AH68" s="135"/>
    </row>
    <row r="69" spans="1:34" ht="15.75" customHeight="1" x14ac:dyDescent="0.35">
      <c r="A69" s="135"/>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62"/>
      <c r="AC69" s="135"/>
      <c r="AD69" s="135"/>
      <c r="AE69" s="135"/>
      <c r="AF69" s="135"/>
      <c r="AG69" s="135"/>
      <c r="AH69" s="135"/>
    </row>
    <row r="70" spans="1:34" ht="15.75" customHeight="1" x14ac:dyDescent="0.35">
      <c r="A70" s="135"/>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62"/>
      <c r="AC70" s="135"/>
      <c r="AD70" s="135"/>
      <c r="AE70" s="135"/>
      <c r="AF70" s="135"/>
      <c r="AG70" s="135"/>
      <c r="AH70" s="135"/>
    </row>
    <row r="71" spans="1:34" ht="15.75" customHeight="1" x14ac:dyDescent="0.35">
      <c r="A71" s="135"/>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62"/>
      <c r="AC71" s="135"/>
      <c r="AD71" s="135"/>
      <c r="AE71" s="135"/>
      <c r="AF71" s="135"/>
      <c r="AG71" s="135"/>
      <c r="AH71" s="135"/>
    </row>
    <row r="72" spans="1:34" ht="15.75" customHeight="1" x14ac:dyDescent="0.35">
      <c r="A72" s="135"/>
      <c r="B72" s="135"/>
      <c r="C72" s="135"/>
      <c r="D72" s="135"/>
      <c r="E72" s="135"/>
      <c r="F72" s="135"/>
      <c r="G72" s="135"/>
      <c r="H72" s="135"/>
      <c r="I72" s="135"/>
      <c r="J72" s="135"/>
      <c r="K72" s="135"/>
      <c r="L72" s="135"/>
      <c r="M72" s="135"/>
      <c r="N72" s="135"/>
      <c r="O72" s="135"/>
      <c r="P72" s="135"/>
      <c r="Q72" s="135"/>
      <c r="R72" s="135"/>
      <c r="S72" s="135"/>
      <c r="T72" s="135"/>
      <c r="U72" s="135"/>
      <c r="V72" s="135"/>
      <c r="W72" s="135"/>
      <c r="X72" s="135"/>
      <c r="Y72" s="135"/>
      <c r="Z72" s="135"/>
      <c r="AA72" s="135"/>
      <c r="AB72" s="162"/>
      <c r="AC72" s="135"/>
      <c r="AD72" s="135"/>
      <c r="AE72" s="135"/>
      <c r="AF72" s="135"/>
      <c r="AG72" s="135"/>
      <c r="AH72" s="135"/>
    </row>
    <row r="73" spans="1:34" ht="15.75" customHeight="1" x14ac:dyDescent="0.35">
      <c r="A73" s="135"/>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62"/>
      <c r="AC73" s="135"/>
      <c r="AD73" s="135"/>
      <c r="AE73" s="135"/>
      <c r="AF73" s="135"/>
      <c r="AG73" s="135"/>
      <c r="AH73" s="135"/>
    </row>
    <row r="74" spans="1:34" ht="15.75" customHeight="1" x14ac:dyDescent="0.35">
      <c r="A74" s="135"/>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62"/>
      <c r="AC74" s="135"/>
      <c r="AD74" s="135"/>
      <c r="AE74" s="135"/>
      <c r="AF74" s="135"/>
      <c r="AG74" s="135"/>
      <c r="AH74" s="135"/>
    </row>
    <row r="75" spans="1:34" ht="15.75" customHeight="1" x14ac:dyDescent="0.35">
      <c r="A75" s="135"/>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c r="AB75" s="162"/>
      <c r="AC75" s="135"/>
      <c r="AD75" s="135"/>
      <c r="AE75" s="135"/>
      <c r="AF75" s="135"/>
      <c r="AG75" s="135"/>
      <c r="AH75" s="135"/>
    </row>
    <row r="76" spans="1:34" ht="15.75" customHeight="1" x14ac:dyDescent="0.35">
      <c r="A76" s="135"/>
      <c r="B76" s="135"/>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62"/>
      <c r="AC76" s="135"/>
      <c r="AD76" s="135"/>
      <c r="AE76" s="135"/>
      <c r="AF76" s="135"/>
      <c r="AG76" s="135"/>
      <c r="AH76" s="135"/>
    </row>
    <row r="77" spans="1:34" ht="15.75" customHeight="1" x14ac:dyDescent="0.35">
      <c r="A77" s="135"/>
      <c r="B77" s="135"/>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c r="AA77" s="135"/>
      <c r="AB77" s="162"/>
      <c r="AC77" s="135"/>
      <c r="AD77" s="135"/>
      <c r="AE77" s="135"/>
      <c r="AF77" s="135"/>
      <c r="AG77" s="135"/>
      <c r="AH77" s="135"/>
    </row>
    <row r="78" spans="1:34" ht="15.75" customHeight="1" x14ac:dyDescent="0.35">
      <c r="A78" s="135"/>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62"/>
      <c r="AC78" s="135"/>
      <c r="AD78" s="135"/>
      <c r="AE78" s="135"/>
      <c r="AF78" s="135"/>
      <c r="AG78" s="135"/>
      <c r="AH78" s="135"/>
    </row>
    <row r="79" spans="1:34" ht="15.75" customHeight="1" x14ac:dyDescent="0.35">
      <c r="A79" s="135"/>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62"/>
      <c r="AC79" s="135"/>
      <c r="AD79" s="135"/>
      <c r="AE79" s="135"/>
      <c r="AF79" s="135"/>
      <c r="AG79" s="135"/>
      <c r="AH79" s="135"/>
    </row>
    <row r="80" spans="1:34" ht="15.75" customHeight="1" x14ac:dyDescent="0.35">
      <c r="A80" s="135"/>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62"/>
      <c r="AC80" s="135"/>
      <c r="AD80" s="135"/>
      <c r="AE80" s="135"/>
      <c r="AF80" s="135"/>
      <c r="AG80" s="135"/>
      <c r="AH80" s="135"/>
    </row>
    <row r="81" spans="1:34" ht="15.75" customHeight="1" x14ac:dyDescent="0.35">
      <c r="A81" s="135"/>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62"/>
      <c r="AC81" s="135"/>
      <c r="AD81" s="135"/>
      <c r="AE81" s="135"/>
      <c r="AF81" s="135"/>
      <c r="AG81" s="135"/>
      <c r="AH81" s="135"/>
    </row>
    <row r="82" spans="1:34" ht="15.75" customHeight="1" x14ac:dyDescent="0.35">
      <c r="A82" s="135"/>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62"/>
      <c r="AC82" s="135"/>
      <c r="AD82" s="135"/>
      <c r="AE82" s="135"/>
      <c r="AF82" s="135"/>
      <c r="AG82" s="135"/>
      <c r="AH82" s="135"/>
    </row>
    <row r="83" spans="1:34" ht="15.75" customHeight="1" x14ac:dyDescent="0.35">
      <c r="A83" s="135"/>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62"/>
      <c r="AC83" s="135"/>
      <c r="AD83" s="135"/>
      <c r="AE83" s="135"/>
      <c r="AF83" s="135"/>
      <c r="AG83" s="135"/>
      <c r="AH83" s="135"/>
    </row>
    <row r="84" spans="1:34" ht="15.75" customHeight="1" x14ac:dyDescent="0.35">
      <c r="A84" s="135"/>
      <c r="B84" s="135"/>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c r="AB84" s="162"/>
      <c r="AC84" s="135"/>
      <c r="AD84" s="135"/>
      <c r="AE84" s="135"/>
      <c r="AF84" s="135"/>
      <c r="AG84" s="135"/>
      <c r="AH84" s="135"/>
    </row>
    <row r="85" spans="1:34" ht="15.75" customHeight="1" x14ac:dyDescent="0.35">
      <c r="A85" s="135"/>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62"/>
      <c r="AC85" s="135"/>
      <c r="AD85" s="135"/>
      <c r="AE85" s="135"/>
      <c r="AF85" s="135"/>
      <c r="AG85" s="135"/>
      <c r="AH85" s="135"/>
    </row>
    <row r="86" spans="1:34" ht="15.75" customHeight="1" x14ac:dyDescent="0.35">
      <c r="A86" s="135"/>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62"/>
      <c r="AC86" s="135"/>
      <c r="AD86" s="135"/>
      <c r="AE86" s="135"/>
      <c r="AF86" s="135"/>
      <c r="AG86" s="135"/>
      <c r="AH86" s="135"/>
    </row>
    <row r="87" spans="1:34" ht="15.75" customHeight="1" x14ac:dyDescent="0.35">
      <c r="A87" s="135"/>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62"/>
      <c r="AC87" s="135"/>
      <c r="AD87" s="135"/>
      <c r="AE87" s="135"/>
      <c r="AF87" s="135"/>
      <c r="AG87" s="135"/>
      <c r="AH87" s="135"/>
    </row>
    <row r="88" spans="1:34" ht="15.75" customHeight="1" x14ac:dyDescent="0.35">
      <c r="A88" s="135"/>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62"/>
      <c r="AC88" s="135"/>
      <c r="AD88" s="135"/>
      <c r="AE88" s="135"/>
      <c r="AF88" s="135"/>
      <c r="AG88" s="135"/>
      <c r="AH88" s="135"/>
    </row>
    <row r="89" spans="1:34" ht="15.75" customHeight="1" x14ac:dyDescent="0.35">
      <c r="A89" s="135"/>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62"/>
      <c r="AC89" s="135"/>
      <c r="AD89" s="135"/>
      <c r="AE89" s="135"/>
      <c r="AF89" s="135"/>
      <c r="AG89" s="135"/>
      <c r="AH89" s="135"/>
    </row>
    <row r="90" spans="1:34" ht="15.75" customHeight="1" x14ac:dyDescent="0.35">
      <c r="A90" s="135"/>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62"/>
      <c r="AC90" s="135"/>
      <c r="AD90" s="135"/>
      <c r="AE90" s="135"/>
      <c r="AF90" s="135"/>
      <c r="AG90" s="135"/>
      <c r="AH90" s="135"/>
    </row>
    <row r="91" spans="1:34" ht="15.75" customHeight="1" x14ac:dyDescent="0.35">
      <c r="A91" s="135"/>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62"/>
      <c r="AC91" s="135"/>
      <c r="AD91" s="135"/>
      <c r="AE91" s="135"/>
      <c r="AF91" s="135"/>
      <c r="AG91" s="135"/>
      <c r="AH91" s="135"/>
    </row>
    <row r="92" spans="1:34" ht="15.75" customHeight="1" x14ac:dyDescent="0.35">
      <c r="A92" s="135"/>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62"/>
      <c r="AC92" s="135"/>
      <c r="AD92" s="135"/>
      <c r="AE92" s="135"/>
      <c r="AF92" s="135"/>
      <c r="AG92" s="135"/>
      <c r="AH92" s="135"/>
    </row>
    <row r="93" spans="1:34" ht="15.75" customHeight="1" x14ac:dyDescent="0.35">
      <c r="A93" s="135"/>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62"/>
      <c r="AC93" s="135"/>
      <c r="AD93" s="135"/>
      <c r="AE93" s="135"/>
      <c r="AF93" s="135"/>
      <c r="AG93" s="135"/>
      <c r="AH93" s="135"/>
    </row>
    <row r="94" spans="1:34" ht="15.75" customHeight="1" x14ac:dyDescent="0.35">
      <c r="A94" s="135"/>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62"/>
      <c r="AC94" s="135"/>
      <c r="AD94" s="135"/>
      <c r="AE94" s="135"/>
      <c r="AF94" s="135"/>
      <c r="AG94" s="135"/>
      <c r="AH94" s="135"/>
    </row>
    <row r="95" spans="1:34" ht="15.75" customHeight="1" x14ac:dyDescent="0.35">
      <c r="A95" s="135"/>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62"/>
      <c r="AC95" s="135"/>
      <c r="AD95" s="135"/>
      <c r="AE95" s="135"/>
      <c r="AF95" s="135"/>
      <c r="AG95" s="135"/>
      <c r="AH95" s="135"/>
    </row>
    <row r="96" spans="1:34" ht="15.75" customHeight="1" x14ac:dyDescent="0.35">
      <c r="A96" s="135"/>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62"/>
      <c r="AC96" s="135"/>
      <c r="AD96" s="135"/>
      <c r="AE96" s="135"/>
      <c r="AF96" s="135"/>
      <c r="AG96" s="135"/>
      <c r="AH96" s="135"/>
    </row>
    <row r="97" spans="1:34" ht="15.75" customHeight="1" x14ac:dyDescent="0.35">
      <c r="A97" s="135"/>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62"/>
      <c r="AC97" s="135"/>
      <c r="AD97" s="135"/>
      <c r="AE97" s="135"/>
      <c r="AF97" s="135"/>
      <c r="AG97" s="135"/>
      <c r="AH97" s="135"/>
    </row>
    <row r="98" spans="1:34" ht="15.75" customHeight="1" x14ac:dyDescent="0.35">
      <c r="A98" s="135"/>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62"/>
      <c r="AC98" s="135"/>
      <c r="AD98" s="135"/>
      <c r="AE98" s="135"/>
      <c r="AF98" s="135"/>
      <c r="AG98" s="135"/>
      <c r="AH98" s="135"/>
    </row>
    <row r="99" spans="1:34" ht="15.75" customHeight="1" x14ac:dyDescent="0.35">
      <c r="A99" s="135"/>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62"/>
      <c r="AC99" s="135"/>
      <c r="AD99" s="135"/>
      <c r="AE99" s="135"/>
      <c r="AF99" s="135"/>
      <c r="AG99" s="135"/>
      <c r="AH99" s="135"/>
    </row>
    <row r="100" spans="1:34" ht="15.75" customHeight="1" x14ac:dyDescent="0.35">
      <c r="A100" s="135"/>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62"/>
      <c r="AC100" s="135"/>
      <c r="AD100" s="135"/>
      <c r="AE100" s="135"/>
      <c r="AF100" s="135"/>
      <c r="AG100" s="135"/>
      <c r="AH100" s="135"/>
    </row>
    <row r="101" spans="1:34" ht="15.75" customHeight="1" x14ac:dyDescent="0.35">
      <c r="A101" s="135"/>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62"/>
      <c r="AC101" s="135"/>
      <c r="AD101" s="135"/>
      <c r="AE101" s="135"/>
      <c r="AF101" s="135"/>
      <c r="AG101" s="135"/>
      <c r="AH101" s="135"/>
    </row>
    <row r="102" spans="1:34" ht="15.75" customHeight="1" x14ac:dyDescent="0.35">
      <c r="A102" s="135"/>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62"/>
      <c r="AC102" s="135"/>
      <c r="AD102" s="135"/>
      <c r="AE102" s="135"/>
      <c r="AF102" s="135"/>
      <c r="AG102" s="135"/>
      <c r="AH102" s="135"/>
    </row>
    <row r="103" spans="1:34" ht="15.75" customHeight="1" x14ac:dyDescent="0.35">
      <c r="A103" s="135"/>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62"/>
      <c r="AC103" s="135"/>
      <c r="AD103" s="135"/>
      <c r="AE103" s="135"/>
      <c r="AF103" s="135"/>
      <c r="AG103" s="135"/>
      <c r="AH103" s="135"/>
    </row>
    <row r="104" spans="1:34" ht="15.75" customHeight="1" x14ac:dyDescent="0.35">
      <c r="A104" s="135"/>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62"/>
      <c r="AC104" s="135"/>
      <c r="AD104" s="135"/>
      <c r="AE104" s="135"/>
      <c r="AF104" s="135"/>
      <c r="AG104" s="135"/>
      <c r="AH104" s="135"/>
    </row>
    <row r="105" spans="1:34" ht="15.75" customHeight="1" x14ac:dyDescent="0.35">
      <c r="A105" s="135"/>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62"/>
      <c r="AC105" s="135"/>
      <c r="AD105" s="135"/>
      <c r="AE105" s="135"/>
      <c r="AF105" s="135"/>
      <c r="AG105" s="135"/>
      <c r="AH105" s="135"/>
    </row>
    <row r="106" spans="1:34" ht="15.75" customHeight="1" x14ac:dyDescent="0.35">
      <c r="A106" s="135"/>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62"/>
      <c r="AC106" s="135"/>
      <c r="AD106" s="135"/>
      <c r="AE106" s="135"/>
      <c r="AF106" s="135"/>
      <c r="AG106" s="135"/>
      <c r="AH106" s="135"/>
    </row>
    <row r="107" spans="1:34" ht="15.75" customHeight="1" x14ac:dyDescent="0.35">
      <c r="A107" s="135"/>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62"/>
      <c r="AC107" s="135"/>
      <c r="AD107" s="135"/>
      <c r="AE107" s="135"/>
      <c r="AF107" s="135"/>
      <c r="AG107" s="135"/>
      <c r="AH107" s="135"/>
    </row>
    <row r="108" spans="1:34" ht="15.75" customHeight="1" x14ac:dyDescent="0.35">
      <c r="A108" s="135"/>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62"/>
      <c r="AC108" s="135"/>
      <c r="AD108" s="135"/>
      <c r="AE108" s="135"/>
      <c r="AF108" s="135"/>
      <c r="AG108" s="135"/>
      <c r="AH108" s="135"/>
    </row>
    <row r="109" spans="1:34" ht="15.75" customHeight="1" x14ac:dyDescent="0.35">
      <c r="A109" s="135"/>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62"/>
      <c r="AC109" s="135"/>
      <c r="AD109" s="135"/>
      <c r="AE109" s="135"/>
      <c r="AF109" s="135"/>
      <c r="AG109" s="135"/>
      <c r="AH109" s="135"/>
    </row>
    <row r="110" spans="1:34" ht="15.75" customHeight="1" x14ac:dyDescent="0.35">
      <c r="A110" s="135"/>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62"/>
      <c r="AC110" s="135"/>
      <c r="AD110" s="135"/>
      <c r="AE110" s="135"/>
      <c r="AF110" s="135"/>
      <c r="AG110" s="135"/>
      <c r="AH110" s="135"/>
    </row>
    <row r="111" spans="1:34" ht="15.75" customHeight="1" x14ac:dyDescent="0.35">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62"/>
      <c r="AC111" s="135"/>
      <c r="AD111" s="135"/>
      <c r="AE111" s="135"/>
      <c r="AF111" s="135"/>
      <c r="AG111" s="135"/>
      <c r="AH111" s="135"/>
    </row>
    <row r="112" spans="1:34" ht="15.75" customHeight="1" x14ac:dyDescent="0.35">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62"/>
      <c r="AC112" s="135"/>
      <c r="AD112" s="135"/>
      <c r="AE112" s="135"/>
      <c r="AF112" s="135"/>
      <c r="AG112" s="135"/>
      <c r="AH112" s="135"/>
    </row>
    <row r="113" spans="1:34" ht="15.75" customHeight="1" x14ac:dyDescent="0.35">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62"/>
      <c r="AC113" s="135"/>
      <c r="AD113" s="135"/>
      <c r="AE113" s="135"/>
      <c r="AF113" s="135"/>
      <c r="AG113" s="135"/>
      <c r="AH113" s="135"/>
    </row>
    <row r="114" spans="1:34" ht="15.75" customHeight="1" x14ac:dyDescent="0.35">
      <c r="A114" s="135"/>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62"/>
      <c r="AC114" s="135"/>
      <c r="AD114" s="135"/>
      <c r="AE114" s="135"/>
      <c r="AF114" s="135"/>
      <c r="AG114" s="135"/>
      <c r="AH114" s="135"/>
    </row>
    <row r="115" spans="1:34" ht="15.75" customHeight="1" x14ac:dyDescent="0.35">
      <c r="A115" s="135"/>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62"/>
      <c r="AC115" s="135"/>
      <c r="AD115" s="135"/>
      <c r="AE115" s="135"/>
      <c r="AF115" s="135"/>
      <c r="AG115" s="135"/>
      <c r="AH115" s="135"/>
    </row>
    <row r="116" spans="1:34" ht="15.75" customHeight="1" x14ac:dyDescent="0.35">
      <c r="A116" s="135"/>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62"/>
      <c r="AC116" s="135"/>
      <c r="AD116" s="135"/>
      <c r="AE116" s="135"/>
      <c r="AF116" s="135"/>
      <c r="AG116" s="135"/>
      <c r="AH116" s="135"/>
    </row>
    <row r="117" spans="1:34" ht="15.75" customHeight="1" x14ac:dyDescent="0.35">
      <c r="A117" s="135"/>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62"/>
      <c r="AC117" s="135"/>
      <c r="AD117" s="135"/>
      <c r="AE117" s="135"/>
      <c r="AF117" s="135"/>
      <c r="AG117" s="135"/>
      <c r="AH117" s="135"/>
    </row>
    <row r="118" spans="1:34" ht="15.75" customHeight="1" x14ac:dyDescent="0.35">
      <c r="A118" s="135"/>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62"/>
      <c r="AC118" s="135"/>
      <c r="AD118" s="135"/>
      <c r="AE118" s="135"/>
      <c r="AF118" s="135"/>
      <c r="AG118" s="135"/>
      <c r="AH118" s="135"/>
    </row>
    <row r="119" spans="1:34" ht="15.75" customHeight="1" x14ac:dyDescent="0.35">
      <c r="A119" s="135"/>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62"/>
      <c r="AC119" s="135"/>
      <c r="AD119" s="135"/>
      <c r="AE119" s="135"/>
      <c r="AF119" s="135"/>
      <c r="AG119" s="135"/>
      <c r="AH119" s="135"/>
    </row>
    <row r="120" spans="1:34" ht="15.75" customHeight="1" x14ac:dyDescent="0.35">
      <c r="A120" s="135"/>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62"/>
      <c r="AC120" s="135"/>
      <c r="AD120" s="135"/>
      <c r="AE120" s="135"/>
      <c r="AF120" s="135"/>
      <c r="AG120" s="135"/>
      <c r="AH120" s="135"/>
    </row>
    <row r="121" spans="1:34" ht="15.75" customHeight="1" x14ac:dyDescent="0.35">
      <c r="A121" s="135"/>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62"/>
      <c r="AC121" s="135"/>
      <c r="AD121" s="135"/>
      <c r="AE121" s="135"/>
      <c r="AF121" s="135"/>
      <c r="AG121" s="135"/>
      <c r="AH121" s="135"/>
    </row>
    <row r="122" spans="1:34" ht="15.75" customHeight="1" x14ac:dyDescent="0.35">
      <c r="A122" s="135"/>
      <c r="B122" s="135"/>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62"/>
      <c r="AC122" s="135"/>
      <c r="AD122" s="135"/>
      <c r="AE122" s="135"/>
      <c r="AF122" s="135"/>
      <c r="AG122" s="135"/>
      <c r="AH122" s="135"/>
    </row>
    <row r="123" spans="1:34" ht="15.75" customHeight="1" x14ac:dyDescent="0.35">
      <c r="A123" s="135"/>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62"/>
      <c r="AC123" s="135"/>
      <c r="AD123" s="135"/>
      <c r="AE123" s="135"/>
      <c r="AF123" s="135"/>
      <c r="AG123" s="135"/>
      <c r="AH123" s="135"/>
    </row>
    <row r="124" spans="1:34" ht="15.75" customHeight="1" x14ac:dyDescent="0.35">
      <c r="A124" s="135"/>
      <c r="B124" s="135"/>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62"/>
      <c r="AC124" s="135"/>
      <c r="AD124" s="135"/>
      <c r="AE124" s="135"/>
      <c r="AF124" s="135"/>
      <c r="AG124" s="135"/>
      <c r="AH124" s="135"/>
    </row>
    <row r="125" spans="1:34" ht="15.75" customHeight="1" x14ac:dyDescent="0.35">
      <c r="A125" s="135"/>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62"/>
      <c r="AC125" s="135"/>
      <c r="AD125" s="135"/>
      <c r="AE125" s="135"/>
      <c r="AF125" s="135"/>
      <c r="AG125" s="135"/>
      <c r="AH125" s="135"/>
    </row>
    <row r="126" spans="1:34" ht="15.75" customHeight="1" x14ac:dyDescent="0.35">
      <c r="A126" s="135"/>
      <c r="B126" s="13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c r="AB126" s="162"/>
      <c r="AC126" s="135"/>
      <c r="AD126" s="135"/>
      <c r="AE126" s="135"/>
      <c r="AF126" s="135"/>
      <c r="AG126" s="135"/>
      <c r="AH126" s="135"/>
    </row>
    <row r="127" spans="1:34" ht="15.75" customHeight="1" x14ac:dyDescent="0.35">
      <c r="A127" s="135"/>
      <c r="B127" s="13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c r="AA127" s="135"/>
      <c r="AB127" s="162"/>
      <c r="AC127" s="135"/>
      <c r="AD127" s="135"/>
      <c r="AE127" s="135"/>
      <c r="AF127" s="135"/>
      <c r="AG127" s="135"/>
      <c r="AH127" s="135"/>
    </row>
    <row r="128" spans="1:34" ht="15.75" customHeight="1" x14ac:dyDescent="0.35">
      <c r="A128" s="135"/>
      <c r="B128" s="135"/>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c r="AA128" s="135"/>
      <c r="AB128" s="162"/>
      <c r="AC128" s="135"/>
      <c r="AD128" s="135"/>
      <c r="AE128" s="135"/>
      <c r="AF128" s="135"/>
      <c r="AG128" s="135"/>
      <c r="AH128" s="135"/>
    </row>
    <row r="129" spans="1:34" ht="15.75" customHeight="1" x14ac:dyDescent="0.35">
      <c r="A129" s="135"/>
      <c r="B129" s="135"/>
      <c r="C129" s="135"/>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c r="AA129" s="135"/>
      <c r="AB129" s="162"/>
      <c r="AC129" s="135"/>
      <c r="AD129" s="135"/>
      <c r="AE129" s="135"/>
      <c r="AF129" s="135"/>
      <c r="AG129" s="135"/>
      <c r="AH129" s="135"/>
    </row>
    <row r="130" spans="1:34" ht="15.75" customHeight="1" x14ac:dyDescent="0.35">
      <c r="A130" s="135"/>
      <c r="B130" s="135"/>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62"/>
      <c r="AC130" s="135"/>
      <c r="AD130" s="135"/>
      <c r="AE130" s="135"/>
      <c r="AF130" s="135"/>
      <c r="AG130" s="135"/>
      <c r="AH130" s="135"/>
    </row>
    <row r="131" spans="1:34" ht="15.75" customHeight="1" x14ac:dyDescent="0.35">
      <c r="A131" s="135"/>
      <c r="B131" s="135"/>
      <c r="C131" s="135"/>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c r="AB131" s="162"/>
      <c r="AC131" s="135"/>
      <c r="AD131" s="135"/>
      <c r="AE131" s="135"/>
      <c r="AF131" s="135"/>
      <c r="AG131" s="135"/>
      <c r="AH131" s="135"/>
    </row>
    <row r="132" spans="1:34" ht="15.75" customHeight="1" x14ac:dyDescent="0.35">
      <c r="A132" s="135"/>
      <c r="B132" s="13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c r="AB132" s="162"/>
      <c r="AC132" s="135"/>
      <c r="AD132" s="135"/>
      <c r="AE132" s="135"/>
      <c r="AF132" s="135"/>
      <c r="AG132" s="135"/>
      <c r="AH132" s="135"/>
    </row>
    <row r="133" spans="1:34" ht="15.75" customHeight="1" x14ac:dyDescent="0.35">
      <c r="A133" s="135"/>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62"/>
      <c r="AC133" s="135"/>
      <c r="AD133" s="135"/>
      <c r="AE133" s="135"/>
      <c r="AF133" s="135"/>
      <c r="AG133" s="135"/>
      <c r="AH133" s="135"/>
    </row>
    <row r="134" spans="1:34" ht="15.75" customHeight="1" x14ac:dyDescent="0.35">
      <c r="A134" s="135"/>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62"/>
      <c r="AC134" s="135"/>
      <c r="AD134" s="135"/>
      <c r="AE134" s="135"/>
      <c r="AF134" s="135"/>
      <c r="AG134" s="135"/>
      <c r="AH134" s="135"/>
    </row>
    <row r="135" spans="1:34" ht="15.75" customHeight="1" x14ac:dyDescent="0.35">
      <c r="A135" s="135"/>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62"/>
      <c r="AC135" s="135"/>
      <c r="AD135" s="135"/>
      <c r="AE135" s="135"/>
      <c r="AF135" s="135"/>
      <c r="AG135" s="135"/>
      <c r="AH135" s="135"/>
    </row>
    <row r="136" spans="1:34" ht="15.75" customHeight="1" x14ac:dyDescent="0.35">
      <c r="A136" s="135"/>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62"/>
      <c r="AC136" s="135"/>
      <c r="AD136" s="135"/>
      <c r="AE136" s="135"/>
      <c r="AF136" s="135"/>
      <c r="AG136" s="135"/>
      <c r="AH136" s="135"/>
    </row>
    <row r="137" spans="1:34" ht="15.75" customHeight="1" x14ac:dyDescent="0.35">
      <c r="A137" s="135"/>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62"/>
      <c r="AC137" s="135"/>
      <c r="AD137" s="135"/>
      <c r="AE137" s="135"/>
      <c r="AF137" s="135"/>
      <c r="AG137" s="135"/>
      <c r="AH137" s="135"/>
    </row>
    <row r="138" spans="1:34" ht="15.75" customHeight="1" x14ac:dyDescent="0.35">
      <c r="A138" s="135"/>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62"/>
      <c r="AC138" s="135"/>
      <c r="AD138" s="135"/>
      <c r="AE138" s="135"/>
      <c r="AF138" s="135"/>
      <c r="AG138" s="135"/>
      <c r="AH138" s="135"/>
    </row>
    <row r="139" spans="1:34" ht="15.75" customHeight="1" x14ac:dyDescent="0.35">
      <c r="A139" s="135"/>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62"/>
      <c r="AC139" s="135"/>
      <c r="AD139" s="135"/>
      <c r="AE139" s="135"/>
      <c r="AF139" s="135"/>
      <c r="AG139" s="135"/>
      <c r="AH139" s="135"/>
    </row>
    <row r="140" spans="1:34" ht="15.75" customHeight="1" x14ac:dyDescent="0.35">
      <c r="A140" s="135"/>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62"/>
      <c r="AC140" s="135"/>
      <c r="AD140" s="135"/>
      <c r="AE140" s="135"/>
      <c r="AF140" s="135"/>
      <c r="AG140" s="135"/>
      <c r="AH140" s="135"/>
    </row>
    <row r="141" spans="1:34" ht="15.75" customHeight="1" x14ac:dyDescent="0.35">
      <c r="A141" s="135"/>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62"/>
      <c r="AC141" s="135"/>
      <c r="AD141" s="135"/>
      <c r="AE141" s="135"/>
      <c r="AF141" s="135"/>
      <c r="AG141" s="135"/>
      <c r="AH141" s="135"/>
    </row>
    <row r="142" spans="1:34" ht="15.75" customHeight="1" x14ac:dyDescent="0.35">
      <c r="A142" s="13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62"/>
      <c r="AC142" s="135"/>
      <c r="AD142" s="135"/>
      <c r="AE142" s="135"/>
      <c r="AF142" s="135"/>
      <c r="AG142" s="135"/>
      <c r="AH142" s="135"/>
    </row>
    <row r="143" spans="1:34" ht="15.75" customHeight="1" x14ac:dyDescent="0.35">
      <c r="A143" s="135"/>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62"/>
      <c r="AC143" s="135"/>
      <c r="AD143" s="135"/>
      <c r="AE143" s="135"/>
      <c r="AF143" s="135"/>
      <c r="AG143" s="135"/>
      <c r="AH143" s="135"/>
    </row>
    <row r="144" spans="1:34" ht="15.75" customHeight="1" x14ac:dyDescent="0.35">
      <c r="A144" s="135"/>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62"/>
      <c r="AC144" s="135"/>
      <c r="AD144" s="135"/>
      <c r="AE144" s="135"/>
      <c r="AF144" s="135"/>
      <c r="AG144" s="135"/>
      <c r="AH144" s="135"/>
    </row>
    <row r="145" spans="1:34" ht="15.75" customHeight="1" x14ac:dyDescent="0.35">
      <c r="A145" s="135"/>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62"/>
      <c r="AC145" s="135"/>
      <c r="AD145" s="135"/>
      <c r="AE145" s="135"/>
      <c r="AF145" s="135"/>
      <c r="AG145" s="135"/>
      <c r="AH145" s="135"/>
    </row>
    <row r="146" spans="1:34" ht="15.75" customHeight="1" x14ac:dyDescent="0.35">
      <c r="A146" s="135"/>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62"/>
      <c r="AC146" s="135"/>
      <c r="AD146" s="135"/>
      <c r="AE146" s="135"/>
      <c r="AF146" s="135"/>
      <c r="AG146" s="135"/>
      <c r="AH146" s="135"/>
    </row>
    <row r="147" spans="1:34" ht="15.75" customHeight="1" x14ac:dyDescent="0.35">
      <c r="A147" s="135"/>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62"/>
      <c r="AC147" s="135"/>
      <c r="AD147" s="135"/>
      <c r="AE147" s="135"/>
      <c r="AF147" s="135"/>
      <c r="AG147" s="135"/>
      <c r="AH147" s="135"/>
    </row>
    <row r="148" spans="1:34" ht="15.75" customHeight="1" x14ac:dyDescent="0.35">
      <c r="A148" s="135"/>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62"/>
      <c r="AC148" s="135"/>
      <c r="AD148" s="135"/>
      <c r="AE148" s="135"/>
      <c r="AF148" s="135"/>
      <c r="AG148" s="135"/>
      <c r="AH148" s="135"/>
    </row>
    <row r="149" spans="1:34" ht="15.75" customHeight="1" x14ac:dyDescent="0.35">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62"/>
      <c r="AC149" s="135"/>
      <c r="AD149" s="135"/>
      <c r="AE149" s="135"/>
      <c r="AF149" s="135"/>
      <c r="AG149" s="135"/>
      <c r="AH149" s="135"/>
    </row>
    <row r="150" spans="1:34" ht="15.75" customHeight="1" x14ac:dyDescent="0.35">
      <c r="A150" s="135"/>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62"/>
      <c r="AC150" s="135"/>
      <c r="AD150" s="135"/>
      <c r="AE150" s="135"/>
      <c r="AF150" s="135"/>
      <c r="AG150" s="135"/>
      <c r="AH150" s="135"/>
    </row>
    <row r="151" spans="1:34" ht="15.75" customHeight="1" x14ac:dyDescent="0.35">
      <c r="A151" s="135"/>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62"/>
      <c r="AC151" s="135"/>
      <c r="AD151" s="135"/>
      <c r="AE151" s="135"/>
      <c r="AF151" s="135"/>
      <c r="AG151" s="135"/>
      <c r="AH151" s="135"/>
    </row>
    <row r="152" spans="1:34" ht="15.75" customHeight="1" x14ac:dyDescent="0.35">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62"/>
      <c r="AC152" s="135"/>
      <c r="AD152" s="135"/>
      <c r="AE152" s="135"/>
      <c r="AF152" s="135"/>
      <c r="AG152" s="135"/>
      <c r="AH152" s="135"/>
    </row>
    <row r="153" spans="1:34" ht="15.75" customHeight="1" x14ac:dyDescent="0.35">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62"/>
      <c r="AC153" s="135"/>
      <c r="AD153" s="135"/>
      <c r="AE153" s="135"/>
      <c r="AF153" s="135"/>
      <c r="AG153" s="135"/>
      <c r="AH153" s="135"/>
    </row>
    <row r="154" spans="1:34" ht="15.75" customHeight="1" x14ac:dyDescent="0.35">
      <c r="A154" s="135"/>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62"/>
      <c r="AC154" s="135"/>
      <c r="AD154" s="135"/>
      <c r="AE154" s="135"/>
      <c r="AF154" s="135"/>
      <c r="AG154" s="135"/>
      <c r="AH154" s="135"/>
    </row>
    <row r="155" spans="1:34" ht="15.75" customHeight="1" x14ac:dyDescent="0.35">
      <c r="A155" s="135"/>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62"/>
      <c r="AC155" s="135"/>
      <c r="AD155" s="135"/>
      <c r="AE155" s="135"/>
      <c r="AF155" s="135"/>
      <c r="AG155" s="135"/>
      <c r="AH155" s="135"/>
    </row>
    <row r="156" spans="1:34" ht="15.75" customHeight="1" x14ac:dyDescent="0.35">
      <c r="A156" s="135"/>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62"/>
      <c r="AC156" s="135"/>
      <c r="AD156" s="135"/>
      <c r="AE156" s="135"/>
      <c r="AF156" s="135"/>
      <c r="AG156" s="135"/>
      <c r="AH156" s="135"/>
    </row>
    <row r="157" spans="1:34" ht="15.75" customHeight="1" x14ac:dyDescent="0.35">
      <c r="A157" s="135"/>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62"/>
      <c r="AC157" s="135"/>
      <c r="AD157" s="135"/>
      <c r="AE157" s="135"/>
      <c r="AF157" s="135"/>
      <c r="AG157" s="135"/>
      <c r="AH157" s="135"/>
    </row>
    <row r="158" spans="1:34" ht="15.75" customHeight="1" x14ac:dyDescent="0.35">
      <c r="A158" s="135"/>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62"/>
      <c r="AC158" s="135"/>
      <c r="AD158" s="135"/>
      <c r="AE158" s="135"/>
      <c r="AF158" s="135"/>
      <c r="AG158" s="135"/>
      <c r="AH158" s="135"/>
    </row>
    <row r="159" spans="1:34" ht="15.75" customHeight="1" x14ac:dyDescent="0.35">
      <c r="A159" s="135"/>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62"/>
      <c r="AC159" s="135"/>
      <c r="AD159" s="135"/>
      <c r="AE159" s="135"/>
      <c r="AF159" s="135"/>
      <c r="AG159" s="135"/>
      <c r="AH159" s="135"/>
    </row>
    <row r="160" spans="1:34" ht="15.75" customHeight="1" x14ac:dyDescent="0.35">
      <c r="A160" s="135"/>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62"/>
      <c r="AC160" s="135"/>
      <c r="AD160" s="135"/>
      <c r="AE160" s="135"/>
      <c r="AF160" s="135"/>
      <c r="AG160" s="135"/>
      <c r="AH160" s="135"/>
    </row>
    <row r="161" spans="1:34" ht="15.75" customHeight="1" x14ac:dyDescent="0.35">
      <c r="A161" s="135"/>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62"/>
      <c r="AC161" s="135"/>
      <c r="AD161" s="135"/>
      <c r="AE161" s="135"/>
      <c r="AF161" s="135"/>
      <c r="AG161" s="135"/>
      <c r="AH161" s="135"/>
    </row>
    <row r="162" spans="1:34" ht="15.75" customHeight="1" x14ac:dyDescent="0.35">
      <c r="A162" s="135"/>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62"/>
      <c r="AC162" s="135"/>
      <c r="AD162" s="135"/>
      <c r="AE162" s="135"/>
      <c r="AF162" s="135"/>
      <c r="AG162" s="135"/>
      <c r="AH162" s="135"/>
    </row>
    <row r="163" spans="1:34" ht="15.75" customHeight="1" x14ac:dyDescent="0.35">
      <c r="A163" s="135"/>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62"/>
      <c r="AC163" s="135"/>
      <c r="AD163" s="135"/>
      <c r="AE163" s="135"/>
      <c r="AF163" s="135"/>
      <c r="AG163" s="135"/>
      <c r="AH163" s="135"/>
    </row>
    <row r="164" spans="1:34" ht="15.75" customHeight="1" x14ac:dyDescent="0.35">
      <c r="A164" s="135"/>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62"/>
      <c r="AC164" s="135"/>
      <c r="AD164" s="135"/>
      <c r="AE164" s="135"/>
      <c r="AF164" s="135"/>
      <c r="AG164" s="135"/>
      <c r="AH164" s="135"/>
    </row>
    <row r="165" spans="1:34" ht="15.75" customHeight="1" x14ac:dyDescent="0.35">
      <c r="A165" s="135"/>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62"/>
      <c r="AC165" s="135"/>
      <c r="AD165" s="135"/>
      <c r="AE165" s="135"/>
      <c r="AF165" s="135"/>
      <c r="AG165" s="135"/>
      <c r="AH165" s="135"/>
    </row>
    <row r="166" spans="1:34" ht="15.75" customHeight="1" x14ac:dyDescent="0.35">
      <c r="A166" s="135"/>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62"/>
      <c r="AC166" s="135"/>
      <c r="AD166" s="135"/>
      <c r="AE166" s="135"/>
      <c r="AF166" s="135"/>
      <c r="AG166" s="135"/>
      <c r="AH166" s="135"/>
    </row>
    <row r="167" spans="1:34" ht="15.75" customHeight="1" x14ac:dyDescent="0.35">
      <c r="A167" s="135"/>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62"/>
      <c r="AC167" s="135"/>
      <c r="AD167" s="135"/>
      <c r="AE167" s="135"/>
      <c r="AF167" s="135"/>
      <c r="AG167" s="135"/>
      <c r="AH167" s="135"/>
    </row>
    <row r="168" spans="1:34" ht="15.75" customHeight="1" x14ac:dyDescent="0.35">
      <c r="A168" s="135"/>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62"/>
      <c r="AC168" s="135"/>
      <c r="AD168" s="135"/>
      <c r="AE168" s="135"/>
      <c r="AF168" s="135"/>
      <c r="AG168" s="135"/>
      <c r="AH168" s="135"/>
    </row>
    <row r="169" spans="1:34" ht="15.75" customHeight="1" x14ac:dyDescent="0.35">
      <c r="A169" s="135"/>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62"/>
      <c r="AC169" s="135"/>
      <c r="AD169" s="135"/>
      <c r="AE169" s="135"/>
      <c r="AF169" s="135"/>
      <c r="AG169" s="135"/>
      <c r="AH169" s="135"/>
    </row>
    <row r="170" spans="1:34" ht="15.75" customHeight="1" x14ac:dyDescent="0.35">
      <c r="A170" s="135"/>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c r="AB170" s="162"/>
      <c r="AC170" s="135"/>
      <c r="AD170" s="135"/>
      <c r="AE170" s="135"/>
      <c r="AF170" s="135"/>
      <c r="AG170" s="135"/>
      <c r="AH170" s="135"/>
    </row>
    <row r="171" spans="1:34" ht="15.75" customHeight="1" x14ac:dyDescent="0.35">
      <c r="A171" s="135"/>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c r="AB171" s="162"/>
      <c r="AC171" s="135"/>
      <c r="AD171" s="135"/>
      <c r="AE171" s="135"/>
      <c r="AF171" s="135"/>
      <c r="AG171" s="135"/>
      <c r="AH171" s="135"/>
    </row>
    <row r="172" spans="1:34" ht="15.75" customHeight="1" x14ac:dyDescent="0.35">
      <c r="A172" s="135"/>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62"/>
      <c r="AC172" s="135"/>
      <c r="AD172" s="135"/>
      <c r="AE172" s="135"/>
      <c r="AF172" s="135"/>
      <c r="AG172" s="135"/>
      <c r="AH172" s="135"/>
    </row>
    <row r="173" spans="1:34" ht="15.75" customHeight="1" x14ac:dyDescent="0.35">
      <c r="A173" s="135"/>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62"/>
      <c r="AC173" s="135"/>
      <c r="AD173" s="135"/>
      <c r="AE173" s="135"/>
      <c r="AF173" s="135"/>
      <c r="AG173" s="135"/>
      <c r="AH173" s="135"/>
    </row>
    <row r="174" spans="1:34" ht="15.75" customHeight="1" x14ac:dyDescent="0.35">
      <c r="A174" s="135"/>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62"/>
      <c r="AC174" s="135"/>
      <c r="AD174" s="135"/>
      <c r="AE174" s="135"/>
      <c r="AF174" s="135"/>
      <c r="AG174" s="135"/>
      <c r="AH174" s="135"/>
    </row>
    <row r="175" spans="1:34" ht="15.75" customHeight="1" x14ac:dyDescent="0.35">
      <c r="A175" s="135"/>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62"/>
      <c r="AC175" s="135"/>
      <c r="AD175" s="135"/>
      <c r="AE175" s="135"/>
      <c r="AF175" s="135"/>
      <c r="AG175" s="135"/>
      <c r="AH175" s="135"/>
    </row>
    <row r="176" spans="1:34" ht="15.75" customHeight="1" x14ac:dyDescent="0.35">
      <c r="A176" s="135"/>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c r="AB176" s="162"/>
      <c r="AC176" s="135"/>
      <c r="AD176" s="135"/>
      <c r="AE176" s="135"/>
      <c r="AF176" s="135"/>
      <c r="AG176" s="135"/>
      <c r="AH176" s="135"/>
    </row>
    <row r="177" spans="1:34" ht="15.75" customHeight="1" x14ac:dyDescent="0.35">
      <c r="A177" s="135"/>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62"/>
      <c r="AC177" s="135"/>
      <c r="AD177" s="135"/>
      <c r="AE177" s="135"/>
      <c r="AF177" s="135"/>
      <c r="AG177" s="135"/>
      <c r="AH177" s="135"/>
    </row>
    <row r="178" spans="1:34" ht="15.75" customHeight="1" x14ac:dyDescent="0.35">
      <c r="A178" s="135"/>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c r="AA178" s="135"/>
      <c r="AB178" s="162"/>
      <c r="AC178" s="135"/>
      <c r="AD178" s="135"/>
      <c r="AE178" s="135"/>
      <c r="AF178" s="135"/>
      <c r="AG178" s="135"/>
      <c r="AH178" s="135"/>
    </row>
    <row r="179" spans="1:34" ht="15.75" customHeight="1" x14ac:dyDescent="0.35">
      <c r="A179" s="135"/>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c r="AB179" s="162"/>
      <c r="AC179" s="135"/>
      <c r="AD179" s="135"/>
      <c r="AE179" s="135"/>
      <c r="AF179" s="135"/>
      <c r="AG179" s="135"/>
      <c r="AH179" s="135"/>
    </row>
    <row r="180" spans="1:34" ht="15.75" customHeight="1" x14ac:dyDescent="0.35">
      <c r="A180" s="135"/>
      <c r="B180" s="13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c r="AA180" s="135"/>
      <c r="AB180" s="162"/>
      <c r="AC180" s="135"/>
      <c r="AD180" s="135"/>
      <c r="AE180" s="135"/>
      <c r="AF180" s="135"/>
      <c r="AG180" s="135"/>
      <c r="AH180" s="135"/>
    </row>
    <row r="181" spans="1:34" ht="15.75" customHeight="1" x14ac:dyDescent="0.35">
      <c r="A181" s="135"/>
      <c r="B181" s="13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c r="AA181" s="135"/>
      <c r="AB181" s="162"/>
      <c r="AC181" s="135"/>
      <c r="AD181" s="135"/>
      <c r="AE181" s="135"/>
      <c r="AF181" s="135"/>
      <c r="AG181" s="135"/>
      <c r="AH181" s="135"/>
    </row>
    <row r="182" spans="1:34" ht="15.75" customHeight="1" x14ac:dyDescent="0.35">
      <c r="A182" s="135"/>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c r="AA182" s="135"/>
      <c r="AB182" s="162"/>
      <c r="AC182" s="135"/>
      <c r="AD182" s="135"/>
      <c r="AE182" s="135"/>
      <c r="AF182" s="135"/>
      <c r="AG182" s="135"/>
      <c r="AH182" s="135"/>
    </row>
    <row r="183" spans="1:34" ht="15.75" customHeight="1" x14ac:dyDescent="0.35">
      <c r="A183" s="135"/>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62"/>
      <c r="AC183" s="135"/>
      <c r="AD183" s="135"/>
      <c r="AE183" s="135"/>
      <c r="AF183" s="135"/>
      <c r="AG183" s="135"/>
      <c r="AH183" s="135"/>
    </row>
    <row r="184" spans="1:34" ht="15.75" customHeight="1" x14ac:dyDescent="0.35">
      <c r="A184" s="135"/>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c r="AB184" s="162"/>
      <c r="AC184" s="135"/>
      <c r="AD184" s="135"/>
      <c r="AE184" s="135"/>
      <c r="AF184" s="135"/>
      <c r="AG184" s="135"/>
      <c r="AH184" s="135"/>
    </row>
    <row r="185" spans="1:34" ht="15.75" customHeight="1" x14ac:dyDescent="0.35">
      <c r="A185" s="135"/>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62"/>
      <c r="AC185" s="135"/>
      <c r="AD185" s="135"/>
      <c r="AE185" s="135"/>
      <c r="AF185" s="135"/>
      <c r="AG185" s="135"/>
      <c r="AH185" s="135"/>
    </row>
    <row r="186" spans="1:34" ht="15.75" customHeight="1" x14ac:dyDescent="0.35">
      <c r="A186" s="135"/>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62"/>
      <c r="AC186" s="135"/>
      <c r="AD186" s="135"/>
      <c r="AE186" s="135"/>
      <c r="AF186" s="135"/>
      <c r="AG186" s="135"/>
      <c r="AH186" s="135"/>
    </row>
    <row r="187" spans="1:34" ht="15.75" customHeight="1" x14ac:dyDescent="0.35">
      <c r="A187" s="135"/>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62"/>
      <c r="AC187" s="135"/>
      <c r="AD187" s="135"/>
      <c r="AE187" s="135"/>
      <c r="AF187" s="135"/>
      <c r="AG187" s="135"/>
      <c r="AH187" s="135"/>
    </row>
    <row r="188" spans="1:34" ht="15.75" customHeight="1" x14ac:dyDescent="0.35">
      <c r="A188" s="135"/>
      <c r="B188" s="13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c r="AB188" s="162"/>
      <c r="AC188" s="135"/>
      <c r="AD188" s="135"/>
      <c r="AE188" s="135"/>
      <c r="AF188" s="135"/>
      <c r="AG188" s="135"/>
      <c r="AH188" s="135"/>
    </row>
    <row r="189" spans="1:34" ht="15.75" customHeight="1" x14ac:dyDescent="0.35">
      <c r="A189" s="135"/>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62"/>
      <c r="AC189" s="135"/>
      <c r="AD189" s="135"/>
      <c r="AE189" s="135"/>
      <c r="AF189" s="135"/>
      <c r="AG189" s="135"/>
      <c r="AH189" s="135"/>
    </row>
    <row r="190" spans="1:34" ht="15.75" customHeight="1" x14ac:dyDescent="0.35">
      <c r="A190" s="135"/>
      <c r="B190" s="13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c r="AA190" s="135"/>
      <c r="AB190" s="162"/>
      <c r="AC190" s="135"/>
      <c r="AD190" s="135"/>
      <c r="AE190" s="135"/>
      <c r="AF190" s="135"/>
      <c r="AG190" s="135"/>
      <c r="AH190" s="135"/>
    </row>
    <row r="191" spans="1:34" ht="15.75" customHeight="1" x14ac:dyDescent="0.35">
      <c r="A191" s="135"/>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c r="AA191" s="135"/>
      <c r="AB191" s="162"/>
      <c r="AC191" s="135"/>
      <c r="AD191" s="135"/>
      <c r="AE191" s="135"/>
      <c r="AF191" s="135"/>
      <c r="AG191" s="135"/>
      <c r="AH191" s="135"/>
    </row>
    <row r="192" spans="1:34" ht="15.75" customHeight="1" x14ac:dyDescent="0.35">
      <c r="A192" s="135"/>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5"/>
      <c r="AB192" s="162"/>
      <c r="AC192" s="135"/>
      <c r="AD192" s="135"/>
      <c r="AE192" s="135"/>
      <c r="AF192" s="135"/>
      <c r="AG192" s="135"/>
      <c r="AH192" s="135"/>
    </row>
    <row r="193" spans="1:34" ht="15.75" customHeight="1" x14ac:dyDescent="0.35">
      <c r="A193" s="135"/>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62"/>
      <c r="AC193" s="135"/>
      <c r="AD193" s="135"/>
      <c r="AE193" s="135"/>
      <c r="AF193" s="135"/>
      <c r="AG193" s="135"/>
      <c r="AH193" s="135"/>
    </row>
    <row r="194" spans="1:34" ht="15.75" customHeight="1" x14ac:dyDescent="0.35">
      <c r="A194" s="135"/>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62"/>
      <c r="AC194" s="135"/>
      <c r="AD194" s="135"/>
      <c r="AE194" s="135"/>
      <c r="AF194" s="135"/>
      <c r="AG194" s="135"/>
      <c r="AH194" s="135"/>
    </row>
    <row r="195" spans="1:34" ht="15.75" customHeight="1" x14ac:dyDescent="0.35">
      <c r="A195" s="135"/>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62"/>
      <c r="AC195" s="135"/>
      <c r="AD195" s="135"/>
      <c r="AE195" s="135"/>
      <c r="AF195" s="135"/>
      <c r="AG195" s="135"/>
      <c r="AH195" s="135"/>
    </row>
    <row r="196" spans="1:34" ht="15.75" customHeight="1" x14ac:dyDescent="0.35">
      <c r="A196" s="135"/>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62"/>
      <c r="AC196" s="135"/>
      <c r="AD196" s="135"/>
      <c r="AE196" s="135"/>
      <c r="AF196" s="135"/>
      <c r="AG196" s="135"/>
      <c r="AH196" s="135"/>
    </row>
    <row r="197" spans="1:34" ht="15.75" customHeight="1" x14ac:dyDescent="0.35">
      <c r="A197" s="135"/>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c r="AB197" s="162"/>
      <c r="AC197" s="135"/>
      <c r="AD197" s="135"/>
      <c r="AE197" s="135"/>
      <c r="AF197" s="135"/>
      <c r="AG197" s="135"/>
      <c r="AH197" s="135"/>
    </row>
    <row r="198" spans="1:34" ht="15.75" customHeight="1" x14ac:dyDescent="0.35">
      <c r="A198" s="135"/>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62"/>
      <c r="AC198" s="135"/>
      <c r="AD198" s="135"/>
      <c r="AE198" s="135"/>
      <c r="AF198" s="135"/>
      <c r="AG198" s="135"/>
      <c r="AH198" s="135"/>
    </row>
    <row r="199" spans="1:34" ht="15.75" customHeight="1" x14ac:dyDescent="0.35">
      <c r="A199" s="135"/>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62"/>
      <c r="AC199" s="135"/>
      <c r="AD199" s="135"/>
      <c r="AE199" s="135"/>
      <c r="AF199" s="135"/>
      <c r="AG199" s="135"/>
      <c r="AH199" s="135"/>
    </row>
    <row r="200" spans="1:34" ht="15.75" customHeight="1" x14ac:dyDescent="0.35">
      <c r="A200" s="135"/>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62"/>
      <c r="AC200" s="135"/>
      <c r="AD200" s="135"/>
      <c r="AE200" s="135"/>
      <c r="AF200" s="135"/>
      <c r="AG200" s="135"/>
      <c r="AH200" s="135"/>
    </row>
    <row r="201" spans="1:34" ht="15.75" customHeight="1" x14ac:dyDescent="0.35">
      <c r="A201" s="135"/>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c r="AA201" s="135"/>
      <c r="AB201" s="162"/>
      <c r="AC201" s="135"/>
      <c r="AD201" s="135"/>
      <c r="AE201" s="135"/>
      <c r="AF201" s="135"/>
      <c r="AG201" s="135"/>
      <c r="AH201" s="135"/>
    </row>
    <row r="202" spans="1:34" ht="15.75" customHeight="1" x14ac:dyDescent="0.35">
      <c r="A202" s="135"/>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62"/>
      <c r="AC202" s="135"/>
      <c r="AD202" s="135"/>
      <c r="AE202" s="135"/>
      <c r="AF202" s="135"/>
      <c r="AG202" s="135"/>
      <c r="AH202" s="135"/>
    </row>
    <row r="203" spans="1:34" ht="15.75" customHeight="1" x14ac:dyDescent="0.35">
      <c r="A203" s="135"/>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62"/>
      <c r="AC203" s="135"/>
      <c r="AD203" s="135"/>
      <c r="AE203" s="135"/>
      <c r="AF203" s="135"/>
      <c r="AG203" s="135"/>
      <c r="AH203" s="135"/>
    </row>
    <row r="204" spans="1:34" ht="15.75" customHeight="1" x14ac:dyDescent="0.35">
      <c r="A204" s="135"/>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62"/>
      <c r="AC204" s="135"/>
      <c r="AD204" s="135"/>
      <c r="AE204" s="135"/>
      <c r="AF204" s="135"/>
      <c r="AG204" s="135"/>
      <c r="AH204" s="135"/>
    </row>
    <row r="205" spans="1:34" ht="15.75" customHeight="1" x14ac:dyDescent="0.35">
      <c r="A205" s="135"/>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62"/>
      <c r="AC205" s="135"/>
      <c r="AD205" s="135"/>
      <c r="AE205" s="135"/>
      <c r="AF205" s="135"/>
      <c r="AG205" s="135"/>
      <c r="AH205" s="135"/>
    </row>
    <row r="206" spans="1:34" ht="15.75" customHeight="1" x14ac:dyDescent="0.35">
      <c r="A206" s="135"/>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62"/>
      <c r="AC206" s="135"/>
      <c r="AD206" s="135"/>
      <c r="AE206" s="135"/>
      <c r="AF206" s="135"/>
      <c r="AG206" s="135"/>
      <c r="AH206" s="135"/>
    </row>
    <row r="207" spans="1:34" ht="15.75" customHeight="1" x14ac:dyDescent="0.35">
      <c r="A207" s="13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62"/>
      <c r="AC207" s="135"/>
      <c r="AD207" s="135"/>
      <c r="AE207" s="135"/>
      <c r="AF207" s="135"/>
      <c r="AG207" s="135"/>
      <c r="AH207" s="135"/>
    </row>
    <row r="208" spans="1:34" ht="15.75" customHeight="1" x14ac:dyDescent="0.35">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62"/>
      <c r="AC208" s="135"/>
      <c r="AD208" s="135"/>
      <c r="AE208" s="135"/>
      <c r="AF208" s="135"/>
      <c r="AG208" s="135"/>
      <c r="AH208" s="135"/>
    </row>
    <row r="209" spans="1:34" ht="15.75" customHeight="1" x14ac:dyDescent="0.35">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62"/>
      <c r="AC209" s="135"/>
      <c r="AD209" s="135"/>
      <c r="AE209" s="135"/>
      <c r="AF209" s="135"/>
      <c r="AG209" s="135"/>
      <c r="AH209" s="135"/>
    </row>
    <row r="210" spans="1:34" ht="15.75" customHeight="1" x14ac:dyDescent="0.35">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62"/>
      <c r="AC210" s="135"/>
      <c r="AD210" s="135"/>
      <c r="AE210" s="135"/>
      <c r="AF210" s="135"/>
      <c r="AG210" s="135"/>
      <c r="AH210" s="135"/>
    </row>
    <row r="211" spans="1:34" ht="15.75" customHeight="1" x14ac:dyDescent="0.35">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62"/>
      <c r="AC211" s="135"/>
      <c r="AD211" s="135"/>
      <c r="AE211" s="135"/>
      <c r="AF211" s="135"/>
      <c r="AG211" s="135"/>
      <c r="AH211" s="135"/>
    </row>
    <row r="212" spans="1:34" ht="15.75" customHeight="1" x14ac:dyDescent="0.35">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62"/>
      <c r="AC212" s="135"/>
      <c r="AD212" s="135"/>
      <c r="AE212" s="135"/>
      <c r="AF212" s="135"/>
      <c r="AG212" s="135"/>
      <c r="AH212" s="135"/>
    </row>
    <row r="213" spans="1:34" ht="15.75" customHeight="1" x14ac:dyDescent="0.35">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62"/>
      <c r="AC213" s="135"/>
      <c r="AD213" s="135"/>
      <c r="AE213" s="135"/>
      <c r="AF213" s="135"/>
      <c r="AG213" s="135"/>
      <c r="AH213" s="135"/>
    </row>
    <row r="214" spans="1:34" ht="15.75" customHeight="1" x14ac:dyDescent="0.35">
      <c r="A214" s="135"/>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62"/>
      <c r="AC214" s="135"/>
      <c r="AD214" s="135"/>
      <c r="AE214" s="135"/>
      <c r="AF214" s="135"/>
      <c r="AG214" s="135"/>
      <c r="AH214" s="135"/>
    </row>
    <row r="215" spans="1:34" ht="15.75" customHeight="1" x14ac:dyDescent="0.35">
      <c r="A215" s="135"/>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c r="AB215" s="162"/>
      <c r="AC215" s="135"/>
      <c r="AD215" s="135"/>
      <c r="AE215" s="135"/>
      <c r="AF215" s="135"/>
      <c r="AG215" s="135"/>
      <c r="AH215" s="135"/>
    </row>
    <row r="216" spans="1:34" ht="15.75" customHeight="1" x14ac:dyDescent="0.35">
      <c r="A216" s="135"/>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62"/>
      <c r="AC216" s="135"/>
      <c r="AD216" s="135"/>
      <c r="AE216" s="135"/>
      <c r="AF216" s="135"/>
      <c r="AG216" s="135"/>
      <c r="AH216" s="135"/>
    </row>
    <row r="217" spans="1:34" ht="15.75" customHeight="1" x14ac:dyDescent="0.35">
      <c r="A217" s="135"/>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62"/>
      <c r="AC217" s="135"/>
      <c r="AD217" s="135"/>
      <c r="AE217" s="135"/>
      <c r="AF217" s="135"/>
      <c r="AG217" s="135"/>
      <c r="AH217" s="135"/>
    </row>
    <row r="218" spans="1:34" ht="15.75" customHeight="1" x14ac:dyDescent="0.35">
      <c r="A218" s="135"/>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62"/>
      <c r="AC218" s="135"/>
      <c r="AD218" s="135"/>
      <c r="AE218" s="135"/>
      <c r="AF218" s="135"/>
      <c r="AG218" s="135"/>
      <c r="AH218" s="135"/>
    </row>
    <row r="219" spans="1:34" ht="15.75" customHeight="1" x14ac:dyDescent="0.35">
      <c r="A219" s="135"/>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62"/>
      <c r="AC219" s="135"/>
      <c r="AD219" s="135"/>
      <c r="AE219" s="135"/>
      <c r="AF219" s="135"/>
      <c r="AG219" s="135"/>
      <c r="AH219" s="135"/>
    </row>
    <row r="220" spans="1:34" ht="15.75" customHeight="1" x14ac:dyDescent="0.35">
      <c r="A220" s="135"/>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62"/>
      <c r="AC220" s="135"/>
      <c r="AD220" s="135"/>
      <c r="AE220" s="135"/>
      <c r="AF220" s="135"/>
      <c r="AG220" s="135"/>
      <c r="AH220" s="135"/>
    </row>
    <row r="221" spans="1:34" ht="15.75" customHeight="1" x14ac:dyDescent="0.35">
      <c r="A221" s="135"/>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c r="AB221" s="162"/>
      <c r="AC221" s="135"/>
      <c r="AD221" s="135"/>
      <c r="AE221" s="135"/>
      <c r="AF221" s="135"/>
      <c r="AG221" s="135"/>
      <c r="AH221" s="135"/>
    </row>
    <row r="222" spans="1:34" ht="15.75" customHeight="1" x14ac:dyDescent="0.35">
      <c r="A222" s="135"/>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c r="AB222" s="162"/>
      <c r="AC222" s="135"/>
      <c r="AD222" s="135"/>
      <c r="AE222" s="135"/>
      <c r="AF222" s="135"/>
      <c r="AG222" s="135"/>
      <c r="AH222" s="135"/>
    </row>
    <row r="223" spans="1:34" ht="15.75" customHeight="1" x14ac:dyDescent="0.35">
      <c r="A223" s="135"/>
      <c r="B223" s="135"/>
      <c r="C223" s="135"/>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c r="AA223" s="135"/>
      <c r="AB223" s="162"/>
      <c r="AC223" s="135"/>
      <c r="AD223" s="135"/>
      <c r="AE223" s="135"/>
      <c r="AF223" s="135"/>
      <c r="AG223" s="135"/>
      <c r="AH223" s="135"/>
    </row>
    <row r="224" spans="1:34" ht="15.75" customHeight="1" x14ac:dyDescent="0.35">
      <c r="A224" s="135"/>
      <c r="B224" s="135"/>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c r="AA224" s="135"/>
      <c r="AB224" s="162"/>
      <c r="AC224" s="135"/>
      <c r="AD224" s="135"/>
      <c r="AE224" s="135"/>
      <c r="AF224" s="135"/>
      <c r="AG224" s="135"/>
      <c r="AH224" s="135"/>
    </row>
    <row r="225" spans="1:34" ht="15.75" customHeight="1" x14ac:dyDescent="0.35">
      <c r="A225" s="135"/>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c r="AA225" s="135"/>
      <c r="AB225" s="162"/>
      <c r="AC225" s="135"/>
      <c r="AD225" s="135"/>
      <c r="AE225" s="135"/>
      <c r="AF225" s="135"/>
      <c r="AG225" s="135"/>
      <c r="AH225" s="135"/>
    </row>
    <row r="226" spans="1:34" ht="15.75" customHeight="1" x14ac:dyDescent="0.35">
      <c r="A226" s="135"/>
      <c r="B226" s="135"/>
      <c r="C226" s="135"/>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c r="AA226" s="135"/>
      <c r="AB226" s="162"/>
      <c r="AC226" s="135"/>
      <c r="AD226" s="135"/>
      <c r="AE226" s="135"/>
      <c r="AF226" s="135"/>
      <c r="AG226" s="135"/>
      <c r="AH226" s="135"/>
    </row>
    <row r="227" spans="1:34" ht="15.75" customHeight="1" x14ac:dyDescent="0.35">
      <c r="A227" s="135"/>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c r="AB227" s="162"/>
      <c r="AC227" s="135"/>
      <c r="AD227" s="135"/>
      <c r="AE227" s="135"/>
      <c r="AF227" s="135"/>
      <c r="AG227" s="135"/>
      <c r="AH227" s="135"/>
    </row>
    <row r="228" spans="1:34" ht="15.75" customHeight="1" x14ac:dyDescent="0.35">
      <c r="A228" s="135"/>
      <c r="B228" s="135"/>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c r="AA228" s="135"/>
      <c r="AB228" s="162"/>
      <c r="AC228" s="135"/>
      <c r="AD228" s="135"/>
      <c r="AE228" s="135"/>
      <c r="AF228" s="135"/>
      <c r="AG228" s="135"/>
      <c r="AH228" s="135"/>
    </row>
    <row r="229" spans="1:34" ht="15.75" customHeight="1" x14ac:dyDescent="0.35">
      <c r="A229" s="135"/>
      <c r="B229" s="135"/>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c r="AA229" s="135"/>
      <c r="AB229" s="162"/>
      <c r="AC229" s="135"/>
      <c r="AD229" s="135"/>
      <c r="AE229" s="135"/>
      <c r="AF229" s="135"/>
      <c r="AG229" s="135"/>
      <c r="AH229" s="135"/>
    </row>
    <row r="230" spans="1:34" ht="15.75" customHeight="1" x14ac:dyDescent="0.35">
      <c r="A230" s="135"/>
      <c r="B230" s="135"/>
      <c r="C230" s="135"/>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c r="AA230" s="135"/>
      <c r="AB230" s="162"/>
      <c r="AC230" s="135"/>
      <c r="AD230" s="135"/>
      <c r="AE230" s="135"/>
      <c r="AF230" s="135"/>
      <c r="AG230" s="135"/>
      <c r="AH230" s="135"/>
    </row>
    <row r="231" spans="1:34" ht="15.75" customHeight="1" x14ac:dyDescent="0.35">
      <c r="A231" s="135"/>
      <c r="B231" s="135"/>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c r="AA231" s="135"/>
      <c r="AB231" s="162"/>
      <c r="AC231" s="135"/>
      <c r="AD231" s="135"/>
      <c r="AE231" s="135"/>
      <c r="AF231" s="135"/>
      <c r="AG231" s="135"/>
      <c r="AH231" s="135"/>
    </row>
    <row r="232" spans="1:34" ht="15.75" customHeight="1" x14ac:dyDescent="0.35">
      <c r="A232" s="135"/>
      <c r="B232" s="135"/>
      <c r="C232" s="135"/>
      <c r="D232" s="135"/>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c r="AA232" s="135"/>
      <c r="AB232" s="162"/>
      <c r="AC232" s="135"/>
      <c r="AD232" s="135"/>
      <c r="AE232" s="135"/>
      <c r="AF232" s="135"/>
      <c r="AG232" s="135"/>
      <c r="AH232" s="135"/>
    </row>
    <row r="233" spans="1:34" ht="15.75" customHeight="1" x14ac:dyDescent="0.35">
      <c r="A233" s="135"/>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c r="AB233" s="162"/>
      <c r="AC233" s="135"/>
      <c r="AD233" s="135"/>
      <c r="AE233" s="135"/>
      <c r="AF233" s="135"/>
      <c r="AG233" s="135"/>
      <c r="AH233" s="135"/>
    </row>
    <row r="234" spans="1:34" ht="15.75" customHeight="1" x14ac:dyDescent="0.35">
      <c r="A234" s="135"/>
      <c r="B234" s="135"/>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c r="AA234" s="135"/>
      <c r="AB234" s="162"/>
      <c r="AC234" s="135"/>
      <c r="AD234" s="135"/>
      <c r="AE234" s="135"/>
      <c r="AF234" s="135"/>
      <c r="AG234" s="135"/>
      <c r="AH234" s="135"/>
    </row>
    <row r="235" spans="1:34" ht="15.75" customHeight="1" x14ac:dyDescent="0.35">
      <c r="A235" s="135"/>
      <c r="B235" s="135"/>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c r="AA235" s="135"/>
      <c r="AB235" s="162"/>
      <c r="AC235" s="135"/>
      <c r="AD235" s="135"/>
      <c r="AE235" s="135"/>
      <c r="AF235" s="135"/>
      <c r="AG235" s="135"/>
      <c r="AH235" s="135"/>
    </row>
    <row r="236" spans="1:34" ht="15.75" customHeight="1" x14ac:dyDescent="0.35">
      <c r="A236" s="135"/>
      <c r="B236" s="135"/>
      <c r="C236" s="135"/>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c r="AA236" s="135"/>
      <c r="AB236" s="162"/>
      <c r="AC236" s="135"/>
      <c r="AD236" s="135"/>
      <c r="AE236" s="135"/>
      <c r="AF236" s="135"/>
      <c r="AG236" s="135"/>
      <c r="AH236" s="135"/>
    </row>
    <row r="237" spans="1:34" ht="15.75" customHeight="1" x14ac:dyDescent="0.35">
      <c r="A237" s="135"/>
      <c r="B237" s="135"/>
      <c r="C237" s="135"/>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c r="AA237" s="135"/>
      <c r="AB237" s="162"/>
      <c r="AC237" s="135"/>
      <c r="AD237" s="135"/>
      <c r="AE237" s="135"/>
      <c r="AF237" s="135"/>
      <c r="AG237" s="135"/>
      <c r="AH237" s="135"/>
    </row>
    <row r="238" spans="1:34" ht="15.75" customHeight="1" x14ac:dyDescent="0.35">
      <c r="A238" s="135"/>
      <c r="B238" s="135"/>
      <c r="C238" s="135"/>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c r="AA238" s="135"/>
      <c r="AB238" s="162"/>
      <c r="AC238" s="135"/>
      <c r="AD238" s="135"/>
      <c r="AE238" s="135"/>
      <c r="AF238" s="135"/>
      <c r="AG238" s="135"/>
      <c r="AH238" s="135"/>
    </row>
    <row r="239" spans="1:34" ht="15.75" customHeight="1" x14ac:dyDescent="0.35">
      <c r="A239" s="135"/>
      <c r="B239" s="135"/>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c r="AA239" s="135"/>
      <c r="AB239" s="162"/>
      <c r="AC239" s="135"/>
      <c r="AD239" s="135"/>
      <c r="AE239" s="135"/>
      <c r="AF239" s="135"/>
      <c r="AG239" s="135"/>
      <c r="AH239" s="135"/>
    </row>
    <row r="240" spans="1:34" ht="15.75" customHeight="1" x14ac:dyDescent="0.35">
      <c r="A240" s="135"/>
      <c r="B240" s="135"/>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c r="AA240" s="135"/>
      <c r="AB240" s="162"/>
      <c r="AC240" s="135"/>
      <c r="AD240" s="135"/>
      <c r="AE240" s="135"/>
      <c r="AF240" s="135"/>
      <c r="AG240" s="135"/>
      <c r="AH240" s="135"/>
    </row>
    <row r="241" spans="1:34" ht="15.75" customHeight="1" x14ac:dyDescent="0.35">
      <c r="A241" s="135"/>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c r="AA241" s="135"/>
      <c r="AB241" s="162"/>
      <c r="AC241" s="135"/>
      <c r="AD241" s="135"/>
      <c r="AE241" s="135"/>
      <c r="AF241" s="135"/>
      <c r="AG241" s="135"/>
      <c r="AH241" s="135"/>
    </row>
    <row r="242" spans="1:34" ht="15.75" customHeight="1" x14ac:dyDescent="0.35">
      <c r="A242" s="135"/>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c r="AB242" s="162"/>
      <c r="AC242" s="135"/>
      <c r="AD242" s="135"/>
      <c r="AE242" s="135"/>
      <c r="AF242" s="135"/>
      <c r="AG242" s="135"/>
      <c r="AH242" s="135"/>
    </row>
    <row r="243" spans="1:34" ht="15.75" customHeight="1" x14ac:dyDescent="0.35">
      <c r="A243" s="135"/>
      <c r="B243" s="135"/>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c r="AB243" s="162"/>
      <c r="AC243" s="135"/>
      <c r="AD243" s="135"/>
      <c r="AE243" s="135"/>
      <c r="AF243" s="135"/>
      <c r="AG243" s="135"/>
      <c r="AH243" s="135"/>
    </row>
    <row r="244" spans="1:34" ht="15.75" customHeight="1" x14ac:dyDescent="0.35">
      <c r="A244" s="135"/>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c r="AB244" s="162"/>
      <c r="AC244" s="135"/>
      <c r="AD244" s="135"/>
      <c r="AE244" s="135"/>
      <c r="AF244" s="135"/>
      <c r="AG244" s="135"/>
      <c r="AH244" s="135"/>
    </row>
    <row r="245" spans="1:34" ht="15.75" customHeight="1" x14ac:dyDescent="0.35">
      <c r="A245" s="135"/>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c r="AA245" s="135"/>
      <c r="AB245" s="162"/>
      <c r="AC245" s="135"/>
      <c r="AD245" s="135"/>
      <c r="AE245" s="135"/>
      <c r="AF245" s="135"/>
      <c r="AG245" s="135"/>
      <c r="AH245" s="135"/>
    </row>
    <row r="246" spans="1:34" ht="15.75" customHeight="1" x14ac:dyDescent="0.35">
      <c r="A246" s="135"/>
      <c r="B246" s="135"/>
      <c r="C246" s="135"/>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c r="AA246" s="135"/>
      <c r="AB246" s="162"/>
      <c r="AC246" s="135"/>
      <c r="AD246" s="135"/>
      <c r="AE246" s="135"/>
      <c r="AF246" s="135"/>
      <c r="AG246" s="135"/>
      <c r="AH246" s="135"/>
    </row>
    <row r="247" spans="1:34" ht="15.75" customHeight="1" x14ac:dyDescent="0.35">
      <c r="A247" s="135"/>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62"/>
      <c r="AC247" s="135"/>
      <c r="AD247" s="135"/>
      <c r="AE247" s="135"/>
      <c r="AF247" s="135"/>
      <c r="AG247" s="135"/>
      <c r="AH247" s="135"/>
    </row>
    <row r="248" spans="1:34" ht="15.75" customHeight="1" x14ac:dyDescent="0.35">
      <c r="A248" s="135"/>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62"/>
      <c r="AC248" s="135"/>
      <c r="AD248" s="135"/>
      <c r="AE248" s="135"/>
      <c r="AF248" s="135"/>
      <c r="AG248" s="135"/>
      <c r="AH248" s="135"/>
    </row>
    <row r="249" spans="1:34" ht="15.75" customHeight="1" x14ac:dyDescent="0.35">
      <c r="A249" s="135"/>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62"/>
      <c r="AC249" s="135"/>
      <c r="AD249" s="135"/>
      <c r="AE249" s="135"/>
      <c r="AF249" s="135"/>
      <c r="AG249" s="135"/>
      <c r="AH249" s="135"/>
    </row>
    <row r="250" spans="1:34" ht="15.75" customHeight="1" x14ac:dyDescent="0.35">
      <c r="A250" s="135"/>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62"/>
      <c r="AC250" s="135"/>
      <c r="AD250" s="135"/>
      <c r="AE250" s="135"/>
      <c r="AF250" s="135"/>
      <c r="AG250" s="135"/>
      <c r="AH250" s="135"/>
    </row>
    <row r="251" spans="1:34" ht="15.75" customHeight="1" x14ac:dyDescent="0.35">
      <c r="A251" s="135"/>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c r="AA251" s="135"/>
      <c r="AB251" s="162"/>
      <c r="AC251" s="135"/>
      <c r="AD251" s="135"/>
      <c r="AE251" s="135"/>
      <c r="AF251" s="135"/>
      <c r="AG251" s="135"/>
      <c r="AH251" s="135"/>
    </row>
    <row r="252" spans="1:34" ht="15.75" customHeight="1" x14ac:dyDescent="0.35">
      <c r="A252" s="135"/>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c r="AB252" s="162"/>
      <c r="AC252" s="135"/>
      <c r="AD252" s="135"/>
      <c r="AE252" s="135"/>
      <c r="AF252" s="135"/>
      <c r="AG252" s="135"/>
      <c r="AH252" s="135"/>
    </row>
    <row r="253" spans="1:34" ht="15.75" customHeight="1" x14ac:dyDescent="0.35"/>
    <row r="254" spans="1:34" ht="15.75" customHeight="1" x14ac:dyDescent="0.35"/>
    <row r="255" spans="1:34" ht="15.75" customHeight="1" x14ac:dyDescent="0.35"/>
    <row r="256" spans="1:34"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autoFilter ref="A2:AH53" xr:uid="{00000000-0009-0000-0000-000005000000}">
    <filterColumn colId="1" showButton="0"/>
  </autoFilter>
  <mergeCells count="10">
    <mergeCell ref="B31:C31"/>
    <mergeCell ref="B40:C40"/>
    <mergeCell ref="B47:C47"/>
    <mergeCell ref="B2:C2"/>
    <mergeCell ref="B3:C3"/>
    <mergeCell ref="B4:C4"/>
    <mergeCell ref="B5:C5"/>
    <mergeCell ref="B14:C14"/>
    <mergeCell ref="B22:C22"/>
    <mergeCell ref="B30:C30"/>
  </mergeCell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T206"/>
  <sheetViews>
    <sheetView zoomScale="30" zoomScaleNormal="30" workbookViewId="0">
      <pane xSplit="7" ySplit="2" topLeftCell="K3" activePane="bottomRight" state="frozen"/>
      <selection pane="topRight" activeCell="K14" sqref="K14"/>
      <selection pane="bottomLeft" activeCell="K14" sqref="K14"/>
      <selection pane="bottomRight" activeCell="K7" sqref="K7"/>
    </sheetView>
  </sheetViews>
  <sheetFormatPr baseColWidth="10" defaultColWidth="51.7109375" defaultRowHeight="15" x14ac:dyDescent="0.25"/>
  <cols>
    <col min="1" max="1" width="10.140625" customWidth="1"/>
    <col min="2" max="2" width="156.42578125" customWidth="1"/>
    <col min="3" max="3" width="29.28515625" style="16" customWidth="1"/>
    <col min="4" max="4" width="56.42578125" style="16" bestFit="1" customWidth="1"/>
    <col min="5" max="5" width="47.28515625" style="16" customWidth="1"/>
    <col min="6" max="6" width="51.28515625" style="16" customWidth="1"/>
    <col min="7" max="7" width="55.85546875" customWidth="1"/>
    <col min="8" max="9" width="57.7109375" customWidth="1"/>
    <col min="10" max="10" width="64.140625" customWidth="1"/>
    <col min="11" max="11" width="102.28515625" customWidth="1"/>
    <col min="12" max="12" width="72.7109375" bestFit="1" customWidth="1"/>
    <col min="13" max="13" width="72.7109375" customWidth="1"/>
    <col min="14" max="15" width="0" hidden="1" customWidth="1"/>
  </cols>
  <sheetData>
    <row r="1" spans="2:20" ht="31.15" customHeight="1" thickBot="1" x14ac:dyDescent="0.55000000000000004">
      <c r="J1" s="1241"/>
      <c r="K1" s="1242"/>
    </row>
    <row r="2" spans="2:20" s="59" customFormat="1" ht="140.44999999999999" customHeight="1" thickBot="1" x14ac:dyDescent="0.35">
      <c r="B2" s="54"/>
      <c r="C2" s="91" t="s">
        <v>1946</v>
      </c>
      <c r="D2" s="55" t="s">
        <v>6</v>
      </c>
      <c r="E2" s="57" t="s">
        <v>7</v>
      </c>
      <c r="F2" s="57" t="s">
        <v>1947</v>
      </c>
      <c r="G2" s="56" t="s">
        <v>8</v>
      </c>
      <c r="H2" s="716" t="s">
        <v>9</v>
      </c>
      <c r="I2" s="57" t="s">
        <v>1948</v>
      </c>
      <c r="J2" s="195" t="s">
        <v>1949</v>
      </c>
      <c r="K2" s="57" t="s">
        <v>1950</v>
      </c>
      <c r="L2" s="56" t="s">
        <v>23</v>
      </c>
      <c r="M2" s="716" t="s">
        <v>24</v>
      </c>
      <c r="N2" s="58" t="s">
        <v>1951</v>
      </c>
      <c r="O2" s="58" t="s">
        <v>1952</v>
      </c>
    </row>
    <row r="3" spans="2:20" ht="193.15" customHeight="1" thickTop="1" thickBot="1" x14ac:dyDescent="0.95">
      <c r="B3" s="60" t="s">
        <v>1953</v>
      </c>
      <c r="C3" s="53"/>
      <c r="D3" s="133">
        <f t="shared" ref="D3" si="0">+(D4+D46+D92+D123+D161+D198)/6</f>
        <v>0.24888231440455399</v>
      </c>
      <c r="E3" s="925">
        <f>+(E4+E46+E92+E123+E161+E198)/6</f>
        <v>0.30058025498448149</v>
      </c>
      <c r="F3" s="925">
        <f>+J3+E3</f>
        <v>0.50110242489612078</v>
      </c>
      <c r="G3" s="134">
        <f t="shared" ref="G3:L3" si="1">+(G4+G46+G92+G123+G161+G198)/6</f>
        <v>0.1793132482964562</v>
      </c>
      <c r="H3" s="134">
        <f t="shared" si="1"/>
        <v>0.26588235675192678</v>
      </c>
      <c r="I3" s="916">
        <f>+(I4+I46+I92+I123+I161+I198)/6</f>
        <v>0.37875751132781948</v>
      </c>
      <c r="J3" s="131">
        <f t="shared" si="1"/>
        <v>0.20052216991163929</v>
      </c>
      <c r="K3" s="1252">
        <f t="shared" si="1"/>
        <v>0.31348901775979898</v>
      </c>
      <c r="L3" s="134">
        <f t="shared" si="1"/>
        <v>0.16562867266920242</v>
      </c>
      <c r="M3" s="1008">
        <f>+(M4*C4)+(M46*C46)+(M92*C92)+(M123*C123)+(C161*M161)+(M198*C198)</f>
        <v>0.30370625523347738</v>
      </c>
      <c r="N3" s="50"/>
      <c r="O3" s="8"/>
      <c r="P3" s="31"/>
      <c r="S3" s="17">
        <v>697</v>
      </c>
      <c r="T3" s="1095">
        <f>1/S3</f>
        <v>1.4347202295552368E-3</v>
      </c>
    </row>
    <row r="4" spans="2:20" ht="98.45" customHeight="1" thickTop="1" x14ac:dyDescent="0.45">
      <c r="B4" s="51" t="str">
        <f>+'Seguridad Humana'!B3:C3</f>
        <v xml:space="preserve"> SEGURIDAD HUMANA
</v>
      </c>
      <c r="C4" s="1347">
        <v>0.3</v>
      </c>
      <c r="D4" s="36">
        <f>+'Seguridad Humana'!I3</f>
        <v>0.27144914611233045</v>
      </c>
      <c r="E4" s="36">
        <f>+'Seguridad Humana'!J3</f>
        <v>0.35746043083896151</v>
      </c>
      <c r="F4" s="36">
        <f t="shared" ref="F4:F67" si="2">+J4+E4</f>
        <v>0.6123413604111696</v>
      </c>
      <c r="G4" s="36">
        <f>+'Seguridad Humana'!K3</f>
        <v>0.1963447624265218</v>
      </c>
      <c r="H4" s="36">
        <f>+'Seguridad Humana'!L3</f>
        <v>0.24648504898900425</v>
      </c>
      <c r="I4" s="36">
        <f>+'Seguridad Humana'!U3</f>
        <v>0.36948496991755925</v>
      </c>
      <c r="J4" s="36">
        <f>+'Seguridad Humana'!X3</f>
        <v>0.25488092957220809</v>
      </c>
      <c r="K4" s="36">
        <f>+'Seguridad Humana'!Y3</f>
        <v>0.34188930071628293</v>
      </c>
      <c r="L4" s="52">
        <f>+'Seguridad Humana'!Z3</f>
        <v>0.21296825159703686</v>
      </c>
      <c r="M4" s="52">
        <f>+'Seguridad Humana'!AA3</f>
        <v>0.31656637577834912</v>
      </c>
      <c r="N4" s="35"/>
      <c r="O4" s="9"/>
      <c r="P4" s="1116"/>
      <c r="T4" s="18"/>
    </row>
    <row r="5" spans="2:20" ht="70.900000000000006" customHeight="1" x14ac:dyDescent="0.55000000000000004">
      <c r="B5" s="40" t="str">
        <f>+'Seguridad Humana'!B4:C4</f>
        <v xml:space="preserve"> Seguridad Ciudadana y Orden Público 
</v>
      </c>
      <c r="C5" s="1347"/>
      <c r="D5" s="32">
        <f t="shared" ref="D5" si="3">+(D6+D7+D8+D9+D10)/5</f>
        <v>0.40844696306703598</v>
      </c>
      <c r="E5" s="32">
        <f>+(E6+E7+E8+E9+E10)/5</f>
        <v>0.45046175388431281</v>
      </c>
      <c r="F5" s="32">
        <f>+J5+E5</f>
        <v>0.85079477210897558</v>
      </c>
      <c r="G5" s="33">
        <f>+(G6+G7+G8+G9+G10)/5</f>
        <v>0.35458117744760276</v>
      </c>
      <c r="H5" s="33">
        <f t="shared" ref="H5" si="4">+(H6+H7+H8+H9+H10)/5</f>
        <v>0.24556110117236232</v>
      </c>
      <c r="I5" s="915">
        <f>+(I6+I7+I8+I9+I10)/5</f>
        <v>0.27357736692477463</v>
      </c>
      <c r="J5" s="32">
        <f>+(J6+J7+J8+J9+J10)/5</f>
        <v>0.40033301822466277</v>
      </c>
      <c r="K5" s="32">
        <f>+(K6+K7+K8+K9+K10)/5</f>
        <v>0.49461278874289327</v>
      </c>
      <c r="L5" s="41">
        <f>+(L6+L7+L8+L9+L10)</f>
        <v>0.34369348640612268</v>
      </c>
      <c r="M5" s="41">
        <f>+'Seguridad Humana'!AA4</f>
        <v>0.41274628372019412</v>
      </c>
      <c r="N5" s="35"/>
      <c r="O5" s="9"/>
      <c r="P5" s="96"/>
      <c r="T5" s="11"/>
    </row>
    <row r="6" spans="2:20" ht="43.15" customHeight="1" x14ac:dyDescent="0.55000000000000004">
      <c r="B6" s="42" t="str">
        <f>+'Seguridad Humana'!B5</f>
        <v xml:space="preserve"> PLAN ESTRATÉGICO DE SEGURIDAD INTEGRAL TITAN 24</v>
      </c>
      <c r="C6" s="1347"/>
      <c r="D6" s="12">
        <f>+'Seguridad Humana'!I5</f>
        <v>0.37666666666666665</v>
      </c>
      <c r="E6" s="12">
        <f>+'Seguridad Humana'!J5</f>
        <v>0.38750000000000001</v>
      </c>
      <c r="F6" s="12">
        <f t="shared" si="2"/>
        <v>0.6875</v>
      </c>
      <c r="G6" s="12">
        <f>+'Seguridad Humana'!K5</f>
        <v>0.26083333333333331</v>
      </c>
      <c r="H6" s="12">
        <f>+'Seguridad Humana'!L5</f>
        <v>0.17749999999999999</v>
      </c>
      <c r="I6" s="12">
        <f>+'Seguridad Humana'!U5</f>
        <v>0.35</v>
      </c>
      <c r="J6" s="12">
        <f>+'Seguridad Humana'!X5</f>
        <v>0.3</v>
      </c>
      <c r="K6" s="12">
        <f>+'Seguridad Humana'!Y5</f>
        <v>0.37</v>
      </c>
      <c r="L6" s="43">
        <f>+'Seguridad Humana'!Z5</f>
        <v>0.109375</v>
      </c>
      <c r="M6" s="43">
        <f>+'Seguridad Humana'!AA5</f>
        <v>0.34500000000000003</v>
      </c>
      <c r="N6" s="35"/>
      <c r="O6" s="9"/>
      <c r="P6" s="96"/>
    </row>
    <row r="7" spans="2:20" ht="28.15" customHeight="1" x14ac:dyDescent="0.55000000000000004">
      <c r="B7" s="42" t="str">
        <f>+'Seguridad Humana'!B12:C12</f>
        <v>EL CUERPO DE BOMBEROS AVANZA</v>
      </c>
      <c r="C7" s="1347"/>
      <c r="D7" s="12">
        <f>+'Seguridad Humana'!I12</f>
        <v>0.66600000000000004</v>
      </c>
      <c r="E7" s="12">
        <f>+'Seguridad Humana'!J12</f>
        <v>1</v>
      </c>
      <c r="F7" s="12">
        <v>1</v>
      </c>
      <c r="G7" s="12">
        <f>+'Seguridad Humana'!K12</f>
        <v>0.35</v>
      </c>
      <c r="H7" s="12">
        <f>+'Seguridad Humana'!L12</f>
        <v>0.35</v>
      </c>
      <c r="I7" s="12">
        <f>+'Seguridad Humana'!U12</f>
        <v>0</v>
      </c>
      <c r="J7" s="12">
        <f>+'Seguridad Humana'!X12</f>
        <v>0.66600000000000004</v>
      </c>
      <c r="K7" s="856">
        <f>+'Seguridad Humana'!Y12</f>
        <v>0.66666666666666663</v>
      </c>
      <c r="L7" s="43">
        <f>+'Seguridad Humana'!Z12</f>
        <v>9.7499999999999989E-2</v>
      </c>
      <c r="M7" s="43">
        <f>+'Seguridad Humana'!AA12</f>
        <v>0.64999999999999991</v>
      </c>
      <c r="N7" s="35"/>
      <c r="O7" s="9"/>
      <c r="P7" s="96"/>
    </row>
    <row r="8" spans="2:20" ht="45" customHeight="1" x14ac:dyDescent="0.55000000000000004">
      <c r="B8" s="42" t="str">
        <f>+'Seguridad Humana'!B16:C16</f>
        <v>SEGURIDAD YA CON DOTACIÓN A LOS ORGANISMOS DE SEGURIDAD, SOCORRO, JUSTICIA Y CONVIVENCIA Y TECNOLOGÍA PARA LA PREVENCIÓN</v>
      </c>
      <c r="C8" s="1347"/>
      <c r="D8" s="12">
        <f>+'Seguridad Humana'!I16</f>
        <v>0.21866537089073543</v>
      </c>
      <c r="E8" s="12">
        <f>+'Seguridad Humana'!J16</f>
        <v>0.35374932497711953</v>
      </c>
      <c r="F8" s="12">
        <f t="shared" si="2"/>
        <v>0.54273163832265559</v>
      </c>
      <c r="G8" s="12">
        <f>+'Seguridad Humana'!K16</f>
        <v>0.23116977612690295</v>
      </c>
      <c r="H8" s="12">
        <f>+'Seguridad Humana'!L16</f>
        <v>0.36424606141736721</v>
      </c>
      <c r="I8" s="12">
        <f>+'Seguridad Humana'!U16</f>
        <v>0.27413683462387312</v>
      </c>
      <c r="J8" s="98">
        <f>+'Seguridad Humana'!X16</f>
        <v>0.18898231334553608</v>
      </c>
      <c r="K8" s="12">
        <f>+'Seguridad Humana'!Y16</f>
        <v>0.33748477704780006</v>
      </c>
      <c r="L8" s="43">
        <f>+'Seguridad Humana'!Z16</f>
        <v>3.7150208628344908E-2</v>
      </c>
      <c r="M8" s="43">
        <f>+'Seguridad Humana'!AA16</f>
        <v>0.23201677906731377</v>
      </c>
      <c r="N8" s="35"/>
      <c r="O8" s="9"/>
      <c r="P8" s="96"/>
    </row>
    <row r="9" spans="2:20" ht="36" customHeight="1" x14ac:dyDescent="0.55000000000000004">
      <c r="B9" s="42" t="str">
        <f>+'Seguridad Humana'!B23:C23</f>
        <v xml:space="preserve"> SEGURIDAD YA EN LAS PLAYAS DE CARTAGENA</v>
      </c>
      <c r="C9" s="1347"/>
      <c r="D9" s="12">
        <f>+'Seguridad Humana'!I23</f>
        <v>0.625</v>
      </c>
      <c r="E9" s="12">
        <f>+'Seguridad Humana'!J23</f>
        <v>0.25</v>
      </c>
      <c r="F9" s="12">
        <f t="shared" si="2"/>
        <v>0.875</v>
      </c>
      <c r="G9" s="98">
        <f>+'Seguridad Humana'!K23</f>
        <v>0.77499999999999991</v>
      </c>
      <c r="H9" s="12">
        <f>+'Seguridad Humana'!L23</f>
        <v>7.4999999999999997E-2</v>
      </c>
      <c r="I9" s="12">
        <f>+'Seguridad Humana'!U23</f>
        <v>0</v>
      </c>
      <c r="J9" s="12">
        <f>+'Seguridad Humana'!X23</f>
        <v>0.625</v>
      </c>
      <c r="K9" s="12">
        <f>+'Seguridad Humana'!Y23</f>
        <v>0.625</v>
      </c>
      <c r="L9" s="43">
        <f>+'Seguridad Humana'!Z23</f>
        <v>7.7499999999999999E-2</v>
      </c>
      <c r="M9" s="43">
        <f>+'Seguridad Humana'!AA23</f>
        <v>0.77499999999999991</v>
      </c>
      <c r="N9" s="35"/>
      <c r="O9" s="9"/>
      <c r="P9" s="96"/>
    </row>
    <row r="10" spans="2:20" ht="48" customHeight="1" x14ac:dyDescent="0.55000000000000004">
      <c r="B10" s="42" t="str">
        <f>+'Seguridad Humana'!B26:C26</f>
        <v xml:space="preserve"> EDUCACIÓN, CULTURA Y SEGURIDAD VIAL PARA AVANZAR</v>
      </c>
      <c r="C10" s="1347"/>
      <c r="D10" s="12">
        <f>+'Seguridad Humana'!I26</f>
        <v>0.15590277777777778</v>
      </c>
      <c r="E10" s="12">
        <f>+'Seguridad Humana'!J26</f>
        <v>0.26105944444444446</v>
      </c>
      <c r="F10" s="12">
        <f t="shared" si="2"/>
        <v>0.48274222222222224</v>
      </c>
      <c r="G10" s="12">
        <f>+'Seguridad Humana'!K26</f>
        <v>0.15590277777777778</v>
      </c>
      <c r="H10" s="12">
        <f>+'Seguridad Humana'!L26</f>
        <v>0.26105944444444446</v>
      </c>
      <c r="I10" s="12">
        <f>+'Seguridad Humana'!U26</f>
        <v>0.74375000000000002</v>
      </c>
      <c r="J10" s="12">
        <f>+'Seguridad Humana'!X26</f>
        <v>0.22168277777777778</v>
      </c>
      <c r="K10" s="12">
        <f>+'Seguridad Humana'!Y26</f>
        <v>0.47391249999999996</v>
      </c>
      <c r="L10" s="44">
        <f>+'Seguridad Humana'!Z26</f>
        <v>2.216827777777778E-2</v>
      </c>
      <c r="M10" s="44">
        <f>+'Seguridad Humana'!AA26</f>
        <v>0.47391249999999996</v>
      </c>
      <c r="N10" s="35"/>
      <c r="O10" s="9"/>
      <c r="P10" s="96"/>
    </row>
    <row r="11" spans="2:20" ht="99" customHeight="1" x14ac:dyDescent="0.55000000000000004">
      <c r="B11" s="40" t="str">
        <f>+'Seguridad Humana'!B31:C31</f>
        <v xml:space="preserve">Construccion de paz, Derechos Humanos y Convivencia
</v>
      </c>
      <c r="C11" s="1347"/>
      <c r="D11" s="32">
        <f t="shared" ref="D11:G11" si="5">+(D12+D13+D14+D15+D16+D17+D18+D19)/8</f>
        <v>0.23923611111111112</v>
      </c>
      <c r="E11" s="32">
        <f t="shared" si="5"/>
        <v>0.32471065083979328</v>
      </c>
      <c r="F11" s="32">
        <f t="shared" si="2"/>
        <v>0.57512473701403577</v>
      </c>
      <c r="G11" s="33">
        <f t="shared" si="5"/>
        <v>0.16062499999999999</v>
      </c>
      <c r="H11" s="33">
        <f t="shared" ref="H11:I11" si="6">+(H12+H13+H14+H15+H16+H17+H18+H19)/8</f>
        <v>0.26958609496124031</v>
      </c>
      <c r="I11" s="32">
        <f t="shared" si="6"/>
        <v>0.40853792240693437</v>
      </c>
      <c r="J11" s="32">
        <f>+(J12+J13+J14+J15+J16+J17+J18+J19)/8</f>
        <v>0.25041408617424243</v>
      </c>
      <c r="K11" s="32">
        <f>+(K12+K13+K14+K15+K16+K17+K18+K19)/8</f>
        <v>0.34966418650793651</v>
      </c>
      <c r="L11" s="41">
        <f>+(L12+L13+L14+L15+L16+L17+L18+L19)</f>
        <v>0.19896443750000001</v>
      </c>
      <c r="M11" s="41">
        <f>+'Seguridad Humana'!AA31</f>
        <v>0.31228099999999998</v>
      </c>
      <c r="N11" s="35"/>
      <c r="O11" s="9"/>
      <c r="P11" s="96"/>
    </row>
    <row r="12" spans="2:20" ht="40.15" customHeight="1" x14ac:dyDescent="0.55000000000000004">
      <c r="B12" s="42" t="str">
        <f>+'Seguridad Humana'!B32:C32</f>
        <v xml:space="preserve"> UNA VIDA LIBRE DE VIOLENCIA PARA LAS MUJERES</v>
      </c>
      <c r="C12" s="1347"/>
      <c r="D12" s="12">
        <f>+'Seguridad Humana'!I32</f>
        <v>0.17500000000000002</v>
      </c>
      <c r="E12" s="12">
        <f>+'Seguridad Humana'!J32</f>
        <v>0.25</v>
      </c>
      <c r="F12" s="12">
        <f t="shared" si="2"/>
        <v>0.61919999999999997</v>
      </c>
      <c r="G12" s="12">
        <f>+'Seguridad Humana'!K32</f>
        <v>0.1525</v>
      </c>
      <c r="H12" s="12">
        <f>+'Seguridad Humana'!L32</f>
        <v>0.245</v>
      </c>
      <c r="I12" s="12">
        <f>+'Seguridad Humana'!U32</f>
        <v>0.6246666666666667</v>
      </c>
      <c r="J12" s="12">
        <f>+'Seguridad Humana'!X32</f>
        <v>0.36919999999999997</v>
      </c>
      <c r="K12" s="12">
        <f>+'Seguridad Humana'!Y32</f>
        <v>0.55993333333333328</v>
      </c>
      <c r="L12" s="43">
        <f>+'Seguridad Humana'!Z32</f>
        <v>6.1731000000000001E-2</v>
      </c>
      <c r="M12" s="43">
        <f>+'Seguridad Humana'!AA32</f>
        <v>0.67142000000000002</v>
      </c>
      <c r="N12" s="35"/>
      <c r="O12" s="9"/>
      <c r="P12" s="96"/>
    </row>
    <row r="13" spans="2:20" ht="30" customHeight="1" x14ac:dyDescent="0.55000000000000004">
      <c r="B13" s="42" t="str">
        <f>+'Seguridad Humana'!B36:C36</f>
        <v xml:space="preserve"> DERECHO A LA PAZ Y CONVIVENCIA CON EQUIDAD DE GÉNERO</v>
      </c>
      <c r="C13" s="1347"/>
      <c r="D13" s="12">
        <f>+'Seguridad Humana'!I36</f>
        <v>0.25</v>
      </c>
      <c r="E13" s="12">
        <f>+'Seguridad Humana'!J36</f>
        <v>0.21249999999999999</v>
      </c>
      <c r="F13" s="12">
        <f t="shared" si="2"/>
        <v>0.54749999999999999</v>
      </c>
      <c r="G13" s="12">
        <f>+'Seguridad Humana'!K36</f>
        <v>0.25</v>
      </c>
      <c r="H13" s="12">
        <f>+'Seguridad Humana'!L36</f>
        <v>0.19</v>
      </c>
      <c r="I13" s="12">
        <f>+'Seguridad Humana'!U36</f>
        <v>0</v>
      </c>
      <c r="J13" s="12">
        <f>+'Seguridad Humana'!X36</f>
        <v>0.33499999999999996</v>
      </c>
      <c r="K13" s="12">
        <f>+'Seguridad Humana'!Y36</f>
        <v>0.33499999999999996</v>
      </c>
      <c r="L13" s="43">
        <f>+'Seguridad Humana'!Z36</f>
        <v>3.8600000000000002E-2</v>
      </c>
      <c r="M13" s="43">
        <f>+'Seguridad Humana'!AA36</f>
        <v>0.38600000000000001</v>
      </c>
      <c r="N13" s="35"/>
      <c r="O13" s="9"/>
      <c r="P13" s="96"/>
    </row>
    <row r="14" spans="2:20" ht="28.15" customHeight="1" x14ac:dyDescent="0.55000000000000004">
      <c r="B14" s="42" t="str">
        <f>+'Seguridad Humana'!B39:C39</f>
        <v>CARTAGENA AVANZA EN CONVIVENCIA</v>
      </c>
      <c r="C14" s="1347"/>
      <c r="D14" s="12">
        <f>+'Seguridad Humana'!I39</f>
        <v>0.18333333333333335</v>
      </c>
      <c r="E14" s="12">
        <f>+'Seguridad Humana'!J39</f>
        <v>0.2583333333333333</v>
      </c>
      <c r="F14" s="12">
        <f t="shared" si="2"/>
        <v>0.52916666666666667</v>
      </c>
      <c r="G14" s="12">
        <f>+'Seguridad Humana'!K39</f>
        <v>0.18333333333333335</v>
      </c>
      <c r="H14" s="12">
        <f>+'Seguridad Humana'!L39</f>
        <v>0.2583333333333333</v>
      </c>
      <c r="I14" s="12">
        <f>+'Seguridad Humana'!U39</f>
        <v>0.625</v>
      </c>
      <c r="J14" s="12">
        <f>+'Seguridad Humana'!X39</f>
        <v>0.27083333333333337</v>
      </c>
      <c r="K14" s="12">
        <f>+'Seguridad Humana'!Y39</f>
        <v>0.4375</v>
      </c>
      <c r="L14" s="43">
        <f>+'Seguridad Humana'!Z39</f>
        <v>3.6874999999999998E-2</v>
      </c>
      <c r="M14" s="43">
        <f>+'Seguridad Humana'!AA39</f>
        <v>0.41249999999999998</v>
      </c>
      <c r="N14" s="35"/>
      <c r="O14" s="9"/>
      <c r="P14" s="96"/>
    </row>
    <row r="15" spans="2:20" ht="69" customHeight="1" x14ac:dyDescent="0.55000000000000004">
      <c r="B15" s="42" t="str">
        <f>+'Seguridad Humana'!B44:C44</f>
        <v xml:space="preserve"> AVANZANDO EN EL FORTALECIMIENTO DE CASAS DE JUSTICIA, COMISARÍAS DE FAMILIA E INSPECCIONES DE POLICÍA</v>
      </c>
      <c r="C15" s="1347"/>
      <c r="D15" s="12">
        <f>+'Seguridad Humana'!I44</f>
        <v>0.30555555555555552</v>
      </c>
      <c r="E15" s="12">
        <f>+'Seguridad Humana'!J44</f>
        <v>0.6347222222222223</v>
      </c>
      <c r="F15" s="12">
        <f t="shared" si="2"/>
        <v>0.71805555555555567</v>
      </c>
      <c r="G15" s="12">
        <f>+'Seguridad Humana'!K44</f>
        <v>0.16666666666666666</v>
      </c>
      <c r="H15" s="12">
        <f>+'Seguridad Humana'!L44</f>
        <v>0.53083333333333338</v>
      </c>
      <c r="I15" s="12">
        <f>+'Seguridad Humana'!U44</f>
        <v>0.14212121212121212</v>
      </c>
      <c r="J15" s="12">
        <f>+'Seguridad Humana'!X44</f>
        <v>8.3333333333333329E-2</v>
      </c>
      <c r="K15" s="12">
        <f>+'Seguridad Humana'!Y44</f>
        <v>0.12428571428571428</v>
      </c>
      <c r="L15" s="43">
        <f>+'Seguridad Humana'!Z44</f>
        <v>3.7499999999999999E-3</v>
      </c>
      <c r="M15" s="43">
        <f>+'Seguridad Humana'!AA44</f>
        <v>5.3666666666666668E-2</v>
      </c>
      <c r="N15" s="35"/>
      <c r="O15" s="9"/>
      <c r="P15" s="96"/>
    </row>
    <row r="16" spans="2:20" ht="46.15" customHeight="1" x14ac:dyDescent="0.55000000000000004">
      <c r="B16" s="42" t="str">
        <f>+'Seguridad Humana'!B52:C52</f>
        <v xml:space="preserve"> ATENCIÓN INTEGRAL A JÓVENES EN SITUACIÓN DE RIESGO SOCIAL</v>
      </c>
      <c r="C16" s="1347"/>
      <c r="D16" s="12">
        <f>+'Seguridad Humana'!I52</f>
        <v>0.25</v>
      </c>
      <c r="E16" s="12">
        <f>+'Seguridad Humana'!J52</f>
        <v>0.32750000000000001</v>
      </c>
      <c r="F16" s="12">
        <f t="shared" si="2"/>
        <v>0.58950000000000002</v>
      </c>
      <c r="G16" s="12">
        <f>+'Seguridad Humana'!K52</f>
        <v>0.125</v>
      </c>
      <c r="H16" s="12">
        <f>+'Seguridad Humana'!L52</f>
        <v>0.32750000000000001</v>
      </c>
      <c r="I16" s="12">
        <f>+'Seguridad Humana'!U52</f>
        <v>0.3413173652694611</v>
      </c>
      <c r="J16" s="12">
        <f>+'Seguridad Humana'!X52</f>
        <v>0.26200000000000001</v>
      </c>
      <c r="K16" s="12">
        <f>+'Seguridad Humana'!Y52</f>
        <v>0.3669</v>
      </c>
      <c r="L16" s="43">
        <f>+'Seguridad Humana'!Z52</f>
        <v>1.9650000000000001E-2</v>
      </c>
      <c r="M16" s="43">
        <f>+'Seguridad Humana'!AA52</f>
        <v>0.2359</v>
      </c>
      <c r="N16" s="35"/>
      <c r="O16" s="9"/>
      <c r="P16" s="96"/>
    </row>
    <row r="17" spans="2:16" ht="45" customHeight="1" x14ac:dyDescent="0.55000000000000004">
      <c r="B17" s="42" t="str">
        <f>+'Seguridad Humana'!B57:C57</f>
        <v>ASISTENCIA, ATENCIÓN Y REPARACIÓN EFECTIVA E INTEGRAL A LAS VÍCTIMAS DEL CONFLICTO ARMADO</v>
      </c>
      <c r="C17" s="1347"/>
      <c r="D17" s="12">
        <f>+'Seguridad Humana'!I57</f>
        <v>0.25</v>
      </c>
      <c r="E17" s="12">
        <f>+'Seguridad Humana'!J57</f>
        <v>0.29290000000000005</v>
      </c>
      <c r="F17" s="12">
        <f t="shared" si="2"/>
        <v>0.52662727272727272</v>
      </c>
      <c r="G17" s="12">
        <f>+'Seguridad Humana'!K57</f>
        <v>0.14500000000000005</v>
      </c>
      <c r="H17" s="12">
        <f>+'Seguridad Humana'!L57</f>
        <v>0.14290000000000003</v>
      </c>
      <c r="I17" s="12">
        <f>+'Seguridad Humana'!U57</f>
        <v>0.53519813519813519</v>
      </c>
      <c r="J17" s="12">
        <f>+'Seguridad Humana'!X57</f>
        <v>0.2337272727272727</v>
      </c>
      <c r="K17" s="12">
        <f>+'Seguridad Humana'!Y57</f>
        <v>0.36224999999999996</v>
      </c>
      <c r="L17" s="43">
        <f>+'Seguridad Humana'!Z57</f>
        <v>1.2710000000000006E-2</v>
      </c>
      <c r="M17" s="43">
        <f>+'Seguridad Humana'!AA57</f>
        <v>0.21375000000000002</v>
      </c>
      <c r="N17" s="35"/>
      <c r="O17" s="9"/>
      <c r="P17" s="96"/>
    </row>
    <row r="18" spans="2:16" ht="46.15" customHeight="1" x14ac:dyDescent="0.55000000000000004">
      <c r="B18" s="42" t="str">
        <f>+'Seguridad Humana'!B77:C77</f>
        <v>DERECHOS HUMANOS PARA LA VIDA DIGNA</v>
      </c>
      <c r="C18" s="1347"/>
      <c r="D18" s="12">
        <f>+'Seguridad Humana'!I77</f>
        <v>0.25</v>
      </c>
      <c r="E18" s="12">
        <f>+'Seguridad Humana'!J77</f>
        <v>0.37172965116279072</v>
      </c>
      <c r="F18" s="12">
        <f t="shared" si="2"/>
        <v>0.57094840116279078</v>
      </c>
      <c r="G18" s="12">
        <f>+'Seguridad Humana'!K77</f>
        <v>0.13750000000000001</v>
      </c>
      <c r="H18" s="12">
        <f>+'Seguridad Humana'!L77</f>
        <v>0.33712209302325585</v>
      </c>
      <c r="I18" s="12">
        <f>+'Seguridad Humana'!U77</f>
        <v>0.5</v>
      </c>
      <c r="J18" s="12">
        <f>+'Seguridad Humana'!X77</f>
        <v>0.19921875</v>
      </c>
      <c r="K18" s="12">
        <f>+'Seguridad Humana'!Y77</f>
        <v>0.27811111111111114</v>
      </c>
      <c r="L18" s="43">
        <f>+'Seguridad Humana'!Z77</f>
        <v>1.3148437499999999E-2</v>
      </c>
      <c r="M18" s="43">
        <f>+'Seguridad Humana'!AA77</f>
        <v>0.27533000000000002</v>
      </c>
      <c r="N18" s="35"/>
      <c r="O18" s="9"/>
      <c r="P18" s="96"/>
    </row>
    <row r="19" spans="2:16" ht="44.45" customHeight="1" x14ac:dyDescent="0.55000000000000004">
      <c r="B19" s="42" t="str">
        <f>+'Seguridad Humana'!B87:C87</f>
        <v>SISTEMA PENITENCIARIO Y CARCELARIO EN EL MARCO DE LOS DERECHOS HUMANOS</v>
      </c>
      <c r="C19" s="1347"/>
      <c r="D19" s="12">
        <f>+'Seguridad Humana'!I87</f>
        <v>0.25</v>
      </c>
      <c r="E19" s="12">
        <f>+'Seguridad Humana'!J87</f>
        <v>0.25</v>
      </c>
      <c r="F19" s="12">
        <f t="shared" si="2"/>
        <v>0.5</v>
      </c>
      <c r="G19" s="12">
        <f>+'Seguridad Humana'!K87</f>
        <v>0.125</v>
      </c>
      <c r="H19" s="12">
        <f>+'Seguridad Humana'!L87</f>
        <v>0.125</v>
      </c>
      <c r="I19" s="12">
        <f>+'Seguridad Humana'!U87</f>
        <v>0.5</v>
      </c>
      <c r="J19" s="12">
        <f>+'Seguridad Humana'!X87</f>
        <v>0.25</v>
      </c>
      <c r="K19" s="12">
        <f>+'Seguridad Humana'!Y87</f>
        <v>0.33333333333333331</v>
      </c>
      <c r="L19" s="43">
        <f>+'Seguridad Humana'!Z87</f>
        <v>1.2500000000000001E-2</v>
      </c>
      <c r="M19" s="43">
        <f>+'Seguridad Humana'!AA87</f>
        <v>0.1875</v>
      </c>
      <c r="N19" s="35"/>
      <c r="O19" s="9"/>
      <c r="P19" s="96"/>
    </row>
    <row r="20" spans="2:16" ht="88.9" customHeight="1" x14ac:dyDescent="0.55000000000000004">
      <c r="B20" s="40" t="str">
        <f>+'Seguridad Humana'!B91:C91</f>
        <v xml:space="preserve"> Salud Pública y Aseguramiento
</v>
      </c>
      <c r="C20" s="1347"/>
      <c r="D20" s="32">
        <f t="shared" ref="D20:G20" si="7">+(D21+D22+D23+D24+D25)/5</f>
        <v>0.23229102167182664</v>
      </c>
      <c r="E20" s="32">
        <f t="shared" si="7"/>
        <v>0.33879772961816307</v>
      </c>
      <c r="F20" s="32">
        <f t="shared" si="2"/>
        <v>0.54395347999674115</v>
      </c>
      <c r="G20" s="33">
        <f t="shared" si="7"/>
        <v>0.15700735294117646</v>
      </c>
      <c r="H20" s="33">
        <f t="shared" ref="H20" si="8">+(H21+H22+H23+H24+H25)/5</f>
        <v>0.37183088235294115</v>
      </c>
      <c r="I20" s="32">
        <f>+(I21+I22+I23+I24+I25)/5</f>
        <v>0.39703208372568849</v>
      </c>
      <c r="J20" s="32">
        <f>+(J21+J22+J23+J24+J25)/5</f>
        <v>0.20515575037857808</v>
      </c>
      <c r="K20" s="32">
        <f>+(K21+K22+K23+K24+K25)/5</f>
        <v>0.28721175892609924</v>
      </c>
      <c r="L20" s="41">
        <f>+(L21+L22+L23+L24+L25)</f>
        <v>0.19010083782604881</v>
      </c>
      <c r="M20" s="41">
        <f>+'Seguridad Humana'!AA91</f>
        <v>0.28043974578809849</v>
      </c>
      <c r="N20" s="35"/>
      <c r="O20" s="9"/>
      <c r="P20" s="96"/>
    </row>
    <row r="21" spans="2:16" ht="54" customHeight="1" x14ac:dyDescent="0.55000000000000004">
      <c r="B21" s="42" t="str">
        <f>+'Seguridad Humana'!B92:C92</f>
        <v xml:space="preserve"> SALUD CON COBERTURA, ACCESIBILIDAD, CALIDAD E INCLUSIÓN</v>
      </c>
      <c r="C21" s="1347"/>
      <c r="D21" s="12">
        <f>+'Seguridad Humana'!I92</f>
        <v>0.25</v>
      </c>
      <c r="E21" s="12">
        <f>+'Seguridad Humana'!J92</f>
        <v>0.29166666666666669</v>
      </c>
      <c r="F21" s="12">
        <f t="shared" si="2"/>
        <v>0.50460164873866309</v>
      </c>
      <c r="G21" s="12">
        <f>+'Seguridad Humana'!K92</f>
        <v>0.16250000000000003</v>
      </c>
      <c r="H21" s="12">
        <f>+'Seguridad Humana'!L92</f>
        <v>0.33750000000000002</v>
      </c>
      <c r="I21" s="12">
        <f>+'Seguridad Humana'!U92</f>
        <v>0.45893512544802872</v>
      </c>
      <c r="J21" s="12">
        <f>+'Seguridad Humana'!X92</f>
        <v>0.21293498207199635</v>
      </c>
      <c r="K21" s="12">
        <f>+'Seguridad Humana'!Y92</f>
        <v>0.32766876343400347</v>
      </c>
      <c r="L21" s="43">
        <f>+'Seguridad Humana'!Z92</f>
        <v>5.944380429531565E-2</v>
      </c>
      <c r="M21" s="43">
        <f>+'Seguridad Humana'!AA92</f>
        <v>0.25439207525236118</v>
      </c>
      <c r="N21" s="35"/>
      <c r="O21" s="9"/>
      <c r="P21" s="96"/>
    </row>
    <row r="22" spans="2:16" ht="31.15" customHeight="1" x14ac:dyDescent="0.55000000000000004">
      <c r="B22" s="42" t="s">
        <v>233</v>
      </c>
      <c r="C22" s="1347"/>
      <c r="D22" s="12">
        <f>+'Seguridad Humana'!I99</f>
        <v>0.17499999999999999</v>
      </c>
      <c r="E22" s="12">
        <f>+'Seguridad Humana'!J99</f>
        <v>0.27500000000000002</v>
      </c>
      <c r="F22" s="12">
        <f t="shared" si="2"/>
        <v>0.47331666666666672</v>
      </c>
      <c r="G22" s="12">
        <f>+'Seguridad Humana'!K99</f>
        <v>0.19</v>
      </c>
      <c r="H22" s="12">
        <f>+'Seguridad Humana'!L99</f>
        <v>0.27</v>
      </c>
      <c r="I22" s="12">
        <f>+'Seguridad Humana'!U99</f>
        <v>0.11713333333333334</v>
      </c>
      <c r="J22" s="12">
        <f>+'Seguridad Humana'!X99</f>
        <v>0.19831666666666667</v>
      </c>
      <c r="K22" s="12">
        <f>+'Seguridad Humana'!Y99</f>
        <v>0.2276</v>
      </c>
      <c r="L22" s="43">
        <f>+'Seguridad Humana'!Z99</f>
        <v>2.1048000000000001E-2</v>
      </c>
      <c r="M22" s="43">
        <f>+'Seguridad Humana'!AA99</f>
        <v>0.24562</v>
      </c>
      <c r="N22" s="35"/>
      <c r="O22" s="9"/>
      <c r="P22" s="96"/>
    </row>
    <row r="23" spans="2:16" ht="70.150000000000006" customHeight="1" x14ac:dyDescent="0.55000000000000004">
      <c r="B23" s="42" t="s">
        <v>238</v>
      </c>
      <c r="C23" s="1347"/>
      <c r="D23" s="12">
        <f>+'Seguridad Humana'!I102</f>
        <v>0.25</v>
      </c>
      <c r="E23" s="12">
        <f>+'Seguridad Humana'!J102</f>
        <v>0.625</v>
      </c>
      <c r="F23" s="12">
        <f t="shared" si="2"/>
        <v>0.74137931034482762</v>
      </c>
      <c r="G23" s="12">
        <f>+'Seguridad Humana'!K102</f>
        <v>0.05</v>
      </c>
      <c r="H23" s="12">
        <f>+'Seguridad Humana'!L102</f>
        <v>0.85000000000000009</v>
      </c>
      <c r="I23" s="12">
        <f>+'Seguridad Humana'!U102</f>
        <v>0.46551724137931033</v>
      </c>
      <c r="J23" s="12">
        <f>+'Seguridad Humana'!X102</f>
        <v>0.11637931034482758</v>
      </c>
      <c r="K23" s="12">
        <f>+'Seguridad Humana'!Y102</f>
        <v>0.23275862068965517</v>
      </c>
      <c r="L23" s="43">
        <f>+'Seguridad Humana'!Z102</f>
        <v>4.6551724137931039E-3</v>
      </c>
      <c r="M23" s="43">
        <f>+'Seguridad Humana'!AA102</f>
        <v>9.3103448275862075E-2</v>
      </c>
      <c r="N23" s="35"/>
      <c r="O23" s="9"/>
      <c r="P23" s="96"/>
    </row>
    <row r="24" spans="2:16" ht="28.9" customHeight="1" x14ac:dyDescent="0.55000000000000004">
      <c r="B24" s="42" t="s">
        <v>1954</v>
      </c>
      <c r="C24" s="1347"/>
      <c r="D24" s="12">
        <f>+'Seguridad Humana'!I105</f>
        <v>0.23645510835913311</v>
      </c>
      <c r="E24" s="12">
        <f>+'Seguridad Humana'!J105</f>
        <v>0.25232198142414858</v>
      </c>
      <c r="F24" s="12">
        <f t="shared" si="2"/>
        <v>0.50046977423354821</v>
      </c>
      <c r="G24" s="12">
        <f>+'Seguridad Humana'!K105</f>
        <v>0.2325367647058823</v>
      </c>
      <c r="H24" s="12">
        <f>+'Seguridad Humana'!L105</f>
        <v>0.25165441176470582</v>
      </c>
      <c r="I24" s="12">
        <f>+'Seguridad Humana'!U105</f>
        <v>0.44357471846777008</v>
      </c>
      <c r="J24" s="12">
        <f>+'Seguridad Humana'!X105</f>
        <v>0.24814779280939966</v>
      </c>
      <c r="K24" s="12">
        <f>+'Seguridad Humana'!Y105</f>
        <v>0.36678141050683744</v>
      </c>
      <c r="L24" s="43">
        <f>+'Seguridad Humana'!Z105</f>
        <v>9.7453861116940044E-2</v>
      </c>
      <c r="M24" s="43">
        <f>+'Seguridad Humana'!AA105</f>
        <v>0.36570043655546475</v>
      </c>
      <c r="N24" s="35"/>
      <c r="O24" s="9"/>
      <c r="P24" s="96"/>
    </row>
    <row r="25" spans="2:16" ht="46.15" customHeight="1" x14ac:dyDescent="0.55000000000000004">
      <c r="B25" s="42" t="s">
        <v>1955</v>
      </c>
      <c r="C25" s="1347"/>
      <c r="D25" s="12">
        <f>+'Seguridad Humana'!I125</f>
        <v>0.25</v>
      </c>
      <c r="E25" s="12">
        <f>+'Seguridad Humana'!J125</f>
        <v>0.25</v>
      </c>
      <c r="F25" s="12">
        <f t="shared" si="2"/>
        <v>0.5</v>
      </c>
      <c r="G25" s="12">
        <f>+'Seguridad Humana'!K125</f>
        <v>0.15</v>
      </c>
      <c r="H25" s="12">
        <f>+'Seguridad Humana'!L125</f>
        <v>0.15</v>
      </c>
      <c r="I25" s="12">
        <f>+'Seguridad Humana'!U125</f>
        <v>0.5</v>
      </c>
      <c r="J25" s="12">
        <f>+'Seguridad Humana'!X125</f>
        <v>0.25</v>
      </c>
      <c r="K25" s="12">
        <f>+'Seguridad Humana'!Y125</f>
        <v>0.28125</v>
      </c>
      <c r="L25" s="43">
        <f>+'Seguridad Humana'!Z125</f>
        <v>7.4999999999999997E-3</v>
      </c>
      <c r="M25" s="43">
        <f>+'Seguridad Humana'!AA125</f>
        <v>0.22499999999999998</v>
      </c>
      <c r="N25" s="35"/>
      <c r="O25" s="9"/>
      <c r="P25" s="96"/>
    </row>
    <row r="26" spans="2:16" ht="78.599999999999994" customHeight="1" x14ac:dyDescent="0.55000000000000004">
      <c r="B26" s="40" t="str">
        <f>+'Seguridad Humana'!B130:C130</f>
        <v xml:space="preserve">Atención Integral a Grupos de Especial Protección
</v>
      </c>
      <c r="C26" s="1347"/>
      <c r="D26" s="32">
        <f>+(D27+D28+D29+D30+D31+D32+D33)/6</f>
        <v>0.3193759495300631</v>
      </c>
      <c r="E26" s="32">
        <f>+(E27+E28+E29+E30+E31+E32+E33)/7</f>
        <v>0.34638669838232705</v>
      </c>
      <c r="F26" s="32">
        <f t="shared" si="2"/>
        <v>0.59259900218694317</v>
      </c>
      <c r="G26" s="33">
        <f>+(G27+G28+G29+G30+G31+G32+G33)/6</f>
        <v>0.17451004248744692</v>
      </c>
      <c r="H26" s="33">
        <f>+(H27+H28+H29+H30+H31+H32+H33)/7</f>
        <v>0.31558347607692649</v>
      </c>
      <c r="I26" s="32">
        <f>+(I27+I28+I29+I30+I31+I32+I33)/7</f>
        <v>0.38626405715864992</v>
      </c>
      <c r="J26" s="32">
        <f>+(J27+J28+J29+J30+J31+J32+J33)/6</f>
        <v>0.24621230380461609</v>
      </c>
      <c r="K26" s="32">
        <f>+(K27+K28+K29+K30+K31+K32+K33)/6</f>
        <v>0.34606870713027416</v>
      </c>
      <c r="L26" s="41">
        <f>+(L27+L28+L29+L30+L31+L32+L33)</f>
        <v>0.18458001541682623</v>
      </c>
      <c r="M26" s="41">
        <f>+'Seguridad Humana'!AA130</f>
        <v>0.28079297278084014</v>
      </c>
      <c r="N26" s="35"/>
      <c r="O26" s="9"/>
      <c r="P26" s="96"/>
    </row>
    <row r="27" spans="2:16" ht="42.6" customHeight="1" x14ac:dyDescent="0.55000000000000004">
      <c r="B27" s="42" t="s">
        <v>295</v>
      </c>
      <c r="C27" s="1347"/>
      <c r="D27" s="12">
        <f>+'Seguridad Humana'!I131</f>
        <v>0.33333333333333331</v>
      </c>
      <c r="E27" s="12">
        <f>+'Seguridad Humana'!J131</f>
        <v>0.3</v>
      </c>
      <c r="F27" s="12">
        <f t="shared" si="2"/>
        <v>0.52653274519154347</v>
      </c>
      <c r="G27" s="12">
        <f>+'Seguridad Humana'!K131</f>
        <v>0.21750000000000003</v>
      </c>
      <c r="H27" s="12">
        <f>+'Seguridad Humana'!L131</f>
        <v>0.21250000000000002</v>
      </c>
      <c r="I27" s="12">
        <f>+'Seguridad Humana'!U131</f>
        <v>0.29081774420565043</v>
      </c>
      <c r="J27" s="12">
        <f>+'Seguridad Humana'!X131</f>
        <v>0.22653274519154346</v>
      </c>
      <c r="K27" s="12">
        <f>+'Seguridad Humana'!Y131</f>
        <v>0.33444201468746987</v>
      </c>
      <c r="L27" s="43">
        <f>+'Seguridad Humana'!Z131</f>
        <v>3.155922746781116E-2</v>
      </c>
      <c r="M27" s="43">
        <f>+'Seguridad Humana'!AA131</f>
        <v>0.24358114655205626</v>
      </c>
      <c r="N27" s="35"/>
      <c r="O27" s="9"/>
      <c r="P27" s="96"/>
    </row>
    <row r="28" spans="2:16" ht="81" customHeight="1" x14ac:dyDescent="0.55000000000000004">
      <c r="B28" s="42" t="s">
        <v>313</v>
      </c>
      <c r="C28" s="1347"/>
      <c r="D28" s="12">
        <f>+'Seguridad Humana'!I140</f>
        <v>0.23392236384704518</v>
      </c>
      <c r="E28" s="12">
        <f>+'Seguridad Humana'!J140</f>
        <v>0.25535921205098494</v>
      </c>
      <c r="F28" s="12">
        <f t="shared" si="2"/>
        <v>0.39325028968713793</v>
      </c>
      <c r="G28" s="12">
        <f>+'Seguridad Humana'!K140</f>
        <v>0.22106025492468134</v>
      </c>
      <c r="H28" s="12">
        <f>+'Seguridad Humana'!L140</f>
        <v>0.2596465816917729</v>
      </c>
      <c r="I28" s="12">
        <f>+'Seguridad Humana'!U140</f>
        <v>0.19333333333333333</v>
      </c>
      <c r="J28" s="12">
        <f>+'Seguridad Humana'!X140</f>
        <v>0.13789107763615296</v>
      </c>
      <c r="K28" s="12">
        <f>+'Seguridad Humana'!Y140</f>
        <v>0.18829663962920046</v>
      </c>
      <c r="L28" s="43">
        <f>+'Seguridad Humana'!Z140</f>
        <v>4.9640787949015074E-2</v>
      </c>
      <c r="M28" s="43">
        <f>+'Seguridad Humana'!AA140</f>
        <v>0.33893395133256082</v>
      </c>
      <c r="N28" s="35"/>
      <c r="O28" s="9"/>
      <c r="P28" s="96"/>
    </row>
    <row r="29" spans="2:16" ht="51" customHeight="1" x14ac:dyDescent="0.55000000000000004">
      <c r="B29" s="42" t="s">
        <v>318</v>
      </c>
      <c r="C29" s="1347"/>
      <c r="D29" s="12">
        <f>+'Seguridad Humana'!I143</f>
        <v>0.25</v>
      </c>
      <c r="E29" s="12">
        <f>+'Seguridad Humana'!J143</f>
        <v>0.27083333333333337</v>
      </c>
      <c r="F29" s="12">
        <f t="shared" si="2"/>
        <v>0.47375</v>
      </c>
      <c r="G29" s="12">
        <f>+'Seguridad Humana'!K143</f>
        <v>0.25</v>
      </c>
      <c r="H29" s="12">
        <f>+'Seguridad Humana'!L143</f>
        <v>0.28000000000000003</v>
      </c>
      <c r="I29" s="12">
        <f>+'Seguridad Humana'!U143</f>
        <v>0.19117647058823528</v>
      </c>
      <c r="J29" s="12">
        <f>+'Seguridad Humana'!X143</f>
        <v>0.20291666666666666</v>
      </c>
      <c r="K29" s="12">
        <f>+'Seguridad Humana'!Y143</f>
        <v>0.25708333333333333</v>
      </c>
      <c r="L29" s="43">
        <f>+'Seguridad Humana'!Z143</f>
        <v>1.9800000000000002E-2</v>
      </c>
      <c r="M29" s="43">
        <f>+'Seguridad Humana'!AA143</f>
        <v>0.26300000000000001</v>
      </c>
      <c r="N29" s="35"/>
      <c r="O29" s="9"/>
      <c r="P29" s="96"/>
    </row>
    <row r="30" spans="2:16" ht="41.45" customHeight="1" x14ac:dyDescent="0.55000000000000004">
      <c r="B30" s="42" t="s">
        <v>327</v>
      </c>
      <c r="C30" s="1347"/>
      <c r="D30" s="12">
        <f>+'Seguridad Humana'!I148</f>
        <v>0.25</v>
      </c>
      <c r="E30" s="12">
        <f>+'Seguridad Humana'!J148</f>
        <v>0.22500000000000001</v>
      </c>
      <c r="F30" s="12">
        <f t="shared" si="2"/>
        <v>0.63333333333333341</v>
      </c>
      <c r="G30" s="12">
        <f>+'Seguridad Humana'!K148</f>
        <v>0.15000000000000002</v>
      </c>
      <c r="H30" s="12">
        <f>+'Seguridad Humana'!L148</f>
        <v>0.20374999999999999</v>
      </c>
      <c r="I30" s="12">
        <f>+'Seguridad Humana'!U148</f>
        <v>0.76136363636363635</v>
      </c>
      <c r="J30" s="12">
        <f>+'Seguridad Humana'!X148</f>
        <v>0.40833333333333338</v>
      </c>
      <c r="K30" s="12">
        <f>+'Seguridad Humana'!Y148</f>
        <v>0.46875</v>
      </c>
      <c r="L30" s="43">
        <f>+'Seguridad Humana'!Z148</f>
        <v>4.4250000000000005E-2</v>
      </c>
      <c r="M30" s="43">
        <f>+'Seguridad Humana'!AA148</f>
        <v>0.35625000000000001</v>
      </c>
      <c r="N30" s="35"/>
      <c r="O30" s="9"/>
      <c r="P30" s="96"/>
    </row>
    <row r="31" spans="2:16" ht="40.9" customHeight="1" x14ac:dyDescent="0.55000000000000004">
      <c r="B31" s="42" t="s">
        <v>1956</v>
      </c>
      <c r="C31" s="1347"/>
      <c r="D31" s="12">
        <f>+'Seguridad Humana'!I153</f>
        <v>0.625</v>
      </c>
      <c r="E31" s="12">
        <f>+'Seguridad Humana'!J153</f>
        <v>0.45611434329197087</v>
      </c>
      <c r="F31" s="12">
        <f t="shared" si="2"/>
        <v>0.70611434329197087</v>
      </c>
      <c r="G31" s="12">
        <f>+'Seguridad Humana'!K153</f>
        <v>6.25E-2</v>
      </c>
      <c r="H31" s="12">
        <f>+'Seguridad Humana'!L153</f>
        <v>0.36258775084671224</v>
      </c>
      <c r="I31" s="12">
        <f>+'Seguridad Humana'!U153</f>
        <v>0.60049054895302767</v>
      </c>
      <c r="J31" s="12">
        <f>+'Seguridad Humana'!X153</f>
        <v>0.25</v>
      </c>
      <c r="K31" s="12">
        <f>+'Seguridad Humana'!Y153</f>
        <v>0.35094025513164118</v>
      </c>
      <c r="L31" s="43">
        <f>+'Seguridad Humana'!Z153</f>
        <v>1.2500000000000002E-3</v>
      </c>
      <c r="M31" s="43">
        <f>+'Seguridad Humana'!AA153</f>
        <v>0.1863990640783334</v>
      </c>
      <c r="N31" s="35"/>
      <c r="O31" s="9"/>
      <c r="P31" s="96"/>
    </row>
    <row r="32" spans="2:16" ht="28.9" customHeight="1" x14ac:dyDescent="0.55000000000000004">
      <c r="B32" s="42" t="s">
        <v>1957</v>
      </c>
      <c r="C32" s="1347"/>
      <c r="D32" s="12">
        <f>+'Seguridad Humana'!I160</f>
        <v>0.22400000000000003</v>
      </c>
      <c r="E32" s="12">
        <f>+'Seguridad Humana'!J160</f>
        <v>0.29239999999999999</v>
      </c>
      <c r="F32" s="12">
        <f t="shared" si="2"/>
        <v>0.54400000000000004</v>
      </c>
      <c r="G32" s="12">
        <f>+'Seguridad Humana'!K160</f>
        <v>0.14599999999999999</v>
      </c>
      <c r="H32" s="12">
        <f>+'Seguridad Humana'!L160</f>
        <v>0.2656</v>
      </c>
      <c r="I32" s="12">
        <f>+'Seguridad Humana'!U160</f>
        <v>0.36666666666666664</v>
      </c>
      <c r="J32" s="12">
        <f>+'Seguridad Humana'!X160</f>
        <v>0.25159999999999999</v>
      </c>
      <c r="K32" s="12">
        <f>+'Seguridad Humana'!Y160</f>
        <v>0.3644</v>
      </c>
      <c r="L32" s="43">
        <f>+'Seguridad Humana'!Z160</f>
        <v>3.8080000000000003E-2</v>
      </c>
      <c r="M32" s="43">
        <f>+'Seguridad Humana'!AA160</f>
        <v>0.25960000000000005</v>
      </c>
      <c r="N32" s="35"/>
      <c r="O32" s="9"/>
      <c r="P32" s="96"/>
    </row>
    <row r="33" spans="2:16" ht="39.6" customHeight="1" x14ac:dyDescent="0.55000000000000004">
      <c r="B33" s="42" t="s">
        <v>1958</v>
      </c>
      <c r="C33" s="1347"/>
      <c r="D33" s="12">
        <f>+'Seguridad Humana'!I166</f>
        <v>0</v>
      </c>
      <c r="E33" s="12">
        <f>+'Seguridad Humana'!J166</f>
        <v>0.625</v>
      </c>
      <c r="F33" s="12">
        <f t="shared" si="2"/>
        <v>0.625</v>
      </c>
      <c r="G33" s="12">
        <f>+'Seguridad Humana'!K166</f>
        <v>0</v>
      </c>
      <c r="H33" s="12">
        <f>+'Seguridad Humana'!L166</f>
        <v>0.625</v>
      </c>
      <c r="I33" s="12">
        <f>+'Seguridad Humana'!U166</f>
        <v>0.3</v>
      </c>
      <c r="J33" s="12">
        <f>+'Seguridad Humana'!X166</f>
        <v>0</v>
      </c>
      <c r="K33" s="12">
        <f>+'Seguridad Humana'!Y166</f>
        <v>0.1125</v>
      </c>
      <c r="L33" s="43">
        <f>+'Seguridad Humana'!Z166</f>
        <v>0</v>
      </c>
      <c r="M33" s="43">
        <f>+'Seguridad Humana'!AA166</f>
        <v>0.11</v>
      </c>
      <c r="N33" s="35"/>
      <c r="O33" s="9"/>
      <c r="P33" s="96"/>
    </row>
    <row r="34" spans="2:16" ht="88.9" customHeight="1" x14ac:dyDescent="0.55000000000000004">
      <c r="B34" s="40" t="str">
        <f>+'Seguridad Humana'!B171:C171</f>
        <v xml:space="preserve">Superación de la pobreza extrema y soberanía alimentaria
</v>
      </c>
      <c r="C34" s="1347"/>
      <c r="D34" s="32">
        <f t="shared" ref="D34:G34" si="9">+(D35+D36+D37+D38+D39+D40+D41+D42+D43+D44+D45)/11</f>
        <v>0.15789568518161531</v>
      </c>
      <c r="E34" s="32">
        <f t="shared" si="9"/>
        <v>0.29722301951837382</v>
      </c>
      <c r="F34" s="32">
        <f t="shared" si="2"/>
        <v>0.46951250879731499</v>
      </c>
      <c r="G34" s="33">
        <f t="shared" si="9"/>
        <v>0.13500023925638274</v>
      </c>
      <c r="H34" s="33">
        <f t="shared" ref="H34:I34" si="10">+(H35+H36+H37+H38+H39+H40+H41+H42+H43+H44+H45)/11</f>
        <v>0.29944978534279126</v>
      </c>
      <c r="I34" s="32">
        <f t="shared" si="10"/>
        <v>0.38201341937174882</v>
      </c>
      <c r="J34" s="32">
        <f>+(J35+J36+J37+J38+J39+J40+J41+J42+J43+J44+J45)/11</f>
        <v>0.17228948927894114</v>
      </c>
      <c r="K34" s="32">
        <f>+(K35+K36+K37+K38+K39+K40+K41+K42+K43+K44+K45)/11</f>
        <v>0.28132744900710766</v>
      </c>
      <c r="L34" s="41">
        <f>+(L35+L36+L37+L38+L39+L40+L41+L42+L43+L44+L45)</f>
        <v>0.14750248083618644</v>
      </c>
      <c r="M34" s="41">
        <f>+'Seguridad Humana'!AA171</f>
        <v>0.2790745770380203</v>
      </c>
      <c r="N34" s="35"/>
      <c r="O34" s="9"/>
      <c r="P34" s="96"/>
    </row>
    <row r="35" spans="2:16" ht="61.9" customHeight="1" x14ac:dyDescent="0.55000000000000004">
      <c r="B35" s="42" t="s">
        <v>383</v>
      </c>
      <c r="C35" s="1347"/>
      <c r="D35" s="12">
        <f>+'Seguridad Humana'!I172</f>
        <v>0.125</v>
      </c>
      <c r="E35" s="12">
        <f>+'Seguridad Humana'!J172</f>
        <v>0.33096590909090906</v>
      </c>
      <c r="F35" s="12">
        <f t="shared" si="2"/>
        <v>0.49196590909090909</v>
      </c>
      <c r="G35" s="12">
        <f>+'Seguridad Humana'!K172</f>
        <v>8.7499999999999994E-2</v>
      </c>
      <c r="H35" s="12">
        <f>+'Seguridad Humana'!L172</f>
        <v>0.33607954545454544</v>
      </c>
      <c r="I35" s="12">
        <f>+'Seguridad Humana'!U172</f>
        <v>0.32301298701298697</v>
      </c>
      <c r="J35" s="12">
        <f>+'Seguridad Humana'!X172</f>
        <v>0.161</v>
      </c>
      <c r="K35" s="12">
        <f>+'Seguridad Humana'!Y172</f>
        <v>0.18733522727272728</v>
      </c>
      <c r="L35" s="43">
        <f>+'Seguridad Humana'!Z172</f>
        <v>5.6350000000000003E-3</v>
      </c>
      <c r="M35" s="43">
        <f>+'Seguridad Humana'!AA172</f>
        <v>0.22045113636363634</v>
      </c>
      <c r="N35" s="35"/>
      <c r="O35" s="9"/>
      <c r="P35" s="96"/>
    </row>
    <row r="36" spans="2:16" ht="45" customHeight="1" x14ac:dyDescent="0.55000000000000004">
      <c r="B36" s="42" t="s">
        <v>390</v>
      </c>
      <c r="C36" s="1347"/>
      <c r="D36" s="12">
        <f>+'Seguridad Humana'!I175</f>
        <v>0.30833333333333335</v>
      </c>
      <c r="E36" s="12">
        <f>+'Seguridad Humana'!J175</f>
        <v>0.48893333333333339</v>
      </c>
      <c r="F36" s="12">
        <f t="shared" si="2"/>
        <v>0.87200833333333339</v>
      </c>
      <c r="G36" s="12">
        <f>+'Seguridad Humana'!K175</f>
        <v>0.20500000000000002</v>
      </c>
      <c r="H36" s="12">
        <f>+'Seguridad Humana'!L175</f>
        <v>0.46671999999999997</v>
      </c>
      <c r="I36" s="12">
        <f>+'Seguridad Humana'!U175</f>
        <v>0.85490608862235551</v>
      </c>
      <c r="J36" s="12">
        <f>+'Seguridad Humana'!X175</f>
        <v>0.383075</v>
      </c>
      <c r="K36" s="12">
        <f>+'Seguridad Humana'!Y175</f>
        <v>0.70928888888888897</v>
      </c>
      <c r="L36" s="43">
        <f>+'Seguridad Humana'!Z175</f>
        <v>2.6718500000000003E-2</v>
      </c>
      <c r="M36" s="43">
        <f>+'Seguridad Humana'!AA175</f>
        <v>0.69518000000000002</v>
      </c>
      <c r="N36" s="35"/>
      <c r="O36" s="9"/>
      <c r="P36" s="96"/>
    </row>
    <row r="37" spans="2:16" ht="30.6" customHeight="1" x14ac:dyDescent="0.55000000000000004">
      <c r="B37" s="42" t="s">
        <v>1959</v>
      </c>
      <c r="C37" s="1347"/>
      <c r="D37" s="12">
        <f>+'Seguridad Humana'!I179</f>
        <v>0.1752103260310604</v>
      </c>
      <c r="E37" s="12">
        <f>+'Seguridad Humana'!J179</f>
        <v>0.31178031471767975</v>
      </c>
      <c r="F37" s="12">
        <f t="shared" si="2"/>
        <v>0.42014576416743804</v>
      </c>
      <c r="G37" s="12">
        <f>+'Seguridad Humana'!K179</f>
        <v>0.17445397511056257</v>
      </c>
      <c r="H37" s="12">
        <f>+'Seguridad Humana'!L179</f>
        <v>0.31513853748842946</v>
      </c>
      <c r="I37" s="12">
        <f>+'Seguridad Humana'!U179</f>
        <v>0.31557499999999999</v>
      </c>
      <c r="J37" s="12">
        <f>+'Seguridad Humana'!X179</f>
        <v>0.1083654494497583</v>
      </c>
      <c r="K37" s="12">
        <f>+'Seguridad Humana'!Y179</f>
        <v>0.20480867479173093</v>
      </c>
      <c r="L37" s="43">
        <f>+'Seguridad Humana'!Z179</f>
        <v>1.2047093098837808E-2</v>
      </c>
      <c r="M37" s="43">
        <f>+'Seguridad Humana'!AA179</f>
        <v>0.22222551126195619</v>
      </c>
      <c r="N37" s="35"/>
      <c r="O37" s="9"/>
      <c r="P37" s="96"/>
    </row>
    <row r="38" spans="2:16" ht="34.15" customHeight="1" x14ac:dyDescent="0.55000000000000004">
      <c r="B38" s="42" t="s">
        <v>1960</v>
      </c>
      <c r="C38" s="1347"/>
      <c r="D38" s="12">
        <f>+'Seguridad Humana'!I184</f>
        <v>4.2000000000000003E-2</v>
      </c>
      <c r="E38" s="12">
        <f>+'Seguridad Humana'!J184</f>
        <v>0.33</v>
      </c>
      <c r="F38" s="12">
        <f t="shared" si="2"/>
        <v>0.33</v>
      </c>
      <c r="G38" s="12">
        <f>+'Seguridad Humana'!K184</f>
        <v>4.2000000000000003E-2</v>
      </c>
      <c r="H38" s="12">
        <f>+'Seguridad Humana'!L184</f>
        <v>0.33</v>
      </c>
      <c r="I38" s="12">
        <f>+'Seguridad Humana'!U184</f>
        <v>0.19212121212121211</v>
      </c>
      <c r="J38" s="12">
        <f>+'Seguridad Humana'!X184</f>
        <v>0</v>
      </c>
      <c r="K38" s="12">
        <f>+'Seguridad Humana'!Y184</f>
        <v>6.3399999999999998E-2</v>
      </c>
      <c r="L38" s="43">
        <f>+'Seguridad Humana'!Z184</f>
        <v>0</v>
      </c>
      <c r="M38" s="43">
        <f>+'Seguridad Humana'!AA184</f>
        <v>6.3399999999999998E-2</v>
      </c>
      <c r="N38" s="35"/>
      <c r="O38" s="9"/>
      <c r="P38" s="96"/>
    </row>
    <row r="39" spans="2:16" ht="53.45" customHeight="1" x14ac:dyDescent="0.55000000000000004">
      <c r="B39" s="42" t="s">
        <v>1961</v>
      </c>
      <c r="C39" s="1347"/>
      <c r="D39" s="12">
        <f>+'Seguridad Humana'!I186</f>
        <v>0.13873355263157894</v>
      </c>
      <c r="E39" s="12">
        <f>+'Seguridad Humana'!J186</f>
        <v>0.30382894736842103</v>
      </c>
      <c r="F39" s="12">
        <f t="shared" si="2"/>
        <v>0.48595970394736843</v>
      </c>
      <c r="G39" s="12">
        <f>+'Seguridad Humana'!K186</f>
        <v>0.11001315789473685</v>
      </c>
      <c r="H39" s="12">
        <f>+'Seguridad Humana'!L186</f>
        <v>0.30417105263157895</v>
      </c>
      <c r="I39" s="12">
        <f>+'Seguridad Humana'!U186</f>
        <v>0.1728947209653092</v>
      </c>
      <c r="J39" s="12">
        <f>+'Seguridad Humana'!X186</f>
        <v>0.18213075657894739</v>
      </c>
      <c r="K39" s="12">
        <f>+'Seguridad Humana'!Y186</f>
        <v>0.19610328947368422</v>
      </c>
      <c r="L39" s="43">
        <f>+'Seguridad Humana'!Z186</f>
        <v>1.4271164473684213E-2</v>
      </c>
      <c r="M39" s="43">
        <f>+'Seguridad Humana'!AA186</f>
        <v>0.19356046052631579</v>
      </c>
      <c r="N39" s="35"/>
      <c r="O39" s="9"/>
      <c r="P39" s="96"/>
    </row>
    <row r="40" spans="2:16" ht="33" customHeight="1" x14ac:dyDescent="0.55000000000000004">
      <c r="B40" s="42" t="s">
        <v>421</v>
      </c>
      <c r="C40" s="1347"/>
      <c r="D40" s="12">
        <f>+'Seguridad Humana'!I192</f>
        <v>1.2500000000000001E-2</v>
      </c>
      <c r="E40" s="12">
        <f>+'Seguridad Humana'!J192</f>
        <v>0.31666666666666665</v>
      </c>
      <c r="F40" s="12">
        <f t="shared" si="2"/>
        <v>0.32916666666666666</v>
      </c>
      <c r="G40" s="12">
        <f>+'Seguridad Humana'!K192</f>
        <v>3.7499999999999999E-3</v>
      </c>
      <c r="H40" s="12">
        <f>+'Seguridad Humana'!L192</f>
        <v>0.32333333333333331</v>
      </c>
      <c r="I40" s="12">
        <f>+'Seguridad Humana'!U192</f>
        <v>4.583333333333333E-2</v>
      </c>
      <c r="J40" s="12">
        <f>+'Seguridad Humana'!X192</f>
        <v>1.2500000000000001E-2</v>
      </c>
      <c r="K40" s="12">
        <f>+'Seguridad Humana'!Y192</f>
        <v>0.02</v>
      </c>
      <c r="L40" s="43">
        <f>+'Seguridad Humana'!Z192</f>
        <v>3.7500000000000001E-4</v>
      </c>
      <c r="M40" s="43">
        <f>+'Seguridad Humana'!AA192</f>
        <v>1.2E-2</v>
      </c>
      <c r="N40" s="35"/>
      <c r="O40" s="9"/>
      <c r="P40" s="96"/>
    </row>
    <row r="41" spans="2:16" ht="53.45" customHeight="1" x14ac:dyDescent="0.55000000000000004">
      <c r="B41" s="42" t="s">
        <v>426</v>
      </c>
      <c r="C41" s="1347"/>
      <c r="D41" s="12">
        <f>+'Seguridad Humana'!I195</f>
        <v>0.19771672771672774</v>
      </c>
      <c r="E41" s="12">
        <f>+'Seguridad Humana'!J195</f>
        <v>0.28894993894993898</v>
      </c>
      <c r="F41" s="12">
        <f t="shared" si="2"/>
        <v>0.4896703296703297</v>
      </c>
      <c r="G41" s="12">
        <f>+'Seguridad Humana'!K195</f>
        <v>0.19857509157509157</v>
      </c>
      <c r="H41" s="12">
        <f>+'Seguridad Humana'!L195</f>
        <v>0.29342490842490843</v>
      </c>
      <c r="I41" s="12">
        <f>+'Seguridad Humana'!U195</f>
        <v>0.54155427103403986</v>
      </c>
      <c r="J41" s="12">
        <f>+'Seguridad Humana'!X195</f>
        <v>0.20072039072039072</v>
      </c>
      <c r="K41" s="12">
        <f>+'Seguridad Humana'!Y195</f>
        <v>0.34927960927960927</v>
      </c>
      <c r="L41" s="43">
        <f>+'Seguridad Humana'!Z195</f>
        <v>1.9708058608058607E-2</v>
      </c>
      <c r="M41" s="43">
        <f>+'Seguridad Humana'!AA195</f>
        <v>0.3579194139194139</v>
      </c>
      <c r="N41" s="35"/>
      <c r="O41" s="9"/>
      <c r="P41" s="96"/>
    </row>
    <row r="42" spans="2:16" ht="48.6" customHeight="1" x14ac:dyDescent="0.55000000000000004">
      <c r="B42" s="42" t="s">
        <v>433</v>
      </c>
      <c r="C42" s="1347"/>
      <c r="D42" s="12">
        <f>+'Seguridad Humana'!I199</f>
        <v>0.14374999999999999</v>
      </c>
      <c r="E42" s="12">
        <f>+'Seguridad Humana'!J199</f>
        <v>0.36074640522875817</v>
      </c>
      <c r="F42" s="12">
        <f t="shared" si="2"/>
        <v>0.61816307189542485</v>
      </c>
      <c r="G42" s="12">
        <f>+'Seguridad Humana'!K199</f>
        <v>6.7500000000000004E-2</v>
      </c>
      <c r="H42" s="12">
        <f>+'Seguridad Humana'!L199</f>
        <v>0.36927960784313729</v>
      </c>
      <c r="I42" s="12">
        <f>+'Seguridad Humana'!U199</f>
        <v>4.9999999999999996E-2</v>
      </c>
      <c r="J42" s="12">
        <f>+'Seguridad Humana'!X199</f>
        <v>0.25741666666666668</v>
      </c>
      <c r="K42" s="12">
        <f>+'Seguridad Humana'!Y199</f>
        <v>0.27825</v>
      </c>
      <c r="L42" s="43">
        <f>+'Seguridad Humana'!Z199</f>
        <v>1.4611666666666665E-2</v>
      </c>
      <c r="M42" s="43">
        <f>+'Seguridad Humana'!AA199</f>
        <v>0.15861666666666666</v>
      </c>
      <c r="N42" s="35"/>
      <c r="O42" s="9"/>
      <c r="P42" s="96"/>
    </row>
    <row r="43" spans="2:16" ht="60.6" customHeight="1" x14ac:dyDescent="0.55000000000000004">
      <c r="B43" s="42" t="s">
        <v>1962</v>
      </c>
      <c r="C43" s="1347"/>
      <c r="D43" s="12">
        <f>+'Seguridad Humana'!I203</f>
        <v>0.24264705882352941</v>
      </c>
      <c r="E43" s="12">
        <f>+'Seguridad Humana'!J203</f>
        <v>0.30147058823529416</v>
      </c>
      <c r="F43" s="12">
        <f t="shared" si="2"/>
        <v>0.54411764705882359</v>
      </c>
      <c r="G43" s="12">
        <f>+'Seguridad Humana'!K203</f>
        <v>0.24044117647058824</v>
      </c>
      <c r="H43" s="12">
        <f>+'Seguridad Humana'!L203</f>
        <v>0.31691176470588234</v>
      </c>
      <c r="I43" s="12">
        <f>+'Seguridad Humana'!U203</f>
        <v>1</v>
      </c>
      <c r="J43" s="12">
        <f>+'Seguridad Humana'!X203</f>
        <v>0.24264705882352941</v>
      </c>
      <c r="K43" s="12">
        <f>+'Seguridad Humana'!Y203</f>
        <v>0.57352941176470584</v>
      </c>
      <c r="L43" s="43">
        <f>+'Seguridad Humana'!Z203</f>
        <v>2.4044117647058827E-2</v>
      </c>
      <c r="M43" s="43">
        <f>+'Seguridad Humana'!AA203</f>
        <v>0.59558823529411775</v>
      </c>
      <c r="N43" s="35"/>
      <c r="O43" s="9"/>
      <c r="P43" s="96"/>
    </row>
    <row r="44" spans="2:16" ht="47.45" customHeight="1" x14ac:dyDescent="0.55000000000000004">
      <c r="B44" s="42" t="s">
        <v>445</v>
      </c>
      <c r="C44" s="1347"/>
      <c r="D44" s="12">
        <f>+'Seguridad Humana'!I206</f>
        <v>0.20833333333333331</v>
      </c>
      <c r="E44" s="12">
        <f>+'Seguridad Humana'!J206</f>
        <v>0.2361111111111111</v>
      </c>
      <c r="F44" s="12">
        <f t="shared" si="2"/>
        <v>0.34305555555555556</v>
      </c>
      <c r="G44" s="12">
        <f>+'Seguridad Humana'!K206</f>
        <v>0.2</v>
      </c>
      <c r="H44" s="12">
        <f>+'Seguridad Humana'!L206</f>
        <v>0.23888888888888887</v>
      </c>
      <c r="I44" s="12">
        <f>+'Seguridad Humana'!U206</f>
        <v>0.70625000000000004</v>
      </c>
      <c r="J44" s="12">
        <f>+'Seguridad Humana'!X206</f>
        <v>0.10694444444444444</v>
      </c>
      <c r="K44" s="12">
        <f>+'Seguridad Humana'!Y206</f>
        <v>0.27222222222222225</v>
      </c>
      <c r="L44" s="43">
        <f>+'Seguridad Humana'!Z206</f>
        <v>5.8611111111111112E-3</v>
      </c>
      <c r="M44" s="43">
        <f>+'Seguridad Humana'!AA206</f>
        <v>0.27944444444444444</v>
      </c>
      <c r="N44" s="35"/>
      <c r="O44" s="9"/>
      <c r="P44" s="96"/>
    </row>
    <row r="45" spans="2:16" ht="81" customHeight="1" x14ac:dyDescent="0.55000000000000004">
      <c r="B45" s="45" t="s">
        <v>450</v>
      </c>
      <c r="C45" s="1348"/>
      <c r="D45" s="46">
        <f>+'Seguridad Humana'!I209</f>
        <v>0.14262820512820512</v>
      </c>
      <c r="E45" s="46">
        <f>+'Seguridad Humana'!J209</f>
        <v>0</v>
      </c>
      <c r="F45" s="46">
        <f t="shared" si="2"/>
        <v>0.24038461538461539</v>
      </c>
      <c r="G45" s="46">
        <f>+'Seguridad Humana'!K209</f>
        <v>0.15576923076923077</v>
      </c>
      <c r="H45" s="46">
        <f>+'Seguridad Humana'!L209</f>
        <v>0</v>
      </c>
      <c r="I45" s="46">
        <f>+'Seguridad Humana'!U209</f>
        <v>0</v>
      </c>
      <c r="J45" s="46">
        <f>+'Seguridad Humana'!X209</f>
        <v>0.24038461538461539</v>
      </c>
      <c r="K45" s="46">
        <f>+'Seguridad Humana'!Y209</f>
        <v>0.24038461538461539</v>
      </c>
      <c r="L45" s="47">
        <f>+'Seguridad Humana'!Z209</f>
        <v>2.4230769230769233E-2</v>
      </c>
      <c r="M45" s="47">
        <f>+'Seguridad Humana'!AA209</f>
        <v>0.24230769230769231</v>
      </c>
      <c r="N45" s="35"/>
      <c r="O45" s="9"/>
      <c r="P45" s="96"/>
    </row>
    <row r="46" spans="2:16" ht="61.5" x14ac:dyDescent="0.55000000000000004">
      <c r="B46" s="48" t="str">
        <f>+'Vida Digna'!B3:C3</f>
        <v xml:space="preserve"> VIDA DIGNA
</v>
      </c>
      <c r="C46" s="1349">
        <v>0.2</v>
      </c>
      <c r="D46" s="918">
        <f>+'Vida Digna'!I3</f>
        <v>0.25323854832043019</v>
      </c>
      <c r="E46" s="918">
        <f>+'Vida Digna'!J3</f>
        <v>0.32294627239423607</v>
      </c>
      <c r="F46" s="918">
        <f t="shared" si="2"/>
        <v>0.53896320341939341</v>
      </c>
      <c r="G46" s="918">
        <f>+'Vida Digna'!K3</f>
        <v>0.20215522261646302</v>
      </c>
      <c r="H46" s="918">
        <f>+'Vida Digna'!L3</f>
        <v>0.28159073109422145</v>
      </c>
      <c r="I46" s="918">
        <f>+'Vida Digna'!U3</f>
        <v>0.37010960104289231</v>
      </c>
      <c r="J46" s="918">
        <f>+'Vida Digna'!X3</f>
        <v>0.21601693102515732</v>
      </c>
      <c r="K46" s="918">
        <f>+'Vida Digna'!Y3</f>
        <v>0.3533651236549824</v>
      </c>
      <c r="L46" s="919">
        <f>+'Vida Digna'!Z3</f>
        <v>0.17720527157842844</v>
      </c>
      <c r="M46" s="919">
        <f>+'Vida Digna'!AA3</f>
        <v>0.34160632674734986</v>
      </c>
      <c r="N46" s="35"/>
      <c r="O46" s="9"/>
      <c r="P46" s="96"/>
    </row>
    <row r="47" spans="2:16" ht="84.6" customHeight="1" x14ac:dyDescent="0.55000000000000004">
      <c r="B47" s="40" t="str">
        <f>+'Vida Digna'!B4:C4</f>
        <v xml:space="preserve"> Educación
</v>
      </c>
      <c r="C47" s="1350"/>
      <c r="D47" s="32">
        <f>+(D48+D49+D50+D51+D52+D53+D54+D55+D56+D57+D58+D59+D60+D61+D62+D63)/15</f>
        <v>0.26981900399515463</v>
      </c>
      <c r="E47" s="32">
        <f>+(E48+E49+E50+E51+E52+E53+E54+E55+E56+E57+E58+E59+E60+E61+E62+E63)/16</f>
        <v>0.26016382169667063</v>
      </c>
      <c r="F47" s="32">
        <f t="shared" si="2"/>
        <v>0.47305009896863803</v>
      </c>
      <c r="G47" s="33">
        <f>+(G48+G49+G50+G51+G52+G53+G54+G55+G56+G57+G58+G59+G60+G61+G62+G63)/15</f>
        <v>0.25378937395993473</v>
      </c>
      <c r="H47" s="33">
        <f t="shared" ref="H47" si="11">+(H48+H49+H50+H51+H52+H53+H54+H55+H56+H57+H58+H59+H60+H61+H62+H63)/15</f>
        <v>0.26852140806065733</v>
      </c>
      <c r="I47" s="33">
        <f>+(I48+I49+I50+I51+I52+I53+I54+I55+I56+I57+I58+I59+I60+I61+I62+I63)/16</f>
        <v>0.48666945748964718</v>
      </c>
      <c r="J47" s="32">
        <f>+(J48+J49+J50+J51+J52+J53+J54+J55+J56+J57+J58+J59+J60+J61+J62+J63)/15</f>
        <v>0.21288627727196741</v>
      </c>
      <c r="K47" s="32">
        <f>+(K48+K49+K50+K51+K52+K53+K54+K55+K56+K57+K58+K59+K60+K61+K62+K63)/16</f>
        <v>0.36740543241296775</v>
      </c>
      <c r="L47" s="41">
        <f>+(L48+L49+L50+L51+L52+L53+L54+L55+L56+L57+L58+L59+L60+L61+L62+L63)</f>
        <v>0.19455564139729131</v>
      </c>
      <c r="M47" s="41">
        <f>+'Vida Digna'!AA4</f>
        <v>0.33047590926273196</v>
      </c>
      <c r="N47" s="35"/>
      <c r="O47" s="9"/>
      <c r="P47" s="96"/>
    </row>
    <row r="48" spans="2:16" ht="32.450000000000003" customHeight="1" x14ac:dyDescent="0.55000000000000004">
      <c r="B48" s="42" t="s">
        <v>1963</v>
      </c>
      <c r="C48" s="1350"/>
      <c r="D48" s="12">
        <f>+'Vida Digna'!I5</f>
        <v>0.13533333333333333</v>
      </c>
      <c r="E48" s="12">
        <f>+'Vida Digna'!J5</f>
        <v>0.26333333333333325</v>
      </c>
      <c r="F48" s="12">
        <f t="shared" si="2"/>
        <v>0.3627999999999999</v>
      </c>
      <c r="G48" s="12">
        <f>+'Vida Digna'!K5</f>
        <v>0.12433333333333335</v>
      </c>
      <c r="H48" s="12">
        <f>+'Vida Digna'!L5</f>
        <v>0.25883333333333336</v>
      </c>
      <c r="I48" s="12">
        <f>+'Vida Digna'!U5</f>
        <v>0.40288175876411175</v>
      </c>
      <c r="J48" s="12">
        <f>+'Vida Digna'!X5</f>
        <v>9.9466666666666662E-2</v>
      </c>
      <c r="K48" s="12">
        <f>+'Vida Digna'!Y5</f>
        <v>0.18694444444444444</v>
      </c>
      <c r="L48" s="43">
        <f>+'Vida Digna'!Z5</f>
        <v>2.3891666666666669E-2</v>
      </c>
      <c r="M48" s="43">
        <f>+'Vida Digna'!AA5</f>
        <v>0.20516666666666664</v>
      </c>
      <c r="N48" s="35"/>
      <c r="O48" s="9"/>
      <c r="P48" s="96"/>
    </row>
    <row r="49" spans="2:16" ht="50.45" customHeight="1" x14ac:dyDescent="0.55000000000000004">
      <c r="B49" s="42" t="s">
        <v>480</v>
      </c>
      <c r="C49" s="1350"/>
      <c r="D49" s="12">
        <f>+'Vida Digna'!I12</f>
        <v>0.33035714285714285</v>
      </c>
      <c r="E49" s="12">
        <f>+'Vida Digna'!J12</f>
        <v>0.43154761904761907</v>
      </c>
      <c r="F49" s="12">
        <f t="shared" si="2"/>
        <v>0.66666666666666674</v>
      </c>
      <c r="G49" s="12">
        <f>+'Vida Digna'!K12</f>
        <v>0.33928571428571425</v>
      </c>
      <c r="H49" s="12">
        <f>+'Vida Digna'!L12</f>
        <v>0.47023809523809523</v>
      </c>
      <c r="I49" s="12">
        <f>+'Vida Digna'!U12</f>
        <v>0.7</v>
      </c>
      <c r="J49" s="12">
        <f>+'Vida Digna'!X12</f>
        <v>0.23511904761904762</v>
      </c>
      <c r="K49" s="12">
        <f>+'Vida Digna'!Y12</f>
        <v>0.48392857142857143</v>
      </c>
      <c r="L49" s="43">
        <f>+'Vida Digna'!Z12</f>
        <v>5.261904761904761E-3</v>
      </c>
      <c r="M49" s="43">
        <f>+'Vida Digna'!AA12</f>
        <v>0.51214285714285712</v>
      </c>
      <c r="N49" s="35"/>
      <c r="O49" s="9"/>
      <c r="P49" s="96"/>
    </row>
    <row r="50" spans="2:16" ht="39.6" customHeight="1" x14ac:dyDescent="0.55000000000000004">
      <c r="B50" s="42" t="s">
        <v>1964</v>
      </c>
      <c r="C50" s="1350"/>
      <c r="D50" s="12">
        <f>+'Vida Digna'!I15</f>
        <v>0.24305555555555555</v>
      </c>
      <c r="E50" s="12">
        <f>+'Vida Digna'!J15</f>
        <v>0.26562064156206416</v>
      </c>
      <c r="F50" s="12">
        <f t="shared" si="2"/>
        <v>0.51059598300484288</v>
      </c>
      <c r="G50" s="12">
        <f>+'Vida Digna'!K15</f>
        <v>0.22361111111111112</v>
      </c>
      <c r="H50" s="12">
        <f>+'Vida Digna'!L15</f>
        <v>0.2536436541143654</v>
      </c>
      <c r="I50" s="12">
        <f>+'Vida Digna'!U15</f>
        <v>0.31291326521291118</v>
      </c>
      <c r="J50" s="12">
        <f>+'Vida Digna'!X15</f>
        <v>0.24497534144277869</v>
      </c>
      <c r="K50" s="12">
        <f>+'Vida Digna'!Y15</f>
        <v>0.27357506142116461</v>
      </c>
      <c r="L50" s="43">
        <f>+'Vida Digna'!Z15</f>
        <v>2.2443072307612263E-2</v>
      </c>
      <c r="M50" s="43">
        <f>+'Vida Digna'!AA15</f>
        <v>0.33562484506455142</v>
      </c>
      <c r="N50" s="35"/>
      <c r="O50" s="9"/>
      <c r="P50" s="96"/>
    </row>
    <row r="51" spans="2:16" ht="36" x14ac:dyDescent="0.55000000000000004">
      <c r="B51" s="42" t="s">
        <v>500</v>
      </c>
      <c r="C51" s="1350"/>
      <c r="D51" s="12">
        <f>+'Vida Digna'!I21</f>
        <v>0.28974632671496775</v>
      </c>
      <c r="E51" s="12">
        <f>+'Vida Digna'!J21</f>
        <v>0.22570672713529855</v>
      </c>
      <c r="F51" s="12">
        <f t="shared" si="2"/>
        <v>0.6101491436683073</v>
      </c>
      <c r="G51" s="12">
        <f>+'Vida Digna'!K21</f>
        <v>0.28333533359143115</v>
      </c>
      <c r="H51" s="12">
        <f>+'Vida Digna'!L21</f>
        <v>0.22066402116402117</v>
      </c>
      <c r="I51" s="12">
        <f>+'Vida Digna'!U21</f>
        <v>0.64108323654665134</v>
      </c>
      <c r="J51" s="12">
        <f>+'Vida Digna'!X21</f>
        <v>0.38444241653300881</v>
      </c>
      <c r="K51" s="12">
        <f>+'Vida Digna'!Y21</f>
        <v>0.52611377504931511</v>
      </c>
      <c r="L51" s="43">
        <f>+'Vida Digna'!Z21</f>
        <v>3.9090985933668859E-2</v>
      </c>
      <c r="M51" s="43">
        <f>+'Vida Digna'!AA21</f>
        <v>0.54348507871983487</v>
      </c>
      <c r="N51" s="35"/>
      <c r="O51" s="9"/>
      <c r="P51" s="96"/>
    </row>
    <row r="52" spans="2:16" ht="21.6" customHeight="1" x14ac:dyDescent="0.55000000000000004">
      <c r="B52" s="42" t="s">
        <v>518</v>
      </c>
      <c r="C52" s="1350"/>
      <c r="D52" s="12">
        <f>+'Vida Digna'!I29</f>
        <v>0.15707666719467767</v>
      </c>
      <c r="E52" s="12">
        <f>+'Vida Digna'!J29</f>
        <v>0.26624623792174879</v>
      </c>
      <c r="F52" s="12">
        <f t="shared" si="2"/>
        <v>0.5515008712181213</v>
      </c>
      <c r="G52" s="12">
        <f>+'Vida Digna'!K29</f>
        <v>0.14557658799303025</v>
      </c>
      <c r="H52" s="12">
        <f>+'Vida Digna'!L29</f>
        <v>0.263632583557738</v>
      </c>
      <c r="I52" s="12">
        <f>+'Vida Digna'!U29</f>
        <v>1</v>
      </c>
      <c r="J52" s="12">
        <f>+'Vida Digna'!X29</f>
        <v>0.28525463329637252</v>
      </c>
      <c r="K52" s="12">
        <f>+'Vida Digna'!Y29</f>
        <v>0.600566291778869</v>
      </c>
      <c r="L52" s="43">
        <f>+'Vida Digna'!Z29</f>
        <v>1.4958914145414224E-2</v>
      </c>
      <c r="M52" s="43">
        <f>+'Vida Digna'!AA29</f>
        <v>0.60206320291462057</v>
      </c>
      <c r="N52" s="35"/>
      <c r="O52" s="9"/>
      <c r="P52" s="96"/>
    </row>
    <row r="53" spans="2:16" ht="37.15" customHeight="1" x14ac:dyDescent="0.55000000000000004">
      <c r="B53" s="42" t="s">
        <v>527</v>
      </c>
      <c r="C53" s="1350"/>
      <c r="D53" s="12">
        <f>+'Vida Digna'!I34</f>
        <v>0.44396853146853149</v>
      </c>
      <c r="E53" s="12">
        <f>+'Vida Digna'!J34</f>
        <v>0.2717074592074592</v>
      </c>
      <c r="F53" s="12">
        <f t="shared" si="2"/>
        <v>0.41523310023310023</v>
      </c>
      <c r="G53" s="12">
        <f>+'Vida Digna'!K34</f>
        <v>0.55517482517482519</v>
      </c>
      <c r="H53" s="12">
        <f>+'Vida Digna'!L34</f>
        <v>0.28403263403263401</v>
      </c>
      <c r="I53" s="12">
        <f>+'Vida Digna'!U34</f>
        <v>0.375</v>
      </c>
      <c r="J53" s="12">
        <f>+'Vida Digna'!X34</f>
        <v>0.14352564102564103</v>
      </c>
      <c r="K53" s="12">
        <f>+'Vida Digna'!Y34</f>
        <v>0.24288461538461539</v>
      </c>
      <c r="L53" s="43">
        <f>+'Vida Digna'!Z34</f>
        <v>3.6297435897435898E-3</v>
      </c>
      <c r="M53" s="43">
        <f>+'Vida Digna'!AA34</f>
        <v>0.29430769230769233</v>
      </c>
      <c r="N53" s="35"/>
      <c r="O53" s="9"/>
      <c r="P53" s="96"/>
    </row>
    <row r="54" spans="2:16" ht="36" x14ac:dyDescent="0.55000000000000004">
      <c r="B54" s="42" t="s">
        <v>1965</v>
      </c>
      <c r="C54" s="1350"/>
      <c r="D54" s="12">
        <f>+'Vida Digna'!I39</f>
        <v>0.40860215053763443</v>
      </c>
      <c r="E54" s="12">
        <f>+'Vida Digna'!J39</f>
        <v>0.19892473118279572</v>
      </c>
      <c r="F54" s="12">
        <f t="shared" si="2"/>
        <v>0.442349045274959</v>
      </c>
      <c r="G54" s="12">
        <f>+'Vida Digna'!K39</f>
        <v>0.34516129032258069</v>
      </c>
      <c r="H54" s="12">
        <f>+'Vida Digna'!L39</f>
        <v>0.21935483870967742</v>
      </c>
      <c r="I54" s="12">
        <f>+'Vida Digna'!U39</f>
        <v>0.80189258312020462</v>
      </c>
      <c r="J54" s="12">
        <f>+'Vida Digna'!X39</f>
        <v>0.24342431409216325</v>
      </c>
      <c r="K54" s="12">
        <f>+'Vida Digna'!Y39</f>
        <v>0.70913043478260873</v>
      </c>
      <c r="L54" s="43">
        <f>+'Vida Digna'!Z39</f>
        <v>9.3589740945466543E-3</v>
      </c>
      <c r="M54" s="43">
        <f>+'Vida Digna'!AA39</f>
        <v>0.56369565217391304</v>
      </c>
      <c r="N54" s="35"/>
      <c r="O54" s="9"/>
      <c r="P54" s="96"/>
    </row>
    <row r="55" spans="2:16" ht="34.15" customHeight="1" x14ac:dyDescent="0.55000000000000004">
      <c r="B55" s="42" t="s">
        <v>544</v>
      </c>
      <c r="C55" s="1350"/>
      <c r="D55" s="12">
        <f>+'Vida Digna'!I43</f>
        <v>0.40173750334135255</v>
      </c>
      <c r="E55" s="12">
        <f>+'Vida Digna'!J43</f>
        <v>0.22403635391606525</v>
      </c>
      <c r="F55" s="12">
        <f t="shared" si="2"/>
        <v>0.39633520449077786</v>
      </c>
      <c r="G55" s="12">
        <f>+'Vida Digna'!K43</f>
        <v>0.32804397219994652</v>
      </c>
      <c r="H55" s="12">
        <f>+'Vida Digna'!L43</f>
        <v>0.24091753541833738</v>
      </c>
      <c r="I55" s="12">
        <f>+'Vida Digna'!U43</f>
        <v>0.4</v>
      </c>
      <c r="J55" s="12">
        <f>+'Vida Digna'!X43</f>
        <v>0.17229885057471264</v>
      </c>
      <c r="K55" s="12">
        <f>+'Vida Digna'!Y43</f>
        <v>0.43666666666666665</v>
      </c>
      <c r="L55" s="43">
        <f>+'Vida Digna'!Z43</f>
        <v>2.7574712643678163E-3</v>
      </c>
      <c r="M55" s="43">
        <f>+'Vida Digna'!AA43</f>
        <v>0.36833333333333335</v>
      </c>
      <c r="N55" s="35"/>
      <c r="O55" s="9"/>
      <c r="P55" s="96"/>
    </row>
    <row r="56" spans="2:16" ht="25.9" customHeight="1" x14ac:dyDescent="0.55000000000000004">
      <c r="B56" s="42" t="s">
        <v>556</v>
      </c>
      <c r="C56" s="1350"/>
      <c r="D56" s="12">
        <f>+'Vida Digna'!I49</f>
        <v>0</v>
      </c>
      <c r="E56" s="12">
        <f>+'Vida Digna'!J49</f>
        <v>6.6666666666666666E-2</v>
      </c>
      <c r="F56" s="12">
        <f t="shared" si="2"/>
        <v>6.6666666666666666E-2</v>
      </c>
      <c r="G56" s="12">
        <f>+'Vida Digna'!K49</f>
        <v>0</v>
      </c>
      <c r="H56" s="12">
        <f>+'Vida Digna'!L49</f>
        <v>6.6666666666666666E-2</v>
      </c>
      <c r="I56" s="12">
        <f>+'Vida Digna'!U49</f>
        <v>0</v>
      </c>
      <c r="J56" s="12">
        <f>+'Vida Digna'!X49</f>
        <v>0</v>
      </c>
      <c r="K56" s="12">
        <f>+'Vida Digna'!Y49</f>
        <v>0</v>
      </c>
      <c r="L56" s="43">
        <f>+'Vida Digna'!Z49</f>
        <v>0</v>
      </c>
      <c r="M56" s="43">
        <f>+'Vida Digna'!AA49</f>
        <v>0</v>
      </c>
      <c r="N56" s="35"/>
      <c r="O56" s="9"/>
      <c r="P56" s="96"/>
    </row>
    <row r="57" spans="2:16" ht="55.9" customHeight="1" x14ac:dyDescent="0.55000000000000004">
      <c r="B57" s="42" t="s">
        <v>561</v>
      </c>
      <c r="C57" s="1350"/>
      <c r="D57" s="12">
        <f>+'Vida Digna'!I52</f>
        <v>0.20288161993769471</v>
      </c>
      <c r="E57" s="12">
        <f>+'Vida Digna'!J52</f>
        <v>0.21845794392523366</v>
      </c>
      <c r="F57" s="12">
        <f t="shared" si="2"/>
        <v>0.60311526479750777</v>
      </c>
      <c r="G57" s="12">
        <f>+'Vida Digna'!K52</f>
        <v>0.18177570093457943</v>
      </c>
      <c r="H57" s="12">
        <f>+'Vida Digna'!L52</f>
        <v>0.19813084112149532</v>
      </c>
      <c r="I57" s="12">
        <f>+'Vida Digna'!U52</f>
        <v>0.5</v>
      </c>
      <c r="J57" s="12">
        <f>+'Vida Digna'!X52</f>
        <v>0.38465732087227411</v>
      </c>
      <c r="K57" s="12">
        <f>+'Vida Digna'!Y52</f>
        <v>0.55188629283489099</v>
      </c>
      <c r="L57" s="43">
        <f>+'Vida Digna'!Z52</f>
        <v>7.6028037383177559E-3</v>
      </c>
      <c r="M57" s="43">
        <f>+'Vida Digna'!AA52</f>
        <v>0.60995560747663546</v>
      </c>
      <c r="N57" s="35"/>
      <c r="O57" s="9"/>
      <c r="P57" s="96"/>
    </row>
    <row r="58" spans="2:16" ht="52.9" customHeight="1" x14ac:dyDescent="0.55000000000000004">
      <c r="B58" s="42" t="s">
        <v>568</v>
      </c>
      <c r="C58" s="1350"/>
      <c r="D58" s="12">
        <f>+'Vida Digna'!I56</f>
        <v>0.19781931464174454</v>
      </c>
      <c r="E58" s="12">
        <f>+'Vida Digna'!J56</f>
        <v>0.12694704049844238</v>
      </c>
      <c r="F58" s="12">
        <f t="shared" si="2"/>
        <v>0.24143302180685361</v>
      </c>
      <c r="G58" s="12">
        <f>+'Vida Digna'!K56</f>
        <v>0.17172897196261683</v>
      </c>
      <c r="H58" s="12">
        <f>+'Vida Digna'!L56</f>
        <v>0.16542056074766354</v>
      </c>
      <c r="I58" s="12">
        <f>+'Vida Digna'!U56</f>
        <v>1</v>
      </c>
      <c r="J58" s="12">
        <f>+'Vida Digna'!X56</f>
        <v>0.11448598130841121</v>
      </c>
      <c r="K58" s="12">
        <f>+'Vida Digna'!Y56</f>
        <v>0.25809968847352027</v>
      </c>
      <c r="L58" s="43">
        <f>+'Vida Digna'!Z56</f>
        <v>2.9345794392523369E-3</v>
      </c>
      <c r="M58" s="43">
        <f>+'Vida Digna'!AA56</f>
        <v>0.33214953271028042</v>
      </c>
      <c r="N58" s="35"/>
      <c r="O58" s="9"/>
      <c r="P58" s="96"/>
    </row>
    <row r="59" spans="2:16" ht="46.9" customHeight="1" x14ac:dyDescent="0.55000000000000004">
      <c r="B59" s="42" t="s">
        <v>1966</v>
      </c>
      <c r="C59" s="1350"/>
      <c r="D59" s="12">
        <f>+'Vida Digna'!I60</f>
        <v>0.21443137254901962</v>
      </c>
      <c r="E59" s="12">
        <f>+'Vida Digna'!J60</f>
        <v>0.2941830065359477</v>
      </c>
      <c r="F59" s="12">
        <f t="shared" si="2"/>
        <v>0.48618660130718949</v>
      </c>
      <c r="G59" s="12">
        <f>+'Vida Digna'!K60</f>
        <v>0.15490686274509805</v>
      </c>
      <c r="H59" s="12">
        <f>+'Vida Digna'!L60</f>
        <v>0.28919771241830067</v>
      </c>
      <c r="I59" s="12">
        <f>+'Vida Digna'!U60</f>
        <v>0.21885714285714286</v>
      </c>
      <c r="J59" s="12">
        <f>+'Vida Digna'!X60</f>
        <v>0.19200359477124182</v>
      </c>
      <c r="K59" s="12">
        <f>+'Vida Digna'!Y60</f>
        <v>0.24628930905695609</v>
      </c>
      <c r="L59" s="43">
        <f>+'Vida Digna'!Z60</f>
        <v>1.4392630718954247E-2</v>
      </c>
      <c r="M59" s="43">
        <f>+'Vida Digna'!AA60</f>
        <v>0.18992630718954248</v>
      </c>
      <c r="N59" s="35"/>
      <c r="O59" s="9"/>
      <c r="P59" s="96"/>
    </row>
    <row r="60" spans="2:16" ht="55.15" customHeight="1" x14ac:dyDescent="0.55000000000000004">
      <c r="B60" s="42" t="s">
        <v>1967</v>
      </c>
      <c r="C60" s="1350"/>
      <c r="D60" s="12">
        <f>+'Vida Digna'!I68</f>
        <v>0.20065789473684209</v>
      </c>
      <c r="E60" s="12">
        <f>+'Vida Digna'!J68</f>
        <v>0.29276315789473684</v>
      </c>
      <c r="F60" s="12">
        <f t="shared" si="2"/>
        <v>0.42973684210526314</v>
      </c>
      <c r="G60" s="12">
        <f>+'Vida Digna'!K68</f>
        <v>0.24013157894736842</v>
      </c>
      <c r="H60" s="12">
        <f>+'Vida Digna'!L68</f>
        <v>0.25855263157894737</v>
      </c>
      <c r="I60" s="12">
        <f>+'Vida Digna'!U68</f>
        <v>0.34525</v>
      </c>
      <c r="J60" s="12">
        <f>+'Vida Digna'!X68</f>
        <v>0.1369736842105263</v>
      </c>
      <c r="K60" s="12">
        <f>+'Vida Digna'!Y68</f>
        <v>0.30759539473684211</v>
      </c>
      <c r="L60" s="43">
        <f>+'Vida Digna'!Z68</f>
        <v>3.7978947368421051E-3</v>
      </c>
      <c r="M60" s="43">
        <f>+'Vida Digna'!AA68</f>
        <v>0.32815657894736844</v>
      </c>
      <c r="N60" s="35"/>
      <c r="O60" s="9"/>
      <c r="P60" s="96"/>
    </row>
    <row r="61" spans="2:16" ht="28.9" customHeight="1" x14ac:dyDescent="0.55000000000000004">
      <c r="B61" s="42" t="s">
        <v>1968</v>
      </c>
      <c r="C61" s="1350"/>
      <c r="D61" s="12">
        <f>+'Vida Digna'!I73</f>
        <v>0.26633986928104575</v>
      </c>
      <c r="E61" s="12">
        <f>+'Vida Digna'!J73</f>
        <v>0.51470588235294124</v>
      </c>
      <c r="F61" s="12">
        <f t="shared" si="2"/>
        <v>0.62359477124183016</v>
      </c>
      <c r="G61" s="12">
        <f>+'Vida Digna'!K73</f>
        <v>0.26470588235294118</v>
      </c>
      <c r="H61" s="12">
        <f>+'Vida Digna'!L73</f>
        <v>0.4882352941176471</v>
      </c>
      <c r="I61" s="12">
        <f>+'Vida Digna'!U73</f>
        <v>0.41333333333333333</v>
      </c>
      <c r="J61" s="12">
        <f>+'Vida Digna'!X73</f>
        <v>0.10888888888888888</v>
      </c>
      <c r="K61" s="12">
        <f>+'Vida Digna'!Y73</f>
        <v>0.33398692810457514</v>
      </c>
      <c r="L61" s="43">
        <f>+'Vida Digna'!Z73</f>
        <v>1.9599999999999999E-3</v>
      </c>
      <c r="M61" s="43">
        <f>+'Vida Digna'!AA73</f>
        <v>0.30058823529411766</v>
      </c>
      <c r="N61" s="35"/>
      <c r="O61" s="9"/>
      <c r="P61" s="96"/>
    </row>
    <row r="62" spans="2:16" ht="37.15" customHeight="1" x14ac:dyDescent="0.55000000000000004">
      <c r="B62" s="42" t="s">
        <v>1969</v>
      </c>
      <c r="C62" s="1350"/>
      <c r="D62" s="12">
        <f>+'Vida Digna'!I77</f>
        <v>0.19</v>
      </c>
      <c r="E62" s="12">
        <f>+'Vida Digna'!J77</f>
        <v>0.25316323485526709</v>
      </c>
      <c r="F62" s="12">
        <f t="shared" si="2"/>
        <v>0.25316323485526709</v>
      </c>
      <c r="G62" s="12">
        <f>+'Vida Digna'!K77</f>
        <v>3.9E-2</v>
      </c>
      <c r="H62" s="12">
        <f>+'Vida Digna'!L77</f>
        <v>0.10689794091316027</v>
      </c>
      <c r="I62" s="12">
        <f>+'Vida Digna'!U77</f>
        <v>0</v>
      </c>
      <c r="J62" s="12">
        <f>+'Vida Digna'!X77</f>
        <v>0</v>
      </c>
      <c r="K62" s="12">
        <f>+'Vida Digna'!Y77</f>
        <v>0</v>
      </c>
      <c r="L62" s="43">
        <f>+'Vida Digna'!Z77</f>
        <v>0</v>
      </c>
      <c r="M62" s="43">
        <f>+'Vida Digna'!AA77</f>
        <v>0</v>
      </c>
      <c r="N62" s="35"/>
      <c r="O62" s="9"/>
      <c r="P62" s="96"/>
    </row>
    <row r="63" spans="2:16" ht="50.45" customHeight="1" x14ac:dyDescent="0.55000000000000004">
      <c r="B63" s="42" t="s">
        <v>1970</v>
      </c>
      <c r="C63" s="1350"/>
      <c r="D63" s="12">
        <f>+'Vida Digna'!I85</f>
        <v>0.36527777777777776</v>
      </c>
      <c r="E63" s="12">
        <f>+'Vida Digna'!J85</f>
        <v>0.24861111111111106</v>
      </c>
      <c r="F63" s="12">
        <f t="shared" si="2"/>
        <v>0.69638888888888884</v>
      </c>
      <c r="G63" s="12">
        <f>+'Vida Digna'!K85</f>
        <v>0.41006944444444449</v>
      </c>
      <c r="H63" s="12">
        <f>+'Vida Digna'!L85</f>
        <v>0.24340277777777775</v>
      </c>
      <c r="I63" s="12">
        <f>+'Vida Digna'!U85</f>
        <v>0.67549999999999999</v>
      </c>
      <c r="J63" s="12">
        <f>+'Vida Digna'!X85</f>
        <v>0.44777777777777777</v>
      </c>
      <c r="K63" s="12">
        <f>+'Vida Digna'!Y85</f>
        <v>0.72081944444444446</v>
      </c>
      <c r="L63" s="43">
        <f>+'Vida Digna'!Z85</f>
        <v>4.2475000000000006E-2</v>
      </c>
      <c r="M63" s="43">
        <f>+'Vida Digna'!AA85</f>
        <v>0.65644444444444439</v>
      </c>
      <c r="N63" s="35"/>
      <c r="O63" s="9"/>
      <c r="P63" s="96"/>
    </row>
    <row r="64" spans="2:16" ht="73.150000000000006" customHeight="1" x14ac:dyDescent="0.55000000000000004">
      <c r="B64" s="40" t="str">
        <f>+'Vida Digna'!B91:C91</f>
        <v xml:space="preserve"> Acceso a Servicios Básicos
</v>
      </c>
      <c r="C64" s="1350"/>
      <c r="D64" s="32">
        <f t="shared" ref="D64:G64" si="12">+(D65+D66+D67)/3</f>
        <v>0.36897145335135689</v>
      </c>
      <c r="E64" s="32">
        <f t="shared" si="12"/>
        <v>0.36088216653487343</v>
      </c>
      <c r="F64" s="32">
        <f t="shared" si="2"/>
        <v>0.48195707299092011</v>
      </c>
      <c r="G64" s="33">
        <f t="shared" si="12"/>
        <v>0.13546025296319508</v>
      </c>
      <c r="H64" s="33">
        <f t="shared" ref="H64:I64" si="13">+(H65+H66+H67)/3</f>
        <v>0.20866225707050537</v>
      </c>
      <c r="I64" s="33">
        <f t="shared" si="13"/>
        <v>0.16826839826839826</v>
      </c>
      <c r="J64" s="32">
        <f>+(J65+J66+J67)/3</f>
        <v>0.12107490645604667</v>
      </c>
      <c r="K64" s="32">
        <f>+(K65+K66+K67)/3</f>
        <v>0.21972164484441217</v>
      </c>
      <c r="L64" s="41">
        <f>+(L65+L66+L67)</f>
        <v>0.1147193821346188</v>
      </c>
      <c r="M64" s="41">
        <f>+'Vida Digna'!AA91</f>
        <v>0.22911010583729266</v>
      </c>
      <c r="N64" s="35"/>
      <c r="O64" s="9"/>
      <c r="P64" s="96"/>
    </row>
    <row r="65" spans="2:16" ht="33.6" customHeight="1" x14ac:dyDescent="0.55000000000000004">
      <c r="B65" s="42" t="s">
        <v>1971</v>
      </c>
      <c r="C65" s="1350"/>
      <c r="D65" s="12">
        <f>+'Vida Digna'!I92</f>
        <v>0.36703340767311832</v>
      </c>
      <c r="E65" s="12">
        <f>+'Vida Digna'!J92</f>
        <v>0.24232903928716013</v>
      </c>
      <c r="F65" s="12">
        <f t="shared" si="2"/>
        <v>0.40064899675053822</v>
      </c>
      <c r="G65" s="12">
        <f>+'Vida Digna'!K92</f>
        <v>0.19522004460387099</v>
      </c>
      <c r="H65" s="12">
        <f>+'Vida Digna'!L92</f>
        <v>0.2060820093067543</v>
      </c>
      <c r="I65" s="12">
        <f>+'Vida Digna'!U92</f>
        <v>0.13707792207792208</v>
      </c>
      <c r="J65" s="12">
        <f>+'Vida Digna'!X92</f>
        <v>0.1583199574633781</v>
      </c>
      <c r="K65" s="12">
        <f>+'Vida Digna'!Y92</f>
        <v>0.37070858532688733</v>
      </c>
      <c r="L65" s="43">
        <f>+'Vida Digna'!Z92</f>
        <v>5.7744382134618799E-2</v>
      </c>
      <c r="M65" s="43">
        <f>+'Vida Digna'!AA92</f>
        <v>0.40735030239226472</v>
      </c>
      <c r="N65" s="35"/>
      <c r="O65" s="9"/>
      <c r="P65" s="96"/>
    </row>
    <row r="66" spans="2:16" ht="51" customHeight="1" x14ac:dyDescent="0.55000000000000004">
      <c r="B66" s="42" t="s">
        <v>1972</v>
      </c>
      <c r="C66" s="1350"/>
      <c r="D66" s="12">
        <f>+'Vida Digna'!I101</f>
        <v>0.11488095238095238</v>
      </c>
      <c r="E66" s="12">
        <f>+'Vida Digna'!J101</f>
        <v>0.27142857142857141</v>
      </c>
      <c r="F66" s="12">
        <f t="shared" si="2"/>
        <v>0.35133333333333333</v>
      </c>
      <c r="G66" s="12">
        <f>+'Vida Digna'!K101</f>
        <v>8.6160714285714285E-2</v>
      </c>
      <c r="H66" s="12">
        <f>+'Vida Digna'!L101</f>
        <v>0.20357142857142857</v>
      </c>
      <c r="I66" s="12">
        <f>+'Vida Digna'!U101</f>
        <v>0.15939393939393939</v>
      </c>
      <c r="J66" s="12">
        <f>+'Vida Digna'!X101</f>
        <v>7.9904761904761909E-2</v>
      </c>
      <c r="K66" s="12">
        <f>+'Vida Digna'!Y101</f>
        <v>0.13151190476190477</v>
      </c>
      <c r="L66" s="43">
        <f>+'Vida Digna'!Z101</f>
        <v>2.0974999999999997E-2</v>
      </c>
      <c r="M66" s="43">
        <f>+'Vida Digna'!AA101</f>
        <v>0.11153571428571429</v>
      </c>
      <c r="N66" s="35"/>
      <c r="O66" s="9"/>
      <c r="P66" s="96"/>
    </row>
    <row r="67" spans="2:16" ht="33" customHeight="1" x14ac:dyDescent="0.55000000000000004">
      <c r="B67" s="42" t="s">
        <v>1973</v>
      </c>
      <c r="C67" s="1350"/>
      <c r="D67" s="12">
        <f>+'Vida Digna'!I106</f>
        <v>0.625</v>
      </c>
      <c r="E67" s="12">
        <f>+'Vida Digna'!J106</f>
        <v>0.56888888888888889</v>
      </c>
      <c r="F67" s="12">
        <f t="shared" si="2"/>
        <v>0.69388888888888889</v>
      </c>
      <c r="G67" s="12">
        <f>+'Vida Digna'!K106</f>
        <v>0.125</v>
      </c>
      <c r="H67" s="12">
        <f>+'Vida Digna'!L106</f>
        <v>0.21633333333333332</v>
      </c>
      <c r="I67" s="12">
        <f>+'Vida Digna'!U106</f>
        <v>0.20833333333333334</v>
      </c>
      <c r="J67" s="12">
        <f>+'Vida Digna'!X106</f>
        <v>0.125</v>
      </c>
      <c r="K67" s="12">
        <f>+'Vida Digna'!Y106</f>
        <v>0.15694444444444444</v>
      </c>
      <c r="L67" s="43">
        <f>+'Vida Digna'!Z106</f>
        <v>3.6000000000000004E-2</v>
      </c>
      <c r="M67" s="43">
        <f>+'Vida Digna'!AA106</f>
        <v>0.15833333333333335</v>
      </c>
      <c r="N67" s="35"/>
      <c r="O67" s="9"/>
      <c r="P67" s="96"/>
    </row>
    <row r="68" spans="2:16" ht="69" customHeight="1" x14ac:dyDescent="0.55000000000000004">
      <c r="B68" s="40" t="str">
        <f>+'Vida Digna'!B119:C119</f>
        <v xml:space="preserve"> Vivienda Digna y Hábitat
</v>
      </c>
      <c r="C68" s="1350"/>
      <c r="D68" s="32">
        <f t="shared" ref="D68:G68" si="14">+(D69+D70+D71+D72)/4</f>
        <v>0.17725490196078431</v>
      </c>
      <c r="E68" s="32">
        <f t="shared" si="14"/>
        <v>0.30714689542483659</v>
      </c>
      <c r="F68" s="32">
        <f t="shared" ref="F68:F131" si="15">+J68+E68</f>
        <v>0.45039542483660128</v>
      </c>
      <c r="G68" s="33">
        <f t="shared" si="14"/>
        <v>0.16792156862745097</v>
      </c>
      <c r="H68" s="33">
        <f t="shared" ref="H68:I68" si="16">+(H69+H70+H71+H72)/4</f>
        <v>0.31016911764705879</v>
      </c>
      <c r="I68" s="33">
        <f t="shared" si="16"/>
        <v>0.18074231440029903</v>
      </c>
      <c r="J68" s="32">
        <f>+(J69+J70+J71+J72)/4</f>
        <v>0.14324852941176469</v>
      </c>
      <c r="K68" s="32">
        <f>+(K69+K70+K71+K72)/4</f>
        <v>0.19891486928104574</v>
      </c>
      <c r="L68" s="41">
        <f>+(L69+L70+L71+L72)</f>
        <v>0.13347823529411765</v>
      </c>
      <c r="M68" s="41">
        <f>+'Vida Digna'!AA119</f>
        <v>0.18983784313725491</v>
      </c>
      <c r="N68" s="35"/>
      <c r="O68" s="9"/>
      <c r="P68" s="96"/>
    </row>
    <row r="69" spans="2:16" ht="42" customHeight="1" x14ac:dyDescent="0.55000000000000004">
      <c r="B69" s="42" t="s">
        <v>701</v>
      </c>
      <c r="C69" s="1350"/>
      <c r="D69" s="12">
        <f>+'Vida Digna'!I120</f>
        <v>0.04</v>
      </c>
      <c r="E69" s="12">
        <f>+'Vida Digna'!J120</f>
        <v>0.3241</v>
      </c>
      <c r="F69" s="12">
        <f t="shared" si="15"/>
        <v>0.36</v>
      </c>
      <c r="G69" s="12">
        <f>+'Vida Digna'!K120</f>
        <v>0.04</v>
      </c>
      <c r="H69" s="12">
        <f>+'Vida Digna'!L120</f>
        <v>0.3241</v>
      </c>
      <c r="I69" s="12">
        <f>+'Vida Digna'!U120</f>
        <v>5.9858068497377355E-2</v>
      </c>
      <c r="J69" s="12">
        <f>+'Vida Digna'!X120</f>
        <v>3.5900000000000001E-2</v>
      </c>
      <c r="K69" s="12">
        <f>+'Vida Digna'!Y120</f>
        <v>5.5300000000000002E-2</v>
      </c>
      <c r="L69" s="43">
        <f>+'Vida Digna'!Z120</f>
        <v>1.077E-2</v>
      </c>
      <c r="M69" s="43">
        <f>+'Vida Digna'!AA120</f>
        <v>5.5300000000000002E-2</v>
      </c>
      <c r="N69" s="35"/>
      <c r="O69" s="9"/>
      <c r="P69" s="96"/>
    </row>
    <row r="70" spans="2:16" ht="33.6" customHeight="1" x14ac:dyDescent="0.55000000000000004">
      <c r="B70" s="42" t="s">
        <v>1974</v>
      </c>
      <c r="C70" s="1350"/>
      <c r="D70" s="12">
        <f>+'Vida Digna'!I122</f>
        <v>0.21568627450980393</v>
      </c>
      <c r="E70" s="12">
        <f>+'Vida Digna'!J122</f>
        <v>0.27450980392156865</v>
      </c>
      <c r="F70" s="12">
        <f t="shared" si="15"/>
        <v>0.50047058823529411</v>
      </c>
      <c r="G70" s="12">
        <f>+'Vida Digna'!K122</f>
        <v>0.21568627450980393</v>
      </c>
      <c r="H70" s="12">
        <f>+'Vida Digna'!L122</f>
        <v>0.27450980392156865</v>
      </c>
      <c r="I70" s="12">
        <f>+'Vida Digna'!U122</f>
        <v>0.17428571428571429</v>
      </c>
      <c r="J70" s="12">
        <f>+'Vida Digna'!X122</f>
        <v>0.22596078431372549</v>
      </c>
      <c r="K70" s="12">
        <f>+'Vida Digna'!Y122</f>
        <v>0.27380392156862743</v>
      </c>
      <c r="L70" s="43">
        <f>+'Vida Digna'!Z122</f>
        <v>6.7788235294117649E-2</v>
      </c>
      <c r="M70" s="43">
        <f>+'Vida Digna'!AA122</f>
        <v>0.27380392156862743</v>
      </c>
      <c r="N70" s="35"/>
      <c r="O70" s="9"/>
      <c r="P70" s="96"/>
    </row>
    <row r="71" spans="2:16" ht="26.45" customHeight="1" x14ac:dyDescent="0.55000000000000004">
      <c r="B71" s="42" t="s">
        <v>1975</v>
      </c>
      <c r="C71" s="1350"/>
      <c r="D71" s="12">
        <f>+'Vida Digna'!I124</f>
        <v>0.33</v>
      </c>
      <c r="E71" s="12">
        <f>+'Vida Digna'!J124</f>
        <v>0.3342</v>
      </c>
      <c r="F71" s="12">
        <f t="shared" si="15"/>
        <v>0.53</v>
      </c>
      <c r="G71" s="12">
        <f>+'Vida Digna'!K124</f>
        <v>0.33</v>
      </c>
      <c r="H71" s="12">
        <f>+'Vida Digna'!L124</f>
        <v>0.3342</v>
      </c>
      <c r="I71" s="12">
        <f>+'Vida Digna'!U124</f>
        <v>0.15619389587073609</v>
      </c>
      <c r="J71" s="12">
        <f>+'Vida Digna'!X124</f>
        <v>0.1958</v>
      </c>
      <c r="K71" s="12">
        <f>+'Vida Digna'!Y124</f>
        <v>0.248</v>
      </c>
      <c r="L71" s="43">
        <f>+'Vida Digna'!Z124</f>
        <v>3.916E-2</v>
      </c>
      <c r="M71" s="43">
        <f>+'Vida Digna'!AA124</f>
        <v>0.248</v>
      </c>
      <c r="N71" s="35"/>
      <c r="O71" s="9"/>
      <c r="P71" s="96"/>
    </row>
    <row r="72" spans="2:16" ht="40.9" customHeight="1" x14ac:dyDescent="0.55000000000000004">
      <c r="B72" s="42" t="s">
        <v>711</v>
      </c>
      <c r="C72" s="1350"/>
      <c r="D72" s="12">
        <f>+'Vida Digna'!I126</f>
        <v>0.12333333333333334</v>
      </c>
      <c r="E72" s="12">
        <f>+'Vida Digna'!J126</f>
        <v>0.29577777777777775</v>
      </c>
      <c r="F72" s="12">
        <f t="shared" si="15"/>
        <v>0.41111111111111109</v>
      </c>
      <c r="G72" s="12">
        <f>+'Vida Digna'!K126</f>
        <v>8.5999999999999993E-2</v>
      </c>
      <c r="H72" s="12">
        <f>+'Vida Digna'!L126</f>
        <v>0.30786666666666662</v>
      </c>
      <c r="I72" s="12">
        <f>+'Vida Digna'!U126</f>
        <v>0.33263157894736839</v>
      </c>
      <c r="J72" s="12">
        <f>+'Vida Digna'!X126</f>
        <v>0.11533333333333333</v>
      </c>
      <c r="K72" s="12">
        <f>+'Vida Digna'!Y126</f>
        <v>0.21855555555555553</v>
      </c>
      <c r="L72" s="43">
        <f>+'Vida Digna'!Z126</f>
        <v>1.5760000000000003E-2</v>
      </c>
      <c r="M72" s="43">
        <f>+'Vida Digna'!AA126</f>
        <v>0.20753333333333332</v>
      </c>
      <c r="N72" s="35"/>
      <c r="O72" s="9"/>
      <c r="P72" s="96"/>
    </row>
    <row r="73" spans="2:16" ht="49.5" x14ac:dyDescent="0.55000000000000004">
      <c r="B73" s="40" t="str">
        <f>+'Vida Digna'!B130:C130</f>
        <v xml:space="preserve">Artes, Cultura y Patrimonio
</v>
      </c>
      <c r="C73" s="1350"/>
      <c r="D73" s="32">
        <f>+(D74+D75+D76+D77+D78+D79)/5</f>
        <v>0.22655250131358057</v>
      </c>
      <c r="E73" s="32">
        <f>+(E74+E75+E76+E77+E78+E79)/6</f>
        <v>0.40396612216494382</v>
      </c>
      <c r="F73" s="32">
        <f>+J73+E73</f>
        <v>0.6175572285863945</v>
      </c>
      <c r="G73" s="33">
        <f>+(G74+G75+G76+G77+G78+G79)/5</f>
        <v>0.2503571688629197</v>
      </c>
      <c r="H73" s="33">
        <f t="shared" ref="H73" si="17">+(H74+H75+H76+H77+H78+H79)/5</f>
        <v>0.41655725758418588</v>
      </c>
      <c r="I73" s="33">
        <f>+(I74+I75+I76+I77+I78+I79)/6</f>
        <v>0.52321879696766105</v>
      </c>
      <c r="J73" s="32">
        <f>+(J74+J75+J76+J77+J78+J79)/5</f>
        <v>0.21359110642145068</v>
      </c>
      <c r="K73" s="32">
        <f>+(K74+K75+K76+K77+K78+K79)/5</f>
        <v>0.47593529817233005</v>
      </c>
      <c r="L73" s="41">
        <f>+(L74+L75+L76+L77+L78+L79)</f>
        <v>0.17679704653535339</v>
      </c>
      <c r="M73" s="41">
        <f>+'Vida Digna'!AA130</f>
        <v>0.39505789945529213</v>
      </c>
      <c r="N73" s="35"/>
      <c r="O73" s="9"/>
      <c r="P73" s="96"/>
    </row>
    <row r="74" spans="2:16" ht="52.15" customHeight="1" x14ac:dyDescent="0.55000000000000004">
      <c r="B74" s="42" t="s">
        <v>721</v>
      </c>
      <c r="C74" s="1350"/>
      <c r="D74" s="12">
        <f>+'Vida Digna'!I131</f>
        <v>0.10484583990123605</v>
      </c>
      <c r="E74" s="12">
        <f>+'Vida Digna'!J131</f>
        <v>0.29872381632299655</v>
      </c>
      <c r="F74" s="12">
        <f t="shared" si="15"/>
        <v>0.4054293484302498</v>
      </c>
      <c r="G74" s="12">
        <f>+'Vida Digna'!K131</f>
        <v>6.9160844314598499E-2</v>
      </c>
      <c r="H74" s="12">
        <f>+'Vida Digna'!L131</f>
        <v>0.33846857958759585</v>
      </c>
      <c r="I74" s="12">
        <f>+'Vida Digna'!U131</f>
        <v>0.60270459467146309</v>
      </c>
      <c r="J74" s="12">
        <f>+'Vida Digna'!X131</f>
        <v>0.10670553210725324</v>
      </c>
      <c r="K74" s="12">
        <f>+'Vida Digna'!Y131</f>
        <v>0.40725982419498352</v>
      </c>
      <c r="L74" s="43">
        <f>+'Vida Digna'!Z131</f>
        <v>2.1309546535353403E-2</v>
      </c>
      <c r="M74" s="43">
        <f>+'Vida Digna'!AA131</f>
        <v>0.35756799818430712</v>
      </c>
      <c r="N74" s="35"/>
      <c r="O74" s="9"/>
      <c r="P74" s="96"/>
    </row>
    <row r="75" spans="2:16" ht="55.9" customHeight="1" x14ac:dyDescent="0.55000000000000004">
      <c r="B75" s="42" t="s">
        <v>744</v>
      </c>
      <c r="C75" s="1350"/>
      <c r="D75" s="12">
        <f>+'Vida Digna'!I140</f>
        <v>0.22499999999999998</v>
      </c>
      <c r="E75" s="12">
        <f>+'Vida Digna'!J140</f>
        <v>0.29166666666666663</v>
      </c>
      <c r="F75" s="12">
        <f t="shared" si="15"/>
        <v>0.66124999999999989</v>
      </c>
      <c r="G75" s="12">
        <f>+'Vida Digna'!K140</f>
        <v>0.23583333333333334</v>
      </c>
      <c r="H75" s="12">
        <f>+'Vida Digna'!L140</f>
        <v>0.27083333333333331</v>
      </c>
      <c r="I75" s="12">
        <f>+'Vida Digna'!U140</f>
        <v>0.89</v>
      </c>
      <c r="J75" s="12">
        <f>+'Vida Digna'!X140</f>
        <v>0.36958333333333332</v>
      </c>
      <c r="K75" s="12">
        <f>+'Vida Digna'!Y140</f>
        <v>0.7586666666666666</v>
      </c>
      <c r="L75" s="43">
        <f>+'Vida Digna'!Z140</f>
        <v>4.7750000000000001E-2</v>
      </c>
      <c r="M75" s="43">
        <f>+'Vida Digna'!AA140</f>
        <v>0.78400000000000003</v>
      </c>
      <c r="N75" s="35"/>
      <c r="O75" s="9"/>
      <c r="P75" s="96"/>
    </row>
    <row r="76" spans="2:16" ht="40.9" customHeight="1" x14ac:dyDescent="0.55000000000000004">
      <c r="B76" s="42" t="s">
        <v>754</v>
      </c>
      <c r="C76" s="1350"/>
      <c r="D76" s="12">
        <f>+'Vida Digna'!I145</f>
        <v>0.15208333333333332</v>
      </c>
      <c r="E76" s="12">
        <f>+'Vida Digna'!J145</f>
        <v>0.25</v>
      </c>
      <c r="F76" s="12">
        <f t="shared" si="15"/>
        <v>0.43125000000000002</v>
      </c>
      <c r="G76" s="12">
        <f>+'Vida Digna'!K145</f>
        <v>0.24379166666666666</v>
      </c>
      <c r="H76" s="12">
        <f>+'Vida Digna'!L145</f>
        <v>0.25</v>
      </c>
      <c r="I76" s="12">
        <f>+'Vida Digna'!U145</f>
        <v>0.54888888888888887</v>
      </c>
      <c r="J76" s="12">
        <f>+'Vida Digna'!X145</f>
        <v>0.18124999999999999</v>
      </c>
      <c r="K76" s="12">
        <f>+'Vida Digna'!Y145</f>
        <v>0.47875000000000001</v>
      </c>
      <c r="L76" s="43">
        <f>+'Vida Digna'!Z145</f>
        <v>2.5487500000000003E-2</v>
      </c>
      <c r="M76" s="43">
        <f>+'Vida Digna'!AA145</f>
        <v>0.52137500000000003</v>
      </c>
      <c r="N76" s="35"/>
      <c r="O76" s="9"/>
      <c r="P76" s="96"/>
    </row>
    <row r="77" spans="2:16" ht="47.45" customHeight="1" x14ac:dyDescent="0.55000000000000004">
      <c r="B77" s="42" t="s">
        <v>759</v>
      </c>
      <c r="C77" s="1350"/>
      <c r="D77" s="12">
        <f>+'Vida Digna'!I148</f>
        <v>0.21333333333333335</v>
      </c>
      <c r="E77" s="12">
        <f>+'Vida Digna'!J148</f>
        <v>0.57199999999999995</v>
      </c>
      <c r="F77" s="12">
        <f t="shared" si="15"/>
        <v>0.78866666666666663</v>
      </c>
      <c r="G77" s="12">
        <f>+'Vida Digna'!K148</f>
        <v>0.128</v>
      </c>
      <c r="H77" s="12">
        <f>+'Vida Digna'!L148</f>
        <v>0.57200000000000006</v>
      </c>
      <c r="I77" s="12">
        <f>+'Vida Digna'!U148</f>
        <v>0.65666666666666673</v>
      </c>
      <c r="J77" s="12">
        <f>+'Vida Digna'!X148</f>
        <v>0.21666666666666667</v>
      </c>
      <c r="K77" s="12">
        <f>+'Vida Digna'!Y148</f>
        <v>0.46000000000000008</v>
      </c>
      <c r="L77" s="43">
        <f>+'Vida Digna'!Z148</f>
        <v>6.5000000000000006E-3</v>
      </c>
      <c r="M77" s="43">
        <f>+'Vida Digna'!AA148</f>
        <v>0.45999999999999996</v>
      </c>
      <c r="N77" s="35"/>
      <c r="O77" s="9"/>
      <c r="P77" s="96"/>
    </row>
    <row r="78" spans="2:16" ht="51" customHeight="1" x14ac:dyDescent="0.55000000000000004">
      <c r="B78" s="42" t="s">
        <v>770</v>
      </c>
      <c r="C78" s="1350"/>
      <c r="D78" s="12">
        <f>+'Vida Digna'!I154</f>
        <v>0.4375</v>
      </c>
      <c r="E78" s="12">
        <f>+'Vida Digna'!J154</f>
        <v>0.34500000000000003</v>
      </c>
      <c r="F78" s="12">
        <f t="shared" si="15"/>
        <v>0.53875000000000006</v>
      </c>
      <c r="G78" s="12">
        <f>+'Vida Digna'!K154</f>
        <v>0.57500000000000007</v>
      </c>
      <c r="H78" s="12">
        <f>+'Vida Digna'!L154</f>
        <v>0.28500000000000003</v>
      </c>
      <c r="I78" s="12">
        <f>+'Vida Digna'!U154</f>
        <v>0.44105263157894736</v>
      </c>
      <c r="J78" s="12">
        <f>+'Vida Digna'!X154</f>
        <v>0.19375000000000001</v>
      </c>
      <c r="K78" s="12">
        <f>+'Vida Digna'!Y154</f>
        <v>0.27500000000000002</v>
      </c>
      <c r="L78" s="43">
        <f>+'Vida Digna'!Z154</f>
        <v>7.5749999999999998E-2</v>
      </c>
      <c r="M78" s="43">
        <f>+'Vida Digna'!AA154</f>
        <v>0.44750000000000006</v>
      </c>
      <c r="N78" s="35"/>
      <c r="O78" s="9"/>
      <c r="P78" s="96"/>
    </row>
    <row r="79" spans="2:16" ht="43.9" customHeight="1" x14ac:dyDescent="0.55000000000000004">
      <c r="B79" s="42" t="s">
        <v>781</v>
      </c>
      <c r="C79" s="1350"/>
      <c r="D79" s="12">
        <f>+'Vida Digna'!I160</f>
        <v>0</v>
      </c>
      <c r="E79" s="12">
        <f>+'Vida Digna'!J160</f>
        <v>0.66640624999999998</v>
      </c>
      <c r="F79" s="12">
        <f t="shared" si="15"/>
        <v>0.66640624999999998</v>
      </c>
      <c r="G79" s="12">
        <f>+'Vida Digna'!K160</f>
        <v>0</v>
      </c>
      <c r="H79" s="12">
        <f>+'Vida Digna'!L160</f>
        <v>0.36648437499999997</v>
      </c>
      <c r="I79" s="12">
        <f>+'Vida Digna'!U160</f>
        <v>0</v>
      </c>
      <c r="J79" s="12">
        <f>+'Vida Digna'!X160</f>
        <v>0</v>
      </c>
      <c r="K79" s="12">
        <f>+'Vida Digna'!Y160</f>
        <v>0</v>
      </c>
      <c r="L79" s="43">
        <f>+'Vida Digna'!Z160</f>
        <v>0</v>
      </c>
      <c r="M79" s="43">
        <f>+'Vida Digna'!AA160</f>
        <v>0</v>
      </c>
      <c r="N79" s="35"/>
      <c r="O79" s="9"/>
      <c r="P79" s="96"/>
    </row>
    <row r="80" spans="2:16" ht="66.599999999999994" customHeight="1" x14ac:dyDescent="0.55000000000000004">
      <c r="B80" s="40" t="str">
        <f>+'Vida Digna'!B164:C164</f>
        <v xml:space="preserve">Deporte y Recreación
</v>
      </c>
      <c r="C80" s="1350"/>
      <c r="D80" s="32">
        <f t="shared" ref="D80:G80" si="18">+(D81+D82+D83+D84+D85+D86+D87)/7</f>
        <v>0.23893651055292212</v>
      </c>
      <c r="E80" s="32">
        <f t="shared" si="18"/>
        <v>0.28593294105804123</v>
      </c>
      <c r="F80" s="32">
        <f t="shared" si="15"/>
        <v>0.5512547869858142</v>
      </c>
      <c r="G80" s="33">
        <f t="shared" si="18"/>
        <v>0.22368966475650506</v>
      </c>
      <c r="H80" s="33">
        <f t="shared" ref="H80:I80" si="19">+(H81+H82+H83+H84+H85+H86+H87)/7</f>
        <v>0.2870384761939736</v>
      </c>
      <c r="I80" s="33">
        <f t="shared" si="19"/>
        <v>0.54730197997129915</v>
      </c>
      <c r="J80" s="32">
        <f>+(J81+J82+J83+J84+J85+J86+J87)/7</f>
        <v>0.26532184592777297</v>
      </c>
      <c r="K80" s="32">
        <f>+(K81+K82+K83+K84+K85+K86+K87)/7</f>
        <v>0.42056134495239916</v>
      </c>
      <c r="L80" s="41">
        <f>+(L81+L82+L83+L84+L85+L86+L87)</f>
        <v>0.20257591878811407</v>
      </c>
      <c r="M80" s="41">
        <f>+'Vida Digna'!AA164</f>
        <v>0.36671416124027445</v>
      </c>
      <c r="N80" s="35"/>
      <c r="O80" s="9"/>
      <c r="P80" s="96"/>
    </row>
    <row r="81" spans="2:18" ht="57.6" customHeight="1" x14ac:dyDescent="0.55000000000000004">
      <c r="B81" s="42" t="s">
        <v>792</v>
      </c>
      <c r="C81" s="1350"/>
      <c r="D81" s="12">
        <f>+'Vida Digna'!I165</f>
        <v>0.3125</v>
      </c>
      <c r="E81" s="12">
        <f>+'Vida Digna'!J165</f>
        <v>0.39083333333333331</v>
      </c>
      <c r="F81" s="12">
        <f t="shared" si="15"/>
        <v>0.56624999999999992</v>
      </c>
      <c r="G81" s="12">
        <f>+'Vida Digna'!K165</f>
        <v>0.3125</v>
      </c>
      <c r="H81" s="12">
        <f>+'Vida Digna'!L165</f>
        <v>0.39083333333333331</v>
      </c>
      <c r="I81" s="12">
        <f>+'Vida Digna'!U165</f>
        <v>0.36957762557077622</v>
      </c>
      <c r="J81" s="12">
        <f>+'Vida Digna'!X165</f>
        <v>0.17541666666666667</v>
      </c>
      <c r="K81" s="12">
        <f>+'Vida Digna'!Y165</f>
        <v>0.33520833333333333</v>
      </c>
      <c r="L81" s="43">
        <f>+'Vida Digna'!Z165</f>
        <v>6.139583333333333E-2</v>
      </c>
      <c r="M81" s="43">
        <f>+'Vida Digna'!AA165</f>
        <v>0.33520833333333333</v>
      </c>
      <c r="N81" s="35"/>
      <c r="O81" s="9"/>
      <c r="P81" s="96"/>
    </row>
    <row r="82" spans="2:18" ht="34.9" customHeight="1" x14ac:dyDescent="0.55000000000000004">
      <c r="B82" s="42" t="s">
        <v>804</v>
      </c>
      <c r="C82" s="1350"/>
      <c r="D82" s="12">
        <f>+'Vida Digna'!I170</f>
        <v>3.2271422261484099E-2</v>
      </c>
      <c r="E82" s="12">
        <f>+'Vida Digna'!J170</f>
        <v>0.31835247349823326</v>
      </c>
      <c r="F82" s="12">
        <f t="shared" si="15"/>
        <v>0.35554880742049472</v>
      </c>
      <c r="G82" s="12">
        <f>+'Vida Digna'!K170</f>
        <v>2.6429991166077735E-2</v>
      </c>
      <c r="H82" s="12">
        <f>+'Vida Digna'!L170</f>
        <v>0.32069346289752654</v>
      </c>
      <c r="I82" s="12">
        <f>+'Vida Digna'!U170</f>
        <v>0.51474114441416896</v>
      </c>
      <c r="J82" s="12">
        <f>+'Vida Digna'!X170</f>
        <v>3.7196333922261481E-2</v>
      </c>
      <c r="K82" s="12">
        <f>+'Vida Digna'!Y170</f>
        <v>0.20138582155477031</v>
      </c>
      <c r="L82" s="43">
        <f>+'Vida Digna'!Z170</f>
        <v>5.6649734982332153E-3</v>
      </c>
      <c r="M82" s="43">
        <f>+'Vida Digna'!AA170</f>
        <v>0.20069015017667843</v>
      </c>
      <c r="N82" s="35"/>
      <c r="O82" s="9"/>
      <c r="P82" s="96"/>
    </row>
    <row r="83" spans="2:18" ht="48.6" customHeight="1" x14ac:dyDescent="0.55000000000000004">
      <c r="B83" s="42" t="s">
        <v>1976</v>
      </c>
      <c r="C83" s="1350"/>
      <c r="D83" s="12">
        <f>+'Vida Digna'!I173</f>
        <v>0.25058139534883722</v>
      </c>
      <c r="E83" s="12">
        <f>+'Vida Digna'!J173</f>
        <v>0.25058139534883722</v>
      </c>
      <c r="F83" s="12">
        <f t="shared" si="15"/>
        <v>0.58438759689922481</v>
      </c>
      <c r="G83" s="12">
        <f>+'Vida Digna'!K173</f>
        <v>0.2508139534883721</v>
      </c>
      <c r="H83" s="12">
        <f>+'Vida Digna'!L173</f>
        <v>0.2508139534883721</v>
      </c>
      <c r="I83" s="12">
        <f>+'Vida Digna'!U173</f>
        <v>0.42064814814814816</v>
      </c>
      <c r="J83" s="12">
        <f>+'Vida Digna'!X173</f>
        <v>0.33380620155038759</v>
      </c>
      <c r="K83" s="12">
        <f>+'Vida Digna'!Y173</f>
        <v>0.43916666666666665</v>
      </c>
      <c r="L83" s="43">
        <f>+'Vida Digna'!Z173</f>
        <v>3.3399534883720931E-2</v>
      </c>
      <c r="M83" s="43">
        <f>+'Vida Digna'!AA173</f>
        <v>0.43149999999999999</v>
      </c>
      <c r="N83" s="35"/>
      <c r="O83" s="9"/>
      <c r="P83" s="96"/>
    </row>
    <row r="84" spans="2:18" ht="46.9" customHeight="1" x14ac:dyDescent="0.55000000000000004">
      <c r="B84" s="42" t="s">
        <v>814</v>
      </c>
      <c r="C84" s="1350"/>
      <c r="D84" s="12">
        <f>+'Vida Digna'!I176</f>
        <v>0.40547619047619043</v>
      </c>
      <c r="E84" s="12">
        <f>+'Vida Digna'!J176</f>
        <v>0.26428571428571429</v>
      </c>
      <c r="F84" s="12">
        <f t="shared" si="15"/>
        <v>0.63182240582800286</v>
      </c>
      <c r="G84" s="12">
        <f>+'Vida Digna'!K176</f>
        <v>0.29269047619047617</v>
      </c>
      <c r="H84" s="12">
        <f>+'Vida Digna'!L176</f>
        <v>0.27214285714285719</v>
      </c>
      <c r="I84" s="12">
        <f>+'Vida Digna'!U176</f>
        <v>0.79208955223880595</v>
      </c>
      <c r="J84" s="12">
        <f>+'Vida Digna'!X176</f>
        <v>0.36753669154228857</v>
      </c>
      <c r="K84" s="12">
        <f>+'Vida Digna'!Y176</f>
        <v>0.47159459843638951</v>
      </c>
      <c r="L84" s="43">
        <f>+'Vida Digna'!Z176</f>
        <v>2.7086664889836534E-2</v>
      </c>
      <c r="M84" s="43">
        <f>+'Vida Digna'!AA176</f>
        <v>0.45982880241648899</v>
      </c>
      <c r="N84" s="35"/>
      <c r="O84" s="9"/>
      <c r="P84" s="96"/>
    </row>
    <row r="85" spans="2:18" ht="58.9" customHeight="1" x14ac:dyDescent="0.55000000000000004">
      <c r="B85" s="42" t="s">
        <v>831</v>
      </c>
      <c r="C85" s="1350"/>
      <c r="D85" s="12">
        <f>+'Vida Digna'!I182</f>
        <v>0.25409836065573771</v>
      </c>
      <c r="E85" s="12">
        <f>+'Vida Digna'!J182</f>
        <v>0.25</v>
      </c>
      <c r="F85" s="12">
        <f t="shared" si="15"/>
        <v>0.50537704918032789</v>
      </c>
      <c r="G85" s="12">
        <f>+'Vida Digna'!K182</f>
        <v>0.25409836065573771</v>
      </c>
      <c r="H85" s="12">
        <f>+'Vida Digna'!L182</f>
        <v>0.25</v>
      </c>
      <c r="I85" s="12">
        <f>+'Vida Digna'!U182</f>
        <v>0.34524590163934427</v>
      </c>
      <c r="J85" s="12">
        <f>+'Vida Digna'!X182</f>
        <v>0.25537704918032789</v>
      </c>
      <c r="K85" s="12">
        <f>+'Vida Digna'!Y182</f>
        <v>0.34168852459016391</v>
      </c>
      <c r="L85" s="43">
        <f>+'Vida Digna'!Z182</f>
        <v>2.553770491803279E-2</v>
      </c>
      <c r="M85" s="43">
        <f>+'Vida Digna'!AA182</f>
        <v>0.34168852459016391</v>
      </c>
      <c r="N85" s="35"/>
      <c r="O85" s="9"/>
      <c r="P85" s="96"/>
    </row>
    <row r="86" spans="2:18" ht="54.6" customHeight="1" x14ac:dyDescent="0.55000000000000004">
      <c r="B86" s="42" t="s">
        <v>1977</v>
      </c>
      <c r="C86" s="1350"/>
      <c r="D86" s="12">
        <f>+'Vida Digna'!I184</f>
        <v>0.25</v>
      </c>
      <c r="E86" s="12">
        <f>+'Vida Digna'!J184</f>
        <v>0.25948888888888888</v>
      </c>
      <c r="F86" s="12">
        <f t="shared" si="15"/>
        <v>0.55990277777777775</v>
      </c>
      <c r="G86" s="12">
        <f>+'Vida Digna'!K184</f>
        <v>0.25</v>
      </c>
      <c r="H86" s="12">
        <f>+'Vida Digna'!L184</f>
        <v>0.25981777777777776</v>
      </c>
      <c r="I86" s="12">
        <f>+'Vida Digna'!U184</f>
        <v>0.78631148778785076</v>
      </c>
      <c r="J86" s="12">
        <f>+'Vida Digna'!X184</f>
        <v>0.30041388888888887</v>
      </c>
      <c r="K86" s="12">
        <f>+'Vida Digna'!Y184</f>
        <v>0.50426527777777774</v>
      </c>
      <c r="L86" s="43">
        <f>+'Vida Digna'!Z184</f>
        <v>3.0235694444444447E-2</v>
      </c>
      <c r="M86" s="43">
        <f>+'Vida Digna'!AA184</f>
        <v>0.50498597222222219</v>
      </c>
      <c r="N86" s="35"/>
      <c r="O86" s="9"/>
      <c r="P86" s="96"/>
    </row>
    <row r="87" spans="2:18" ht="42" customHeight="1" x14ac:dyDescent="0.55000000000000004">
      <c r="B87" s="42" t="s">
        <v>839</v>
      </c>
      <c r="C87" s="1350"/>
      <c r="D87" s="12">
        <f>+'Vida Digna'!I187</f>
        <v>0.16762820512820512</v>
      </c>
      <c r="E87" s="12">
        <f>+'Vida Digna'!J187</f>
        <v>0.26798878205128207</v>
      </c>
      <c r="F87" s="12">
        <f t="shared" si="15"/>
        <v>0.65549487179487176</v>
      </c>
      <c r="G87" s="12">
        <f>+'Vida Digna'!K187</f>
        <v>0.1792948717948718</v>
      </c>
      <c r="H87" s="12">
        <f>+'Vida Digna'!L187</f>
        <v>0.26496794871794871</v>
      </c>
      <c r="I87" s="12">
        <f>+'Vida Digna'!U187</f>
        <v>0.60250000000000004</v>
      </c>
      <c r="J87" s="12">
        <f>+'Vida Digna'!X187</f>
        <v>0.38750608974358969</v>
      </c>
      <c r="K87" s="12">
        <f>+'Vida Digna'!Y187</f>
        <v>0.6506201923076923</v>
      </c>
      <c r="L87" s="43">
        <f>+'Vida Digna'!Z187</f>
        <v>1.9255512820512823E-2</v>
      </c>
      <c r="M87" s="43">
        <f>+'Vida Digna'!AA187</f>
        <v>0.70905769230769233</v>
      </c>
      <c r="N87" s="35"/>
      <c r="O87" s="9"/>
      <c r="P87" s="96"/>
    </row>
    <row r="88" spans="2:18" ht="66.599999999999994" customHeight="1" x14ac:dyDescent="0.55000000000000004">
      <c r="B88" s="40" t="str">
        <f>+'Vida Digna'!B192:C192</f>
        <v xml:space="preserve"> Infancia, Adolescencia y Familia
</v>
      </c>
      <c r="C88" s="1350"/>
      <c r="D88" s="32">
        <f t="shared" ref="D88:G88" si="20">+(D89+D90+D91)/3</f>
        <v>0.23789691874878258</v>
      </c>
      <c r="E88" s="32">
        <f t="shared" si="20"/>
        <v>0.31958568748605082</v>
      </c>
      <c r="F88" s="32">
        <f t="shared" si="15"/>
        <v>0.65956460814799245</v>
      </c>
      <c r="G88" s="33">
        <f t="shared" si="20"/>
        <v>0.18171330652877268</v>
      </c>
      <c r="H88" s="33">
        <f t="shared" ref="H88:I88" si="21">+(H89+H90+H91)/3</f>
        <v>0.28480466761010298</v>
      </c>
      <c r="I88" s="33">
        <f t="shared" si="21"/>
        <v>0.48272505742844724</v>
      </c>
      <c r="J88" s="32">
        <f>+(J89+J90+J91)/3</f>
        <v>0.33997892066194169</v>
      </c>
      <c r="K88" s="32">
        <f>+(K89+K90+K91)/3</f>
        <v>0.43765215226673959</v>
      </c>
      <c r="L88" s="41">
        <f>+(L89+L90+L91)</f>
        <v>0.24110540532107533</v>
      </c>
      <c r="M88" s="41">
        <f>+'Vida Digna'!AA192</f>
        <v>0.45311494603151192</v>
      </c>
      <c r="N88" s="35"/>
      <c r="O88" s="9"/>
      <c r="P88" s="96"/>
    </row>
    <row r="89" spans="2:18" ht="39.6" customHeight="1" x14ac:dyDescent="0.55000000000000004">
      <c r="B89" s="42" t="s">
        <v>850</v>
      </c>
      <c r="C89" s="1350"/>
      <c r="D89" s="12">
        <f>+'Vida Digna'!I193</f>
        <v>0.23879427591508487</v>
      </c>
      <c r="E89" s="12">
        <f>+'Vida Digna'!J193</f>
        <v>0.33623578341513416</v>
      </c>
      <c r="F89" s="12">
        <f t="shared" si="15"/>
        <v>0.66864561950378887</v>
      </c>
      <c r="G89" s="12">
        <f>+'Vida Digna'!K193</f>
        <v>0.11410989888238424</v>
      </c>
      <c r="H89" s="12">
        <f>+'Vida Digna'!L193</f>
        <v>0.33924147004908045</v>
      </c>
      <c r="I89" s="12">
        <f>+'Vida Digna'!U193</f>
        <v>0.59038095238095234</v>
      </c>
      <c r="J89" s="12">
        <f>+'Vida Digna'!X193</f>
        <v>0.33240983608865465</v>
      </c>
      <c r="K89" s="12">
        <f>+'Vida Digna'!Y193</f>
        <v>0.38980660129642308</v>
      </c>
      <c r="L89" s="43">
        <f>+'Vida Digna'!Z193</f>
        <v>8.0094974636120198E-2</v>
      </c>
      <c r="M89" s="43">
        <f>+'Vida Digna'!AA193</f>
        <v>0.44977998048607415</v>
      </c>
      <c r="N89" s="35"/>
      <c r="O89" s="9"/>
      <c r="P89" s="96"/>
    </row>
    <row r="90" spans="2:18" ht="53.45" customHeight="1" x14ac:dyDescent="0.55000000000000004">
      <c r="B90" s="42" t="s">
        <v>1978</v>
      </c>
      <c r="C90" s="1350"/>
      <c r="D90" s="12">
        <f>+'Vida Digna'!I198</f>
        <v>0.31944444444444442</v>
      </c>
      <c r="E90" s="12">
        <f>+'Vida Digna'!J198</f>
        <v>0.34074074074074073</v>
      </c>
      <c r="F90" s="12">
        <f t="shared" si="15"/>
        <v>0.59807581018518519</v>
      </c>
      <c r="G90" s="12">
        <f>+'Vida Digna'!K198</f>
        <v>0.27361111111111114</v>
      </c>
      <c r="H90" s="12">
        <f>+'Vida Digna'!L198</f>
        <v>0.2338888888888889</v>
      </c>
      <c r="I90" s="12">
        <f>+'Vida Digna'!U198</f>
        <v>0.26616666666666666</v>
      </c>
      <c r="J90" s="12">
        <f>+'Vida Digna'!X198</f>
        <v>0.25733506944444445</v>
      </c>
      <c r="K90" s="12">
        <f>+'Vida Digna'!Y198</f>
        <v>0.32634895833333333</v>
      </c>
      <c r="L90" s="43">
        <f>+'Vida Digna'!Z198</f>
        <v>5.0629340277777775E-2</v>
      </c>
      <c r="M90" s="43">
        <f>+'Vida Digna'!AA198</f>
        <v>0.28462708333333336</v>
      </c>
      <c r="N90" s="35"/>
      <c r="O90" s="9"/>
      <c r="P90" s="96"/>
    </row>
    <row r="91" spans="2:18" ht="48.6" customHeight="1" x14ac:dyDescent="0.55000000000000004">
      <c r="B91" s="45" t="s">
        <v>1979</v>
      </c>
      <c r="C91" s="1351"/>
      <c r="D91" s="46">
        <f>+'Vida Digna'!I203</f>
        <v>0.1554520358868185</v>
      </c>
      <c r="E91" s="46">
        <f>+'Vida Digna'!J203</f>
        <v>0.28178053830227745</v>
      </c>
      <c r="F91" s="46">
        <f t="shared" si="15"/>
        <v>0.7119723947550034</v>
      </c>
      <c r="G91" s="46">
        <f>+'Vida Digna'!K203</f>
        <v>0.15741890959282262</v>
      </c>
      <c r="H91" s="46">
        <f>+'Vida Digna'!L203</f>
        <v>0.28128364389233956</v>
      </c>
      <c r="I91" s="46">
        <f>+'Vida Digna'!U203</f>
        <v>0.59162755323772276</v>
      </c>
      <c r="J91" s="46">
        <f>+'Vida Digna'!X203</f>
        <v>0.43019185645272601</v>
      </c>
      <c r="K91" s="46">
        <f>+'Vida Digna'!Y203</f>
        <v>0.59680089717046236</v>
      </c>
      <c r="L91" s="47">
        <f>+'Vida Digna'!Z203</f>
        <v>0.11038109040717736</v>
      </c>
      <c r="M91" s="47">
        <f>+'Vida Digna'!AA203</f>
        <v>0.62827273982056597</v>
      </c>
      <c r="N91" s="35"/>
      <c r="O91" s="9"/>
      <c r="P91" s="96"/>
    </row>
    <row r="92" spans="2:18" ht="120" customHeight="1" x14ac:dyDescent="0.55000000000000004">
      <c r="B92" s="37" t="str">
        <f>+'Desarrollo Economico'!B3:B3</f>
        <v xml:space="preserve"> DESARROLLO ECONÓMICO EQUITATIVO
</v>
      </c>
      <c r="C92" s="1349">
        <v>0.15</v>
      </c>
      <c r="D92" s="38">
        <f>+'Desarrollo Economico'!I3</f>
        <v>0.25743535350812591</v>
      </c>
      <c r="E92" s="38">
        <f>+'Desarrollo Economico'!J3</f>
        <v>0.33540613081500453</v>
      </c>
      <c r="F92" s="38">
        <f t="shared" si="15"/>
        <v>0.57363332332876349</v>
      </c>
      <c r="G92" s="38">
        <f>+'Desarrollo Economico'!K3</f>
        <v>0.19244539710966052</v>
      </c>
      <c r="H92" s="38">
        <f>+'Desarrollo Economico'!L3</f>
        <v>0.32082908983191682</v>
      </c>
      <c r="I92" s="918">
        <f>+'Desarrollo Economico'!U3</f>
        <v>0.34213119063906233</v>
      </c>
      <c r="J92" s="38">
        <f>+'Desarrollo Economico'!X3</f>
        <v>0.23822719251375898</v>
      </c>
      <c r="K92" s="38">
        <f>+'Desarrollo Economico'!Y3</f>
        <v>0.33753168969468023</v>
      </c>
      <c r="L92" s="39">
        <f>+'Desarrollo Economico'!Z3</f>
        <v>0.20423570426118634</v>
      </c>
      <c r="M92" s="39">
        <f>+'Desarrollo Economico'!AA3</f>
        <v>0.31478839985626073</v>
      </c>
      <c r="N92" s="35"/>
      <c r="O92" s="9"/>
      <c r="P92" s="96"/>
      <c r="R92" s="13"/>
    </row>
    <row r="93" spans="2:18" ht="78.599999999999994" customHeight="1" x14ac:dyDescent="0.55000000000000004">
      <c r="B93" s="40" t="str">
        <f>+'Desarrollo Economico'!B4:B4</f>
        <v xml:space="preserve"> Competitividad e innovación
</v>
      </c>
      <c r="C93" s="1350"/>
      <c r="D93" s="32">
        <f t="shared" ref="D93:G93" si="22">+(D94+D95)/2</f>
        <v>0.32500000000000001</v>
      </c>
      <c r="E93" s="32">
        <f t="shared" si="22"/>
        <v>0.28333333333333333</v>
      </c>
      <c r="F93" s="32">
        <f t="shared" si="15"/>
        <v>0.65333333333333332</v>
      </c>
      <c r="G93" s="33">
        <f t="shared" si="22"/>
        <v>0.33750000000000002</v>
      </c>
      <c r="H93" s="33">
        <f t="shared" ref="H93" si="23">+(H94+H95)/2</f>
        <v>0.31874999999999998</v>
      </c>
      <c r="I93" s="33">
        <f>+(I94+I95)/2</f>
        <v>0.3208333333333333</v>
      </c>
      <c r="J93" s="32">
        <f>+(J94+J95)/2</f>
        <v>0.37</v>
      </c>
      <c r="K93" s="32">
        <f>+(K94+K95)/2</f>
        <v>0.45624999999999993</v>
      </c>
      <c r="L93" s="41">
        <f>+(L94+L95)</f>
        <v>0.32100000000000001</v>
      </c>
      <c r="M93" s="41">
        <f>+'Desarrollo Economico'!AA4</f>
        <v>0.42225000000000001</v>
      </c>
      <c r="N93" s="35"/>
      <c r="O93" s="9"/>
      <c r="P93" s="96"/>
    </row>
    <row r="94" spans="2:18" ht="54.6" customHeight="1" x14ac:dyDescent="0.55000000000000004">
      <c r="B94" s="42" t="s">
        <v>880</v>
      </c>
      <c r="C94" s="1350"/>
      <c r="D94" s="12">
        <f>+'Desarrollo Economico'!I5</f>
        <v>0.4</v>
      </c>
      <c r="E94" s="12">
        <f>+'Desarrollo Economico'!J5</f>
        <v>0.3</v>
      </c>
      <c r="F94" s="12">
        <f t="shared" si="15"/>
        <v>0.8</v>
      </c>
      <c r="G94" s="12">
        <f>+'Desarrollo Economico'!K5</f>
        <v>0.42499999999999999</v>
      </c>
      <c r="H94" s="12">
        <f>+'Desarrollo Economico'!L5</f>
        <v>0.36249999999999999</v>
      </c>
      <c r="I94" s="12">
        <f>+'Desarrollo Economico'!U5</f>
        <v>7.4999999999999997E-2</v>
      </c>
      <c r="J94" s="12">
        <f>+'Desarrollo Economico'!X5</f>
        <v>0.5</v>
      </c>
      <c r="K94" s="12">
        <f>+'Desarrollo Economico'!Y5</f>
        <v>0.52249999999999996</v>
      </c>
      <c r="L94" s="43">
        <f>+'Desarrollo Economico'!Z5</f>
        <v>0.18000000000000002</v>
      </c>
      <c r="M94" s="43">
        <f>+'Desarrollo Economico'!AA5</f>
        <v>0.47812500000000002</v>
      </c>
      <c r="N94" s="35"/>
      <c r="O94" s="9"/>
      <c r="P94" s="96"/>
    </row>
    <row r="95" spans="2:18" ht="50.45" customHeight="1" x14ac:dyDescent="0.55000000000000004">
      <c r="B95" s="42" t="s">
        <v>897</v>
      </c>
      <c r="C95" s="1350"/>
      <c r="D95" s="12">
        <f>+'Desarrollo Economico'!I11</f>
        <v>0.25</v>
      </c>
      <c r="E95" s="12">
        <f>+'Desarrollo Economico'!J11</f>
        <v>0.26666666666666666</v>
      </c>
      <c r="F95" s="12">
        <f t="shared" si="15"/>
        <v>0.5066666666666666</v>
      </c>
      <c r="G95" s="12">
        <f>+'Desarrollo Economico'!K11</f>
        <v>0.25</v>
      </c>
      <c r="H95" s="12">
        <f>+'Desarrollo Economico'!L11</f>
        <v>0.27500000000000002</v>
      </c>
      <c r="I95" s="12">
        <f>+'Desarrollo Economico'!U11</f>
        <v>0.56666666666666665</v>
      </c>
      <c r="J95" s="12">
        <f>+'Desarrollo Economico'!X11</f>
        <v>0.24</v>
      </c>
      <c r="K95" s="12">
        <f>+'Desarrollo Economico'!Y11</f>
        <v>0.38999999999999996</v>
      </c>
      <c r="L95" s="43">
        <f>+'Desarrollo Economico'!Z11</f>
        <v>0.14099999999999999</v>
      </c>
      <c r="M95" s="43">
        <f>+'Desarrollo Economico'!AA11</f>
        <v>0.38500000000000001</v>
      </c>
      <c r="N95" s="35"/>
      <c r="O95" s="9"/>
      <c r="P95" s="96"/>
    </row>
    <row r="96" spans="2:18" ht="93" customHeight="1" x14ac:dyDescent="0.55000000000000004">
      <c r="B96" s="40" t="str">
        <f>+'Desarrollo Economico'!B15:B15</f>
        <v xml:space="preserve"> Diversificación Económica
</v>
      </c>
      <c r="C96" s="1350"/>
      <c r="D96" s="32">
        <f t="shared" ref="D96:G96" si="24">+(D97+D98+D99+D100)/4</f>
        <v>0.28770833333333334</v>
      </c>
      <c r="E96" s="32">
        <f t="shared" si="24"/>
        <v>0.34704861111111107</v>
      </c>
      <c r="F96" s="32">
        <f t="shared" si="15"/>
        <v>0.57802777777777781</v>
      </c>
      <c r="G96" s="33">
        <f t="shared" si="24"/>
        <v>0.20433333333333331</v>
      </c>
      <c r="H96" s="33">
        <f t="shared" ref="H96:I96" si="25">+(H97+H98+H99+H100)/4</f>
        <v>0.33291666666666664</v>
      </c>
      <c r="I96" s="33">
        <f t="shared" si="25"/>
        <v>0.54458333333333331</v>
      </c>
      <c r="J96" s="32">
        <f>+(J97+J98+J99+J100)/4</f>
        <v>0.23097916666666671</v>
      </c>
      <c r="K96" s="32">
        <f>+(K97+K98+K99+K100)/4</f>
        <v>0.46802194656488555</v>
      </c>
      <c r="L96" s="41">
        <f>+(L97+L98+L99+L100)</f>
        <v>0.373</v>
      </c>
      <c r="M96" s="41">
        <f>+'Desarrollo Economico'!AA15</f>
        <v>0.57243702290076337</v>
      </c>
      <c r="N96" s="35"/>
      <c r="O96" s="9"/>
      <c r="P96" s="96"/>
    </row>
    <row r="97" spans="2:16" ht="48" customHeight="1" x14ac:dyDescent="0.55000000000000004">
      <c r="B97" s="42" t="s">
        <v>905</v>
      </c>
      <c r="C97" s="1350"/>
      <c r="D97" s="12">
        <f>+'Desarrollo Economico'!I16</f>
        <v>0.25</v>
      </c>
      <c r="E97" s="12">
        <f>+'Desarrollo Economico'!J16</f>
        <v>0.21875</v>
      </c>
      <c r="F97" s="12">
        <f t="shared" si="15"/>
        <v>0.65625</v>
      </c>
      <c r="G97" s="12">
        <f>+'Desarrollo Economico'!K16</f>
        <v>0.25</v>
      </c>
      <c r="H97" s="12">
        <f>+'Desarrollo Economico'!L16</f>
        <v>0.22500000000000001</v>
      </c>
      <c r="I97" s="12">
        <f>+'Desarrollo Economico'!U16</f>
        <v>0.745</v>
      </c>
      <c r="J97" s="12">
        <f>+'Desarrollo Economico'!X16</f>
        <v>0.4375</v>
      </c>
      <c r="K97" s="12">
        <f>+'Desarrollo Economico'!Y16</f>
        <v>0.71250000000000002</v>
      </c>
      <c r="L97" s="43">
        <f>+'Desarrollo Economico'!Z16</f>
        <v>0.17500000000000002</v>
      </c>
      <c r="M97" s="43">
        <f>+'Desarrollo Economico'!AA16</f>
        <v>0.88500000000000001</v>
      </c>
      <c r="N97" s="35"/>
      <c r="O97" s="9"/>
      <c r="P97" s="96"/>
    </row>
    <row r="98" spans="2:16" ht="48" customHeight="1" x14ac:dyDescent="0.55000000000000004">
      <c r="B98" s="42" t="s">
        <v>915</v>
      </c>
      <c r="C98" s="1350"/>
      <c r="D98" s="12">
        <f>+'Desarrollo Economico'!I21</f>
        <v>0.13416666666666666</v>
      </c>
      <c r="E98" s="12">
        <f>+'Desarrollo Economico'!J21</f>
        <v>0.15833333333333333</v>
      </c>
      <c r="F98" s="12">
        <f t="shared" si="15"/>
        <v>0.38750000000000001</v>
      </c>
      <c r="G98" s="12">
        <f>+'Desarrollo Economico'!K21</f>
        <v>0.15733333333333333</v>
      </c>
      <c r="H98" s="12">
        <f>+'Desarrollo Economico'!L21</f>
        <v>0.17666666666666667</v>
      </c>
      <c r="I98" s="12">
        <f>+'Desarrollo Economico'!U21</f>
        <v>0.48333333333333334</v>
      </c>
      <c r="J98" s="12">
        <f>+'Desarrollo Economico'!X21</f>
        <v>0.22916666666666669</v>
      </c>
      <c r="K98" s="12">
        <f>+'Desarrollo Economico'!Y21</f>
        <v>0.40858778625954201</v>
      </c>
      <c r="L98" s="43">
        <f>+'Desarrollo Economico'!Z21</f>
        <v>2.7000000000000003E-2</v>
      </c>
      <c r="M98" s="43">
        <f>+'Desarrollo Economico'!AA21</f>
        <v>0.43687022900763361</v>
      </c>
      <c r="N98" s="35"/>
      <c r="O98" s="9"/>
      <c r="P98" s="96"/>
    </row>
    <row r="99" spans="2:16" ht="48" customHeight="1" x14ac:dyDescent="0.55000000000000004">
      <c r="B99" s="42" t="s">
        <v>922</v>
      </c>
      <c r="C99" s="1350"/>
      <c r="D99" s="12">
        <f>+'Desarrollo Economico'!I24</f>
        <v>0.16666666666666666</v>
      </c>
      <c r="E99" s="12">
        <f>+'Desarrollo Economico'!J24</f>
        <v>0.41111111111111115</v>
      </c>
      <c r="F99" s="12">
        <f t="shared" si="15"/>
        <v>0.51836111111111116</v>
      </c>
      <c r="G99" s="12">
        <f>+'Desarrollo Economico'!K24</f>
        <v>4.9999999999999996E-2</v>
      </c>
      <c r="H99" s="12">
        <f>+'Desarrollo Economico'!L24</f>
        <v>0.43999999999999995</v>
      </c>
      <c r="I99" s="12">
        <f>+'Desarrollo Economico'!U24</f>
        <v>0.6</v>
      </c>
      <c r="J99" s="12">
        <f>+'Desarrollo Economico'!X24</f>
        <v>0.10725000000000001</v>
      </c>
      <c r="K99" s="12">
        <f>+'Desarrollo Economico'!Y24</f>
        <v>0.45100000000000001</v>
      </c>
      <c r="L99" s="43">
        <f>+'Desarrollo Economico'!Z24</f>
        <v>4.4999999999999998E-2</v>
      </c>
      <c r="M99" s="43">
        <f>+'Desarrollo Economico'!AA24</f>
        <v>0.29000000000000004</v>
      </c>
      <c r="N99" s="35"/>
      <c r="O99" s="9"/>
      <c r="P99" s="96"/>
    </row>
    <row r="100" spans="2:16" ht="48" customHeight="1" x14ac:dyDescent="0.55000000000000004">
      <c r="B100" s="42" t="s">
        <v>933</v>
      </c>
      <c r="C100" s="1350"/>
      <c r="D100" s="12">
        <f>+'Desarrollo Economico'!I28</f>
        <v>0.6</v>
      </c>
      <c r="E100" s="12">
        <f>+'Desarrollo Economico'!J28</f>
        <v>0.6</v>
      </c>
      <c r="F100" s="12">
        <f t="shared" si="15"/>
        <v>0.75</v>
      </c>
      <c r="G100" s="12">
        <f>+'Desarrollo Economico'!K28</f>
        <v>0.36</v>
      </c>
      <c r="H100" s="12">
        <f>+'Desarrollo Economico'!L28</f>
        <v>0.49</v>
      </c>
      <c r="I100" s="12">
        <f>+'Desarrollo Economico'!U28</f>
        <v>0.35</v>
      </c>
      <c r="J100" s="12">
        <f>+'Desarrollo Economico'!X28</f>
        <v>0.15</v>
      </c>
      <c r="K100" s="12">
        <f>+'Desarrollo Economico'!Y28</f>
        <v>0.3</v>
      </c>
      <c r="L100" s="43">
        <f>+'Desarrollo Economico'!Z28</f>
        <v>0.126</v>
      </c>
      <c r="M100" s="43">
        <f>+'Desarrollo Economico'!AA28</f>
        <v>0.63</v>
      </c>
      <c r="N100" s="35"/>
      <c r="O100" s="9"/>
      <c r="P100" s="96"/>
    </row>
    <row r="101" spans="2:16" ht="70.150000000000006" customHeight="1" x14ac:dyDescent="0.55000000000000004">
      <c r="B101" s="40" t="str">
        <f>+'Desarrollo Economico'!B33:B33</f>
        <v xml:space="preserve"> Trabajo Decente y Cierre de Brechas Laborales
</v>
      </c>
      <c r="C101" s="1350"/>
      <c r="D101" s="32">
        <f t="shared" ref="D101:G101" si="26">+(D102+D103+D104)/3</f>
        <v>0.36472934472934471</v>
      </c>
      <c r="E101" s="32">
        <f t="shared" si="26"/>
        <v>0.15683760683760684</v>
      </c>
      <c r="F101" s="32">
        <f t="shared" si="15"/>
        <v>0.44333803418803419</v>
      </c>
      <c r="G101" s="33">
        <f t="shared" si="26"/>
        <v>0.25547008547008548</v>
      </c>
      <c r="H101" s="33">
        <f t="shared" ref="H101:I101" si="27">+(H102+H103+H104)/3</f>
        <v>0.16822649572649573</v>
      </c>
      <c r="I101" s="33">
        <f t="shared" si="27"/>
        <v>0.38546365914786967</v>
      </c>
      <c r="J101" s="32">
        <f>+(J102+J103+J104)/3</f>
        <v>0.28650042735042736</v>
      </c>
      <c r="K101" s="32">
        <f>+(K102+K103+K104)/3</f>
        <v>0.37620128205128206</v>
      </c>
      <c r="L101" s="41">
        <f>+(L102+L103+L104)</f>
        <v>0.23447615384615383</v>
      </c>
      <c r="M101" s="41">
        <f>+'Desarrollo Economico'!AA33</f>
        <v>0.29591846153846157</v>
      </c>
      <c r="N101" s="35"/>
      <c r="O101" s="9"/>
      <c r="P101" s="96"/>
    </row>
    <row r="102" spans="2:16" ht="43.15" customHeight="1" x14ac:dyDescent="0.55000000000000004">
      <c r="B102" s="42" t="s">
        <v>946</v>
      </c>
      <c r="C102" s="1350"/>
      <c r="D102" s="12">
        <f>+'Desarrollo Economico'!I34</f>
        <v>8.6111111111111097E-2</v>
      </c>
      <c r="E102" s="12">
        <f>+'Desarrollo Economico'!J34</f>
        <v>8.1666666666666665E-2</v>
      </c>
      <c r="F102" s="12">
        <f t="shared" si="15"/>
        <v>0.18703333333333333</v>
      </c>
      <c r="G102" s="12">
        <f>+'Desarrollo Economico'!K34</f>
        <v>5.0833333333333328E-2</v>
      </c>
      <c r="H102" s="12">
        <f>+'Desarrollo Economico'!L34</f>
        <v>0.11583333333333333</v>
      </c>
      <c r="I102" s="12">
        <f>+'Desarrollo Economico'!U34</f>
        <v>0.33333333333333331</v>
      </c>
      <c r="J102" s="12">
        <f>+'Desarrollo Economico'!X34</f>
        <v>0.10536666666666666</v>
      </c>
      <c r="K102" s="12">
        <f>+'Desarrollo Economico'!Y34</f>
        <v>0.16369999999999998</v>
      </c>
      <c r="L102" s="43">
        <f>+'Desarrollo Economico'!Z34</f>
        <v>4.5942499999999997E-2</v>
      </c>
      <c r="M102" s="43">
        <f>+'Desarrollo Economico'!AA34</f>
        <v>0.10938500000000001</v>
      </c>
      <c r="N102" s="35"/>
      <c r="O102" s="9"/>
      <c r="P102" s="96"/>
    </row>
    <row r="103" spans="2:16" ht="31.15" customHeight="1" x14ac:dyDescent="0.55000000000000004">
      <c r="B103" s="42" t="s">
        <v>965</v>
      </c>
      <c r="C103" s="1350"/>
      <c r="D103" s="12">
        <f>+'Desarrollo Economico'!I40</f>
        <v>0.58499999999999996</v>
      </c>
      <c r="E103" s="12">
        <f>+'Desarrollo Economico'!J40</f>
        <v>0.23500000000000001</v>
      </c>
      <c r="F103" s="12">
        <f t="shared" si="15"/>
        <v>0.54375000000000007</v>
      </c>
      <c r="G103" s="12">
        <f>+'Desarrollo Economico'!K40</f>
        <v>0.29249999999999998</v>
      </c>
      <c r="H103" s="12">
        <f>+'Desarrollo Economico'!L40</f>
        <v>0.23500000000000001</v>
      </c>
      <c r="I103" s="12">
        <f>+'Desarrollo Economico'!U40</f>
        <v>0.62305764411027564</v>
      </c>
      <c r="J103" s="12">
        <f>+'Desarrollo Economico'!X40</f>
        <v>0.30875000000000002</v>
      </c>
      <c r="K103" s="12">
        <f>+'Desarrollo Economico'!Y40</f>
        <v>0.48875000000000002</v>
      </c>
      <c r="L103" s="43">
        <f>+'Desarrollo Economico'!Z40</f>
        <v>7.7187500000000006E-2</v>
      </c>
      <c r="M103" s="43">
        <f>+'Desarrollo Economico'!AA40</f>
        <v>0.48875000000000002</v>
      </c>
      <c r="N103" s="35"/>
      <c r="O103" s="9"/>
      <c r="P103" s="96"/>
    </row>
    <row r="104" spans="2:16" ht="51.6" customHeight="1" x14ac:dyDescent="0.55000000000000004">
      <c r="B104" s="42" t="s">
        <v>971</v>
      </c>
      <c r="C104" s="1350"/>
      <c r="D104" s="12">
        <f>+'Desarrollo Economico'!I43</f>
        <v>0.42307692307692307</v>
      </c>
      <c r="E104" s="12">
        <f>+'Desarrollo Economico'!J43</f>
        <v>0.15384615384615385</v>
      </c>
      <c r="F104" s="12">
        <f t="shared" si="15"/>
        <v>0.59923076923076923</v>
      </c>
      <c r="G104" s="12">
        <f>+'Desarrollo Economico'!K43</f>
        <v>0.42307692307692307</v>
      </c>
      <c r="H104" s="12">
        <f>+'Desarrollo Economico'!L43</f>
        <v>0.15384615384615385</v>
      </c>
      <c r="I104" s="12">
        <f>+'Desarrollo Economico'!U43</f>
        <v>0.2</v>
      </c>
      <c r="J104" s="12">
        <f>+'Desarrollo Economico'!X43</f>
        <v>0.44538461538461538</v>
      </c>
      <c r="K104" s="12">
        <f>+'Desarrollo Economico'!Y43</f>
        <v>0.47615384615384615</v>
      </c>
      <c r="L104" s="43">
        <f>+'Desarrollo Economico'!Z43</f>
        <v>0.11134615384615384</v>
      </c>
      <c r="M104" s="43">
        <f>+'Desarrollo Economico'!AA43</f>
        <v>0.47615384615384615</v>
      </c>
      <c r="N104" s="35"/>
      <c r="O104" s="9"/>
      <c r="P104" s="96"/>
    </row>
    <row r="105" spans="2:16" ht="49.5" x14ac:dyDescent="0.55000000000000004">
      <c r="B105" s="40" t="str">
        <f>+'Desarrollo Economico'!B45:B45</f>
        <v xml:space="preserve"> Economía Popular y Emprendimiento
</v>
      </c>
      <c r="C105" s="1350"/>
      <c r="D105" s="32">
        <f>+(D106+D107+D108+D109)/3</f>
        <v>0.15416666666666667</v>
      </c>
      <c r="E105" s="32">
        <f>+(E106+E107+E108+E109)/4</f>
        <v>0.34593749999999995</v>
      </c>
      <c r="F105" s="32">
        <f t="shared" si="15"/>
        <v>0.51649999999999996</v>
      </c>
      <c r="G105" s="33">
        <f>+(G106+G107+G108+G109)/3</f>
        <v>7.0208333333333331E-2</v>
      </c>
      <c r="H105" s="33">
        <f t="shared" ref="H105" si="28">+(H106+H107+H108+H109)/3</f>
        <v>0.46294444444444444</v>
      </c>
      <c r="I105" s="33">
        <f>+(I106+I107+I108+I109)/4</f>
        <v>0.25217032967032971</v>
      </c>
      <c r="J105" s="32">
        <f>+(J106+J107+J108+J109)/3</f>
        <v>0.17056250000000003</v>
      </c>
      <c r="K105" s="32">
        <f>+(K106+K107+K108+K109)/4</f>
        <v>0.17904687499999999</v>
      </c>
      <c r="L105" s="41">
        <f>+(L106+L107+L108+L109)</f>
        <v>0.11891499999999999</v>
      </c>
      <c r="M105" s="41">
        <f>+'Desarrollo Economico'!AA45</f>
        <v>0.21015375</v>
      </c>
      <c r="N105" s="35"/>
      <c r="O105" s="9"/>
      <c r="P105" s="96"/>
    </row>
    <row r="106" spans="2:16" ht="36" customHeight="1" x14ac:dyDescent="0.55000000000000004">
      <c r="B106" s="42" t="s">
        <v>976</v>
      </c>
      <c r="C106" s="1350"/>
      <c r="D106" s="12">
        <f>+'Desarrollo Economico'!I46</f>
        <v>0.21249999999999999</v>
      </c>
      <c r="E106" s="12">
        <f>+'Desarrollo Economico'!J46</f>
        <v>0.32916666666666666</v>
      </c>
      <c r="F106" s="12">
        <f t="shared" si="15"/>
        <v>0.4916666666666667</v>
      </c>
      <c r="G106" s="12">
        <f>+'Desarrollo Economico'!K46</f>
        <v>7.8125E-2</v>
      </c>
      <c r="H106" s="12">
        <f>+'Desarrollo Economico'!L46</f>
        <v>0.27500000000000002</v>
      </c>
      <c r="I106" s="12">
        <f>+'Desarrollo Economico'!U46</f>
        <v>0.54714285714285715</v>
      </c>
      <c r="J106" s="12">
        <f>+'Desarrollo Economico'!X46</f>
        <v>0.16250000000000001</v>
      </c>
      <c r="K106" s="12">
        <f>+'Desarrollo Economico'!Y46</f>
        <v>0.27250000000000002</v>
      </c>
      <c r="L106" s="43">
        <f>+'Desarrollo Economico'!Z46</f>
        <v>1.6406250000000001E-2</v>
      </c>
      <c r="M106" s="43">
        <f>+'Desarrollo Economico'!AA46</f>
        <v>0.25624999999999998</v>
      </c>
      <c r="N106" s="35"/>
      <c r="O106" s="9"/>
      <c r="P106" s="96"/>
    </row>
    <row r="107" spans="2:16" ht="65.45" customHeight="1" x14ac:dyDescent="0.55000000000000004">
      <c r="B107" s="42" t="s">
        <v>1980</v>
      </c>
      <c r="C107" s="1350"/>
      <c r="D107" s="12">
        <f>+'Desarrollo Economico'!I54</f>
        <v>0.125</v>
      </c>
      <c r="E107" s="12">
        <f>+'Desarrollo Economico'!J54</f>
        <v>0.26874999999999999</v>
      </c>
      <c r="F107" s="12">
        <f t="shared" si="15"/>
        <v>0.35243749999999996</v>
      </c>
      <c r="G107" s="12">
        <f>+'Desarrollo Economico'!K54</f>
        <v>6.25E-2</v>
      </c>
      <c r="H107" s="12">
        <f>+'Desarrollo Economico'!L54</f>
        <v>0.27500000000000002</v>
      </c>
      <c r="I107" s="12">
        <f>+'Desarrollo Economico'!U54</f>
        <v>8.6538461538461536E-2</v>
      </c>
      <c r="J107" s="12">
        <f>+'Desarrollo Economico'!X54</f>
        <v>8.3687499999999998E-2</v>
      </c>
      <c r="K107" s="12">
        <f>+'Desarrollo Economico'!Y54</f>
        <v>0.1118125</v>
      </c>
      <c r="L107" s="43">
        <f>+'Desarrollo Economico'!Z54</f>
        <v>5.8581249999999994E-2</v>
      </c>
      <c r="M107" s="43">
        <f>+'Desarrollo Economico'!AA54</f>
        <v>0.22362499999999999</v>
      </c>
      <c r="N107" s="35"/>
      <c r="O107" s="9"/>
      <c r="P107" s="96"/>
    </row>
    <row r="108" spans="2:16" ht="36" x14ac:dyDescent="0.55000000000000004">
      <c r="B108" s="42" t="s">
        <v>1004</v>
      </c>
      <c r="C108" s="1350"/>
      <c r="D108" s="12">
        <f>+'Desarrollo Economico'!I59</f>
        <v>0.125</v>
      </c>
      <c r="E108" s="12">
        <f>+'Desarrollo Economico'!J59</f>
        <v>0.45250000000000001</v>
      </c>
      <c r="F108" s="12">
        <f t="shared" si="15"/>
        <v>0.71799999999999997</v>
      </c>
      <c r="G108" s="12">
        <f>+'Desarrollo Economico'!K59</f>
        <v>7.0000000000000007E-2</v>
      </c>
      <c r="H108" s="12">
        <f>+'Desarrollo Economico'!L59</f>
        <v>0.50550000000000006</v>
      </c>
      <c r="I108" s="12">
        <f>+'Desarrollo Economico'!U59</f>
        <v>0.375</v>
      </c>
      <c r="J108" s="12">
        <f>+'Desarrollo Economico'!X59</f>
        <v>0.26550000000000001</v>
      </c>
      <c r="K108" s="12">
        <f>+'Desarrollo Economico'!Y59</f>
        <v>0.33187500000000003</v>
      </c>
      <c r="L108" s="43">
        <f>+'Desarrollo Economico'!Z59</f>
        <v>4.3927500000000001E-2</v>
      </c>
      <c r="M108" s="43">
        <f>+'Desarrollo Economico'!AA59</f>
        <v>0.22607500000000003</v>
      </c>
      <c r="N108" s="35"/>
      <c r="O108" s="9"/>
      <c r="P108" s="96"/>
    </row>
    <row r="109" spans="2:16" ht="46.9" customHeight="1" x14ac:dyDescent="0.55000000000000004">
      <c r="B109" s="42" t="s">
        <v>1981</v>
      </c>
      <c r="C109" s="1350"/>
      <c r="D109" s="12">
        <f>+'Desarrollo Economico'!I64</f>
        <v>0</v>
      </c>
      <c r="E109" s="12">
        <f>+'Desarrollo Economico'!J64</f>
        <v>0.33333333333333331</v>
      </c>
      <c r="F109" s="12">
        <f t="shared" si="15"/>
        <v>0.33333333333333331</v>
      </c>
      <c r="G109" s="12">
        <f>+'Desarrollo Economico'!K64</f>
        <v>0</v>
      </c>
      <c r="H109" s="12">
        <f>+'Desarrollo Economico'!L64</f>
        <v>0.33333333333333331</v>
      </c>
      <c r="I109" s="12">
        <f>+'Desarrollo Economico'!U64</f>
        <v>0</v>
      </c>
      <c r="J109" s="12">
        <f>+'Desarrollo Economico'!X64</f>
        <v>0</v>
      </c>
      <c r="K109" s="12">
        <f>+'Desarrollo Economico'!Y64</f>
        <v>0</v>
      </c>
      <c r="L109" s="43">
        <f>+'Desarrollo Economico'!Z64</f>
        <v>0</v>
      </c>
      <c r="M109" s="43">
        <f>+'Desarrollo Economico'!AA64</f>
        <v>0</v>
      </c>
      <c r="N109" s="35"/>
      <c r="O109" s="9"/>
      <c r="P109" s="96"/>
    </row>
    <row r="110" spans="2:16" ht="88.9" customHeight="1" x14ac:dyDescent="0.55000000000000004">
      <c r="B110" s="40" t="str">
        <f>+'Desarrollo Economico'!B67:B67</f>
        <v xml:space="preserve">Turismo Sostenible y Responsable
</v>
      </c>
      <c r="C110" s="1350"/>
      <c r="D110" s="32">
        <f>+(D111+D112+D113+D114+D115)/5</f>
        <v>0.1135</v>
      </c>
      <c r="E110" s="32">
        <f>+(E111+E112+E113+E114+E115)/5</f>
        <v>0.50593420257578892</v>
      </c>
      <c r="F110" s="32">
        <f t="shared" si="15"/>
        <v>0.6744342025757889</v>
      </c>
      <c r="G110" s="33">
        <f>+(G111+G112+G113+G114+G115)/5</f>
        <v>0.20750000000000002</v>
      </c>
      <c r="H110" s="33">
        <f t="shared" ref="H110:I110" si="29">+(H111+H112+H113+H114+H115)/5</f>
        <v>0.47529743197983565</v>
      </c>
      <c r="I110" s="33">
        <f t="shared" si="29"/>
        <v>0.29987720959595959</v>
      </c>
      <c r="J110" s="32">
        <f>+(J111+J112+J113+J114+J115)/5</f>
        <v>0.16850000000000001</v>
      </c>
      <c r="K110" s="32">
        <f>+(K111+K112+K113+K114+K115)/5</f>
        <v>0.26794331149437195</v>
      </c>
      <c r="L110" s="41">
        <f>+(L111+L112+L113+L114+L115)</f>
        <v>8.3350000000000007E-2</v>
      </c>
      <c r="M110" s="41">
        <f>+'Desarrollo Economico'!AA67</f>
        <v>0.22548041129324631</v>
      </c>
      <c r="N110" s="35"/>
      <c r="O110" s="9"/>
      <c r="P110" s="96"/>
    </row>
    <row r="111" spans="2:16" ht="40.9" customHeight="1" x14ac:dyDescent="0.55000000000000004">
      <c r="B111" s="42" t="s">
        <v>1982</v>
      </c>
      <c r="C111" s="1350"/>
      <c r="D111" s="12">
        <f>+'Desarrollo Economico'!I68</f>
        <v>0</v>
      </c>
      <c r="E111" s="12">
        <f>+'Desarrollo Economico'!J68</f>
        <v>0.3845486111111111</v>
      </c>
      <c r="F111" s="12">
        <f t="shared" si="15"/>
        <v>0.3845486111111111</v>
      </c>
      <c r="G111" s="12">
        <f>+'Desarrollo Economico'!K68</f>
        <v>0</v>
      </c>
      <c r="H111" s="12">
        <f>+'Desarrollo Economico'!L68</f>
        <v>0.35642361111111109</v>
      </c>
      <c r="I111" s="12">
        <f>+'Desarrollo Economico'!U68</f>
        <v>0.24909090909090909</v>
      </c>
      <c r="J111" s="12">
        <f>+'Desarrollo Economico'!X68</f>
        <v>0</v>
      </c>
      <c r="K111" s="12">
        <f>+'Desarrollo Economico'!Y68</f>
        <v>9.5781249999999998E-2</v>
      </c>
      <c r="L111" s="43">
        <f>+'Desarrollo Economico'!Z68</f>
        <v>0</v>
      </c>
      <c r="M111" s="43">
        <f>+'Desarrollo Economico'!AA68</f>
        <v>9.5093749999999991E-2</v>
      </c>
      <c r="N111" s="35"/>
      <c r="O111" s="9"/>
      <c r="P111" s="96"/>
    </row>
    <row r="112" spans="2:16" ht="36" x14ac:dyDescent="0.55000000000000004">
      <c r="B112" s="42" t="s">
        <v>1983</v>
      </c>
      <c r="C112" s="1350"/>
      <c r="D112" s="12">
        <f>+'Desarrollo Economico'!I73</f>
        <v>0</v>
      </c>
      <c r="E112" s="12">
        <f>+'Desarrollo Economico'!J73</f>
        <v>0.53803906843450033</v>
      </c>
      <c r="F112" s="12">
        <f t="shared" si="15"/>
        <v>0.53803906843450033</v>
      </c>
      <c r="G112" s="12">
        <f>+'Desarrollo Economico'!K73</f>
        <v>0</v>
      </c>
      <c r="H112" s="12">
        <f>+'Desarrollo Economico'!L73</f>
        <v>0.44564688212140052</v>
      </c>
      <c r="I112" s="12">
        <f>+'Desarrollo Economico'!U73</f>
        <v>0.11362847222222222</v>
      </c>
      <c r="J112" s="12">
        <f>+'Desarrollo Economico'!X73</f>
        <v>0</v>
      </c>
      <c r="K112" s="12">
        <f>+'Desarrollo Economico'!Y73</f>
        <v>4.6296418582970789E-2</v>
      </c>
      <c r="L112" s="43">
        <f>+'Desarrollo Economico'!Z73</f>
        <v>0</v>
      </c>
      <c r="M112" s="43">
        <f>+'Desarrollo Economico'!AA73</f>
        <v>4.1743202299564949E-2</v>
      </c>
      <c r="N112" s="35"/>
      <c r="O112" s="9"/>
      <c r="P112" s="96"/>
    </row>
    <row r="113" spans="2:16" ht="36" x14ac:dyDescent="0.55000000000000004">
      <c r="B113" s="42" t="s">
        <v>1984</v>
      </c>
      <c r="C113" s="1350"/>
      <c r="D113" s="12">
        <f>+'Desarrollo Economico'!I86</f>
        <v>0.23749999999999999</v>
      </c>
      <c r="E113" s="12">
        <f>+'Desarrollo Economico'!J86</f>
        <v>0.23749999999999999</v>
      </c>
      <c r="F113" s="12">
        <f t="shared" si="15"/>
        <v>0.75</v>
      </c>
      <c r="G113" s="12">
        <f>+'Desarrollo Economico'!K86</f>
        <v>0.23749999999999999</v>
      </c>
      <c r="H113" s="12">
        <f>+'Desarrollo Economico'!L86</f>
        <v>0.23749999999999999</v>
      </c>
      <c r="I113" s="12">
        <f>+'Desarrollo Economico'!U86</f>
        <v>0.75</v>
      </c>
      <c r="J113" s="12">
        <f>+'Desarrollo Economico'!X86</f>
        <v>0.51249999999999996</v>
      </c>
      <c r="K113" s="12">
        <f>+'Desarrollo Economico'!Y86</f>
        <v>0.6875</v>
      </c>
      <c r="L113" s="43">
        <f>+'Desarrollo Economico'!Z86</f>
        <v>4.3750000000000004E-2</v>
      </c>
      <c r="M113" s="43">
        <f>+'Desarrollo Economico'!AA86</f>
        <v>0.625</v>
      </c>
      <c r="N113" s="35"/>
      <c r="O113" s="9"/>
      <c r="P113" s="96"/>
    </row>
    <row r="114" spans="2:16" ht="30" customHeight="1" x14ac:dyDescent="0.55000000000000004">
      <c r="B114" s="42" t="s">
        <v>1076</v>
      </c>
      <c r="C114" s="1350"/>
      <c r="D114" s="12">
        <f>+'Desarrollo Economico'!I91</f>
        <v>0</v>
      </c>
      <c r="E114" s="12">
        <f>+'Desarrollo Economico'!J91</f>
        <v>0.36958333333333332</v>
      </c>
      <c r="F114" s="12">
        <f t="shared" si="15"/>
        <v>0.36958333333333332</v>
      </c>
      <c r="G114" s="12">
        <f>+'Desarrollo Economico'!K91</f>
        <v>0</v>
      </c>
      <c r="H114" s="12">
        <f>+'Desarrollo Economico'!L91</f>
        <v>0.33691666666666664</v>
      </c>
      <c r="I114" s="12">
        <f>+'Desarrollo Economico'!U91</f>
        <v>9.6666666666666665E-2</v>
      </c>
      <c r="J114" s="12">
        <f>+'Desarrollo Economico'!X91</f>
        <v>0</v>
      </c>
      <c r="K114" s="12">
        <f>+'Desarrollo Economico'!Y91</f>
        <v>4.3472222222222225E-2</v>
      </c>
      <c r="L114" s="43">
        <f>+'Desarrollo Economico'!Z91</f>
        <v>0</v>
      </c>
      <c r="M114" s="43">
        <f>+'Desarrollo Economico'!AA91</f>
        <v>2.6194444444444444E-2</v>
      </c>
      <c r="N114" s="35"/>
      <c r="O114" s="9"/>
      <c r="P114" s="96"/>
    </row>
    <row r="115" spans="2:16" ht="59.45" customHeight="1" x14ac:dyDescent="0.55000000000000004">
      <c r="B115" s="42" t="s">
        <v>1087</v>
      </c>
      <c r="C115" s="1350"/>
      <c r="D115" s="12">
        <f>+'Desarrollo Economico'!I96</f>
        <v>0.33</v>
      </c>
      <c r="E115" s="12">
        <f>+'Desarrollo Economico'!J96</f>
        <v>1</v>
      </c>
      <c r="F115" s="12">
        <v>1</v>
      </c>
      <c r="G115" s="12">
        <f>+'Desarrollo Economico'!K96</f>
        <v>0.8</v>
      </c>
      <c r="H115" s="12">
        <f>+'Desarrollo Economico'!L96</f>
        <v>1</v>
      </c>
      <c r="I115" s="12">
        <f>+'Desarrollo Economico'!U96</f>
        <v>0.28999999999999998</v>
      </c>
      <c r="J115" s="12">
        <f>+'Desarrollo Economico'!X96</f>
        <v>0.33</v>
      </c>
      <c r="K115" s="12">
        <f>+'Desarrollo Economico'!Y96</f>
        <v>0.46666666666666662</v>
      </c>
      <c r="L115" s="43">
        <f>+'Desarrollo Economico'!Z96</f>
        <v>3.9600000000000003E-2</v>
      </c>
      <c r="M115" s="43">
        <f>+'Desarrollo Economico'!AA96</f>
        <v>0.82000000000000006</v>
      </c>
      <c r="N115" s="35"/>
      <c r="O115" s="9"/>
      <c r="P115" s="96"/>
    </row>
    <row r="116" spans="2:16" ht="36" x14ac:dyDescent="0.55000000000000004">
      <c r="B116" s="40" t="str">
        <f>+'Desarrollo Economico'!B100:B100</f>
        <v xml:space="preserve"> Desarrollo Agropecuario 
</v>
      </c>
      <c r="C116" s="1350"/>
      <c r="D116" s="32">
        <f t="shared" ref="D116:G116" si="30">+(D117+D118+D119)/3</f>
        <v>0.17360979649420338</v>
      </c>
      <c r="E116" s="32">
        <f t="shared" si="30"/>
        <v>0.38970610582327403</v>
      </c>
      <c r="F116" s="32">
        <f t="shared" si="15"/>
        <v>0.58398769273582618</v>
      </c>
      <c r="G116" s="33">
        <f t="shared" si="30"/>
        <v>9.382477763087127E-2</v>
      </c>
      <c r="H116" s="33">
        <f t="shared" ref="H116:I116" si="31">+(H117+H118+H119)/3</f>
        <v>0.32245386743248144</v>
      </c>
      <c r="I116" s="33">
        <f t="shared" si="31"/>
        <v>0.43699046939261071</v>
      </c>
      <c r="J116" s="32">
        <f>+(J117+J118+J119)/3</f>
        <v>0.19428158691255218</v>
      </c>
      <c r="K116" s="32">
        <f>+(K117+K118+K119)/3</f>
        <v>0.28886778775222194</v>
      </c>
      <c r="L116" s="41">
        <f>+(L117+L118+L119)</f>
        <v>0.10879627598215055</v>
      </c>
      <c r="M116" s="41">
        <f>+'Desarrollo Economico'!AA100</f>
        <v>0.27083786061052356</v>
      </c>
      <c r="N116" s="35"/>
      <c r="O116" s="9"/>
      <c r="P116" s="96"/>
    </row>
    <row r="117" spans="2:16" ht="54.6" customHeight="1" x14ac:dyDescent="0.55000000000000004">
      <c r="B117" s="42" t="s">
        <v>1097</v>
      </c>
      <c r="C117" s="1350"/>
      <c r="D117" s="12">
        <f>+'Desarrollo Economico'!I101</f>
        <v>0.17798528579513301</v>
      </c>
      <c r="E117" s="12">
        <f>+'Desarrollo Economico'!J101</f>
        <v>0.28952461799660439</v>
      </c>
      <c r="F117" s="12">
        <f t="shared" si="15"/>
        <v>0.46818902093944537</v>
      </c>
      <c r="G117" s="12">
        <f>+'Desarrollo Economico'!K101</f>
        <v>0.17798528579513301</v>
      </c>
      <c r="H117" s="12">
        <f>+'Desarrollo Economico'!L101</f>
        <v>0.28952461799660439</v>
      </c>
      <c r="I117" s="12">
        <f>+'Desarrollo Economico'!U101</f>
        <v>0.76002855103497502</v>
      </c>
      <c r="J117" s="12">
        <f>+'Desarrollo Economico'!X101</f>
        <v>0.17866440294284094</v>
      </c>
      <c r="K117" s="12">
        <f>+'Desarrollo Economico'!Y101</f>
        <v>0.40000565930956428</v>
      </c>
      <c r="L117" s="43">
        <f>+'Desarrollo Economico'!Z101</f>
        <v>4.4666100735710243E-2</v>
      </c>
      <c r="M117" s="43">
        <f>+'Desarrollo Economico'!AA101</f>
        <v>0.40000565930956422</v>
      </c>
      <c r="N117" s="35"/>
      <c r="O117" s="9"/>
      <c r="P117" s="96"/>
    </row>
    <row r="118" spans="2:16" ht="82.15" customHeight="1" x14ac:dyDescent="0.55000000000000004">
      <c r="B118" s="42" t="s">
        <v>1109</v>
      </c>
      <c r="C118" s="1350"/>
      <c r="D118" s="12">
        <f>+'Desarrollo Economico'!I107</f>
        <v>9.2844103687477184E-2</v>
      </c>
      <c r="E118" s="12">
        <f>+'Desarrollo Economico'!J107</f>
        <v>0.32959369947321754</v>
      </c>
      <c r="F118" s="12">
        <f t="shared" si="15"/>
        <v>0.48377405726803313</v>
      </c>
      <c r="G118" s="12">
        <f>+'Desarrollo Economico'!K107</f>
        <v>6.5989047097480838E-2</v>
      </c>
      <c r="H118" s="12">
        <f>+'Desarrollo Economico'!L107</f>
        <v>0.26533698430083974</v>
      </c>
      <c r="I118" s="12">
        <f>+'Desarrollo Economico'!U107</f>
        <v>0.35094285714285711</v>
      </c>
      <c r="J118" s="12">
        <f>+'Desarrollo Economico'!X107</f>
        <v>0.15418035779481562</v>
      </c>
      <c r="K118" s="12">
        <f>+'Desarrollo Economico'!Y107</f>
        <v>0.21659770394710151</v>
      </c>
      <c r="L118" s="43">
        <f>+'Desarrollo Economico'!Z107</f>
        <v>5.2880175246440314E-2</v>
      </c>
      <c r="M118" s="43">
        <f>+'Desarrollo Economico'!AA107</f>
        <v>0.19213654618473897</v>
      </c>
      <c r="N118" s="35"/>
      <c r="O118" s="9"/>
      <c r="P118" s="96"/>
    </row>
    <row r="119" spans="2:16" ht="36" customHeight="1" x14ac:dyDescent="0.55000000000000004">
      <c r="B119" s="42" t="s">
        <v>1985</v>
      </c>
      <c r="C119" s="1350"/>
      <c r="D119" s="12">
        <f>+'Desarrollo Economico'!I117</f>
        <v>0.25</v>
      </c>
      <c r="E119" s="12">
        <f>+'Desarrollo Economico'!J117</f>
        <v>0.55000000000000004</v>
      </c>
      <c r="F119" s="12">
        <f t="shared" si="15"/>
        <v>0.8</v>
      </c>
      <c r="G119" s="12">
        <f>+'Desarrollo Economico'!K117</f>
        <v>3.7499999999999999E-2</v>
      </c>
      <c r="H119" s="12">
        <f>+'Desarrollo Economico'!L117</f>
        <v>0.41250000000000003</v>
      </c>
      <c r="I119" s="12">
        <f>+'Desarrollo Economico'!U117</f>
        <v>0.2</v>
      </c>
      <c r="J119" s="12">
        <f>+'Desarrollo Economico'!X117</f>
        <v>0.25</v>
      </c>
      <c r="K119" s="12">
        <f>+'Desarrollo Economico'!Y117</f>
        <v>0.25</v>
      </c>
      <c r="L119" s="43">
        <f>+'Desarrollo Economico'!Z117</f>
        <v>1.125E-2</v>
      </c>
      <c r="M119" s="43">
        <f>+'Desarrollo Economico'!AA117</f>
        <v>0.33749999999999997</v>
      </c>
      <c r="N119" s="35"/>
      <c r="O119" s="9"/>
      <c r="P119" s="96"/>
    </row>
    <row r="120" spans="2:16" ht="49.5" x14ac:dyDescent="0.55000000000000004">
      <c r="B120" s="40" t="str">
        <f>+'Desarrollo Economico'!B124:B124</f>
        <v xml:space="preserve">Sistema Integral de Abastecimiento del Distrito
</v>
      </c>
      <c r="C120" s="1350"/>
      <c r="D120" s="32">
        <f t="shared" ref="D120:G120" si="32">+(D121+D122)/2</f>
        <v>0.3833333333333333</v>
      </c>
      <c r="E120" s="32">
        <f t="shared" si="32"/>
        <v>0.31904555602391771</v>
      </c>
      <c r="F120" s="32">
        <f t="shared" si="15"/>
        <v>0.5658122226905844</v>
      </c>
      <c r="G120" s="33">
        <f t="shared" si="32"/>
        <v>0.1958333333333333</v>
      </c>
      <c r="H120" s="33">
        <f t="shared" ref="H120:I120" si="33">+(H121+H122)/2</f>
        <v>0.28095083368460494</v>
      </c>
      <c r="I120" s="33">
        <f t="shared" si="33"/>
        <v>0.155</v>
      </c>
      <c r="J120" s="32">
        <f>+(J121+J122)/2</f>
        <v>0.24676666666666666</v>
      </c>
      <c r="K120" s="32">
        <f>+(K121+K122)/2</f>
        <v>0.28374999999999995</v>
      </c>
      <c r="L120" s="41">
        <f>+(L121+L122)</f>
        <v>0.19011249999999999</v>
      </c>
      <c r="M120" s="41">
        <f>+'Desarrollo Economico'!AA124</f>
        <v>0.2532375</v>
      </c>
      <c r="N120" s="35"/>
      <c r="O120" s="9"/>
      <c r="P120" s="96"/>
    </row>
    <row r="121" spans="2:16" ht="66" customHeight="1" x14ac:dyDescent="0.55000000000000004">
      <c r="B121" s="42" t="s">
        <v>1147</v>
      </c>
      <c r="C121" s="1350"/>
      <c r="D121" s="12">
        <f>+'Desarrollo Economico'!I125</f>
        <v>0.33333333333333331</v>
      </c>
      <c r="E121" s="12">
        <f>+'Desarrollo Economico'!J125</f>
        <v>0.33809111204783537</v>
      </c>
      <c r="F121" s="12">
        <f t="shared" si="15"/>
        <v>0.43809111204783535</v>
      </c>
      <c r="G121" s="12">
        <f>+'Desarrollo Economico'!K125</f>
        <v>0.16666666666666666</v>
      </c>
      <c r="H121" s="12">
        <f>+'Desarrollo Economico'!L125</f>
        <v>0.3369016673692099</v>
      </c>
      <c r="I121" s="12">
        <f>+'Desarrollo Economico'!U125</f>
        <v>0.14333333333333334</v>
      </c>
      <c r="J121" s="12">
        <f>+'Desarrollo Economico'!X125</f>
        <v>9.9999999999999992E-2</v>
      </c>
      <c r="K121" s="12">
        <f>+'Desarrollo Economico'!Y125</f>
        <v>0.1573</v>
      </c>
      <c r="L121" s="43">
        <f>+'Desarrollo Economico'!Z125</f>
        <v>0.125</v>
      </c>
      <c r="M121" s="43">
        <f>+'Desarrollo Economico'!AA125</f>
        <v>0.23833333333333331</v>
      </c>
      <c r="N121" s="35"/>
      <c r="O121" s="9"/>
      <c r="P121" s="96"/>
    </row>
    <row r="122" spans="2:16" ht="46.9" customHeight="1" x14ac:dyDescent="0.55000000000000004">
      <c r="B122" s="45" t="s">
        <v>1156</v>
      </c>
      <c r="C122" s="1351"/>
      <c r="D122" s="46">
        <f>+'Desarrollo Economico'!I129</f>
        <v>0.43333333333333335</v>
      </c>
      <c r="E122" s="46">
        <f>+'Desarrollo Economico'!J129</f>
        <v>0.3</v>
      </c>
      <c r="F122" s="46">
        <f t="shared" si="15"/>
        <v>0.69353333333333333</v>
      </c>
      <c r="G122" s="46">
        <f>+'Desarrollo Economico'!K129</f>
        <v>0.22499999999999998</v>
      </c>
      <c r="H122" s="46">
        <f>+'Desarrollo Economico'!L129</f>
        <v>0.22499999999999998</v>
      </c>
      <c r="I122" s="46">
        <f>+'Desarrollo Economico'!U129</f>
        <v>0.16666666666666666</v>
      </c>
      <c r="J122" s="46">
        <f>+'Desarrollo Economico'!X129</f>
        <v>0.39353333333333335</v>
      </c>
      <c r="K122" s="46">
        <f>+'Desarrollo Economico'!Y129</f>
        <v>0.41019999999999995</v>
      </c>
      <c r="L122" s="47">
        <f>+'Desarrollo Economico'!Z129</f>
        <v>6.511249999999999E-2</v>
      </c>
      <c r="M122" s="47">
        <f>+'Desarrollo Economico'!AA129</f>
        <v>0.29794999999999999</v>
      </c>
      <c r="N122" s="35"/>
      <c r="O122" s="9"/>
      <c r="P122" s="96"/>
    </row>
    <row r="123" spans="2:16" ht="120" customHeight="1" x14ac:dyDescent="0.55000000000000004">
      <c r="B123" s="37" t="str">
        <f>+'Ciudad Conectada'!B3:B3</f>
        <v xml:space="preserve">CARTAGENA CIUDAD CONECTADA Y SOSTENIBLE
</v>
      </c>
      <c r="C123" s="1349">
        <v>0.25</v>
      </c>
      <c r="D123" s="38">
        <f>+'Ciudad Conectada'!I3</f>
        <v>0.22385775913845282</v>
      </c>
      <c r="E123" s="38">
        <f>+'Ciudad Conectada'!J3</f>
        <v>0.23601705389676467</v>
      </c>
      <c r="F123" s="38">
        <f t="shared" si="15"/>
        <v>0.45754092798427343</v>
      </c>
      <c r="G123" s="38">
        <f>+'Ciudad Conectada'!K3</f>
        <v>0.19844971717901827</v>
      </c>
      <c r="H123" s="38">
        <f>+'Ciudad Conectada'!L3</f>
        <v>0.22019926051515165</v>
      </c>
      <c r="I123" s="38">
        <f>+'Ciudad Conectada'!U3</f>
        <v>0.38203685641776697</v>
      </c>
      <c r="J123" s="38">
        <f>+'Ciudad Conectada'!X3</f>
        <v>0.22152387408750876</v>
      </c>
      <c r="K123" s="38">
        <f>+'Ciudad Conectada'!Y3</f>
        <v>0.32826692545655778</v>
      </c>
      <c r="L123" s="39">
        <f>+'Ciudad Conectada'!Z3</f>
        <v>0.18576863791395756</v>
      </c>
      <c r="M123" s="39">
        <f>+'Ciudad Conectada'!AA3</f>
        <v>0.25862483810064973</v>
      </c>
      <c r="N123" s="35"/>
      <c r="O123" s="9"/>
      <c r="P123" s="96"/>
    </row>
    <row r="124" spans="2:16" ht="68.45" customHeight="1" x14ac:dyDescent="0.55000000000000004">
      <c r="B124" s="40" t="str">
        <f>+'Ciudad Conectada'!B4:B4</f>
        <v xml:space="preserve"> Ordenamiento del Territorio y espacio público.
</v>
      </c>
      <c r="C124" s="1350"/>
      <c r="D124" s="32">
        <f t="shared" ref="D124:G124" si="34">+(D125+D126)/2</f>
        <v>0.17442942942942941</v>
      </c>
      <c r="E124" s="32">
        <f t="shared" si="34"/>
        <v>0.2842306511056511</v>
      </c>
      <c r="F124" s="32">
        <f t="shared" si="15"/>
        <v>0.51809708353808359</v>
      </c>
      <c r="G124" s="33">
        <f t="shared" si="34"/>
        <v>0.18726443243243246</v>
      </c>
      <c r="H124" s="33">
        <f t="shared" ref="H124:I124" si="35">+(H125+H126)/2</f>
        <v>0.3061577813267814</v>
      </c>
      <c r="I124" s="915">
        <f t="shared" si="35"/>
        <v>0.51085364187945703</v>
      </c>
      <c r="J124" s="129">
        <f>+(J125+J126)/2</f>
        <v>0.23386643243243244</v>
      </c>
      <c r="K124" s="129">
        <f>+(K125+K126)/2</f>
        <v>0.32648150518018021</v>
      </c>
      <c r="L124" s="41">
        <f>+(L125+L126)</f>
        <v>0.22782968756756758</v>
      </c>
      <c r="M124" s="41">
        <f>+'Ciudad Conectada'!AA4</f>
        <v>0.37895680491891892</v>
      </c>
      <c r="N124" s="35"/>
      <c r="O124" s="9"/>
      <c r="P124" s="96"/>
    </row>
    <row r="125" spans="2:16" ht="45.6" customHeight="1" x14ac:dyDescent="0.55000000000000004">
      <c r="B125" s="42" t="s">
        <v>1986</v>
      </c>
      <c r="C125" s="1350"/>
      <c r="D125" s="12">
        <f>+'Ciudad Conectada'!I5</f>
        <v>0.21777777777777776</v>
      </c>
      <c r="E125" s="12">
        <f>+'Ciudad Conectada'!J5</f>
        <v>0.26624999999999999</v>
      </c>
      <c r="F125" s="12">
        <f t="shared" si="15"/>
        <v>0.49</v>
      </c>
      <c r="G125" s="12">
        <f>+'Ciudad Conectada'!K5</f>
        <v>0.28966400000000003</v>
      </c>
      <c r="H125" s="12">
        <f>+'Ciudad Conectada'!L5</f>
        <v>0.3096620000000001</v>
      </c>
      <c r="I125" s="12">
        <f>+'Ciudad Conectada'!U5</f>
        <v>0.38281839487002528</v>
      </c>
      <c r="J125" s="12">
        <f>+'Ciudad Conectada'!X5</f>
        <v>0.22375</v>
      </c>
      <c r="K125" s="12">
        <f>+'Ciudad Conectada'!Y5</f>
        <v>0.27068958333333337</v>
      </c>
      <c r="L125" s="43">
        <f>+'Ciudad Conectada'!Z5</f>
        <v>0.17677380000000001</v>
      </c>
      <c r="M125" s="43">
        <f>+'Ciudad Conectada'!AA5</f>
        <v>0.37706898000000005</v>
      </c>
      <c r="N125" s="35"/>
      <c r="O125" s="9"/>
      <c r="P125" s="96"/>
    </row>
    <row r="126" spans="2:16" ht="41.45" customHeight="1" x14ac:dyDescent="0.55000000000000004">
      <c r="B126" s="42" t="s">
        <v>1203</v>
      </c>
      <c r="C126" s="1350"/>
      <c r="D126" s="12">
        <f>+'Ciudad Conectada'!I22</f>
        <v>0.13108108108108107</v>
      </c>
      <c r="E126" s="12">
        <f>+'Ciudad Conectada'!J22</f>
        <v>0.30221130221130221</v>
      </c>
      <c r="F126" s="12">
        <f t="shared" si="15"/>
        <v>0.54619416707616708</v>
      </c>
      <c r="G126" s="12">
        <f>+'Ciudad Conectada'!K22</f>
        <v>8.4864864864864872E-2</v>
      </c>
      <c r="H126" s="12">
        <f>+'Ciudad Conectada'!L22</f>
        <v>0.30265356265356269</v>
      </c>
      <c r="I126" s="12">
        <f>+'Ciudad Conectada'!U22</f>
        <v>0.63888888888888884</v>
      </c>
      <c r="J126" s="12">
        <f>+'Ciudad Conectada'!X22</f>
        <v>0.24398286486486487</v>
      </c>
      <c r="K126" s="12">
        <f>+'Ciudad Conectada'!Y22</f>
        <v>0.38227342702702705</v>
      </c>
      <c r="L126" s="43">
        <f>+'Ciudad Conectada'!Z22</f>
        <v>5.1055887567567564E-2</v>
      </c>
      <c r="M126" s="43">
        <f>+'Ciudad Conectada'!AA22</f>
        <v>0.38336172972972976</v>
      </c>
      <c r="N126" s="35"/>
      <c r="O126" s="9"/>
      <c r="P126" s="96"/>
    </row>
    <row r="127" spans="2:16" ht="87" customHeight="1" x14ac:dyDescent="0.55000000000000004">
      <c r="B127" s="40" t="str">
        <f>+'Ciudad Conectada'!B26:B26</f>
        <v xml:space="preserve"> Control Urbanístico y Territorial
</v>
      </c>
      <c r="C127" s="1350"/>
      <c r="D127" s="32">
        <f t="shared" ref="D127:G127" si="36">+(D128+D129)/2</f>
        <v>0.15714285714285714</v>
      </c>
      <c r="E127" s="32">
        <f t="shared" si="36"/>
        <v>0.12238095238095237</v>
      </c>
      <c r="F127" s="32">
        <f t="shared" si="15"/>
        <v>0.28910714285714284</v>
      </c>
      <c r="G127" s="33">
        <f t="shared" si="36"/>
        <v>0.24285714285714285</v>
      </c>
      <c r="H127" s="33">
        <f t="shared" ref="H127:I127" si="37">+(H128+H129)/2</f>
        <v>0.20867857142857144</v>
      </c>
      <c r="I127" s="915">
        <f t="shared" si="37"/>
        <v>0.49074218749999998</v>
      </c>
      <c r="J127" s="129">
        <f>+(J128+J129)/2</f>
        <v>0.16672619047619047</v>
      </c>
      <c r="K127" s="129">
        <f>+(K128+K129)/2</f>
        <v>0.25995803571428572</v>
      </c>
      <c r="L127" s="41">
        <f>+(L128+L129)</f>
        <v>0.31105357142857143</v>
      </c>
      <c r="M127" s="41">
        <f>+'Ciudad Conectada'!AA26</f>
        <v>0.37064732142857143</v>
      </c>
      <c r="N127" s="35"/>
      <c r="O127" s="9"/>
      <c r="P127" s="96"/>
    </row>
    <row r="128" spans="2:16" ht="45" customHeight="1" x14ac:dyDescent="0.55000000000000004">
      <c r="B128" s="42" t="s">
        <v>1212</v>
      </c>
      <c r="C128" s="1350"/>
      <c r="D128" s="12">
        <f>+'Ciudad Conectada'!I27</f>
        <v>0.1</v>
      </c>
      <c r="E128" s="12">
        <f>+'Ciudad Conectada'!J27</f>
        <v>6.9999999999999993E-2</v>
      </c>
      <c r="F128" s="12">
        <f t="shared" si="15"/>
        <v>0.16999999999999998</v>
      </c>
      <c r="G128" s="12">
        <f>+'Ciudad Conectada'!K27</f>
        <v>0.375</v>
      </c>
      <c r="H128" s="12">
        <f>+'Ciudad Conectada'!L27</f>
        <v>0.28749999999999998</v>
      </c>
      <c r="I128" s="12">
        <f>+'Ciudad Conectada'!U27</f>
        <v>0.42499999999999999</v>
      </c>
      <c r="J128" s="12">
        <f>+'Ciudad Conectada'!X27</f>
        <v>0.1</v>
      </c>
      <c r="K128" s="12">
        <f>+'Ciudad Conectada'!Y27</f>
        <v>0.27</v>
      </c>
      <c r="L128" s="43">
        <f>+'Ciudad Conectada'!Z27</f>
        <v>0.28125</v>
      </c>
      <c r="M128" s="43">
        <f>+'Ciudad Conectada'!AA27</f>
        <v>0.43</v>
      </c>
      <c r="N128" s="35"/>
      <c r="O128" s="9"/>
      <c r="P128" s="96"/>
    </row>
    <row r="129" spans="2:16" ht="46.15" customHeight="1" x14ac:dyDescent="0.55000000000000004">
      <c r="B129" s="42" t="s">
        <v>1228</v>
      </c>
      <c r="C129" s="1350"/>
      <c r="D129" s="12">
        <f>+'Ciudad Conectada'!I33</f>
        <v>0.2142857142857143</v>
      </c>
      <c r="E129" s="12">
        <f>+'Ciudad Conectada'!J33</f>
        <v>0.17476190476190476</v>
      </c>
      <c r="F129" s="12">
        <f t="shared" si="15"/>
        <v>0.40821428571428575</v>
      </c>
      <c r="G129" s="12">
        <f>+'Ciudad Conectada'!K33</f>
        <v>0.11071428571428571</v>
      </c>
      <c r="H129" s="12">
        <f>+'Ciudad Conectada'!L33</f>
        <v>0.12985714285714287</v>
      </c>
      <c r="I129" s="12">
        <f>+'Ciudad Conectada'!U33</f>
        <v>0.55648437500000003</v>
      </c>
      <c r="J129" s="12">
        <f>+'Ciudad Conectada'!X33</f>
        <v>0.23345238095238097</v>
      </c>
      <c r="K129" s="12">
        <f>+'Ciudad Conectada'!Y33</f>
        <v>0.24991607142857145</v>
      </c>
      <c r="L129" s="43">
        <f>+'Ciudad Conectada'!Z33</f>
        <v>2.9803571428571429E-2</v>
      </c>
      <c r="M129" s="43">
        <f>+'Ciudad Conectada'!AA33</f>
        <v>0.19258928571428571</v>
      </c>
      <c r="N129" s="35"/>
      <c r="O129" s="9"/>
      <c r="P129" s="96"/>
    </row>
    <row r="130" spans="2:16" ht="55.9" customHeight="1" x14ac:dyDescent="0.55000000000000004">
      <c r="B130" s="40" t="str">
        <f>+'Ciudad Conectada'!B37:B37</f>
        <v xml:space="preserve"> Cartagena Amigable con el Ambiente 
</v>
      </c>
      <c r="C130" s="1350"/>
      <c r="D130" s="32">
        <f t="shared" ref="D130:G130" si="38">+(D131+D132+D133+D134+D135)/5</f>
        <v>0.17888888888888888</v>
      </c>
      <c r="E130" s="32">
        <f>+(E131+E132+E133+E134+E135)/5</f>
        <v>0.28607638888888887</v>
      </c>
      <c r="F130" s="32">
        <f t="shared" si="15"/>
        <v>0.42368055555555556</v>
      </c>
      <c r="G130" s="33">
        <f t="shared" si="38"/>
        <v>0.13083333333333333</v>
      </c>
      <c r="H130" s="33">
        <f t="shared" ref="H130:I130" si="39">+(H131+H132+H133+H134+H135)/5</f>
        <v>0.2434166666666667</v>
      </c>
      <c r="I130" s="915">
        <f t="shared" si="39"/>
        <v>0.41495501284818587</v>
      </c>
      <c r="J130" s="129">
        <f>+(J131+J132+J133+J134+J135)/5</f>
        <v>0.13760416666666669</v>
      </c>
      <c r="K130" s="129">
        <f>+(K131+K132+K133+K134+K135)/5</f>
        <v>0.25526745502645498</v>
      </c>
      <c r="L130" s="41">
        <f>+(L131+L132+L133+L134+L135)</f>
        <v>8.7734791666666673E-2</v>
      </c>
      <c r="M130" s="41">
        <f>+'Ciudad Conectada'!AA37</f>
        <v>0.1902765833333333</v>
      </c>
      <c r="N130" s="35"/>
      <c r="O130" s="9"/>
      <c r="P130" s="96"/>
    </row>
    <row r="131" spans="2:16" ht="46.15" customHeight="1" x14ac:dyDescent="0.55000000000000004">
      <c r="B131" s="42" t="s">
        <v>1237</v>
      </c>
      <c r="C131" s="1350"/>
      <c r="D131" s="12">
        <f>+'Ciudad Conectada'!I38</f>
        <v>0.23611111111111108</v>
      </c>
      <c r="E131" s="12">
        <f>+'Ciudad Conectada'!J38</f>
        <v>0.30260416666666662</v>
      </c>
      <c r="F131" s="12">
        <f t="shared" si="15"/>
        <v>0.42735833333333328</v>
      </c>
      <c r="G131" s="12">
        <f>+'Ciudad Conectada'!K38</f>
        <v>6.5833333333333327E-2</v>
      </c>
      <c r="H131" s="12">
        <f>+'Ciudad Conectada'!L38</f>
        <v>8.9583333333333334E-2</v>
      </c>
      <c r="I131" s="12">
        <f>+'Ciudad Conectada'!U38</f>
        <v>0.34019148936170213</v>
      </c>
      <c r="J131" s="12">
        <f>+'Ciudad Conectada'!X38</f>
        <v>0.12475416666666667</v>
      </c>
      <c r="K131" s="12">
        <f>+'Ciudad Conectada'!Y38</f>
        <v>0.17433505291005291</v>
      </c>
      <c r="L131" s="43">
        <f>+'Ciudad Conectada'!Z38</f>
        <v>8.0881249999999998E-3</v>
      </c>
      <c r="M131" s="43">
        <f>+'Ciudad Conectada'!AA38</f>
        <v>5.0735000000000002E-2</v>
      </c>
      <c r="N131" s="35"/>
      <c r="O131" s="9"/>
      <c r="P131" s="96"/>
    </row>
    <row r="132" spans="2:16" ht="34.15" customHeight="1" x14ac:dyDescent="0.55000000000000004">
      <c r="B132" s="42" t="s">
        <v>1254</v>
      </c>
      <c r="C132" s="1350"/>
      <c r="D132" s="12">
        <f>+'Ciudad Conectada'!I46</f>
        <v>0.15833333333333333</v>
      </c>
      <c r="E132" s="12">
        <f>+'Ciudad Conectada'!J46</f>
        <v>0.33611111111111108</v>
      </c>
      <c r="F132" s="12">
        <f t="shared" ref="F132:F195" si="40">+J132+E132</f>
        <v>0.44104444444444441</v>
      </c>
      <c r="G132" s="12">
        <f>+'Ciudad Conectada'!K46</f>
        <v>0.15250000000000002</v>
      </c>
      <c r="H132" s="12">
        <f>+'Ciudad Conectada'!L46</f>
        <v>0.34083333333333338</v>
      </c>
      <c r="I132" s="12">
        <f>+'Ciudad Conectada'!U46</f>
        <v>0.5194502415458937</v>
      </c>
      <c r="J132" s="12">
        <f>+'Ciudad Conectada'!X46</f>
        <v>0.10493333333333332</v>
      </c>
      <c r="K132" s="12">
        <f>+'Ciudad Conectada'!Y46</f>
        <v>0.29218555555555553</v>
      </c>
      <c r="L132" s="43">
        <f>+'Ciudad Conectada'!Z46</f>
        <v>2.3980000000000001E-2</v>
      </c>
      <c r="M132" s="43">
        <f>+'Ciudad Conectada'!AA46</f>
        <v>0.26617266666666661</v>
      </c>
      <c r="N132" s="35"/>
      <c r="O132" s="9"/>
      <c r="P132" s="96"/>
    </row>
    <row r="133" spans="2:16" ht="37.15" customHeight="1" x14ac:dyDescent="0.55000000000000004">
      <c r="B133" s="42" t="s">
        <v>1263</v>
      </c>
      <c r="C133" s="1350"/>
      <c r="D133" s="12">
        <f>+'Ciudad Conectada'!I50</f>
        <v>0.125</v>
      </c>
      <c r="E133" s="12">
        <f>+'Ciudad Conectada'!J50</f>
        <v>0.22500000000000001</v>
      </c>
      <c r="F133" s="12">
        <f t="shared" si="40"/>
        <v>0.35</v>
      </c>
      <c r="G133" s="12">
        <f>+'Ciudad Conectada'!K50</f>
        <v>0.1</v>
      </c>
      <c r="H133" s="12">
        <f>+'Ciudad Conectada'!L50</f>
        <v>0.22</v>
      </c>
      <c r="I133" s="12">
        <f>+'Ciudad Conectada'!U50</f>
        <v>0.6</v>
      </c>
      <c r="J133" s="12">
        <f>+'Ciudad Conectada'!X50</f>
        <v>0.125</v>
      </c>
      <c r="K133" s="12">
        <f>+'Ciudad Conectada'!Y50</f>
        <v>0.35</v>
      </c>
      <c r="L133" s="43">
        <f>+'Ciudad Conectada'!Z50</f>
        <v>1.4999999999999999E-2</v>
      </c>
      <c r="M133" s="43">
        <f>+'Ciudad Conectada'!AA50</f>
        <v>0.36</v>
      </c>
      <c r="N133" s="35"/>
      <c r="O133" s="9"/>
      <c r="P133" s="96"/>
    </row>
    <row r="134" spans="2:16" ht="31.15" customHeight="1" x14ac:dyDescent="0.55000000000000004">
      <c r="B134" s="42" t="s">
        <v>1268</v>
      </c>
      <c r="C134" s="1350"/>
      <c r="D134" s="12">
        <f>+'Ciudad Conectada'!I53</f>
        <v>0.20833333333333334</v>
      </c>
      <c r="E134" s="12">
        <f>+'Ciudad Conectada'!J53</f>
        <v>0.25</v>
      </c>
      <c r="F134" s="12">
        <f t="shared" si="40"/>
        <v>0.5</v>
      </c>
      <c r="G134" s="12">
        <f>+'Ciudad Conectada'!K53</f>
        <v>0.20250000000000001</v>
      </c>
      <c r="H134" s="12">
        <f>+'Ciudad Conectada'!L53</f>
        <v>0.24</v>
      </c>
      <c r="I134" s="12">
        <f>+'Ciudad Conectada'!U53</f>
        <v>0.34413333333333335</v>
      </c>
      <c r="J134" s="12">
        <f>+'Ciudad Conectada'!X53</f>
        <v>0.25</v>
      </c>
      <c r="K134" s="12">
        <f>+'Ciudad Conectada'!Y53</f>
        <v>0.33684999999999993</v>
      </c>
      <c r="L134" s="43">
        <f>+'Ciudad Conectada'!Z53</f>
        <v>2.4E-2</v>
      </c>
      <c r="M134" s="43">
        <f>+'Ciudad Conectada'!AA53</f>
        <v>0.32252999999999998</v>
      </c>
      <c r="N134" s="35"/>
      <c r="O134" s="9"/>
      <c r="P134" s="96"/>
    </row>
    <row r="135" spans="2:16" ht="49.9" customHeight="1" x14ac:dyDescent="0.55000000000000004">
      <c r="B135" s="42" t="s">
        <v>1987</v>
      </c>
      <c r="C135" s="1350"/>
      <c r="D135" s="12">
        <f>+'Ciudad Conectada'!I57</f>
        <v>0.16666666666666666</v>
      </c>
      <c r="E135" s="12">
        <f>+'Ciudad Conectada'!J57</f>
        <v>0.31666666666666665</v>
      </c>
      <c r="F135" s="12">
        <f t="shared" si="40"/>
        <v>0.39999999999999997</v>
      </c>
      <c r="G135" s="12">
        <f>+'Ciudad Conectada'!K57</f>
        <v>0.13333333333333333</v>
      </c>
      <c r="H135" s="12">
        <f>+'Ciudad Conectada'!L57</f>
        <v>0.32666666666666666</v>
      </c>
      <c r="I135" s="12">
        <f>+'Ciudad Conectada'!U57</f>
        <v>0.27100000000000002</v>
      </c>
      <c r="J135" s="12">
        <f>+'Ciudad Conectada'!X57</f>
        <v>8.3333333333333329E-2</v>
      </c>
      <c r="K135" s="12">
        <f>+'Ciudad Conectada'!Y57</f>
        <v>0.12296666666666667</v>
      </c>
      <c r="L135" s="43">
        <f>+'Ciudad Conectada'!Z57</f>
        <v>1.6666666666666666E-2</v>
      </c>
      <c r="M135" s="43">
        <f>+'Ciudad Conectada'!AA57</f>
        <v>9.9186666666666673E-2</v>
      </c>
      <c r="N135" s="35"/>
      <c r="O135" s="9"/>
      <c r="P135" s="96"/>
    </row>
    <row r="136" spans="2:16" ht="82.9" customHeight="1" x14ac:dyDescent="0.55000000000000004">
      <c r="B136" s="40" t="str">
        <f>+'Ciudad Conectada'!B60:B60</f>
        <v xml:space="preserve"> Cartagena Adaptada al Clima y Resiliente a los Desastres
</v>
      </c>
      <c r="C136" s="1350"/>
      <c r="D136" s="32">
        <f t="shared" ref="D136:G136" si="41">+(D137+D138+D139+D140+D141+D142)/6</f>
        <v>0.25786840977058367</v>
      </c>
      <c r="E136" s="32">
        <f t="shared" si="41"/>
        <v>0.2488091316895665</v>
      </c>
      <c r="F136" s="32">
        <f t="shared" si="40"/>
        <v>0.59632768509323986</v>
      </c>
      <c r="G136" s="33">
        <f t="shared" si="41"/>
        <v>0.23061672626890017</v>
      </c>
      <c r="H136" s="33">
        <f t="shared" ref="H136:I136" si="42">+(H137+H138+H139+H140+H141+H142)/6</f>
        <v>0.24748337411380886</v>
      </c>
      <c r="I136" s="915">
        <f t="shared" si="42"/>
        <v>0.44227777777777777</v>
      </c>
      <c r="J136" s="10">
        <f>+(J137+J138+J139+J140+J141+J142)/6</f>
        <v>0.34751855340367338</v>
      </c>
      <c r="K136" s="10">
        <f>+(K137+K138+K139+K140+K141+K142)/6</f>
        <v>0.46996420327895211</v>
      </c>
      <c r="L136" s="41">
        <f>+(L137+L138+L139+L140+L141+L142)</f>
        <v>0.30808632226094745</v>
      </c>
      <c r="M136" s="41">
        <f>+'Ciudad Conectada'!AA60</f>
        <v>0.42063963005510235</v>
      </c>
      <c r="N136" s="35"/>
      <c r="O136" s="9"/>
      <c r="P136" s="96"/>
    </row>
    <row r="137" spans="2:16" ht="42" customHeight="1" x14ac:dyDescent="0.55000000000000004">
      <c r="B137" s="42" t="s">
        <v>1988</v>
      </c>
      <c r="C137" s="1350"/>
      <c r="D137" s="12">
        <f>+'Ciudad Conectada'!I61</f>
        <v>0.33333333333333331</v>
      </c>
      <c r="E137" s="12">
        <f>+'Ciudad Conectada'!J61</f>
        <v>0.29166666666666663</v>
      </c>
      <c r="F137" s="12">
        <f t="shared" si="40"/>
        <v>0.59166666666666656</v>
      </c>
      <c r="G137" s="12">
        <f>+'Ciudad Conectada'!K61</f>
        <v>9.9999999999999992E-2</v>
      </c>
      <c r="H137" s="12">
        <f>+'Ciudad Conectada'!L61</f>
        <v>0.27499999999999997</v>
      </c>
      <c r="I137" s="12">
        <f>+'Ciudad Conectada'!U61</f>
        <v>0.30249999999999999</v>
      </c>
      <c r="J137" s="12">
        <f>+'Ciudad Conectada'!X61</f>
        <v>0.3</v>
      </c>
      <c r="K137" s="12">
        <f>+'Ciudad Conectada'!Y61</f>
        <v>0.39750000000000002</v>
      </c>
      <c r="L137" s="43">
        <f>+'Ciudad Conectada'!Z61</f>
        <v>8.9999999999999993E-3</v>
      </c>
      <c r="M137" s="43">
        <f>+'Ciudad Conectada'!AA61</f>
        <v>0.15650000000000003</v>
      </c>
      <c r="N137" s="35"/>
      <c r="O137" s="9"/>
      <c r="P137" s="96"/>
    </row>
    <row r="138" spans="2:16" ht="40.9" customHeight="1" x14ac:dyDescent="0.55000000000000004">
      <c r="B138" s="42" t="s">
        <v>1287</v>
      </c>
      <c r="C138" s="1350"/>
      <c r="D138" s="12">
        <f>+'Ciudad Conectada'!I64</f>
        <v>0.23295454545454547</v>
      </c>
      <c r="E138" s="12">
        <f>+'Ciudad Conectada'!J64</f>
        <v>0.25568181818181818</v>
      </c>
      <c r="F138" s="12">
        <f t="shared" si="40"/>
        <v>0.57738636363636364</v>
      </c>
      <c r="G138" s="12">
        <f>+'Ciudad Conectada'!K64</f>
        <v>0.22954545454545455</v>
      </c>
      <c r="H138" s="12">
        <f>+'Ciudad Conectada'!L64</f>
        <v>0.25681818181818178</v>
      </c>
      <c r="I138" s="12">
        <f>+'Ciudad Conectada'!U64</f>
        <v>0.29894444444444446</v>
      </c>
      <c r="J138" s="12">
        <f>+'Ciudad Conectada'!X64</f>
        <v>0.32170454545454552</v>
      </c>
      <c r="K138" s="12">
        <f>+'Ciudad Conectada'!Y64</f>
        <v>0.3980189393939394</v>
      </c>
      <c r="L138" s="43">
        <f>+'Ciudad Conectada'!Z64</f>
        <v>4.8156818181818176E-2</v>
      </c>
      <c r="M138" s="43">
        <f>+'Ciudad Conectada'!AA64</f>
        <v>0.40887272727272728</v>
      </c>
      <c r="N138" s="35"/>
      <c r="O138" s="9"/>
      <c r="P138" s="96"/>
    </row>
    <row r="139" spans="2:16" ht="38.450000000000003" customHeight="1" x14ac:dyDescent="0.55000000000000004">
      <c r="B139" s="42" t="s">
        <v>1989</v>
      </c>
      <c r="C139" s="1350"/>
      <c r="D139" s="12">
        <f>+'Ciudad Conectada'!I69</f>
        <v>0.26306543697848045</v>
      </c>
      <c r="E139" s="12">
        <f>+'Ciudad Conectada'!J69</f>
        <v>0.29907773386034253</v>
      </c>
      <c r="F139" s="12">
        <f t="shared" si="40"/>
        <v>0.68522178304786996</v>
      </c>
      <c r="G139" s="12">
        <f>+'Ciudad Conectada'!K69</f>
        <v>0.30629776021080368</v>
      </c>
      <c r="H139" s="12">
        <f>+'Ciudad Conectada'!L69</f>
        <v>0.31665349143610011</v>
      </c>
      <c r="I139" s="12">
        <f>+'Ciudad Conectada'!U69</f>
        <v>0.88888888888888884</v>
      </c>
      <c r="J139" s="12">
        <f>+'Ciudad Conectada'!X69</f>
        <v>0.38614404918752743</v>
      </c>
      <c r="K139" s="12">
        <f>+'Ciudad Conectada'!Y69</f>
        <v>0.67138779095300827</v>
      </c>
      <c r="L139" s="43">
        <f>+'Ciudad Conectada'!Z69</f>
        <v>5.2982213438735173E-2</v>
      </c>
      <c r="M139" s="43">
        <f>+'Ciudad Conectada'!AA69</f>
        <v>0.65967061923583659</v>
      </c>
      <c r="N139" s="35"/>
      <c r="O139" s="9"/>
      <c r="P139" s="96"/>
    </row>
    <row r="140" spans="2:16" ht="37.15" customHeight="1" x14ac:dyDescent="0.55000000000000004">
      <c r="B140" s="42" t="s">
        <v>1310</v>
      </c>
      <c r="C140" s="1350"/>
      <c r="D140" s="12">
        <f>+'Ciudad Conectada'!I73</f>
        <v>0.25</v>
      </c>
      <c r="E140" s="12">
        <f>+'Ciudad Conectada'!J73</f>
        <v>0.25</v>
      </c>
      <c r="F140" s="12">
        <f t="shared" si="40"/>
        <v>0.60297701149425298</v>
      </c>
      <c r="G140" s="12">
        <f>+'Ciudad Conectada'!K73</f>
        <v>0.25</v>
      </c>
      <c r="H140" s="12">
        <f>+'Ciudad Conectada'!L73</f>
        <v>0.25</v>
      </c>
      <c r="I140" s="12">
        <f>+'Ciudad Conectada'!U73</f>
        <v>0.47333333333333333</v>
      </c>
      <c r="J140" s="12">
        <f>+'Ciudad Conectada'!X73</f>
        <v>0.35297701149425292</v>
      </c>
      <c r="K140" s="12">
        <f>+'Ciudad Conectada'!Y73</f>
        <v>0.50073563218390804</v>
      </c>
      <c r="L140" s="43">
        <f>+'Ciudad Conectada'!Z73</f>
        <v>5.4475862068965514E-2</v>
      </c>
      <c r="M140" s="43">
        <f>+'Ciudad Conectada'!AA73</f>
        <v>0.41436206896551725</v>
      </c>
      <c r="N140" s="35"/>
      <c r="O140" s="9"/>
      <c r="P140" s="96"/>
    </row>
    <row r="141" spans="2:16" ht="31.15" customHeight="1" x14ac:dyDescent="0.55000000000000004">
      <c r="B141" s="42" t="s">
        <v>1990</v>
      </c>
      <c r="C141" s="1350"/>
      <c r="D141" s="12">
        <f>+'Ciudad Conectada'!I77</f>
        <v>0.14285714285714285</v>
      </c>
      <c r="E141" s="12">
        <f>+'Ciudad Conectada'!J77</f>
        <v>0.17142857142857143</v>
      </c>
      <c r="F141" s="12">
        <f t="shared" si="40"/>
        <v>0.2857142857142857</v>
      </c>
      <c r="G141" s="12">
        <f>+'Ciudad Conectada'!K77</f>
        <v>0.14285714285714285</v>
      </c>
      <c r="H141" s="12">
        <f>+'Ciudad Conectada'!L77</f>
        <v>0.17142857142857143</v>
      </c>
      <c r="I141" s="12">
        <f>+'Ciudad Conectada'!U77</f>
        <v>0.25000000000000006</v>
      </c>
      <c r="J141" s="12">
        <f>+'Ciudad Conectada'!X77</f>
        <v>0.1142857142857143</v>
      </c>
      <c r="K141" s="12">
        <f>+'Ciudad Conectada'!Y77</f>
        <v>0.15714285714285717</v>
      </c>
      <c r="L141" s="43">
        <f>+'Ciudad Conectada'!Z77</f>
        <v>2.8571428571428574E-2</v>
      </c>
      <c r="M141" s="43">
        <f>+'Ciudad Conectada'!AA77</f>
        <v>0.15714285714285717</v>
      </c>
      <c r="N141" s="35"/>
      <c r="O141" s="9"/>
      <c r="P141" s="96"/>
    </row>
    <row r="142" spans="2:16" ht="48.6" customHeight="1" x14ac:dyDescent="0.55000000000000004">
      <c r="B142" s="42" t="s">
        <v>1322</v>
      </c>
      <c r="C142" s="1350"/>
      <c r="D142" s="12">
        <f>+'Ciudad Conectada'!I79</f>
        <v>0.32500000000000001</v>
      </c>
      <c r="E142" s="12">
        <f>+'Ciudad Conectada'!J79</f>
        <v>0.22500000000000001</v>
      </c>
      <c r="F142" s="12">
        <f t="shared" si="40"/>
        <v>0.83499999999999996</v>
      </c>
      <c r="G142" s="12">
        <f>+'Ciudad Conectada'!K79</f>
        <v>0.35499999999999998</v>
      </c>
      <c r="H142" s="12">
        <f>+'Ciudad Conectada'!L79</f>
        <v>0.21499999999999997</v>
      </c>
      <c r="I142" s="12">
        <f>+'Ciudad Conectada'!U79</f>
        <v>0.43999999999999995</v>
      </c>
      <c r="J142" s="12">
        <f>+'Ciudad Conectada'!X79</f>
        <v>0.61</v>
      </c>
      <c r="K142" s="12">
        <f>+'Ciudad Conectada'!Y79</f>
        <v>0.69500000000000006</v>
      </c>
      <c r="L142" s="43">
        <f>+'Ciudad Conectada'!Z79</f>
        <v>0.1149</v>
      </c>
      <c r="M142" s="43">
        <f>+'Ciudad Conectada'!AA79</f>
        <v>0.81699999999999995</v>
      </c>
      <c r="N142" s="35"/>
      <c r="O142" s="9"/>
      <c r="P142" s="96"/>
    </row>
    <row r="143" spans="2:16" ht="82.9" customHeight="1" x14ac:dyDescent="0.55000000000000004">
      <c r="B143" s="40" t="str">
        <f>+'Ciudad Conectada'!B82:B82</f>
        <v xml:space="preserve">Ciudad Histórica y Patrimonial
</v>
      </c>
      <c r="C143" s="1350"/>
      <c r="D143" s="32">
        <f t="shared" ref="D143:G143" si="43">+(D144+D145+D146)/3</f>
        <v>0.23703703703703705</v>
      </c>
      <c r="E143" s="32">
        <f t="shared" si="43"/>
        <v>0.27380952380952378</v>
      </c>
      <c r="F143" s="32">
        <f t="shared" si="40"/>
        <v>0.42505793650793644</v>
      </c>
      <c r="G143" s="33">
        <f t="shared" si="43"/>
        <v>0.17777777777777778</v>
      </c>
      <c r="H143" s="33">
        <f t="shared" ref="H143:I143" si="44">+(H144+H145+H146)/3</f>
        <v>0.24236111111111111</v>
      </c>
      <c r="I143" s="915">
        <f t="shared" si="44"/>
        <v>0.22272777777777777</v>
      </c>
      <c r="J143" s="10">
        <f>+(J144+J145+J146)/3</f>
        <v>0.15124841269841269</v>
      </c>
      <c r="K143" s="10">
        <f>+(K144+K145+K146)/3</f>
        <v>0.19436479591836733</v>
      </c>
      <c r="L143" s="94">
        <f>+(L144+L145+L146)</f>
        <v>6.376682142857143E-2</v>
      </c>
      <c r="M143" s="94">
        <f>+'Ciudad Conectada'!AA82</f>
        <v>0.12696144642857143</v>
      </c>
      <c r="N143" s="35"/>
      <c r="O143" s="9"/>
      <c r="P143" s="96"/>
    </row>
    <row r="144" spans="2:16" ht="79.150000000000006" customHeight="1" x14ac:dyDescent="0.55000000000000004">
      <c r="B144" s="42" t="s">
        <v>1991</v>
      </c>
      <c r="C144" s="1350"/>
      <c r="D144" s="12">
        <f>+'Ciudad Conectada'!I83</f>
        <v>0.21111111111111111</v>
      </c>
      <c r="E144" s="12">
        <f>+'Ciudad Conectada'!J83</f>
        <v>0.27976190476190477</v>
      </c>
      <c r="F144" s="12">
        <f t="shared" si="40"/>
        <v>0.35850714285714286</v>
      </c>
      <c r="G144" s="12">
        <f>+'Ciudad Conectada'!K83</f>
        <v>0.15833333333333333</v>
      </c>
      <c r="H144" s="12">
        <f>+'Ciudad Conectada'!L83</f>
        <v>0.25833333333333336</v>
      </c>
      <c r="I144" s="12">
        <f>+'Ciudad Conectada'!U83</f>
        <v>0.51485000000000003</v>
      </c>
      <c r="J144" s="12">
        <f>+'Ciudad Conectada'!X83</f>
        <v>7.874523809523809E-2</v>
      </c>
      <c r="K144" s="12">
        <f>+'Ciudad Conectada'!Y83</f>
        <v>0.17014438775510204</v>
      </c>
      <c r="L144" s="43">
        <f>+'Ciudad Conectada'!Z83</f>
        <v>2.6266821428571428E-2</v>
      </c>
      <c r="M144" s="43">
        <f>+'Ciudad Conectada'!AA83</f>
        <v>0.17005321428571429</v>
      </c>
      <c r="N144" s="35"/>
      <c r="O144" s="9"/>
      <c r="P144" s="96"/>
    </row>
    <row r="145" spans="2:16" ht="88.15" customHeight="1" x14ac:dyDescent="0.55000000000000004">
      <c r="B145" s="42" t="s">
        <v>1352</v>
      </c>
      <c r="C145" s="1350"/>
      <c r="D145" s="12">
        <f>+'Ciudad Conectada'!I91</f>
        <v>0.25</v>
      </c>
      <c r="E145" s="12">
        <f>+'Ciudad Conectada'!J91</f>
        <v>0.29166666666666669</v>
      </c>
      <c r="F145" s="12">
        <f t="shared" si="40"/>
        <v>0.29166666666666669</v>
      </c>
      <c r="G145" s="12">
        <f>+'Ciudad Conectada'!K91</f>
        <v>0.125</v>
      </c>
      <c r="H145" s="12">
        <f>+'Ciudad Conectada'!L91</f>
        <v>0.21875</v>
      </c>
      <c r="I145" s="12">
        <f>+'Ciudad Conectada'!U91</f>
        <v>0.15333333333333332</v>
      </c>
      <c r="J145" s="12">
        <f>+'Ciudad Conectada'!X91</f>
        <v>0</v>
      </c>
      <c r="K145" s="12">
        <f>+'Ciudad Conectada'!Y91</f>
        <v>3.7949999999999998E-2</v>
      </c>
      <c r="L145" s="43">
        <f>+'Ciudad Conectada'!Z91</f>
        <v>0</v>
      </c>
      <c r="M145" s="43">
        <f>+'Ciudad Conectada'!AA91</f>
        <v>2.8749999999999998E-2</v>
      </c>
      <c r="N145" s="35"/>
      <c r="O145" s="9"/>
      <c r="P145" s="96"/>
    </row>
    <row r="146" spans="2:16" ht="53.45" customHeight="1" x14ac:dyDescent="0.55000000000000004">
      <c r="B146" s="42" t="s">
        <v>1367</v>
      </c>
      <c r="C146" s="1350"/>
      <c r="D146" s="12">
        <f>+'Ciudad Conectada'!I95</f>
        <v>0.25</v>
      </c>
      <c r="E146" s="12">
        <f>+'Ciudad Conectada'!J95</f>
        <v>0.25</v>
      </c>
      <c r="F146" s="12">
        <f t="shared" si="40"/>
        <v>0.625</v>
      </c>
      <c r="G146" s="12">
        <f>+'Ciudad Conectada'!K95</f>
        <v>0.25</v>
      </c>
      <c r="H146" s="12">
        <f>+'Ciudad Conectada'!L95</f>
        <v>0.25</v>
      </c>
      <c r="I146" s="12">
        <f>+'Ciudad Conectada'!U95</f>
        <v>0</v>
      </c>
      <c r="J146" s="12">
        <f>+'Ciudad Conectada'!X95</f>
        <v>0.375</v>
      </c>
      <c r="K146" s="12">
        <f>+'Ciudad Conectada'!Y95</f>
        <v>0.375</v>
      </c>
      <c r="L146" s="43">
        <f>+'Ciudad Conectada'!Z95</f>
        <v>3.7500000000000006E-2</v>
      </c>
      <c r="M146" s="43">
        <f>+'Ciudad Conectada'!AA95</f>
        <v>0.375</v>
      </c>
      <c r="N146" s="35"/>
      <c r="O146" s="9"/>
      <c r="P146" s="96"/>
    </row>
    <row r="147" spans="2:16" ht="104.45" customHeight="1" x14ac:dyDescent="0.55000000000000004">
      <c r="B147" s="40" t="str">
        <f>+'Ciudad Conectada'!B97:B97</f>
        <v xml:space="preserve">Infraestructura, Movilidad Sostenible y Accesibilidad para Todos
</v>
      </c>
      <c r="C147" s="1350"/>
      <c r="D147" s="32">
        <f>+(D148+D149+D150+D151+D152)/4</f>
        <v>0.32233213614481815</v>
      </c>
      <c r="E147" s="32">
        <f>+(E148+E149+E150+E151+E152)/4</f>
        <v>0.33444883091858213</v>
      </c>
      <c r="F147" s="32">
        <f t="shared" si="40"/>
        <v>0.6214955271871011</v>
      </c>
      <c r="G147" s="33">
        <f>+(G148+G149+G150+G151+G152)/4</f>
        <v>0.24677777425020778</v>
      </c>
      <c r="H147" s="33">
        <f t="shared" ref="H147" si="45">+(H148+H149+H150+H151+H152)/4</f>
        <v>0.31886324614094053</v>
      </c>
      <c r="I147" s="915">
        <f>+(I148+I149+I150+I151+I152)/4</f>
        <v>0.50171683478499085</v>
      </c>
      <c r="J147" s="10">
        <f>+(J148+J149+J150+J151+J152)/4</f>
        <v>0.28704669626851897</v>
      </c>
      <c r="K147" s="10">
        <f>+(K148+K149+K150+K151+K152)/4</f>
        <v>0.52112490940263534</v>
      </c>
      <c r="L147" s="94">
        <f>+(L148+L149+L150+L151+L152)</f>
        <v>0.14970787104537839</v>
      </c>
      <c r="M147" s="94">
        <f>+'Ciudad Conectada'!AA97</f>
        <v>0.1631294882215743</v>
      </c>
      <c r="N147" s="35"/>
      <c r="O147" s="9"/>
      <c r="P147" s="96"/>
    </row>
    <row r="148" spans="2:16" ht="39.6" customHeight="1" x14ac:dyDescent="0.55000000000000004">
      <c r="B148" s="42" t="s">
        <v>1992</v>
      </c>
      <c r="C148" s="1350"/>
      <c r="D148" s="12">
        <f>+'Ciudad Conectada'!I98</f>
        <v>0</v>
      </c>
      <c r="E148" s="12">
        <f>+'Ciudad Conectada'!J98</f>
        <v>0.2</v>
      </c>
      <c r="F148" s="12">
        <f t="shared" si="40"/>
        <v>0.2</v>
      </c>
      <c r="G148" s="12">
        <f>+'Ciudad Conectada'!K98</f>
        <v>0</v>
      </c>
      <c r="H148" s="12">
        <f>+'Ciudad Conectada'!L98</f>
        <v>0.2</v>
      </c>
      <c r="I148" s="12">
        <f>+'Ciudad Conectada'!U98</f>
        <v>0</v>
      </c>
      <c r="J148" s="12">
        <f>+'Ciudad Conectada'!X98</f>
        <v>0</v>
      </c>
      <c r="K148" s="12">
        <f>+'Ciudad Conectada'!Y98</f>
        <v>0</v>
      </c>
      <c r="L148" s="43">
        <f>+'Ciudad Conectada'!Z98</f>
        <v>0</v>
      </c>
      <c r="M148" s="43">
        <f>+'Ciudad Conectada'!AA98</f>
        <v>0</v>
      </c>
      <c r="N148" s="35"/>
      <c r="O148" s="9"/>
      <c r="P148" s="96"/>
    </row>
    <row r="149" spans="2:16" ht="59.45" customHeight="1" x14ac:dyDescent="0.55000000000000004">
      <c r="B149" s="42" t="s">
        <v>1993</v>
      </c>
      <c r="C149" s="1350"/>
      <c r="D149" s="12">
        <f>+'Ciudad Conectada'!I100</f>
        <v>0.1875</v>
      </c>
      <c r="E149" s="12">
        <f>+'Ciudad Conectada'!J100</f>
        <v>0.27083333333333331</v>
      </c>
      <c r="F149" s="12">
        <f t="shared" si="40"/>
        <v>0.52593869047619046</v>
      </c>
      <c r="G149" s="12">
        <f>+'Ciudad Conectada'!K100</f>
        <v>0.2</v>
      </c>
      <c r="H149" s="12">
        <f>+'Ciudad Conectada'!L100</f>
        <v>0.26666666666666666</v>
      </c>
      <c r="I149" s="12">
        <f>+'Ciudad Conectada'!U100</f>
        <v>1</v>
      </c>
      <c r="J149" s="12">
        <f>+'Ciudad Conectada'!X100</f>
        <v>0.25510535714285715</v>
      </c>
      <c r="K149" s="12">
        <f>+'Ciudad Conectada'!Y100</f>
        <v>0.93191666666666662</v>
      </c>
      <c r="L149" s="43">
        <f>+'Ciudad Conectada'!Z100</f>
        <v>5.427928571428571E-2</v>
      </c>
      <c r="M149" s="43">
        <f>+'Ciudad Conectada'!AA100</f>
        <v>0.92996499999999993</v>
      </c>
      <c r="N149" s="35"/>
      <c r="O149" s="9"/>
      <c r="P149" s="96"/>
    </row>
    <row r="150" spans="2:16" ht="54.6" customHeight="1" x14ac:dyDescent="0.55000000000000004">
      <c r="B150" s="42" t="s">
        <v>1994</v>
      </c>
      <c r="C150" s="1350"/>
      <c r="D150" s="12">
        <f>+'Ciudad Conectada'!I105</f>
        <v>0.25</v>
      </c>
      <c r="E150" s="12">
        <f>+'Ciudad Conectada'!J105</f>
        <v>0</v>
      </c>
      <c r="F150" s="12">
        <f t="shared" si="40"/>
        <v>0</v>
      </c>
      <c r="G150" s="12">
        <f>+'Ciudad Conectada'!K105</f>
        <v>0.25</v>
      </c>
      <c r="H150" s="12">
        <f>+'Ciudad Conectada'!L105</f>
        <v>0</v>
      </c>
      <c r="I150" s="12">
        <f>+'Ciudad Conectada'!U105</f>
        <v>0</v>
      </c>
      <c r="J150" s="12">
        <f>+'Ciudad Conectada'!X105</f>
        <v>0</v>
      </c>
      <c r="K150" s="12">
        <f>+'Ciudad Conectada'!Y105</f>
        <v>0</v>
      </c>
      <c r="L150" s="43">
        <f>+'Ciudad Conectada'!Z105</f>
        <v>0</v>
      </c>
      <c r="M150" s="43">
        <f>+'Ciudad Conectada'!AA105</f>
        <v>0</v>
      </c>
      <c r="N150" s="35"/>
      <c r="O150" s="9"/>
      <c r="P150" s="96"/>
    </row>
    <row r="151" spans="2:16" ht="53.45" customHeight="1" x14ac:dyDescent="0.55000000000000004">
      <c r="B151" s="42" t="s">
        <v>1394</v>
      </c>
      <c r="C151" s="1350"/>
      <c r="D151" s="12">
        <f>+'Ciudad Conectada'!I109</f>
        <v>0.30482468088463477</v>
      </c>
      <c r="E151" s="12">
        <f>+'Ciudad Conectada'!J109</f>
        <v>0.43500887121099618</v>
      </c>
      <c r="F151" s="12">
        <f t="shared" si="40"/>
        <v>0.73186657872914318</v>
      </c>
      <c r="G151" s="12">
        <f>+'Ciudad Conectada'!K109</f>
        <v>0.23385974470770779</v>
      </c>
      <c r="H151" s="12">
        <f>+'Ciudad Conectada'!L109</f>
        <v>0.41100975833209585</v>
      </c>
      <c r="I151" s="12">
        <f>+'Ciudad Conectada'!U109</f>
        <v>0.43169664310223549</v>
      </c>
      <c r="J151" s="12">
        <f>+'Ciudad Conectada'!X109</f>
        <v>0.296857707518147</v>
      </c>
      <c r="K151" s="12">
        <f>+'Ciudad Conectada'!Y109</f>
        <v>0.35413214924728281</v>
      </c>
      <c r="L151" s="43">
        <f>+'Ciudad Conectada'!Z109</f>
        <v>3.3372924902177636E-2</v>
      </c>
      <c r="M151" s="43">
        <f>+'Ciudad Conectada'!AA109</f>
        <v>0.35429536417201102</v>
      </c>
      <c r="N151" s="35"/>
      <c r="O151" s="9"/>
      <c r="P151" s="96"/>
    </row>
    <row r="152" spans="2:16" ht="36.6" customHeight="1" x14ac:dyDescent="0.55000000000000004">
      <c r="B152" s="42" t="s">
        <v>1428</v>
      </c>
      <c r="C152" s="1350"/>
      <c r="D152" s="12">
        <f>+'Ciudad Conectada'!I121</f>
        <v>0.54700386369463794</v>
      </c>
      <c r="E152" s="12">
        <f>+'Ciudad Conectada'!J121</f>
        <v>0.43195311912999895</v>
      </c>
      <c r="F152" s="12">
        <v>1</v>
      </c>
      <c r="G152" s="12">
        <f>+'Ciudad Conectada'!K121</f>
        <v>0.30325135229312328</v>
      </c>
      <c r="H152" s="12">
        <f>+'Ciudad Conectada'!L121</f>
        <v>0.39777655956499952</v>
      </c>
      <c r="I152" s="12">
        <f>+'Ciudad Conectada'!U121</f>
        <v>0.57517069603772797</v>
      </c>
      <c r="J152" s="12">
        <f>+'Ciudad Conectada'!X121</f>
        <v>0.59622372041307181</v>
      </c>
      <c r="K152" s="12">
        <f>+'Ciudad Conectada'!Y121</f>
        <v>0.79845082169659176</v>
      </c>
      <c r="L152" s="43">
        <f>+'Ciudad Conectada'!Z121</f>
        <v>6.2055660428915041E-2</v>
      </c>
      <c r="M152" s="43">
        <f>+'Ciudad Conectada'!AA121</f>
        <v>0.54992591797886314</v>
      </c>
      <c r="N152" s="35"/>
      <c r="O152" s="9"/>
      <c r="P152" s="96"/>
    </row>
    <row r="153" spans="2:16" ht="49.5" x14ac:dyDescent="0.55000000000000004">
      <c r="B153" s="40" t="str">
        <f>+'Ciudad Conectada'!B135:B135</f>
        <v xml:space="preserve">Cartagena Ordenada Alrededor del Agua
</v>
      </c>
      <c r="C153" s="1350"/>
      <c r="D153" s="32">
        <f t="shared" ref="D153:G153" si="46">+(D154+D155+D156+D157+D158)/4</f>
        <v>0.23930555555555558</v>
      </c>
      <c r="E153" s="32">
        <f t="shared" si="46"/>
        <v>0.21464285714285714</v>
      </c>
      <c r="F153" s="32">
        <f t="shared" si="40"/>
        <v>0.44129952380952381</v>
      </c>
      <c r="G153" s="33">
        <f t="shared" si="46"/>
        <v>0.17302083333333335</v>
      </c>
      <c r="H153" s="33">
        <f t="shared" ref="H153:I153" si="47">+(H154+H155+H156+H157+H158)/4</f>
        <v>0.24329166666666668</v>
      </c>
      <c r="I153" s="915">
        <f t="shared" si="47"/>
        <v>0.47302161877394633</v>
      </c>
      <c r="J153" s="10">
        <f>+(J154+J155+J156+J157+J158)/4</f>
        <v>0.22665666666666667</v>
      </c>
      <c r="K153" s="10">
        <f>+(K154+K155+K156+K157+K158)/4</f>
        <v>0.34193255555555557</v>
      </c>
      <c r="L153" s="94">
        <f>+(L154+L155+L156+L157+L158)</f>
        <v>0.15220140000000001</v>
      </c>
      <c r="M153" s="94">
        <f>+'Ciudad Conectada'!AA135</f>
        <v>0.27291636750000003</v>
      </c>
      <c r="N153" s="35"/>
      <c r="O153" s="9"/>
      <c r="P153" s="96"/>
    </row>
    <row r="154" spans="2:16" ht="32.450000000000003" customHeight="1" x14ac:dyDescent="0.55000000000000004">
      <c r="B154" s="42" t="s">
        <v>1995</v>
      </c>
      <c r="C154" s="1350"/>
      <c r="D154" s="12">
        <f>+'Ciudad Conectada'!I136</f>
        <v>0.125</v>
      </c>
      <c r="E154" s="12">
        <f>+'Ciudad Conectada'!J136</f>
        <v>0.25</v>
      </c>
      <c r="F154" s="12">
        <f t="shared" si="40"/>
        <v>0.435</v>
      </c>
      <c r="G154" s="12">
        <f>+'Ciudad Conectada'!K136</f>
        <v>5.6250000000000001E-2</v>
      </c>
      <c r="H154" s="12">
        <f>+'Ciudad Conectada'!L136</f>
        <v>0.36249999999999999</v>
      </c>
      <c r="I154" s="12">
        <f>+'Ciudad Conectada'!U136</f>
        <v>0.11015000000000001</v>
      </c>
      <c r="J154" s="12">
        <f>+'Ciudad Conectada'!X136</f>
        <v>0.185</v>
      </c>
      <c r="K154" s="12">
        <f>+'Ciudad Conectada'!Y136</f>
        <v>0.20335833333333334</v>
      </c>
      <c r="L154" s="43">
        <f>+'Ciudad Conectada'!Z136</f>
        <v>1.6650000000000002E-2</v>
      </c>
      <c r="M154" s="43">
        <f>+'Ciudad Conectada'!AA136</f>
        <v>0.10803375000000003</v>
      </c>
      <c r="N154" s="35"/>
      <c r="O154" s="9"/>
      <c r="P154" s="96"/>
    </row>
    <row r="155" spans="2:16" ht="31.9" customHeight="1" x14ac:dyDescent="0.55000000000000004">
      <c r="B155" s="42" t="s">
        <v>1996</v>
      </c>
      <c r="C155" s="1350"/>
      <c r="D155" s="12">
        <f>+'Ciudad Conectada'!I140</f>
        <v>0.27</v>
      </c>
      <c r="E155" s="12">
        <f>+'Ciudad Conectada'!J140</f>
        <v>0.17333333333333334</v>
      </c>
      <c r="F155" s="12">
        <f t="shared" si="40"/>
        <v>0.37496000000000007</v>
      </c>
      <c r="G155" s="12">
        <f>+'Ciudad Conectada'!K140</f>
        <v>0.22900000000000001</v>
      </c>
      <c r="H155" s="12">
        <f>+'Ciudad Conectada'!L140</f>
        <v>0.14750000000000002</v>
      </c>
      <c r="I155" s="12">
        <f>+'Ciudad Conectada'!U140</f>
        <v>0.66210888888888886</v>
      </c>
      <c r="J155" s="12">
        <f>+'Ciudad Conectada'!X140</f>
        <v>0.2016266666666667</v>
      </c>
      <c r="K155" s="12">
        <f>+'Ciudad Conectada'!Y140</f>
        <v>0.46131633333333327</v>
      </c>
      <c r="L155" s="43">
        <f>+'Ciudad Conectada'!Z140</f>
        <v>3.5951400000000001E-2</v>
      </c>
      <c r="M155" s="43">
        <f>+'Ciudad Conectada'!AA140</f>
        <v>0.42639744999999996</v>
      </c>
      <c r="N155" s="35"/>
      <c r="O155" s="9"/>
      <c r="P155" s="96"/>
    </row>
    <row r="156" spans="2:16" ht="41.45" customHeight="1" x14ac:dyDescent="0.55000000000000004">
      <c r="B156" s="42" t="s">
        <v>1488</v>
      </c>
      <c r="C156" s="1350"/>
      <c r="D156" s="12">
        <f>+'Ciudad Conectada'!I144</f>
        <v>0.42000000000000004</v>
      </c>
      <c r="E156" s="12">
        <f>+'Ciudad Conectada'!J144</f>
        <v>0.25</v>
      </c>
      <c r="F156" s="12">
        <f t="shared" si="40"/>
        <v>0.65</v>
      </c>
      <c r="G156" s="12">
        <f>+'Ciudad Conectada'!K144</f>
        <v>0.30500000000000005</v>
      </c>
      <c r="H156" s="12">
        <f>+'Ciudad Conectada'!L144</f>
        <v>0.21500000000000002</v>
      </c>
      <c r="I156" s="12">
        <f>+'Ciudad Conectada'!U144</f>
        <v>0.55000000000000004</v>
      </c>
      <c r="J156" s="12">
        <f>+'Ciudad Conectada'!X144</f>
        <v>0.4</v>
      </c>
      <c r="K156" s="12">
        <f>+'Ciudad Conectada'!Y144</f>
        <v>0.43200000000000005</v>
      </c>
      <c r="L156" s="43">
        <f>+'Ciudad Conectada'!Z144</f>
        <v>7.1250000000000008E-2</v>
      </c>
      <c r="M156" s="43">
        <f>+'Ciudad Conectada'!AA144</f>
        <v>0.30800000000000005</v>
      </c>
      <c r="N156" s="35"/>
      <c r="O156" s="9"/>
      <c r="P156" s="96"/>
    </row>
    <row r="157" spans="2:16" ht="31.9" customHeight="1" x14ac:dyDescent="0.55000000000000004">
      <c r="B157" s="42" t="s">
        <v>1503</v>
      </c>
      <c r="C157" s="1350"/>
      <c r="D157" s="12">
        <f>+'Ciudad Conectada'!I150</f>
        <v>0.14222222222222222</v>
      </c>
      <c r="E157" s="12">
        <f>+'Ciudad Conectada'!J150</f>
        <v>0.18523809523809523</v>
      </c>
      <c r="F157" s="12">
        <f t="shared" si="40"/>
        <v>0.30523809523809525</v>
      </c>
      <c r="G157" s="12">
        <f>+'Ciudad Conectada'!K150</f>
        <v>0.10183333333333333</v>
      </c>
      <c r="H157" s="12">
        <f>+'Ciudad Conectada'!L150</f>
        <v>0.24816666666666667</v>
      </c>
      <c r="I157" s="12">
        <f>+'Ciudad Conectada'!U150</f>
        <v>0.56982758620689655</v>
      </c>
      <c r="J157" s="12">
        <f>+'Ciudad Conectada'!X150</f>
        <v>0.12000000000000001</v>
      </c>
      <c r="K157" s="12">
        <f>+'Ciudad Conectada'!Y150</f>
        <v>0.27105555555555549</v>
      </c>
      <c r="L157" s="43">
        <f>+'Ciudad Conectada'!Z150</f>
        <v>2.8350000000000004E-2</v>
      </c>
      <c r="M157" s="43">
        <f>+'Ciudad Conectada'!AA150</f>
        <v>0.3678333333333334</v>
      </c>
      <c r="N157" s="35"/>
      <c r="O157" s="9"/>
      <c r="P157" s="96"/>
    </row>
    <row r="158" spans="2:16" ht="67.900000000000006" customHeight="1" x14ac:dyDescent="0.55000000000000004">
      <c r="B158" s="42" t="s">
        <v>1522</v>
      </c>
      <c r="C158" s="1350"/>
      <c r="D158" s="12">
        <f>+'Ciudad Conectada'!I159</f>
        <v>0</v>
      </c>
      <c r="E158" s="12">
        <f>+'Ciudad Conectada'!J159</f>
        <v>0</v>
      </c>
      <c r="F158" s="12">
        <f t="shared" si="40"/>
        <v>0</v>
      </c>
      <c r="G158" s="12">
        <f>+'Ciudad Conectada'!K159</f>
        <v>0</v>
      </c>
      <c r="H158" s="12">
        <f>+'Ciudad Conectada'!L159</f>
        <v>0</v>
      </c>
      <c r="I158" s="12">
        <f>+'Ciudad Conectada'!U159</f>
        <v>0</v>
      </c>
      <c r="J158" s="12"/>
      <c r="K158" s="12"/>
      <c r="L158" s="43">
        <f>+'Ciudad Conectada'!Z159</f>
        <v>0</v>
      </c>
      <c r="M158" s="43">
        <f>+'Ciudad Conectada'!AA159</f>
        <v>0</v>
      </c>
      <c r="N158" s="35"/>
      <c r="O158" s="9"/>
      <c r="P158" s="96"/>
    </row>
    <row r="159" spans="2:16" ht="49.5" x14ac:dyDescent="0.55000000000000004">
      <c r="B159" s="40" t="str">
        <f>+'Ciudad Conectada'!B167:B167</f>
        <v xml:space="preserve"> Integración Regional y Metropolitana
</v>
      </c>
      <c r="C159" s="1350"/>
      <c r="D159" s="32">
        <f t="shared" ref="D159:I159" si="48">+(D160)/1</f>
        <v>0</v>
      </c>
      <c r="E159" s="32">
        <f>+(E160)/1</f>
        <v>0.16666666666666666</v>
      </c>
      <c r="F159" s="32">
        <f t="shared" si="40"/>
        <v>0.16666666666666666</v>
      </c>
      <c r="G159" s="33">
        <f t="shared" si="48"/>
        <v>0</v>
      </c>
      <c r="H159" s="33">
        <f t="shared" si="48"/>
        <v>0</v>
      </c>
      <c r="I159" s="915">
        <f t="shared" si="48"/>
        <v>0.2</v>
      </c>
      <c r="J159" s="10">
        <f>+(J160)/1</f>
        <v>0</v>
      </c>
      <c r="K159" s="10">
        <f>+(K160)/1</f>
        <v>3.3000000000000002E-2</v>
      </c>
      <c r="L159" s="94">
        <f>+(L160)</f>
        <v>0</v>
      </c>
      <c r="M159" s="94">
        <f>+'Ciudad Conectada'!AA167</f>
        <v>1.0000000000000002E-3</v>
      </c>
      <c r="N159" s="35"/>
      <c r="O159" s="9"/>
      <c r="P159" s="96"/>
    </row>
    <row r="160" spans="2:16" ht="54.6" customHeight="1" x14ac:dyDescent="0.55000000000000004">
      <c r="B160" s="45" t="s">
        <v>1540</v>
      </c>
      <c r="C160" s="1351"/>
      <c r="D160" s="46">
        <f>+'Ciudad Conectada'!I168</f>
        <v>0</v>
      </c>
      <c r="E160" s="46">
        <f>+'Ciudad Conectada'!J168</f>
        <v>0.16666666666666666</v>
      </c>
      <c r="F160" s="46">
        <f t="shared" si="40"/>
        <v>0.16666666666666666</v>
      </c>
      <c r="G160" s="46">
        <f>+'Ciudad Conectada'!K168</f>
        <v>0</v>
      </c>
      <c r="H160" s="46">
        <f>+'Ciudad Conectada'!L168</f>
        <v>0</v>
      </c>
      <c r="I160" s="46">
        <f>+'Ciudad Conectada'!U168</f>
        <v>0.2</v>
      </c>
      <c r="J160" s="46">
        <f>+'Ciudad Conectada'!X168</f>
        <v>0</v>
      </c>
      <c r="K160" s="46">
        <f>+'Ciudad Conectada'!Y168</f>
        <v>3.3000000000000002E-2</v>
      </c>
      <c r="L160" s="47">
        <f>+'Ciudad Conectada'!Z168</f>
        <v>0</v>
      </c>
      <c r="M160" s="47">
        <f>+'Ciudad Conectada'!AA168</f>
        <v>2.0000000000000004E-2</v>
      </c>
      <c r="N160" s="35"/>
      <c r="O160" s="9"/>
      <c r="P160" s="96"/>
    </row>
    <row r="161" spans="2:16" ht="120" customHeight="1" x14ac:dyDescent="0.55000000000000004">
      <c r="B161" s="37" t="str">
        <f>+'Innovación Pública'!B3:B3</f>
        <v xml:space="preserve"> INNOVACIÓN PÚBLICA Y PARTICIPACIÓN CIUDADANA
</v>
      </c>
      <c r="C161" s="1352">
        <v>0.08</v>
      </c>
      <c r="D161" s="38">
        <f>+'Innovación Pública'!I3</f>
        <v>0.23222048675539217</v>
      </c>
      <c r="E161" s="38">
        <f>+'Innovación Pública'!J3</f>
        <v>0.28071248852276881</v>
      </c>
      <c r="F161" s="38">
        <f t="shared" si="40"/>
        <v>0.49760795645534717</v>
      </c>
      <c r="G161" s="38">
        <f>+'Innovación Pública'!K3</f>
        <v>0.21726216822485131</v>
      </c>
      <c r="H161" s="38">
        <f>+'Innovación Pública'!L3</f>
        <v>0.26550945452571084</v>
      </c>
      <c r="I161" s="38">
        <f>+'Innovación Pública'!U3</f>
        <v>0.41451393143111748</v>
      </c>
      <c r="J161" s="38">
        <f>+'Innovación Pública'!X3</f>
        <v>0.21689546793257833</v>
      </c>
      <c r="K161" s="38">
        <f>+'Innovación Pública'!Y3</f>
        <v>0.34508245592517955</v>
      </c>
      <c r="L161" s="39">
        <f>+'Innovación Pública'!Z3</f>
        <v>0.19300125399793866</v>
      </c>
      <c r="M161" s="39">
        <f>+'Innovación Pública'!AA3</f>
        <v>0.32378332475293098</v>
      </c>
      <c r="N161" s="35"/>
      <c r="O161" s="9"/>
      <c r="P161" s="96"/>
    </row>
    <row r="162" spans="2:16" ht="87" customHeight="1" x14ac:dyDescent="0.55000000000000004">
      <c r="B162" s="40" t="str">
        <f>+'Innovación Pública'!B4:B4</f>
        <v xml:space="preserve">Componente Impulsor del avance: Transparencia y Gobierno Abierto
</v>
      </c>
      <c r="C162" s="1347"/>
      <c r="D162" s="32">
        <f>+(D163+D164+D165)/2</f>
        <v>0.24124999999999999</v>
      </c>
      <c r="E162" s="32">
        <f>+(E163+E164+E165)/3</f>
        <v>0.23138888888888887</v>
      </c>
      <c r="F162" s="32">
        <f t="shared" si="40"/>
        <v>0.44138888888888883</v>
      </c>
      <c r="G162" s="33">
        <f>+(G163+G164+G165)/2</f>
        <v>0.24783333333333332</v>
      </c>
      <c r="H162" s="33">
        <f t="shared" ref="H162" si="49">+(H163+H164+H165)/2</f>
        <v>0.26858333333333329</v>
      </c>
      <c r="I162" s="915">
        <f>+(I163+I164+I165)/3</f>
        <v>0.53309523809523807</v>
      </c>
      <c r="J162" s="10">
        <f>+(J163+J164+J165)/2</f>
        <v>0.21</v>
      </c>
      <c r="K162" s="10">
        <f>+(K163+K164+K165)/3</f>
        <v>0.27313888888888888</v>
      </c>
      <c r="L162" s="33">
        <f>+(L163+L164+L165)</f>
        <v>0.15870000000000001</v>
      </c>
      <c r="M162" s="33">
        <f>+'Innovación Pública'!AA4</f>
        <v>0.30507499999999999</v>
      </c>
      <c r="N162" s="35"/>
      <c r="O162" s="9"/>
      <c r="P162" s="96"/>
    </row>
    <row r="163" spans="2:16" ht="60" customHeight="1" x14ac:dyDescent="0.55000000000000004">
      <c r="B163" s="42" t="s">
        <v>1997</v>
      </c>
      <c r="C163" s="1347"/>
      <c r="D163" s="12">
        <f>+'Innovación Pública'!I5</f>
        <v>0</v>
      </c>
      <c r="E163" s="12">
        <f>+'Innovación Pública'!J5</f>
        <v>0.29166666666666663</v>
      </c>
      <c r="F163" s="12">
        <f t="shared" si="40"/>
        <v>0.29166666666666663</v>
      </c>
      <c r="G163" s="12">
        <f>+'Innovación Pública'!K5</f>
        <v>0</v>
      </c>
      <c r="H163" s="12">
        <f>+'Innovación Pública'!L5</f>
        <v>0.13749999999999998</v>
      </c>
      <c r="I163" s="12">
        <f>+'Innovación Pública'!U5</f>
        <v>0.35</v>
      </c>
      <c r="J163" s="12">
        <f>+'Innovación Pública'!X5</f>
        <v>0</v>
      </c>
      <c r="K163" s="12">
        <f>+'Innovación Pública'!Y5</f>
        <v>5.7749999999999996E-2</v>
      </c>
      <c r="L163" s="43">
        <f>+'Innovación Pública'!Z5</f>
        <v>0</v>
      </c>
      <c r="M163" s="43">
        <f>+'Innovación Pública'!AA5</f>
        <v>6.1249999999999992E-2</v>
      </c>
      <c r="N163" s="35"/>
      <c r="O163" s="9"/>
      <c r="P163" s="96"/>
    </row>
    <row r="164" spans="2:16" ht="44.45" customHeight="1" x14ac:dyDescent="0.55000000000000004">
      <c r="B164" s="42" t="s">
        <v>1998</v>
      </c>
      <c r="C164" s="1347"/>
      <c r="D164" s="12">
        <f>+'Innovación Pública'!I9</f>
        <v>0.25</v>
      </c>
      <c r="E164" s="12">
        <f>+'Innovación Pública'!J9</f>
        <v>0.25</v>
      </c>
      <c r="F164" s="12">
        <f t="shared" si="40"/>
        <v>0.4375</v>
      </c>
      <c r="G164" s="12">
        <f>+'Innovación Pública'!K9</f>
        <v>0.25</v>
      </c>
      <c r="H164" s="12">
        <f>+'Innovación Pública'!L9</f>
        <v>0.25</v>
      </c>
      <c r="I164" s="12">
        <f>+'Innovación Pública'!U9</f>
        <v>0.61</v>
      </c>
      <c r="J164" s="12">
        <f>+'Innovación Pública'!X9</f>
        <v>0.1875</v>
      </c>
      <c r="K164" s="12">
        <f>+'Innovación Pública'!Y9</f>
        <v>0.33999999999999997</v>
      </c>
      <c r="L164" s="43">
        <f>+'Innovación Pública'!Z9</f>
        <v>8.5000000000000006E-2</v>
      </c>
      <c r="M164" s="43">
        <f>+'Innovación Pública'!AA9</f>
        <v>0.376</v>
      </c>
      <c r="N164" s="35"/>
      <c r="O164" s="9"/>
      <c r="P164" s="96"/>
    </row>
    <row r="165" spans="2:16" ht="38.450000000000003" customHeight="1" x14ac:dyDescent="0.55000000000000004">
      <c r="B165" s="42" t="s">
        <v>1999</v>
      </c>
      <c r="C165" s="1347"/>
      <c r="D165" s="12">
        <f>+'Innovación Pública'!I12</f>
        <v>0.23249999999999998</v>
      </c>
      <c r="E165" s="12">
        <f>+'Innovación Pública'!J12</f>
        <v>0.1525</v>
      </c>
      <c r="F165" s="12">
        <f t="shared" si="40"/>
        <v>0.38500000000000001</v>
      </c>
      <c r="G165" s="12">
        <f>+'Innovación Pública'!K12</f>
        <v>0.24566666666666664</v>
      </c>
      <c r="H165" s="12">
        <f>+'Innovación Pública'!L12</f>
        <v>0.14966666666666667</v>
      </c>
      <c r="I165" s="12">
        <f>+'Innovación Pública'!U12</f>
        <v>0.63928571428571423</v>
      </c>
      <c r="J165" s="12">
        <f>+'Innovación Pública'!X12</f>
        <v>0.23249999999999998</v>
      </c>
      <c r="K165" s="12">
        <f>+'Innovación Pública'!Y12</f>
        <v>0.42166666666666663</v>
      </c>
      <c r="L165" s="43">
        <f>+'Innovación Pública'!Z12</f>
        <v>7.3699999999999988E-2</v>
      </c>
      <c r="M165" s="43">
        <f>+'Innovación Pública'!AA12</f>
        <v>0.45433333333333331</v>
      </c>
      <c r="N165" s="35"/>
      <c r="O165" s="9"/>
      <c r="P165" s="96"/>
    </row>
    <row r="166" spans="2:16" ht="124.15" customHeight="1" x14ac:dyDescent="0.55000000000000004">
      <c r="B166" s="40" t="str">
        <f>+'Innovación Pública'!B17:B17</f>
        <v xml:space="preserve">Fortalecimiento Institucional e Innovación Administrativa
</v>
      </c>
      <c r="C166" s="1347"/>
      <c r="D166" s="32">
        <f>+(D167+D168+D169+D170+D171+D172+D173+D174)/6</f>
        <v>0.19706348655814188</v>
      </c>
      <c r="E166" s="32">
        <f>+(E167+E168+E169+E170+E171+E172+E173+E174)/8</f>
        <v>0.32203475447353508</v>
      </c>
      <c r="F166" s="32">
        <f t="shared" si="40"/>
        <v>0.5217802133351358</v>
      </c>
      <c r="G166" s="33">
        <f>+(G167+G168+G169+G170+G171+G172+G173+G174)/6</f>
        <v>0.16739826874293517</v>
      </c>
      <c r="H166" s="33">
        <f t="shared" ref="H166" si="50">+(H167+H168+H169+H170+H171+H172+H173+H174)/6</f>
        <v>0.41490310385477797</v>
      </c>
      <c r="I166" s="915">
        <f>+(I167+I168+I169+I170+I171+I172+I173+I174)/8</f>
        <v>0.43698654003267967</v>
      </c>
      <c r="J166" s="102">
        <f>+(J167+J168+J169+J170+J171+J172+J173+J174)/6</f>
        <v>0.19974545886160069</v>
      </c>
      <c r="K166" s="102">
        <f>+(K167+K168+K169+K170+K171+K172+K173+K174)/8</f>
        <v>0.29147056104666003</v>
      </c>
      <c r="L166" s="94">
        <f>+(L167+L168+L169+L170+L171+L172+L173+L174)</f>
        <v>0.14653217466808169</v>
      </c>
      <c r="M166" s="94">
        <f>+'Innovación Pública'!AA17</f>
        <v>0.31361473004503176</v>
      </c>
      <c r="N166" s="35"/>
      <c r="O166" s="9"/>
      <c r="P166" s="96"/>
    </row>
    <row r="167" spans="2:16" ht="57" customHeight="1" x14ac:dyDescent="0.55000000000000004">
      <c r="B167" s="42" t="s">
        <v>1583</v>
      </c>
      <c r="C167" s="1347"/>
      <c r="D167" s="12">
        <f>+'Innovación Pública'!I18</f>
        <v>0.27777777777777773</v>
      </c>
      <c r="E167" s="12">
        <f>+'Innovación Pública'!J18</f>
        <v>0.33333333333333331</v>
      </c>
      <c r="F167" s="12">
        <f t="shared" si="40"/>
        <v>0.61111111111111105</v>
      </c>
      <c r="G167" s="12">
        <f>+'Innovación Pública'!K18</f>
        <v>0.27083333333333337</v>
      </c>
      <c r="H167" s="12">
        <f>+'Innovación Pública'!L18</f>
        <v>0.29583333333333334</v>
      </c>
      <c r="I167" s="12">
        <f>+'Innovación Pública'!U18</f>
        <v>0.56974999999999998</v>
      </c>
      <c r="J167" s="12">
        <f>+'Innovación Pública'!X18</f>
        <v>0.27777777777777773</v>
      </c>
      <c r="K167" s="12">
        <f>+'Innovación Pública'!Y18</f>
        <v>0.39633333333333332</v>
      </c>
      <c r="L167" s="43">
        <f>+'Innovación Pública'!Z18</f>
        <v>4.0625000000000001E-2</v>
      </c>
      <c r="M167" s="43">
        <f>+'Innovación Pública'!AA18</f>
        <v>0.49680833333333341</v>
      </c>
      <c r="N167" s="35"/>
      <c r="O167" s="9"/>
      <c r="P167" s="96"/>
    </row>
    <row r="168" spans="2:16" ht="40.15" customHeight="1" x14ac:dyDescent="0.55000000000000004">
      <c r="B168" s="42" t="s">
        <v>2000</v>
      </c>
      <c r="C168" s="1347"/>
      <c r="D168" s="12">
        <f>+'Innovación Pública'!I23</f>
        <v>0.25</v>
      </c>
      <c r="E168" s="12">
        <f>+'Innovación Pública'!J23</f>
        <v>0.25</v>
      </c>
      <c r="F168" s="12">
        <f t="shared" si="40"/>
        <v>0.5</v>
      </c>
      <c r="G168" s="12">
        <f>+'Innovación Pública'!K23</f>
        <v>0.25</v>
      </c>
      <c r="H168" s="12">
        <f>+'Innovación Pública'!L23</f>
        <v>0.25</v>
      </c>
      <c r="I168" s="12">
        <f>+'Innovación Pública'!U23</f>
        <v>0.4</v>
      </c>
      <c r="J168" s="12">
        <f>+'Innovación Pública'!X23</f>
        <v>0.25</v>
      </c>
      <c r="K168" s="12">
        <f>+'Innovación Pública'!Y23</f>
        <v>0.35</v>
      </c>
      <c r="L168" s="43">
        <f>+'Innovación Pública'!Z23</f>
        <v>1.2500000000000001E-2</v>
      </c>
      <c r="M168" s="43">
        <f>+'Innovación Pública'!AA23</f>
        <v>0.33500000000000002</v>
      </c>
      <c r="N168" s="35"/>
      <c r="O168" s="9"/>
      <c r="P168" s="96"/>
    </row>
    <row r="169" spans="2:16" ht="46.9" customHeight="1" x14ac:dyDescent="0.55000000000000004">
      <c r="B169" s="42" t="s">
        <v>2001</v>
      </c>
      <c r="C169" s="1347"/>
      <c r="D169" s="12">
        <f>+'Innovación Pública'!I26</f>
        <v>0.20186882933709449</v>
      </c>
      <c r="E169" s="12">
        <f>+'Innovación Pública'!J26</f>
        <v>0.26604372355430184</v>
      </c>
      <c r="F169" s="12">
        <f t="shared" si="40"/>
        <v>0.43852844381758349</v>
      </c>
      <c r="G169" s="12">
        <f>+'Innovación Pública'!K26</f>
        <v>0.17686882933709452</v>
      </c>
      <c r="H169" s="12">
        <f>+'Innovación Pública'!L26</f>
        <v>0.24104372355430184</v>
      </c>
      <c r="I169" s="12">
        <f>+'Innovación Pública'!U26</f>
        <v>0.73333333333333339</v>
      </c>
      <c r="J169" s="12">
        <f>+'Innovación Pública'!X26</f>
        <v>0.17248472026328163</v>
      </c>
      <c r="K169" s="12">
        <f>+'Innovación Pública'!Y26</f>
        <v>0.24105204513399153</v>
      </c>
      <c r="L169" s="43">
        <f>+'Innovación Pública'!Z26</f>
        <v>2.9496944052656328E-2</v>
      </c>
      <c r="M169" s="43">
        <f>+'Innovación Pública'!AA26</f>
        <v>0.31823037141513866</v>
      </c>
      <c r="N169" s="35"/>
      <c r="O169" s="9"/>
      <c r="P169" s="96"/>
    </row>
    <row r="170" spans="2:16" ht="46.15" customHeight="1" x14ac:dyDescent="0.55000000000000004">
      <c r="B170" s="42" t="s">
        <v>1608</v>
      </c>
      <c r="C170" s="1347"/>
      <c r="D170" s="12">
        <f>+'Innovación Pública'!I30</f>
        <v>0.06</v>
      </c>
      <c r="E170" s="12">
        <f>+'Innovación Pública'!J30</f>
        <v>0.06</v>
      </c>
      <c r="F170" s="12">
        <f t="shared" si="40"/>
        <v>0.21</v>
      </c>
      <c r="G170" s="12">
        <f>+'Innovación Pública'!K30</f>
        <v>0.06</v>
      </c>
      <c r="H170" s="12">
        <f>+'Innovación Pública'!L30</f>
        <v>0.06</v>
      </c>
      <c r="I170" s="12">
        <f>+'Innovación Pública'!U30</f>
        <v>0.18200000000000002</v>
      </c>
      <c r="J170" s="12">
        <f>+'Innovación Pública'!X30</f>
        <v>0.15</v>
      </c>
      <c r="K170" s="12">
        <f>+'Innovación Pública'!Y30</f>
        <v>0.32184000000000001</v>
      </c>
      <c r="L170" s="43">
        <f>+'Innovación Pública'!Z30</f>
        <v>4.4999999999999998E-2</v>
      </c>
      <c r="M170" s="43">
        <f>+'Innovación Pública'!AA30</f>
        <v>0.32184000000000001</v>
      </c>
      <c r="N170" s="35"/>
      <c r="O170" s="9"/>
      <c r="P170" s="96"/>
    </row>
    <row r="171" spans="2:16" ht="44.45" customHeight="1" x14ac:dyDescent="0.55000000000000004">
      <c r="B171" s="42" t="s">
        <v>1612</v>
      </c>
      <c r="C171" s="1347"/>
      <c r="D171" s="12">
        <f>+'Innovación Pública'!I32</f>
        <v>0</v>
      </c>
      <c r="E171" s="12">
        <f>+'Innovación Pública'!J32</f>
        <v>0.76666666666666661</v>
      </c>
      <c r="F171" s="12">
        <f t="shared" si="40"/>
        <v>0.76666666666666661</v>
      </c>
      <c r="G171" s="12">
        <f>+'Innovación Pública'!K32</f>
        <v>0</v>
      </c>
      <c r="H171" s="12">
        <f>+'Innovación Pública'!L32</f>
        <v>0.72</v>
      </c>
      <c r="I171" s="12">
        <f>+'Innovación Pública'!U32</f>
        <v>0.63888888888888895</v>
      </c>
      <c r="J171" s="12">
        <f>+'Innovación Pública'!X32</f>
        <v>0</v>
      </c>
      <c r="K171" s="12">
        <f>+'Innovación Pública'!Y32</f>
        <v>0.48333333333333334</v>
      </c>
      <c r="L171" s="43">
        <f>+'Innovación Pública'!Z32</f>
        <v>0</v>
      </c>
      <c r="M171" s="43">
        <f>+'Innovación Pública'!AA32</f>
        <v>0.45500000000000002</v>
      </c>
      <c r="N171" s="35"/>
      <c r="O171" s="9"/>
      <c r="P171" s="96"/>
    </row>
    <row r="172" spans="2:16" ht="53.45" customHeight="1" x14ac:dyDescent="0.55000000000000004">
      <c r="B172" s="42" t="s">
        <v>1620</v>
      </c>
      <c r="C172" s="1347"/>
      <c r="D172" s="12">
        <f>+'Innovación Pública'!I36</f>
        <v>0.22500000000000001</v>
      </c>
      <c r="E172" s="12">
        <f>+'Innovación Pública'!J36</f>
        <v>0.33</v>
      </c>
      <c r="F172" s="12">
        <f t="shared" si="40"/>
        <v>0.505</v>
      </c>
      <c r="G172" s="12">
        <f>+'Innovación Pública'!K36</f>
        <v>0.16250000000000001</v>
      </c>
      <c r="H172" s="12">
        <f>+'Innovación Pública'!L36</f>
        <v>0.34750000000000003</v>
      </c>
      <c r="I172" s="12">
        <f>+'Innovación Pública'!U36</f>
        <v>0.35762745098039211</v>
      </c>
      <c r="J172" s="12">
        <f>+'Innovación Pública'!X36</f>
        <v>0.17499999999999999</v>
      </c>
      <c r="K172" s="12">
        <f>+'Innovación Pública'!Y36</f>
        <v>0.24149999999999996</v>
      </c>
      <c r="L172" s="43">
        <f>+'Innovación Pública'!Z36</f>
        <v>5.6250000000000007E-3</v>
      </c>
      <c r="M172" s="43">
        <f>+'Innovación Pública'!AA36</f>
        <v>0.264625</v>
      </c>
      <c r="N172" s="35"/>
      <c r="O172" s="9"/>
      <c r="P172" s="96"/>
    </row>
    <row r="173" spans="2:16" ht="39" customHeight="1" x14ac:dyDescent="0.55000000000000004">
      <c r="B173" s="42" t="s">
        <v>1628</v>
      </c>
      <c r="C173" s="1347"/>
      <c r="D173" s="12">
        <f>+'Innovación Pública'!I40</f>
        <v>0</v>
      </c>
      <c r="E173" s="12">
        <f>+'Innovación Pública'!J40</f>
        <v>0.34</v>
      </c>
      <c r="F173" s="12">
        <f t="shared" si="40"/>
        <v>0.34</v>
      </c>
      <c r="G173" s="12">
        <f>+'Innovación Pública'!K40</f>
        <v>0</v>
      </c>
      <c r="H173" s="12">
        <f>+'Innovación Pública'!L40</f>
        <v>0.34</v>
      </c>
      <c r="I173" s="12">
        <f>+'Innovación Pública'!U40</f>
        <v>0.29411764705882354</v>
      </c>
      <c r="J173" s="12">
        <f>+'Innovación Pública'!X40</f>
        <v>0</v>
      </c>
      <c r="K173" s="12">
        <f>+'Innovación Pública'!Y40</f>
        <v>0.05</v>
      </c>
      <c r="L173" s="43">
        <f>+'Innovación Pública'!Z40</f>
        <v>0</v>
      </c>
      <c r="M173" s="43">
        <f>+'Innovación Pública'!AA40</f>
        <v>0.05</v>
      </c>
      <c r="N173" s="35"/>
      <c r="O173" s="9"/>
      <c r="P173" s="96"/>
    </row>
    <row r="174" spans="2:16" ht="43.9" customHeight="1" x14ac:dyDescent="0.55000000000000004">
      <c r="B174" s="42" t="s">
        <v>1635</v>
      </c>
      <c r="C174" s="1347"/>
      <c r="D174" s="12">
        <f>+'Innovación Pública'!I43</f>
        <v>0.16773431223397892</v>
      </c>
      <c r="E174" s="12">
        <f>+'Innovación Pública'!J43</f>
        <v>0.23023431223397889</v>
      </c>
      <c r="F174" s="12">
        <f t="shared" si="40"/>
        <v>0.40344456736252371</v>
      </c>
      <c r="G174" s="12">
        <f>+'Innovación Pública'!K43</f>
        <v>8.4187449787183122E-2</v>
      </c>
      <c r="H174" s="12">
        <f>+'Innovación Pública'!L43</f>
        <v>0.2350415662410329</v>
      </c>
      <c r="I174" s="12">
        <f>+'Innovación Pública'!U43</f>
        <v>0.32017499999999999</v>
      </c>
      <c r="J174" s="12">
        <f>+'Innovación Pública'!X43</f>
        <v>0.17321025512854482</v>
      </c>
      <c r="K174" s="12">
        <f>+'Innovación Pública'!Y43</f>
        <v>0.24770577657262269</v>
      </c>
      <c r="L174" s="43">
        <f>+'Innovación Pública'!Z43</f>
        <v>1.3285230615425379E-2</v>
      </c>
      <c r="M174" s="43">
        <f>+'Innovación Pública'!AA43</f>
        <v>0.15776103841336048</v>
      </c>
      <c r="N174" s="35"/>
      <c r="O174" s="9"/>
      <c r="P174" s="96"/>
    </row>
    <row r="175" spans="2:16" ht="82.9" customHeight="1" x14ac:dyDescent="0.55000000000000004">
      <c r="B175" s="40" t="str">
        <f>+'Innovación Pública'!B48:B48</f>
        <v xml:space="preserve"> Finanzas Públicas
</v>
      </c>
      <c r="C175" s="1347"/>
      <c r="D175" s="32">
        <f>+(D176+D177)</f>
        <v>0.22689134534516447</v>
      </c>
      <c r="E175" s="32">
        <f>+(E176+E177)/2</f>
        <v>0.2540275605253442</v>
      </c>
      <c r="F175" s="32">
        <f t="shared" si="40"/>
        <v>0.50982794224574346</v>
      </c>
      <c r="G175" s="33">
        <f t="shared" ref="G175:L175" si="51">+(G176+G177)</f>
        <v>0.22571301967260979</v>
      </c>
      <c r="H175" s="33">
        <f>+(H176+H177)/2</f>
        <v>0.25432469935214241</v>
      </c>
      <c r="I175" s="915">
        <f>+(I176+I177)/2</f>
        <v>0.53851136141490141</v>
      </c>
      <c r="J175" s="10">
        <f t="shared" si="51"/>
        <v>0.25580038172039926</v>
      </c>
      <c r="K175" s="10">
        <f>+(K176+K177)/2</f>
        <v>0.45569128096258565</v>
      </c>
      <c r="L175" s="94">
        <f t="shared" si="51"/>
        <v>0.22738216072471779</v>
      </c>
      <c r="M175" s="94">
        <f>+'Innovación Pública'!AA48</f>
        <v>0.38748929979683333</v>
      </c>
      <c r="N175" s="35"/>
      <c r="O175" s="9"/>
      <c r="P175" s="96"/>
    </row>
    <row r="176" spans="2:16" ht="44.45" customHeight="1" x14ac:dyDescent="0.55000000000000004">
      <c r="B176" s="42" t="s">
        <v>1646</v>
      </c>
      <c r="C176" s="1347"/>
      <c r="D176" s="12">
        <f>+'Innovación Pública'!I49</f>
        <v>0.22689134534516447</v>
      </c>
      <c r="E176" s="12">
        <f>+'Innovación Pública'!J49</f>
        <v>0.2580551210506884</v>
      </c>
      <c r="F176" s="12">
        <f t="shared" si="40"/>
        <v>0.5138555027710876</v>
      </c>
      <c r="G176" s="12">
        <f>+'Innovación Pública'!K49</f>
        <v>0.22571301967260979</v>
      </c>
      <c r="H176" s="12">
        <f>+'Innovación Pública'!L49</f>
        <v>0.25864939870428477</v>
      </c>
      <c r="I176" s="12">
        <f>+'Innovación Pública'!U49</f>
        <v>0.57702272282980283</v>
      </c>
      <c r="J176" s="12">
        <f>+'Innovación Pública'!X49</f>
        <v>0.25580038172039926</v>
      </c>
      <c r="K176" s="12">
        <f>+'Innovación Pública'!Y49</f>
        <v>0.41138256192517131</v>
      </c>
      <c r="L176" s="43">
        <f>+'Innovación Pública'!Z49</f>
        <v>0.22738216072471779</v>
      </c>
      <c r="M176" s="43">
        <f>+'Innovación Pública'!AA49</f>
        <v>0.38156768399666668</v>
      </c>
      <c r="N176" s="35"/>
      <c r="O176" s="9"/>
      <c r="P176" s="96"/>
    </row>
    <row r="177" spans="2:16" ht="31.15" customHeight="1" x14ac:dyDescent="0.55000000000000004">
      <c r="B177" s="42" t="s">
        <v>1657</v>
      </c>
      <c r="C177" s="1347"/>
      <c r="D177" s="12">
        <f>+'Innovación Pública'!I55</f>
        <v>0</v>
      </c>
      <c r="E177" s="12">
        <f>+'Innovación Pública'!J55</f>
        <v>0.25</v>
      </c>
      <c r="F177" s="12">
        <f t="shared" si="40"/>
        <v>0.25</v>
      </c>
      <c r="G177" s="12">
        <f>+'Innovación Pública'!K55</f>
        <v>0</v>
      </c>
      <c r="H177" s="12">
        <f>+'Innovación Pública'!L55</f>
        <v>0.25</v>
      </c>
      <c r="I177" s="12">
        <f>+'Innovación Pública'!U55</f>
        <v>0.5</v>
      </c>
      <c r="J177" s="12">
        <f>+'Innovación Pública'!X55</f>
        <v>0</v>
      </c>
      <c r="K177" s="12">
        <f>+'Innovación Pública'!Y55</f>
        <v>0.5</v>
      </c>
      <c r="L177" s="43">
        <f>+'Innovación Pública'!Z55</f>
        <v>0</v>
      </c>
      <c r="M177" s="43">
        <f>+'Innovación Pública'!AA55</f>
        <v>0.5</v>
      </c>
      <c r="N177" s="35"/>
      <c r="O177" s="9"/>
      <c r="P177" s="96"/>
    </row>
    <row r="178" spans="2:16" ht="76.900000000000006" customHeight="1" x14ac:dyDescent="0.55000000000000004">
      <c r="B178" s="40" t="str">
        <f>+'Innovación Pública'!B57:B57</f>
        <v xml:space="preserve">Cultura Ciudadana
</v>
      </c>
      <c r="C178" s="1347"/>
      <c r="D178" s="32">
        <f t="shared" ref="D178:G178" si="52">+(D179+D180+D181+D182+D183)/5</f>
        <v>0.22780333900383748</v>
      </c>
      <c r="E178" s="32">
        <f t="shared" si="52"/>
        <v>0.28056602016325777</v>
      </c>
      <c r="F178" s="32">
        <f t="shared" si="40"/>
        <v>0.5349577019952263</v>
      </c>
      <c r="G178" s="33">
        <f t="shared" si="52"/>
        <v>0.22258316849309651</v>
      </c>
      <c r="H178" s="33">
        <f t="shared" ref="H178:I178" si="53">+(H179+H180+H181+H182+H183)/5</f>
        <v>0.27229331342063273</v>
      </c>
      <c r="I178" s="915">
        <f t="shared" si="53"/>
        <v>0.30097504553734061</v>
      </c>
      <c r="J178" s="10">
        <f>+(J179+J180+J181+J182+J183)/5</f>
        <v>0.25439168183196847</v>
      </c>
      <c r="K178" s="10">
        <f>+(K179+K180+K181+K182+K183)/5</f>
        <v>0.33923590385198665</v>
      </c>
      <c r="L178" s="94">
        <f>+(L179+L180+L181+L182+L183)</f>
        <v>0.28719335759781622</v>
      </c>
      <c r="M178" s="94">
        <f>+'Innovación Pública'!AA57</f>
        <v>0.37155911282984533</v>
      </c>
      <c r="N178" s="35"/>
      <c r="O178" s="9"/>
      <c r="P178" s="96"/>
    </row>
    <row r="179" spans="2:16" ht="76.900000000000006" customHeight="1" x14ac:dyDescent="0.55000000000000004">
      <c r="B179" s="42" t="s">
        <v>1663</v>
      </c>
      <c r="C179" s="1347"/>
      <c r="D179" s="12">
        <f>+'Innovación Pública'!I58</f>
        <v>0.24988626023657873</v>
      </c>
      <c r="E179" s="12">
        <f>+'Innovación Pública'!J58</f>
        <v>0.24988626023657873</v>
      </c>
      <c r="F179" s="12">
        <f t="shared" si="40"/>
        <v>0.63330300272975437</v>
      </c>
      <c r="G179" s="12">
        <f>+'Innovación Pública'!K58</f>
        <v>0.24981801637852596</v>
      </c>
      <c r="H179" s="12">
        <f>+'Innovación Pública'!L58</f>
        <v>0.24981801637852596</v>
      </c>
      <c r="I179" s="12">
        <f>+'Innovación Pública'!U58</f>
        <v>0.24804189435336976</v>
      </c>
      <c r="J179" s="12">
        <f>+'Innovación Pública'!X58</f>
        <v>0.38341674249317559</v>
      </c>
      <c r="K179" s="12">
        <f>+'Innovación Pública'!Y58</f>
        <v>0.44538785259326658</v>
      </c>
      <c r="L179" s="43">
        <f>+'Innovación Pública'!Z58</f>
        <v>9.2693357597816203E-2</v>
      </c>
      <c r="M179" s="43">
        <f>+'Innovación Pública'!AA58</f>
        <v>0.5401205641492266</v>
      </c>
      <c r="N179" s="35"/>
      <c r="O179" s="9"/>
      <c r="P179" s="96"/>
    </row>
    <row r="180" spans="2:16" ht="45" customHeight="1" x14ac:dyDescent="0.55000000000000004">
      <c r="B180" s="42" t="s">
        <v>2002</v>
      </c>
      <c r="C180" s="1347"/>
      <c r="D180" s="12">
        <f>+'Innovación Pública'!I61</f>
        <v>0.15</v>
      </c>
      <c r="E180" s="12">
        <f>+'Innovación Pública'!J61</f>
        <v>0.29062500000000002</v>
      </c>
      <c r="F180" s="12">
        <f t="shared" si="40"/>
        <v>0.51249999999999996</v>
      </c>
      <c r="G180" s="12">
        <f>+'Innovación Pública'!K61</f>
        <v>0.19624999999999998</v>
      </c>
      <c r="H180" s="12">
        <f>+'Innovación Pública'!L61</f>
        <v>0.27124999999999999</v>
      </c>
      <c r="I180" s="12">
        <f>+'Innovación Pública'!U61</f>
        <v>0.46083333333333332</v>
      </c>
      <c r="J180" s="12">
        <f>+'Innovación Pública'!X61</f>
        <v>0.22187499999999999</v>
      </c>
      <c r="K180" s="12">
        <f>+'Innovación Pública'!Y61</f>
        <v>0.358875</v>
      </c>
      <c r="L180" s="43">
        <f>+'Innovación Pública'!Z61</f>
        <v>0.103875</v>
      </c>
      <c r="M180" s="43">
        <f>+'Innovación Pública'!AA61</f>
        <v>0.45219999999999999</v>
      </c>
      <c r="N180" s="35"/>
      <c r="O180" s="9"/>
      <c r="P180" s="96"/>
    </row>
    <row r="181" spans="2:16" ht="42" customHeight="1" x14ac:dyDescent="0.55000000000000004">
      <c r="B181" s="42" t="s">
        <v>2003</v>
      </c>
      <c r="C181" s="1347"/>
      <c r="D181" s="12">
        <f>+'Innovación Pública'!I66</f>
        <v>0.25</v>
      </c>
      <c r="E181" s="12">
        <f>+'Innovación Pública'!J66</f>
        <v>0.25</v>
      </c>
      <c r="F181" s="12">
        <f t="shared" si="40"/>
        <v>0.5</v>
      </c>
      <c r="G181" s="12">
        <f>+'Innovación Pública'!K66</f>
        <v>0.25</v>
      </c>
      <c r="H181" s="12">
        <f>+'Innovación Pública'!L66</f>
        <v>0.25</v>
      </c>
      <c r="I181" s="12">
        <f>+'Innovación Pública'!U66</f>
        <v>0.35</v>
      </c>
      <c r="J181" s="12">
        <f>+'Innovación Pública'!X66</f>
        <v>0.25</v>
      </c>
      <c r="K181" s="12">
        <f>+'Innovación Pública'!Y66</f>
        <v>0.33750000000000002</v>
      </c>
      <c r="L181" s="43">
        <f>+'Innovación Pública'!Z66</f>
        <v>3.7499999999999999E-2</v>
      </c>
      <c r="M181" s="43">
        <f>+'Innovación Pública'!AA66</f>
        <v>0.33750000000000002</v>
      </c>
      <c r="N181" s="35"/>
      <c r="O181" s="9"/>
      <c r="P181" s="96"/>
    </row>
    <row r="182" spans="2:16" ht="45.6" customHeight="1" x14ac:dyDescent="0.55000000000000004">
      <c r="B182" s="42" t="s">
        <v>2004</v>
      </c>
      <c r="C182" s="1347"/>
      <c r="D182" s="12">
        <f>+'Innovación Pública'!I68</f>
        <v>0.23913043478260868</v>
      </c>
      <c r="E182" s="12">
        <f>+'Innovación Pública'!J68</f>
        <v>0.36231884057971014</v>
      </c>
      <c r="F182" s="12">
        <f t="shared" si="40"/>
        <v>0.52898550724637683</v>
      </c>
      <c r="G182" s="12">
        <f>+'Innovación Pública'!K68</f>
        <v>0.16684782608695653</v>
      </c>
      <c r="H182" s="12">
        <f>+'Innovación Pública'!L68</f>
        <v>0.34039855072463771</v>
      </c>
      <c r="I182" s="12">
        <f>+'Innovación Pública'!U68</f>
        <v>0.221</v>
      </c>
      <c r="J182" s="12">
        <f>+'Innovación Pública'!X68</f>
        <v>0.16666666666666666</v>
      </c>
      <c r="K182" s="12">
        <f>+'Innovación Pública'!Y68</f>
        <v>0.24816666666666665</v>
      </c>
      <c r="L182" s="43">
        <f>+'Innovación Pública'!Z68</f>
        <v>2.8125000000000001E-2</v>
      </c>
      <c r="M182" s="43">
        <f>+'Innovación Pública'!AA68</f>
        <v>0.1865</v>
      </c>
      <c r="N182" s="35"/>
      <c r="O182" s="9"/>
      <c r="P182" s="96"/>
    </row>
    <row r="183" spans="2:16" ht="45.6" customHeight="1" x14ac:dyDescent="0.55000000000000004">
      <c r="B183" s="42" t="s">
        <v>2005</v>
      </c>
      <c r="C183" s="1347"/>
      <c r="D183" s="12">
        <f>+'Innovación Pública'!I74</f>
        <v>0.25</v>
      </c>
      <c r="E183" s="12">
        <f>+'Innovación Pública'!J74</f>
        <v>0.25</v>
      </c>
      <c r="F183" s="12">
        <f t="shared" si="40"/>
        <v>0.5</v>
      </c>
      <c r="G183" s="12">
        <f>+'Innovación Pública'!K74</f>
        <v>0.25</v>
      </c>
      <c r="H183" s="12">
        <f>+'Innovación Pública'!L74</f>
        <v>0.25</v>
      </c>
      <c r="I183" s="12">
        <f>+'Innovación Pública'!U74</f>
        <v>0.22499999999999998</v>
      </c>
      <c r="J183" s="12">
        <f>+'Innovación Pública'!X74</f>
        <v>0.25</v>
      </c>
      <c r="K183" s="12">
        <f>+'Innovación Pública'!Y74</f>
        <v>0.30625000000000002</v>
      </c>
      <c r="L183" s="43">
        <f>+'Innovación Pública'!Z74</f>
        <v>2.5000000000000001E-2</v>
      </c>
      <c r="M183" s="43">
        <f>+'Innovación Pública'!AA74</f>
        <v>0.30625000000000002</v>
      </c>
      <c r="N183" s="35"/>
      <c r="O183" s="9"/>
      <c r="P183" s="96"/>
    </row>
    <row r="184" spans="2:16" ht="49.5" x14ac:dyDescent="0.55000000000000004">
      <c r="B184" s="40" t="str">
        <f>+'Innovación Pública'!B77:B77</f>
        <v xml:space="preserve">Participación Ciudadana y Acción Comunal
</v>
      </c>
      <c r="C184" s="1347"/>
      <c r="D184" s="32">
        <f>+(D185+D186+D187+D188+D189+D190)/5</f>
        <v>0.25436567555113532</v>
      </c>
      <c r="E184" s="32">
        <f>+(E185+E186+E187+E188+E189+E190)/6</f>
        <v>0.31832393913396156</v>
      </c>
      <c r="F184" s="32">
        <f t="shared" si="40"/>
        <v>0.49043977987101872</v>
      </c>
      <c r="G184" s="33">
        <f>+(G185+G186+G187+G188+G189+G190)/5</f>
        <v>0.23789244132935511</v>
      </c>
      <c r="H184" s="33">
        <f t="shared" ref="H184" si="54">+(H185+H186+H187+H188+H189+H190)/5</f>
        <v>0.36095652093134517</v>
      </c>
      <c r="I184" s="915">
        <f>+(I185+I186+I187+I188+I189+I190)/6</f>
        <v>0.24678899476949789</v>
      </c>
      <c r="J184" s="10">
        <f>+(J185+J186+J187+J188+J189+J190)/6</f>
        <v>0.17211584073705719</v>
      </c>
      <c r="K184" s="10">
        <f>+(K185+K186+K187+K188+K189+K190)/6</f>
        <v>0.25554642132483418</v>
      </c>
      <c r="L184" s="94">
        <f>+(L185+L186+L187+L188+L189+L190)</f>
        <v>0.15231066433034965</v>
      </c>
      <c r="M184" s="1006">
        <f>+'Innovación Pública'!AA77</f>
        <v>0.24946834293978234</v>
      </c>
      <c r="N184" s="35"/>
      <c r="O184" s="9"/>
      <c r="P184" s="96"/>
    </row>
    <row r="185" spans="2:16" ht="52.15" customHeight="1" x14ac:dyDescent="0.55000000000000004">
      <c r="B185" s="42" t="s">
        <v>1698</v>
      </c>
      <c r="C185" s="1347"/>
      <c r="D185" s="12">
        <f>+'Innovación Pública'!I78</f>
        <v>0.35243948886678761</v>
      </c>
      <c r="E185" s="12">
        <f>+'Innovación Pública'!J78</f>
        <v>0.4932769681371027</v>
      </c>
      <c r="F185" s="12">
        <f t="shared" si="40"/>
        <v>0.82071645700389029</v>
      </c>
      <c r="G185" s="12">
        <f>+'Innovación Pública'!K78</f>
        <v>0.34219553998010876</v>
      </c>
      <c r="H185" s="12">
        <f>+'Innovación Pública'!L78</f>
        <v>0.53394927132339243</v>
      </c>
      <c r="I185" s="12">
        <f>+'Innovación Pública'!U78</f>
        <v>0.57944507972809856</v>
      </c>
      <c r="J185" s="12">
        <f>+'Innovación Pública'!X78</f>
        <v>0.32743948886678759</v>
      </c>
      <c r="K185" s="12">
        <f>+'Innovación Pública'!Y78</f>
        <v>0.59475575017122739</v>
      </c>
      <c r="L185" s="43">
        <f>+'Innovación Pública'!Z78</f>
        <v>4.5704330997016318E-2</v>
      </c>
      <c r="M185" s="43">
        <f>+'Innovación Pública'!AA78</f>
        <v>0.59528017515410458</v>
      </c>
      <c r="N185" s="35"/>
      <c r="O185" s="9"/>
      <c r="P185" s="96"/>
    </row>
    <row r="186" spans="2:16" ht="55.9" customHeight="1" x14ac:dyDescent="0.55000000000000004">
      <c r="B186" s="42" t="s">
        <v>1714</v>
      </c>
      <c r="C186" s="1347"/>
      <c r="D186" s="12">
        <f>+'Innovación Pública'!I85</f>
        <v>0.17916666666666664</v>
      </c>
      <c r="E186" s="12">
        <f>+'Innovación Pública'!J85</f>
        <v>0.23749999999999999</v>
      </c>
      <c r="F186" s="12">
        <f t="shared" si="40"/>
        <v>0.38749999999999996</v>
      </c>
      <c r="G186" s="12">
        <f>+'Innovación Pública'!K85</f>
        <v>0.14250000000000002</v>
      </c>
      <c r="H186" s="12">
        <f>+'Innovación Pública'!L85</f>
        <v>0.16</v>
      </c>
      <c r="I186" s="12">
        <f>+'Innovación Pública'!U85</f>
        <v>0.14166666666666666</v>
      </c>
      <c r="J186" s="12">
        <f>+'Innovación Pública'!X85</f>
        <v>0.14999999999999997</v>
      </c>
      <c r="K186" s="12">
        <f>+'Innovación Pública'!Y85</f>
        <v>0.17833333333333329</v>
      </c>
      <c r="L186" s="43">
        <f>+'Innovación Pública'!Z85</f>
        <v>3.9E-2</v>
      </c>
      <c r="M186" s="43">
        <f>+'Innovación Pública'!AA85</f>
        <v>0.18099999999999999</v>
      </c>
      <c r="N186" s="35"/>
      <c r="O186" s="9"/>
      <c r="P186" s="96"/>
    </row>
    <row r="187" spans="2:16" ht="43.15" customHeight="1" x14ac:dyDescent="0.55000000000000004">
      <c r="B187" s="42" t="s">
        <v>2006</v>
      </c>
      <c r="C187" s="1347"/>
      <c r="D187" s="12">
        <f>+'Innovación Pública'!I92</f>
        <v>0</v>
      </c>
      <c r="E187" s="12">
        <f>+'Innovación Pública'!J92</f>
        <v>0</v>
      </c>
      <c r="F187" s="12">
        <f t="shared" si="40"/>
        <v>0</v>
      </c>
      <c r="G187" s="12">
        <f>+'Innovación Pública'!K92</f>
        <v>0</v>
      </c>
      <c r="H187" s="12">
        <f>+'Innovación Pública'!L92</f>
        <v>0</v>
      </c>
      <c r="I187" s="12">
        <f>+'Innovación Pública'!U92</f>
        <v>0</v>
      </c>
      <c r="J187" s="12">
        <f>+'Innovación Pública'!X92</f>
        <v>0</v>
      </c>
      <c r="K187" s="12">
        <f>+'Innovación Pública'!Y92</f>
        <v>0</v>
      </c>
      <c r="L187" s="43">
        <f>+'Innovación Pública'!Z92</f>
        <v>0</v>
      </c>
      <c r="M187" s="43">
        <f>+'Innovación Pública'!AA92</f>
        <v>0</v>
      </c>
      <c r="N187" s="35"/>
      <c r="O187" s="9"/>
      <c r="P187" s="96"/>
    </row>
    <row r="188" spans="2:16" ht="37.15" customHeight="1" x14ac:dyDescent="0.55000000000000004">
      <c r="B188" s="42" t="s">
        <v>2007</v>
      </c>
      <c r="C188" s="1347"/>
      <c r="D188" s="12">
        <f>+'Innovación Pública'!I94</f>
        <v>0.18466666666666667</v>
      </c>
      <c r="E188" s="12">
        <f>+'Innovación Pública'!J94</f>
        <v>0.29583333333333334</v>
      </c>
      <c r="F188" s="12">
        <f t="shared" si="40"/>
        <v>0.48120000000000002</v>
      </c>
      <c r="G188" s="12">
        <f>+'Innovación Pública'!K94</f>
        <v>0.17810000000000001</v>
      </c>
      <c r="H188" s="12">
        <f>+'Innovación Pública'!L94</f>
        <v>0.29083333333333333</v>
      </c>
      <c r="I188" s="12">
        <f>+'Innovación Pública'!U94</f>
        <v>0.1439</v>
      </c>
      <c r="J188" s="12">
        <f>+'Innovación Pública'!X94</f>
        <v>0.18536666666666668</v>
      </c>
      <c r="K188" s="12">
        <f>+'Innovación Pública'!Y94</f>
        <v>0.22853666666666667</v>
      </c>
      <c r="L188" s="43">
        <f>+'Innovación Pública'!Z94</f>
        <v>3.5682999999999999E-2</v>
      </c>
      <c r="M188" s="43">
        <f>+'Innovación Pública'!AA94</f>
        <v>0.22181699999999999</v>
      </c>
      <c r="N188" s="35"/>
      <c r="O188" s="9"/>
      <c r="P188" s="96"/>
    </row>
    <row r="189" spans="2:16" ht="67.900000000000006" customHeight="1" x14ac:dyDescent="0.55000000000000004">
      <c r="B189" s="42" t="s">
        <v>1746</v>
      </c>
      <c r="C189" s="1347"/>
      <c r="D189" s="12">
        <f>+'Innovación Pública'!I99</f>
        <v>0.25</v>
      </c>
      <c r="E189" s="12">
        <f>+'Innovación Pública'!J99</f>
        <v>0.55000000000000004</v>
      </c>
      <c r="F189" s="12">
        <f t="shared" si="40"/>
        <v>0.81166666666666676</v>
      </c>
      <c r="G189" s="12">
        <f>+'Innovación Pública'!K99</f>
        <v>0.185</v>
      </c>
      <c r="H189" s="12">
        <f>+'Innovación Pública'!L99</f>
        <v>0.44500000000000001</v>
      </c>
      <c r="I189" s="12">
        <f>+'Innovación Pública'!U99</f>
        <v>0.37350000000000005</v>
      </c>
      <c r="J189" s="12">
        <f>+'Innovación Pública'!X99</f>
        <v>0.26166666666666666</v>
      </c>
      <c r="K189" s="12">
        <f>+'Innovación Pública'!Y99</f>
        <v>0.362875</v>
      </c>
      <c r="L189" s="43">
        <f>+'Innovación Pública'!Z99</f>
        <v>2.095E-2</v>
      </c>
      <c r="M189" s="43">
        <f>+'Innovación Pública'!AA99</f>
        <v>0.43506250000000002</v>
      </c>
      <c r="N189" s="35"/>
      <c r="O189" s="9"/>
      <c r="P189" s="96"/>
    </row>
    <row r="190" spans="2:16" ht="45.6" customHeight="1" x14ac:dyDescent="0.55000000000000004">
      <c r="B190" s="42" t="s">
        <v>1757</v>
      </c>
      <c r="C190" s="1347"/>
      <c r="D190" s="12">
        <f>+'Innovación Pública'!I105</f>
        <v>0.30555555555555552</v>
      </c>
      <c r="E190" s="12">
        <f>+'Innovación Pública'!J105</f>
        <v>0.33333333333333331</v>
      </c>
      <c r="F190" s="12">
        <f t="shared" si="40"/>
        <v>0.44155555555555553</v>
      </c>
      <c r="G190" s="12">
        <f>+'Innovación Pública'!K105</f>
        <v>0.34166666666666667</v>
      </c>
      <c r="H190" s="12">
        <f>+'Innovación Pública'!L105</f>
        <v>0.375</v>
      </c>
      <c r="I190" s="12">
        <f>+'Innovación Pública'!U105</f>
        <v>0.24222222222222223</v>
      </c>
      <c r="J190" s="12">
        <f>+'Innovación Pública'!X105</f>
        <v>0.10822222222222222</v>
      </c>
      <c r="K190" s="12">
        <f>+'Innovación Pública'!Y105</f>
        <v>0.16877777777777778</v>
      </c>
      <c r="L190" s="43">
        <f>+'Innovación Pública'!Z105</f>
        <v>1.0973333333333335E-2</v>
      </c>
      <c r="M190" s="43">
        <f>+'Innovación Pública'!AA105</f>
        <v>9.003333333333334E-2</v>
      </c>
      <c r="N190" s="35"/>
      <c r="O190" s="9"/>
      <c r="P190" s="96"/>
    </row>
    <row r="191" spans="2:16" ht="49.5" x14ac:dyDescent="0.55000000000000004">
      <c r="B191" s="40" t="str">
        <f>+'Innovación Pública'!B109:B109</f>
        <v xml:space="preserve">Sistema de Planeación Distrital
</v>
      </c>
      <c r="C191" s="1347"/>
      <c r="D191" s="32">
        <f t="shared" ref="D191:G191" si="55">+(D192+D193+D194+D195+D196+D197)/6</f>
        <v>0.24594907407407407</v>
      </c>
      <c r="E191" s="32">
        <f t="shared" si="55"/>
        <v>0.27793376795162511</v>
      </c>
      <c r="F191" s="32">
        <f t="shared" si="40"/>
        <v>0.48725321239606956</v>
      </c>
      <c r="G191" s="33">
        <f t="shared" si="55"/>
        <v>0.20215277777777776</v>
      </c>
      <c r="H191" s="33">
        <f t="shared" ref="H191:I191" si="56">+(H192+H193+H194+H195+H196+H197)/6</f>
        <v>0.27540873015873013</v>
      </c>
      <c r="I191" s="915">
        <f t="shared" si="56"/>
        <v>0.4307264087370471</v>
      </c>
      <c r="J191" s="10">
        <f>+(J192+J193+J194+J195+J196+J197)/6</f>
        <v>0.20931944444444447</v>
      </c>
      <c r="K191" s="10">
        <f>+(K192+K193+K194+K195+K196+K197)/6</f>
        <v>0.34377302789802794</v>
      </c>
      <c r="L191" s="94">
        <f>+(L192+L193+L194+L195+L196+L197)</f>
        <v>0.18588916666666666</v>
      </c>
      <c r="M191" s="94">
        <f>+'Innovación Pública'!AA109</f>
        <v>0.31612553030303031</v>
      </c>
      <c r="N191" s="35"/>
      <c r="O191" s="9"/>
      <c r="P191" s="96"/>
    </row>
    <row r="192" spans="2:16" ht="55.9" customHeight="1" x14ac:dyDescent="0.55000000000000004">
      <c r="B192" s="42" t="s">
        <v>1765</v>
      </c>
      <c r="C192" s="1347"/>
      <c r="D192" s="12">
        <f>+'Innovación Pública'!I110</f>
        <v>0.20833333333333331</v>
      </c>
      <c r="E192" s="12">
        <f>+'Innovación Pública'!J110</f>
        <v>0.29833333333333334</v>
      </c>
      <c r="F192" s="12">
        <f t="shared" si="40"/>
        <v>0.48722222222222222</v>
      </c>
      <c r="G192" s="12">
        <f>+'Innovación Pública'!K110</f>
        <v>0.10833333333333334</v>
      </c>
      <c r="H192" s="12">
        <f>+'Innovación Pública'!L110</f>
        <v>0.24833333333333332</v>
      </c>
      <c r="I192" s="12">
        <f>+'Innovación Pública'!U110</f>
        <v>0.84000000000000008</v>
      </c>
      <c r="J192" s="12">
        <f>+'Innovación Pública'!X110</f>
        <v>0.18888888888888888</v>
      </c>
      <c r="K192" s="12">
        <f>+'Innovación Pública'!Y110</f>
        <v>0.43666666666666665</v>
      </c>
      <c r="L192" s="43">
        <f>+'Innovación Pública'!Z110</f>
        <v>2.7666666666666669E-2</v>
      </c>
      <c r="M192" s="43">
        <f>+'Innovación Pública'!AA110</f>
        <v>0.32166666666666666</v>
      </c>
      <c r="N192" s="35"/>
      <c r="O192" s="9"/>
      <c r="P192" s="96"/>
    </row>
    <row r="193" spans="2:16" ht="43.9" customHeight="1" x14ac:dyDescent="0.55000000000000004">
      <c r="B193" s="42" t="s">
        <v>1776</v>
      </c>
      <c r="C193" s="1347"/>
      <c r="D193" s="12">
        <f>+'Innovación Pública'!I116</f>
        <v>0.19999999999999998</v>
      </c>
      <c r="E193" s="12">
        <f>+'Innovación Pública'!J116</f>
        <v>0.28150000000000003</v>
      </c>
      <c r="F193" s="12">
        <f t="shared" si="40"/>
        <v>0.46550000000000002</v>
      </c>
      <c r="G193" s="12">
        <f>+'Innovación Pública'!K116</f>
        <v>0.17499999999999999</v>
      </c>
      <c r="H193" s="12">
        <f>+'Innovación Pública'!L116</f>
        <v>0.28525</v>
      </c>
      <c r="I193" s="12">
        <f>+'Innovación Pública'!U116</f>
        <v>0.35873940480323457</v>
      </c>
      <c r="J193" s="12">
        <f>+'Innovación Pública'!X116</f>
        <v>0.18400000000000002</v>
      </c>
      <c r="K193" s="12">
        <f>+'Innovación Pública'!Y116</f>
        <v>0.27984848484848485</v>
      </c>
      <c r="L193" s="43">
        <f>+'Innovación Pública'!Z116</f>
        <v>3.2840000000000001E-2</v>
      </c>
      <c r="M193" s="43">
        <f>+'Innovación Pública'!AA116</f>
        <v>0.2650818181818182</v>
      </c>
      <c r="N193" s="35"/>
      <c r="O193" s="9"/>
      <c r="P193" s="96"/>
    </row>
    <row r="194" spans="2:16" ht="42" customHeight="1" x14ac:dyDescent="0.55000000000000004">
      <c r="B194" s="42" t="s">
        <v>1789</v>
      </c>
      <c r="C194" s="1347"/>
      <c r="D194" s="12">
        <f>+'Innovación Pública'!I123</f>
        <v>0.25</v>
      </c>
      <c r="E194" s="12">
        <f>+'Innovación Pública'!J123</f>
        <v>0.27040816326530609</v>
      </c>
      <c r="F194" s="12">
        <f t="shared" si="40"/>
        <v>0.52982482993197277</v>
      </c>
      <c r="G194" s="12">
        <f>+'Innovación Pública'!K123</f>
        <v>0.2</v>
      </c>
      <c r="H194" s="12">
        <f>+'Innovación Pública'!L123</f>
        <v>0.26428571428571429</v>
      </c>
      <c r="I194" s="12">
        <f>+'Innovación Pública'!U123</f>
        <v>0.44361904761904764</v>
      </c>
      <c r="J194" s="12">
        <f>+'Innovación Pública'!X123</f>
        <v>0.25941666666666668</v>
      </c>
      <c r="K194" s="12">
        <f>+'Innovación Pública'!Y123</f>
        <v>0.34126190476190477</v>
      </c>
      <c r="L194" s="43">
        <f>+'Innovación Pública'!Z123</f>
        <v>4.8570000000000002E-2</v>
      </c>
      <c r="M194" s="43">
        <f>+'Innovación Pública'!AA123</f>
        <v>0.36731666666666668</v>
      </c>
      <c r="N194" s="35"/>
      <c r="O194" s="9"/>
      <c r="P194" s="96"/>
    </row>
    <row r="195" spans="2:16" ht="39" customHeight="1" x14ac:dyDescent="0.55000000000000004">
      <c r="B195" s="42" t="s">
        <v>1804</v>
      </c>
      <c r="C195" s="1347"/>
      <c r="D195" s="12">
        <f>+'Innovación Pública'!I131</f>
        <v>0.41111111111111109</v>
      </c>
      <c r="E195" s="12">
        <f>+'Innovación Pública'!J131</f>
        <v>0.41111111111111109</v>
      </c>
      <c r="F195" s="12">
        <f t="shared" si="40"/>
        <v>0.72222222222222221</v>
      </c>
      <c r="G195" s="12">
        <f>+'Innovación Pública'!K131</f>
        <v>0.37333333333333329</v>
      </c>
      <c r="H195" s="12">
        <f>+'Innovación Pública'!L131</f>
        <v>0.37333333333333329</v>
      </c>
      <c r="I195" s="12">
        <f>+'Innovación Pública'!U131</f>
        <v>0.5</v>
      </c>
      <c r="J195" s="12">
        <f>+'Innovación Pública'!X131</f>
        <v>0.31111111111111112</v>
      </c>
      <c r="K195" s="12">
        <f>+'Innovación Pública'!Y131</f>
        <v>0.61111111111111116</v>
      </c>
      <c r="L195" s="43">
        <f>+'Innovación Pública'!Z131</f>
        <v>4.3999999999999997E-2</v>
      </c>
      <c r="M195" s="43">
        <f>+'Innovación Pública'!AA131</f>
        <v>0.53333333333333333</v>
      </c>
      <c r="N195" s="35"/>
      <c r="O195" s="9"/>
      <c r="P195" s="96"/>
    </row>
    <row r="196" spans="2:16" ht="33.6" customHeight="1" x14ac:dyDescent="0.55000000000000004">
      <c r="B196" s="42" t="s">
        <v>2008</v>
      </c>
      <c r="C196" s="1347"/>
      <c r="D196" s="12">
        <f>+'Innovación Pública'!I134</f>
        <v>0.25</v>
      </c>
      <c r="E196" s="12">
        <f>+'Innovación Pública'!J134</f>
        <v>0.125</v>
      </c>
      <c r="F196" s="12">
        <f t="shared" ref="F196:F206" si="57">+J196+E196</f>
        <v>0.28125</v>
      </c>
      <c r="G196" s="12">
        <f>+'Innovación Pública'!K134</f>
        <v>0.2</v>
      </c>
      <c r="H196" s="12">
        <f>+'Innovación Pública'!L134</f>
        <v>0.2</v>
      </c>
      <c r="I196" s="12">
        <f>+'Innovación Pública'!U134</f>
        <v>0.25</v>
      </c>
      <c r="J196" s="98">
        <f>+'Innovación Pública'!X134</f>
        <v>0.15625</v>
      </c>
      <c r="K196" s="98">
        <f>+'Innovación Pública'!Y134</f>
        <v>0.1875</v>
      </c>
      <c r="L196" s="43">
        <f>+'Innovación Pública'!Z134</f>
        <v>2.5000000000000001E-2</v>
      </c>
      <c r="M196" s="43">
        <f>+'Innovación Pública'!AA134</f>
        <v>0.17499999999999999</v>
      </c>
      <c r="N196" s="35"/>
      <c r="O196" s="9"/>
      <c r="P196" s="96"/>
    </row>
    <row r="197" spans="2:16" ht="48.6" customHeight="1" x14ac:dyDescent="0.55000000000000004">
      <c r="B197" s="45" t="s">
        <v>1819</v>
      </c>
      <c r="C197" s="1348"/>
      <c r="D197" s="46">
        <f>+'Innovación Pública'!I139</f>
        <v>0.15625</v>
      </c>
      <c r="E197" s="46">
        <f>+'Innovación Pública'!J139</f>
        <v>0.28125</v>
      </c>
      <c r="F197" s="46">
        <f t="shared" si="57"/>
        <v>0.4375</v>
      </c>
      <c r="G197" s="46">
        <f>+'Innovación Pública'!K139</f>
        <v>0.15625</v>
      </c>
      <c r="H197" s="46">
        <f>+'Innovación Pública'!L139</f>
        <v>0.28125</v>
      </c>
      <c r="I197" s="46">
        <f>+'Innovación Pública'!U139</f>
        <v>0.192</v>
      </c>
      <c r="J197" s="132">
        <f>+'Innovación Pública'!X139</f>
        <v>0.15625</v>
      </c>
      <c r="K197" s="132">
        <f>+'Innovación Pública'!Y139</f>
        <v>0.20625000000000002</v>
      </c>
      <c r="L197" s="47">
        <f>+'Innovación Pública'!Z139</f>
        <v>7.8125E-3</v>
      </c>
      <c r="M197" s="47">
        <f>+'Innovación Pública'!AA139</f>
        <v>0.20625000000000002</v>
      </c>
      <c r="N197" s="35"/>
      <c r="O197" s="9"/>
      <c r="P197" s="96"/>
    </row>
    <row r="198" spans="2:16" ht="120" customHeight="1" x14ac:dyDescent="0.55000000000000004">
      <c r="B198" s="37" t="str">
        <f>+'Capitulo Etnico'!B3:C3</f>
        <v xml:space="preserve">CAPÍTULO DE LOS PUEBLOS Y COMUNIDADES ÉTNICAS
</v>
      </c>
      <c r="C198" s="1344">
        <v>0.02</v>
      </c>
      <c r="D198" s="38">
        <f>+'Capitulo Etnico'!I3</f>
        <v>0.25509259259259259</v>
      </c>
      <c r="E198" s="38">
        <f>+'Capitulo Etnico'!J3</f>
        <v>0.27093915343915342</v>
      </c>
      <c r="F198" s="38">
        <f t="shared" si="57"/>
        <v>0.32652777777777775</v>
      </c>
      <c r="G198" s="38">
        <f>+'Capitulo Etnico'!K3</f>
        <v>6.9222222222222241E-2</v>
      </c>
      <c r="H198" s="38">
        <f>+'Capitulo Etnico'!L3</f>
        <v>0.26068055555555558</v>
      </c>
      <c r="I198" s="38">
        <f>+'Capitulo Etnico'!U3</f>
        <v>0.39426851851851852</v>
      </c>
      <c r="J198" s="38">
        <f>+'Capitulo Etnico'!X3</f>
        <v>5.5588624338624326E-2</v>
      </c>
      <c r="K198" s="38">
        <f>+'Capitulo Etnico'!Y3</f>
        <v>0.17479861111111111</v>
      </c>
      <c r="L198" s="39">
        <f>+'Capitulo Etnico'!Z3</f>
        <v>2.0592916666666666E-2</v>
      </c>
      <c r="M198" s="39">
        <f>+'Capitulo Etnico'!AA3</f>
        <v>0.13189708333333333</v>
      </c>
      <c r="N198" s="35"/>
      <c r="O198" s="9"/>
      <c r="P198" s="96"/>
    </row>
    <row r="199" spans="2:16" ht="142.15" customHeight="1" x14ac:dyDescent="0.55000000000000004">
      <c r="B199" s="40" t="str">
        <f>+'Capitulo Etnico'!B4:C4</f>
        <v xml:space="preserve"> Fortalecimiento al Desarrollo Afro-Territorial de la Población Negra, Afrocolombiana, Raizal y Palenquera
</v>
      </c>
      <c r="C199" s="1345"/>
      <c r="D199" s="32">
        <f>+(D200+D201+D202)/2</f>
        <v>0.42499999999999999</v>
      </c>
      <c r="E199" s="32">
        <f>+(E200+E201+E202)/3</f>
        <v>0.22595238095238099</v>
      </c>
      <c r="F199" s="32">
        <f t="shared" si="57"/>
        <v>0.29083333333333339</v>
      </c>
      <c r="G199" s="33">
        <f>+(G200+G201+G202)/3</f>
        <v>5.4833333333333345E-2</v>
      </c>
      <c r="H199" s="33">
        <f t="shared" ref="H199:I199" si="58">+(H200+H201+H202)/3</f>
        <v>0.22125000000000003</v>
      </c>
      <c r="I199" s="33">
        <f t="shared" si="58"/>
        <v>0.46870370370370368</v>
      </c>
      <c r="J199" s="10">
        <f>+(J200+J201+J202)/3</f>
        <v>6.4880952380952372E-2</v>
      </c>
      <c r="K199" s="10">
        <f>+(K200+K201+K202)/3</f>
        <v>0.21113425925925924</v>
      </c>
      <c r="L199" s="1009">
        <f>+(L200+L201+L202)</f>
        <v>4.5466666666666669E-2</v>
      </c>
      <c r="M199" s="1009">
        <f>+'Capitulo Etnico'!AA4</f>
        <v>0.13831111111111113</v>
      </c>
      <c r="N199" s="35"/>
      <c r="O199" s="9"/>
      <c r="P199" s="96"/>
    </row>
    <row r="200" spans="2:16" ht="103.9" customHeight="1" x14ac:dyDescent="0.55000000000000004">
      <c r="B200" s="42" t="s">
        <v>1834</v>
      </c>
      <c r="C200" s="1345"/>
      <c r="D200" s="19">
        <f>+'Capitulo Etnico'!I5</f>
        <v>0.19999999999999998</v>
      </c>
      <c r="E200" s="19">
        <f>+'Capitulo Etnico'!J5</f>
        <v>0.22666666666666666</v>
      </c>
      <c r="F200" s="19">
        <f t="shared" si="57"/>
        <v>0.36416666666666664</v>
      </c>
      <c r="G200" s="19">
        <f>+'Capitulo Etnico'!K5</f>
        <v>8.7000000000000008E-2</v>
      </c>
      <c r="H200" s="19">
        <f>+'Capitulo Etnico'!L5</f>
        <v>0.16666666666666663</v>
      </c>
      <c r="I200" s="19">
        <f>+'Capitulo Etnico'!U5</f>
        <v>0.40750000000000003</v>
      </c>
      <c r="J200" s="12">
        <f>+'Capitulo Etnico'!X5</f>
        <v>0.13749999999999998</v>
      </c>
      <c r="K200" s="12">
        <f>+'Capitulo Etnico'!Y5</f>
        <v>0.19729166666666664</v>
      </c>
      <c r="L200" s="44">
        <f>+'Capitulo Etnico'!Z5</f>
        <v>3.7466666666666669E-2</v>
      </c>
      <c r="M200" s="44">
        <f>+'Capitulo Etnico'!AA5</f>
        <v>0.13716666666666669</v>
      </c>
      <c r="N200" s="35"/>
      <c r="O200" s="9"/>
      <c r="P200" s="96"/>
    </row>
    <row r="201" spans="2:16" ht="66.599999999999994" customHeight="1" x14ac:dyDescent="0.55000000000000004">
      <c r="B201" s="42" t="s">
        <v>1856</v>
      </c>
      <c r="C201" s="1345"/>
      <c r="D201" s="19">
        <f>+'Capitulo Etnico'!I14</f>
        <v>0.25</v>
      </c>
      <c r="E201" s="19">
        <f>+'Capitulo Etnico'!J14</f>
        <v>0.11904761904761904</v>
      </c>
      <c r="F201" s="19">
        <f t="shared" si="57"/>
        <v>0.11904761904761904</v>
      </c>
      <c r="G201" s="19">
        <f>+'Capitulo Etnico'!K14</f>
        <v>3.7500000000000006E-2</v>
      </c>
      <c r="H201" s="19">
        <f>+'Capitulo Etnico'!L14</f>
        <v>0.17083333333333334</v>
      </c>
      <c r="I201" s="19">
        <f>+'Capitulo Etnico'!U14</f>
        <v>0.4861111111111111</v>
      </c>
      <c r="J201" s="12">
        <f>+'Capitulo Etnico'!X14</f>
        <v>0</v>
      </c>
      <c r="K201" s="12">
        <f>+'Capitulo Etnico'!Y14</f>
        <v>0.20039682539682538</v>
      </c>
      <c r="L201" s="44">
        <f>+'Capitulo Etnico'!Z14</f>
        <v>0</v>
      </c>
      <c r="M201" s="44">
        <f>+'Capitulo Etnico'!AA14</f>
        <v>0.12361111111111112</v>
      </c>
      <c r="N201" s="35"/>
      <c r="O201" s="9"/>
      <c r="P201" s="96"/>
    </row>
    <row r="202" spans="2:16" ht="57" customHeight="1" x14ac:dyDescent="0.55000000000000004">
      <c r="B202" s="42" t="s">
        <v>1877</v>
      </c>
      <c r="C202" s="1345"/>
      <c r="D202" s="19">
        <f>+'Capitulo Etnico'!I22</f>
        <v>0.4</v>
      </c>
      <c r="E202" s="19">
        <f>+'Capitulo Etnico'!J22</f>
        <v>0.33214285714285718</v>
      </c>
      <c r="F202" s="19">
        <f t="shared" si="57"/>
        <v>0.38928571428571435</v>
      </c>
      <c r="G202" s="19">
        <f>+'Capitulo Etnico'!K22</f>
        <v>4.0000000000000008E-2</v>
      </c>
      <c r="H202" s="19">
        <f>+'Capitulo Etnico'!L22</f>
        <v>0.32625000000000004</v>
      </c>
      <c r="I202" s="19">
        <f>+'Capitulo Etnico'!U22</f>
        <v>0.51249999999999996</v>
      </c>
      <c r="J202" s="12">
        <f>+'Capitulo Etnico'!X22</f>
        <v>5.7142857142857141E-2</v>
      </c>
      <c r="K202" s="12">
        <f>+'Capitulo Etnico'!Y22</f>
        <v>0.23571428571428571</v>
      </c>
      <c r="L202" s="43">
        <f>+'Capitulo Etnico'!Z22</f>
        <v>8.0000000000000019E-3</v>
      </c>
      <c r="M202" s="43">
        <f>+'Capitulo Etnico'!AA22</f>
        <v>0.17</v>
      </c>
      <c r="N202" s="35"/>
      <c r="O202" s="9"/>
      <c r="P202" s="96"/>
    </row>
    <row r="203" spans="2:16" ht="49.5" x14ac:dyDescent="0.55000000000000004">
      <c r="B203" s="40" t="str">
        <f>+'Capitulo Etnico'!B30:C30</f>
        <v xml:space="preserve">Territorio Sitio de Paz y Pensamiento Colectivo
</v>
      </c>
      <c r="C203" s="1345"/>
      <c r="D203" s="32">
        <f t="shared" ref="D203:G203" si="59">+(D204+D205+D206)/3</f>
        <v>0.22685185185185186</v>
      </c>
      <c r="E203" s="32">
        <f t="shared" si="59"/>
        <v>0.31592592592592589</v>
      </c>
      <c r="F203" s="32">
        <f t="shared" si="57"/>
        <v>0.36222222222222217</v>
      </c>
      <c r="G203" s="33">
        <f t="shared" si="59"/>
        <v>8.3611111111111122E-2</v>
      </c>
      <c r="H203" s="33">
        <f t="shared" ref="H203:I203" si="60">+(H204+H205+H206)/3</f>
        <v>0.30011111111111111</v>
      </c>
      <c r="I203" s="33">
        <f t="shared" si="60"/>
        <v>0.31983333333333336</v>
      </c>
      <c r="J203" s="10">
        <f>+(J204+J205+J206)/3</f>
        <v>4.6296296296296287E-2</v>
      </c>
      <c r="K203" s="10">
        <f>+(K204+K205+K206)/3</f>
        <v>0.13846296296296298</v>
      </c>
      <c r="L203" s="94">
        <f>+(L204+L205+L206)</f>
        <v>9.6249999999999999E-3</v>
      </c>
      <c r="M203" s="94">
        <f>+'Capitulo Etnico'!AA30</f>
        <v>0.11265500000000001</v>
      </c>
      <c r="N203" s="35"/>
      <c r="O203" s="9"/>
      <c r="P203" s="96"/>
    </row>
    <row r="204" spans="2:16" ht="33.6" customHeight="1" x14ac:dyDescent="0.55000000000000004">
      <c r="B204" s="42" t="s">
        <v>2009</v>
      </c>
      <c r="C204" s="1345"/>
      <c r="D204" s="19">
        <f>+'Capitulo Etnico'!I31</f>
        <v>0.30555555555555552</v>
      </c>
      <c r="E204" s="19">
        <f>+'Capitulo Etnico'!J31</f>
        <v>0.35833333333333323</v>
      </c>
      <c r="F204" s="19">
        <f t="shared" si="57"/>
        <v>0.49722222222222212</v>
      </c>
      <c r="G204" s="19">
        <f>+'Capitulo Etnico'!K31</f>
        <v>0.18208333333333335</v>
      </c>
      <c r="H204" s="19">
        <f>+'Capitulo Etnico'!L31</f>
        <v>0.32074999999999998</v>
      </c>
      <c r="I204" s="19">
        <f>+'Capitulo Etnico'!U31</f>
        <v>6.666666666666668E-2</v>
      </c>
      <c r="J204" s="12">
        <f>+'Capitulo Etnico'!X31</f>
        <v>0.13888888888888887</v>
      </c>
      <c r="K204" s="12">
        <f>+'Capitulo Etnico'!Y31</f>
        <v>0.15138888888888888</v>
      </c>
      <c r="L204" s="43">
        <f>+'Capitulo Etnico'!Z31</f>
        <v>9.6249999999999999E-3</v>
      </c>
      <c r="M204" s="43">
        <f>+'Capitulo Etnico'!AA31</f>
        <v>3.6383333333333337E-2</v>
      </c>
      <c r="N204" s="35"/>
      <c r="O204" s="9"/>
      <c r="P204" s="96"/>
    </row>
    <row r="205" spans="2:16" ht="40.15" customHeight="1" x14ac:dyDescent="0.55000000000000004">
      <c r="B205" s="42" t="s">
        <v>2010</v>
      </c>
      <c r="C205" s="1345"/>
      <c r="D205" s="19">
        <f>+'Capitulo Etnico'!I40</f>
        <v>0.25</v>
      </c>
      <c r="E205" s="19">
        <f>+'Capitulo Etnico'!J40</f>
        <v>0.32777777777777778</v>
      </c>
      <c r="F205" s="19">
        <f t="shared" si="57"/>
        <v>0.32777777777777778</v>
      </c>
      <c r="G205" s="19">
        <f>+'Capitulo Etnico'!K40</f>
        <v>3.7499999999999999E-2</v>
      </c>
      <c r="H205" s="19">
        <f>+'Capitulo Etnico'!L40</f>
        <v>0.28416666666666668</v>
      </c>
      <c r="I205" s="19">
        <f>+'Capitulo Etnico'!U40</f>
        <v>0.35533333333333333</v>
      </c>
      <c r="J205" s="12">
        <f>+'Capitulo Etnico'!X40</f>
        <v>0</v>
      </c>
      <c r="K205" s="12">
        <f>+'Capitulo Etnico'!Y40</f>
        <v>0.128</v>
      </c>
      <c r="L205" s="43">
        <f>+'Capitulo Etnico'!Z40</f>
        <v>0</v>
      </c>
      <c r="M205" s="43">
        <f>+'Capitulo Etnico'!AA40</f>
        <v>0.14380000000000001</v>
      </c>
      <c r="N205" s="35"/>
      <c r="O205" s="9"/>
      <c r="P205" s="96"/>
    </row>
    <row r="206" spans="2:16" ht="46.15" customHeight="1" x14ac:dyDescent="0.55000000000000004">
      <c r="B206" s="45" t="s">
        <v>2011</v>
      </c>
      <c r="C206" s="1346"/>
      <c r="D206" s="49">
        <f>+'Capitulo Etnico'!I47</f>
        <v>0.125</v>
      </c>
      <c r="E206" s="49">
        <f>+'Capitulo Etnico'!J47</f>
        <v>0.26166666666666666</v>
      </c>
      <c r="F206" s="49">
        <f t="shared" si="57"/>
        <v>0.26166666666666666</v>
      </c>
      <c r="G206" s="49">
        <f>+'Capitulo Etnico'!K47</f>
        <v>3.125E-2</v>
      </c>
      <c r="H206" s="49">
        <f>+'Capitulo Etnico'!L47</f>
        <v>0.29541666666666666</v>
      </c>
      <c r="I206" s="49">
        <f>+'Capitulo Etnico'!U47</f>
        <v>0.53749999999999998</v>
      </c>
      <c r="J206" s="46">
        <f>+'Capitulo Etnico'!X47</f>
        <v>0</v>
      </c>
      <c r="K206" s="46">
        <f>+'Capitulo Etnico'!Y47</f>
        <v>0.13599999999999998</v>
      </c>
      <c r="L206" s="47">
        <f>+'Capitulo Etnico'!Z47</f>
        <v>0</v>
      </c>
      <c r="M206" s="47">
        <f>+'Capitulo Etnico'!AA47</f>
        <v>0.14649999999999999</v>
      </c>
      <c r="N206" s="35"/>
      <c r="O206" s="9"/>
      <c r="P206" s="96"/>
    </row>
  </sheetData>
  <autoFilter ref="B2:T206" xr:uid="{00000000-0009-0000-0000-000006000000}"/>
  <mergeCells count="6">
    <mergeCell ref="C198:C206"/>
    <mergeCell ref="C4:C45"/>
    <mergeCell ref="C46:C91"/>
    <mergeCell ref="C92:C122"/>
    <mergeCell ref="C123:C160"/>
    <mergeCell ref="C161:C19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B1000"/>
  <sheetViews>
    <sheetView zoomScale="20" zoomScaleNormal="20" workbookViewId="0">
      <selection activeCell="AD67" sqref="AD67"/>
    </sheetView>
  </sheetViews>
  <sheetFormatPr baseColWidth="10" defaultColWidth="14.42578125" defaultRowHeight="15" customHeight="1" x14ac:dyDescent="0.25"/>
  <cols>
    <col min="1" max="1" width="10.7109375" customWidth="1"/>
    <col min="2" max="2" width="80.85546875" customWidth="1"/>
    <col min="3" max="3" width="42.5703125" customWidth="1"/>
    <col min="4" max="5" width="44" customWidth="1"/>
    <col min="6" max="6" width="50.140625" customWidth="1"/>
    <col min="7" max="7" width="49.28515625" customWidth="1"/>
    <col min="8" max="8" width="57.28515625" hidden="1" customWidth="1"/>
    <col min="9" max="9" width="51.7109375" hidden="1" customWidth="1"/>
    <col min="10" max="10" width="78.28515625" hidden="1" customWidth="1"/>
    <col min="11" max="11" width="48.7109375" customWidth="1"/>
    <col min="12" max="12" width="49.7109375" customWidth="1"/>
    <col min="13" max="13" width="54.28515625" customWidth="1"/>
    <col min="14" max="14" width="55.42578125" customWidth="1"/>
    <col min="15" max="15" width="49.7109375" customWidth="1"/>
    <col min="16" max="17" width="49.28515625" customWidth="1"/>
    <col min="18" max="19" width="44.140625" customWidth="1"/>
    <col min="20" max="20" width="35.5703125" hidden="1" customWidth="1"/>
    <col min="21" max="21" width="23" hidden="1" customWidth="1"/>
    <col min="22" max="24" width="10.7109375" customWidth="1"/>
    <col min="25" max="26" width="30" customWidth="1"/>
    <col min="27" max="38" width="10.7109375" customWidth="1"/>
  </cols>
  <sheetData>
    <row r="1" spans="2:28" ht="15" customHeight="1" thickBot="1" x14ac:dyDescent="0.3"/>
    <row r="2" spans="2:28" s="944" customFormat="1" ht="157.5" customHeight="1" x14ac:dyDescent="0.35">
      <c r="B2" s="949"/>
      <c r="C2" s="950" t="s">
        <v>2012</v>
      </c>
      <c r="D2" s="951" t="s">
        <v>2013</v>
      </c>
      <c r="E2" s="952" t="s">
        <v>2014</v>
      </c>
      <c r="F2" s="952" t="s">
        <v>2015</v>
      </c>
      <c r="G2" s="972" t="s">
        <v>2016</v>
      </c>
      <c r="H2" s="953" t="s">
        <v>2017</v>
      </c>
      <c r="I2" s="953" t="s">
        <v>2018</v>
      </c>
      <c r="J2" s="953" t="s">
        <v>2019</v>
      </c>
      <c r="K2" s="954" t="s">
        <v>2020</v>
      </c>
      <c r="L2" s="953" t="s">
        <v>2021</v>
      </c>
      <c r="M2" s="954" t="s">
        <v>2022</v>
      </c>
      <c r="N2" s="955" t="s">
        <v>2023</v>
      </c>
      <c r="O2" s="956" t="s">
        <v>2024</v>
      </c>
      <c r="P2" s="957" t="s">
        <v>2025</v>
      </c>
      <c r="Q2" s="958" t="s">
        <v>2026</v>
      </c>
      <c r="R2" s="959" t="s">
        <v>2027</v>
      </c>
      <c r="T2" s="945" t="s">
        <v>2028</v>
      </c>
      <c r="U2" s="946" t="s">
        <v>2029</v>
      </c>
      <c r="Y2" s="1353" t="s">
        <v>2030</v>
      </c>
      <c r="Z2" s="1353" t="s">
        <v>2031</v>
      </c>
    </row>
    <row r="3" spans="2:28" ht="186.6" customHeight="1" thickBot="1" x14ac:dyDescent="0.55000000000000004">
      <c r="B3" s="960" t="s">
        <v>2032</v>
      </c>
      <c r="D3" s="990">
        <v>0.20142213076126284</v>
      </c>
      <c r="E3" s="991">
        <f>+'PLAN DE DESARROLLO 2024 - 2027'!E3</f>
        <v>0.30058025498448149</v>
      </c>
      <c r="F3" s="991">
        <f>+D3+E3</f>
        <v>0.5020023857457443</v>
      </c>
      <c r="G3" s="992">
        <f>+K3-D3</f>
        <v>0.11206688699853615</v>
      </c>
      <c r="H3" s="993"/>
      <c r="I3" s="993"/>
      <c r="J3" s="993"/>
      <c r="K3" s="1205">
        <f>+'PLAN DE DESARROLLO 2024 - 2027'!K3</f>
        <v>0.31348901775979898</v>
      </c>
      <c r="L3" s="993">
        <v>0.7941582819202514</v>
      </c>
      <c r="M3" s="1096">
        <f>+'PLAN DE DESARROLLO 2024 - 2027'!I3</f>
        <v>0.37875751132781948</v>
      </c>
      <c r="N3" s="998">
        <f>+G3/E3</f>
        <v>0.37283515846482329</v>
      </c>
      <c r="O3" s="994">
        <f>+'PLAN DE DESARROLLO 2024 - 2027'!G3</f>
        <v>0.1793132482964562</v>
      </c>
      <c r="P3" s="994">
        <f>+'PLAN DE DESARROLLO 2024 - 2027'!H3</f>
        <v>0.26588235675192678</v>
      </c>
      <c r="Q3" s="995">
        <v>0.16474944869063249</v>
      </c>
      <c r="R3" s="996">
        <f>+'PLAN DE DESARROLLO 2024 - 2027'!M3</f>
        <v>0.30370625523347738</v>
      </c>
      <c r="T3" s="61"/>
      <c r="U3" s="1"/>
      <c r="Y3" s="1354"/>
      <c r="Z3" s="1354"/>
    </row>
    <row r="4" spans="2:28" ht="92.25" customHeight="1" thickBot="1" x14ac:dyDescent="0.9">
      <c r="B4" s="961" t="str">
        <f>+'Seguridad Humana'!B3:C3</f>
        <v xml:space="preserve"> SEGURIDAD HUMANA
</v>
      </c>
      <c r="C4" s="4">
        <v>0.3</v>
      </c>
      <c r="D4" s="911">
        <v>0.25472941442069297</v>
      </c>
      <c r="E4" s="910">
        <f>+'PLAN DE DESARROLLO 2024 - 2027'!E4</f>
        <v>0.35746043083896151</v>
      </c>
      <c r="F4" s="359">
        <f t="shared" ref="F4:F9" si="0">+D4+E4</f>
        <v>0.61218984525965447</v>
      </c>
      <c r="G4" s="912">
        <f>+K4-D4</f>
        <v>8.7159886295589961E-2</v>
      </c>
      <c r="H4" s="947"/>
      <c r="I4" s="947"/>
      <c r="J4" s="947"/>
      <c r="K4" s="947">
        <f>+'PLAN DE DESARROLLO 2024 - 2027'!K4</f>
        <v>0.34188930071628293</v>
      </c>
      <c r="L4" s="947">
        <v>0.84332704195548547</v>
      </c>
      <c r="M4" s="947">
        <f>+'PLAN DE DESARROLLO 2024 - 2027'!I4</f>
        <v>0.36948496991755925</v>
      </c>
      <c r="N4" s="948">
        <f>+G4/E4</f>
        <v>0.24383086567379011</v>
      </c>
      <c r="O4" s="911">
        <f>+'PLAN DE DESARROLLO 2024 - 2027'!G4</f>
        <v>0.1963447624265218</v>
      </c>
      <c r="P4" s="911">
        <f>+'PLAN DE DESARROLLO 2024 - 2027'!H4</f>
        <v>0.24648504898900425</v>
      </c>
      <c r="Q4" s="912">
        <v>0.20761825159703684</v>
      </c>
      <c r="R4" s="962">
        <f>+'PLAN DE DESARROLLO 2024 - 2027'!M4</f>
        <v>0.31656637577834912</v>
      </c>
      <c r="T4" s="62"/>
      <c r="U4" s="3"/>
      <c r="Y4" s="34">
        <v>697</v>
      </c>
      <c r="Z4" s="1272">
        <f>1/Y4</f>
        <v>1.4347202295552368E-3</v>
      </c>
      <c r="AA4" s="14"/>
    </row>
    <row r="5" spans="2:28" ht="91.15" customHeight="1" x14ac:dyDescent="0.85">
      <c r="B5" s="961" t="str">
        <f>+'Vida Digna'!B3:C3</f>
        <v xml:space="preserve"> VIDA DIGNA
</v>
      </c>
      <c r="C5" s="4">
        <v>0.2</v>
      </c>
      <c r="D5" s="911">
        <v>0.22389547133016827</v>
      </c>
      <c r="E5" s="910">
        <f>+'PLAN DE DESARROLLO 2024 - 2027'!E46</f>
        <v>0.32294627239423607</v>
      </c>
      <c r="F5" s="359">
        <f t="shared" si="0"/>
        <v>0.54684174372440431</v>
      </c>
      <c r="G5" s="912">
        <f>+K5-D5</f>
        <v>0.12946965232481414</v>
      </c>
      <c r="H5" s="947"/>
      <c r="I5" s="947"/>
      <c r="J5" s="947"/>
      <c r="K5" s="947">
        <f>+'PLAN DE DESARROLLO 2024 - 2027'!K46</f>
        <v>0.3533651236549824</v>
      </c>
      <c r="L5" s="947">
        <v>0.85198226383644504</v>
      </c>
      <c r="M5" s="947">
        <f>+'PLAN DE DESARROLLO 2024 - 2027'!I46</f>
        <v>0.37010960104289231</v>
      </c>
      <c r="N5" s="948">
        <f t="shared" ref="N5:N9" si="1">+G5/E5</f>
        <v>0.40090152261229478</v>
      </c>
      <c r="O5" s="911">
        <f>+'PLAN DE DESARROLLO 2024 - 2027'!G46</f>
        <v>0.20215522261646302</v>
      </c>
      <c r="P5" s="911">
        <f>+'PLAN DE DESARROLLO 2024 - 2027'!H46</f>
        <v>0.28159073109422145</v>
      </c>
      <c r="Q5" s="912">
        <v>0.18203033285293824</v>
      </c>
      <c r="R5" s="962">
        <f>+'PLAN DE DESARROLLO 2024 - 2027'!M46</f>
        <v>0.34160632674734986</v>
      </c>
      <c r="T5" s="62"/>
      <c r="U5" s="2"/>
      <c r="Z5" s="6"/>
      <c r="AA5" s="15"/>
      <c r="AB5" s="15"/>
    </row>
    <row r="6" spans="2:28" ht="105.6" customHeight="1" x14ac:dyDescent="0.85">
      <c r="B6" s="961" t="str">
        <f>+'Desarrollo Economico'!B3:B3</f>
        <v xml:space="preserve"> DESARROLLO ECONÓMICO EQUITATIVO
</v>
      </c>
      <c r="C6" s="4">
        <v>0.15</v>
      </c>
      <c r="D6" s="911">
        <v>0.23537004965661618</v>
      </c>
      <c r="E6" s="910">
        <f>+'PLAN DE DESARROLLO 2024 - 2027'!E92</f>
        <v>0.33540613081500453</v>
      </c>
      <c r="F6" s="359">
        <f t="shared" si="0"/>
        <v>0.57077618047162071</v>
      </c>
      <c r="G6" s="912">
        <f t="shared" ref="G6:G9" si="2">+K6-D6</f>
        <v>0.10216164003806405</v>
      </c>
      <c r="H6" s="947"/>
      <c r="I6" s="947"/>
      <c r="J6" s="947"/>
      <c r="K6" s="947">
        <f>+'PLAN DE DESARROLLO 2024 - 2027'!K92</f>
        <v>0.33753168969468023</v>
      </c>
      <c r="L6" s="947">
        <v>0.9432222222222223</v>
      </c>
      <c r="M6" s="947">
        <f>+'PLAN DE DESARROLLO 2024 - 2027'!I92</f>
        <v>0.34213119063906233</v>
      </c>
      <c r="N6" s="948">
        <f t="shared" si="1"/>
        <v>0.30459085464484836</v>
      </c>
      <c r="O6" s="911">
        <f>+'PLAN DE DESARROLLO 2024 - 2027'!G92</f>
        <v>0.19244539710966052</v>
      </c>
      <c r="P6" s="911">
        <f>+'PLAN DE DESARROLLO 2024 - 2027'!H92</f>
        <v>0.32082908983191682</v>
      </c>
      <c r="Q6" s="912">
        <v>0.19709284711832917</v>
      </c>
      <c r="R6" s="962">
        <f>+'PLAN DE DESARROLLO 2024 - 2027'!M92</f>
        <v>0.31478839985626073</v>
      </c>
      <c r="T6" s="62"/>
      <c r="U6" s="2"/>
      <c r="Y6" s="1273"/>
      <c r="Z6" s="5"/>
    </row>
    <row r="7" spans="2:28" ht="153.6" customHeight="1" x14ac:dyDescent="0.85">
      <c r="B7" s="961" t="str">
        <f>+'Ciudad Conectada'!B3:B3</f>
        <v xml:space="preserve">CARTAGENA CIUDAD CONECTADA Y SOSTENIBLE
</v>
      </c>
      <c r="C7" s="4">
        <v>0.25</v>
      </c>
      <c r="D7" s="911">
        <v>0.22160323916687383</v>
      </c>
      <c r="E7" s="910">
        <f>+'PLAN DE DESARROLLO 2024 - 2027'!E123</f>
        <v>0.23601705389676467</v>
      </c>
      <c r="F7" s="359">
        <f t="shared" si="0"/>
        <v>0.45762029306363849</v>
      </c>
      <c r="G7" s="912">
        <f t="shared" si="2"/>
        <v>0.10666368628968395</v>
      </c>
      <c r="H7" s="947"/>
      <c r="I7" s="947"/>
      <c r="J7" s="947"/>
      <c r="K7" s="947">
        <f>+'PLAN DE DESARROLLO 2024 - 2027'!K123</f>
        <v>0.32826692545655778</v>
      </c>
      <c r="L7" s="947">
        <v>0.81130732140563089</v>
      </c>
      <c r="M7" s="947">
        <f>+'PLAN DE DESARROLLO 2024 - 2027'!I123</f>
        <v>0.38203685641776697</v>
      </c>
      <c r="N7" s="948">
        <f t="shared" si="1"/>
        <v>0.45193211477141526</v>
      </c>
      <c r="O7" s="911">
        <f>+'PLAN DE DESARROLLO 2024 - 2027'!G123</f>
        <v>0.19844971717901827</v>
      </c>
      <c r="P7" s="911">
        <f>+'PLAN DE DESARROLLO 2024 - 2027'!H123</f>
        <v>0.22019926051515165</v>
      </c>
      <c r="Q7" s="912">
        <v>0.1858257807711004</v>
      </c>
      <c r="R7" s="962">
        <f>+'PLAN DE DESARROLLO 2024 - 2027'!M123</f>
        <v>0.25862483810064973</v>
      </c>
      <c r="T7" s="62"/>
      <c r="U7" s="2"/>
    </row>
    <row r="8" spans="2:28" ht="169.15" customHeight="1" x14ac:dyDescent="0.85">
      <c r="B8" s="961" t="str">
        <f>+'Innovación Pública'!B3:B3</f>
        <v xml:space="preserve"> INNOVACIÓN PÚBLICA Y PARTICIPACIÓN CIUDADANA
</v>
      </c>
      <c r="C8" s="4">
        <v>0.08</v>
      </c>
      <c r="D8" s="911">
        <v>0.21734598565460142</v>
      </c>
      <c r="E8" s="910">
        <f>+'PLAN DE DESARROLLO 2024 - 2027'!E161</f>
        <v>0.28071248852276881</v>
      </c>
      <c r="F8" s="359">
        <f t="shared" si="0"/>
        <v>0.49805847417737026</v>
      </c>
      <c r="G8" s="912">
        <f t="shared" si="2"/>
        <v>0.12773647027057813</v>
      </c>
      <c r="H8" s="947"/>
      <c r="I8" s="947"/>
      <c r="J8" s="947"/>
      <c r="K8" s="947">
        <f>+'PLAN DE DESARROLLO 2024 - 2027'!K161</f>
        <v>0.34508245592517955</v>
      </c>
      <c r="L8" s="947">
        <v>0.9123330643239469</v>
      </c>
      <c r="M8" s="947">
        <f>+'PLAN DE DESARROLLO 2024 - 2027'!I161</f>
        <v>0.41451393143111748</v>
      </c>
      <c r="N8" s="948">
        <f t="shared" si="1"/>
        <v>0.45504377430011395</v>
      </c>
      <c r="O8" s="911">
        <f>+'PLAN DE DESARROLLO 2024 - 2027'!G161</f>
        <v>0.21726216822485131</v>
      </c>
      <c r="P8" s="911">
        <f>+'PLAN DE DESARROLLO 2024 - 2027'!H161</f>
        <v>0.26550945452571084</v>
      </c>
      <c r="Q8" s="912">
        <v>0.19305031313772361</v>
      </c>
      <c r="R8" s="962">
        <f>+'PLAN DE DESARROLLO 2024 - 2027'!M161</f>
        <v>0.32378332475293098</v>
      </c>
      <c r="T8" s="62"/>
      <c r="U8" s="2"/>
    </row>
    <row r="9" spans="2:28" ht="184.9" customHeight="1" thickBot="1" x14ac:dyDescent="0.9">
      <c r="B9" s="963" t="str">
        <f>+'Capitulo Etnico'!B3:C3</f>
        <v xml:space="preserve">CAPÍTULO DE LOS PUEBLOS Y COMUNIDADES ÉTNICAS
</v>
      </c>
      <c r="C9" s="964">
        <v>0.02</v>
      </c>
      <c r="D9" s="965">
        <v>5.5588624338624326E-2</v>
      </c>
      <c r="E9" s="966">
        <f>+'PLAN DE DESARROLLO 2024 - 2027'!E198</f>
        <v>0.27093915343915342</v>
      </c>
      <c r="F9" s="967">
        <f t="shared" si="0"/>
        <v>0.32652777777777775</v>
      </c>
      <c r="G9" s="968">
        <f t="shared" si="2"/>
        <v>0.11920998677248679</v>
      </c>
      <c r="H9" s="969"/>
      <c r="I9" s="969"/>
      <c r="J9" s="969"/>
      <c r="K9" s="969">
        <f>+'PLAN DE DESARROLLO 2024 - 2027'!K198</f>
        <v>0.17479861111111111</v>
      </c>
      <c r="L9" s="969">
        <v>0.40277777777777779</v>
      </c>
      <c r="M9" s="969">
        <f>+'PLAN DE DESARROLLO 2024 - 2027'!I198</f>
        <v>0.39426851851851852</v>
      </c>
      <c r="N9" s="970">
        <f t="shared" si="1"/>
        <v>0.43998803886149496</v>
      </c>
      <c r="O9" s="965">
        <f>+'PLAN DE DESARROLLO 2024 - 2027'!G198</f>
        <v>6.9222222222222241E-2</v>
      </c>
      <c r="P9" s="965">
        <f>+'PLAN DE DESARROLLO 2024 - 2027'!H198</f>
        <v>0.26068055555555558</v>
      </c>
      <c r="Q9" s="968">
        <v>2.2879166666666673E-2</v>
      </c>
      <c r="R9" s="971">
        <f>+'PLAN DE DESARROLLO 2024 - 2027'!M198</f>
        <v>0.13189708333333333</v>
      </c>
      <c r="T9" s="62"/>
      <c r="U9" s="2"/>
    </row>
    <row r="10" spans="2:28" ht="93" x14ac:dyDescent="1.35">
      <c r="B10" s="13"/>
      <c r="D10" s="31"/>
      <c r="E10" s="31"/>
      <c r="F10" s="31"/>
      <c r="G10" s="63"/>
      <c r="H10" s="63"/>
      <c r="I10" s="63"/>
      <c r="J10" s="63"/>
      <c r="T10" s="7"/>
    </row>
    <row r="14" spans="2:28" x14ac:dyDescent="0.25">
      <c r="T14" s="1274"/>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
    <mergeCell ref="Y2:Y3"/>
    <mergeCell ref="Z2:Z3"/>
  </mergeCell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2:T43"/>
  <sheetViews>
    <sheetView topLeftCell="A3" zoomScale="45" zoomScaleNormal="45" workbookViewId="0">
      <selection activeCell="S11" sqref="S11"/>
    </sheetView>
  </sheetViews>
  <sheetFormatPr baseColWidth="10" defaultColWidth="11.42578125" defaultRowHeight="15" x14ac:dyDescent="0.25"/>
  <cols>
    <col min="3" max="3" width="22.28515625" customWidth="1"/>
    <col min="4" max="4" width="26.7109375" customWidth="1"/>
    <col min="5" max="5" width="26.140625" customWidth="1"/>
    <col min="6" max="6" width="26.7109375" customWidth="1"/>
    <col min="7" max="7" width="31.42578125" customWidth="1"/>
    <col min="8" max="8" width="21.42578125" customWidth="1"/>
    <col min="9" max="9" width="25.7109375" customWidth="1"/>
  </cols>
  <sheetData>
    <row r="2" spans="3:11" ht="15.75" thickBot="1" x14ac:dyDescent="0.3"/>
    <row r="3" spans="3:11" ht="20.45" customHeight="1" thickBot="1" x14ac:dyDescent="0.3">
      <c r="C3" s="1381" t="s">
        <v>2033</v>
      </c>
      <c r="D3" s="1382"/>
      <c r="E3" s="1382"/>
      <c r="F3" s="1382"/>
      <c r="G3" s="1382"/>
      <c r="H3" s="1383"/>
      <c r="J3" s="1355" t="s">
        <v>2034</v>
      </c>
      <c r="K3" s="1356"/>
    </row>
    <row r="4" spans="3:11" ht="51" customHeight="1" thickBot="1" x14ac:dyDescent="0.3">
      <c r="C4" s="178" t="s">
        <v>2035</v>
      </c>
      <c r="D4" s="20" t="s">
        <v>2036</v>
      </c>
      <c r="E4" s="20" t="s">
        <v>2037</v>
      </c>
      <c r="F4" s="1097" t="s">
        <v>2038</v>
      </c>
      <c r="G4" s="20" t="s">
        <v>2039</v>
      </c>
      <c r="H4" s="20" t="s">
        <v>2040</v>
      </c>
      <c r="J4" s="1357"/>
      <c r="K4" s="1358"/>
    </row>
    <row r="5" spans="3:11" ht="27" thickBot="1" x14ac:dyDescent="0.3">
      <c r="C5" s="179" t="s">
        <v>2041</v>
      </c>
      <c r="D5" s="21" t="s">
        <v>2042</v>
      </c>
      <c r="E5" s="21" t="s">
        <v>2043</v>
      </c>
      <c r="F5" s="1098" t="s">
        <v>2044</v>
      </c>
      <c r="G5" s="21" t="s">
        <v>2045</v>
      </c>
      <c r="H5" s="21" t="s">
        <v>2042</v>
      </c>
      <c r="J5" s="1357"/>
      <c r="K5" s="1358"/>
    </row>
    <row r="6" spans="3:11" ht="27" thickBot="1" x14ac:dyDescent="0.3">
      <c r="C6" s="180" t="s">
        <v>2046</v>
      </c>
      <c r="D6" s="22" t="s">
        <v>2047</v>
      </c>
      <c r="E6" s="22" t="s">
        <v>2048</v>
      </c>
      <c r="F6" s="1099" t="s">
        <v>2049</v>
      </c>
      <c r="G6" s="22" t="s">
        <v>2050</v>
      </c>
      <c r="H6" s="22" t="s">
        <v>2047</v>
      </c>
      <c r="J6" s="1357"/>
      <c r="K6" s="1358"/>
    </row>
    <row r="7" spans="3:11" ht="27" thickBot="1" x14ac:dyDescent="0.3">
      <c r="C7" s="181" t="s">
        <v>2051</v>
      </c>
      <c r="D7" s="23" t="s">
        <v>2052</v>
      </c>
      <c r="E7" s="23" t="s">
        <v>2053</v>
      </c>
      <c r="F7" s="1100" t="s">
        <v>2054</v>
      </c>
      <c r="G7" s="23" t="s">
        <v>2055</v>
      </c>
      <c r="H7" s="23" t="s">
        <v>2052</v>
      </c>
      <c r="J7" s="1357"/>
      <c r="K7" s="1358"/>
    </row>
    <row r="8" spans="3:11" ht="27" thickBot="1" x14ac:dyDescent="0.3">
      <c r="C8" s="182" t="s">
        <v>2056</v>
      </c>
      <c r="D8" s="24" t="s">
        <v>2057</v>
      </c>
      <c r="E8" s="24" t="s">
        <v>2058</v>
      </c>
      <c r="F8" s="1101" t="s">
        <v>2059</v>
      </c>
      <c r="G8" s="24" t="s">
        <v>2060</v>
      </c>
      <c r="H8" s="24" t="s">
        <v>2057</v>
      </c>
      <c r="J8" s="1357"/>
      <c r="K8" s="1358"/>
    </row>
    <row r="9" spans="3:11" ht="27" thickBot="1" x14ac:dyDescent="0.3">
      <c r="C9" s="183" t="s">
        <v>2061</v>
      </c>
      <c r="D9" s="25" t="s">
        <v>2062</v>
      </c>
      <c r="E9" s="25" t="s">
        <v>2063</v>
      </c>
      <c r="F9" s="1102" t="s">
        <v>2064</v>
      </c>
      <c r="G9" s="25" t="s">
        <v>2065</v>
      </c>
      <c r="H9" s="25" t="s">
        <v>2066</v>
      </c>
      <c r="J9" s="1357"/>
      <c r="K9" s="1358"/>
    </row>
    <row r="10" spans="3:11" ht="15.75" thickBot="1" x14ac:dyDescent="0.3">
      <c r="J10" s="1357"/>
      <c r="K10" s="1358"/>
    </row>
    <row r="11" spans="3:11" ht="49.15" customHeight="1" thickBot="1" x14ac:dyDescent="0.3">
      <c r="D11" s="922"/>
      <c r="E11" s="923" t="s">
        <v>2067</v>
      </c>
      <c r="F11" s="1412" t="s">
        <v>2068</v>
      </c>
      <c r="G11" s="1413"/>
      <c r="J11" s="1357"/>
      <c r="K11" s="1358"/>
    </row>
    <row r="12" spans="3:11" ht="72.599999999999994" customHeight="1" x14ac:dyDescent="0.25">
      <c r="D12" s="1408" t="s">
        <v>2069</v>
      </c>
      <c r="E12" s="1410">
        <f>+'PLAN DE DESARROLLO 2024 - 2027'!I3</f>
        <v>0.37875751132781948</v>
      </c>
      <c r="F12" s="1414" t="s">
        <v>2070</v>
      </c>
      <c r="G12" s="1415"/>
      <c r="J12" s="1357"/>
      <c r="K12" s="1358"/>
    </row>
    <row r="13" spans="3:11" ht="15" customHeight="1" thickBot="1" x14ac:dyDescent="0.3">
      <c r="D13" s="1409"/>
      <c r="E13" s="1411"/>
      <c r="F13" s="1416"/>
      <c r="G13" s="1417"/>
      <c r="J13" s="1359"/>
      <c r="K13" s="1360"/>
    </row>
    <row r="15" spans="3:11" ht="30.6" customHeight="1" thickBot="1" x14ac:dyDescent="0.3"/>
    <row r="16" spans="3:11" ht="50.45" customHeight="1" thickBot="1" x14ac:dyDescent="0.3">
      <c r="C16" s="72" t="s">
        <v>2071</v>
      </c>
      <c r="D16" s="73" t="s">
        <v>2072</v>
      </c>
      <c r="E16" s="73" t="s">
        <v>2073</v>
      </c>
      <c r="F16" s="913" t="str">
        <f>+I27</f>
        <v>ESPERADO ACUMULADO A  DICIEMBRE 2025</v>
      </c>
      <c r="G16" s="74" t="s">
        <v>2074</v>
      </c>
      <c r="H16" s="75" t="s">
        <v>2075</v>
      </c>
      <c r="J16" s="1355" t="s">
        <v>2076</v>
      </c>
      <c r="K16" s="1356"/>
    </row>
    <row r="17" spans="3:14" ht="14.45" customHeight="1" x14ac:dyDescent="0.25">
      <c r="C17" s="1390" t="s">
        <v>2077</v>
      </c>
      <c r="D17" s="1406"/>
      <c r="E17" s="1398" t="s">
        <v>2078</v>
      </c>
      <c r="F17" s="1361" t="s">
        <v>2079</v>
      </c>
      <c r="G17" s="1384">
        <f>+'PLAN DE DESARROLLO 2024 - 2027'!K3</f>
        <v>0.31348901775979898</v>
      </c>
      <c r="H17" s="1387" t="s">
        <v>2080</v>
      </c>
      <c r="J17" s="1357"/>
      <c r="K17" s="1358"/>
    </row>
    <row r="18" spans="3:14" ht="15" customHeight="1" thickBot="1" x14ac:dyDescent="0.3">
      <c r="C18" s="1391"/>
      <c r="D18" s="1407"/>
      <c r="E18" s="1399"/>
      <c r="F18" s="1362"/>
      <c r="G18" s="1385"/>
      <c r="H18" s="1388"/>
      <c r="J18" s="1357"/>
      <c r="K18" s="1358"/>
    </row>
    <row r="19" spans="3:14" ht="24.6" customHeight="1" x14ac:dyDescent="0.25">
      <c r="C19" s="1390" t="s">
        <v>2081</v>
      </c>
      <c r="D19" s="1396"/>
      <c r="E19" s="1398" t="s">
        <v>2082</v>
      </c>
      <c r="F19" s="1363" t="s">
        <v>2083</v>
      </c>
      <c r="G19" s="1385"/>
      <c r="H19" s="1388"/>
      <c r="J19" s="1357"/>
      <c r="K19" s="1358"/>
    </row>
    <row r="20" spans="3:14" ht="15" customHeight="1" thickBot="1" x14ac:dyDescent="0.3">
      <c r="C20" s="1391"/>
      <c r="D20" s="1397"/>
      <c r="E20" s="1399"/>
      <c r="F20" s="1364"/>
      <c r="G20" s="1385"/>
      <c r="H20" s="1388"/>
      <c r="J20" s="1357"/>
      <c r="K20" s="1358"/>
    </row>
    <row r="21" spans="3:14" ht="26.25" thickBot="1" x14ac:dyDescent="0.3">
      <c r="C21" s="1253" t="s">
        <v>2051</v>
      </c>
      <c r="D21" s="26"/>
      <c r="E21" s="30" t="s">
        <v>2084</v>
      </c>
      <c r="F21" s="184" t="s">
        <v>2085</v>
      </c>
      <c r="G21" s="1385"/>
      <c r="H21" s="1388"/>
      <c r="J21" s="1357"/>
      <c r="K21" s="1358"/>
    </row>
    <row r="22" spans="3:14" ht="26.25" thickBot="1" x14ac:dyDescent="0.3">
      <c r="C22" s="1253" t="s">
        <v>2086</v>
      </c>
      <c r="D22" s="28"/>
      <c r="E22" s="27" t="s">
        <v>2087</v>
      </c>
      <c r="F22" s="914" t="s">
        <v>2088</v>
      </c>
      <c r="G22" s="1385"/>
      <c r="H22" s="1388"/>
      <c r="J22" s="1357"/>
      <c r="K22" s="1358"/>
    </row>
    <row r="23" spans="3:14" ht="37.15" customHeight="1" thickBot="1" x14ac:dyDescent="0.3">
      <c r="C23" s="1253" t="s">
        <v>2089</v>
      </c>
      <c r="D23" s="29"/>
      <c r="E23" s="27" t="s">
        <v>2090</v>
      </c>
      <c r="F23" s="185">
        <f>+I29*0.299</f>
        <v>0.1498296250439401</v>
      </c>
      <c r="G23" s="1386"/>
      <c r="H23" s="1389"/>
      <c r="J23" s="1359"/>
      <c r="K23" s="1360"/>
    </row>
    <row r="24" spans="3:14" x14ac:dyDescent="0.25">
      <c r="F24" s="105"/>
    </row>
    <row r="25" spans="3:14" ht="15.75" thickBot="1" x14ac:dyDescent="0.3">
      <c r="G25" s="130"/>
      <c r="H25" s="980"/>
    </row>
    <row r="26" spans="3:14" ht="49.9" customHeight="1" thickBot="1" x14ac:dyDescent="0.3">
      <c r="C26" s="64" t="s">
        <v>2071</v>
      </c>
      <c r="D26" s="65" t="s">
        <v>2072</v>
      </c>
      <c r="E26" s="66" t="s">
        <v>2073</v>
      </c>
      <c r="H26" s="106"/>
      <c r="M26" s="13"/>
    </row>
    <row r="27" spans="3:14" ht="20.45" customHeight="1" x14ac:dyDescent="0.25">
      <c r="C27" s="1394" t="s">
        <v>2077</v>
      </c>
      <c r="D27" s="1406"/>
      <c r="E27" s="1398" t="s">
        <v>2078</v>
      </c>
      <c r="G27" s="1365" t="s">
        <v>2091</v>
      </c>
      <c r="H27" s="1365" t="s">
        <v>2092</v>
      </c>
      <c r="I27" s="1365" t="s">
        <v>2093</v>
      </c>
    </row>
    <row r="28" spans="3:14" ht="28.15" customHeight="1" thickBot="1" x14ac:dyDescent="0.3">
      <c r="C28" s="1395"/>
      <c r="D28" s="1407"/>
      <c r="E28" s="1399"/>
      <c r="G28" s="1366"/>
      <c r="H28" s="1366"/>
      <c r="I28" s="1366"/>
    </row>
    <row r="29" spans="3:14" ht="26.45" customHeight="1" x14ac:dyDescent="0.25">
      <c r="C29" s="1394" t="s">
        <v>2081</v>
      </c>
      <c r="D29" s="1396"/>
      <c r="E29" s="1398" t="s">
        <v>2082</v>
      </c>
      <c r="G29" s="1392">
        <f>+'PLAN DE DESARROLLO 2024 - 2027'!J3</f>
        <v>0.20052216991163929</v>
      </c>
      <c r="H29" s="1392">
        <f>+'SEGUIMIENTO DEL PLAN DE DESARRO'!E3</f>
        <v>0.30058025498448149</v>
      </c>
      <c r="I29" s="1375">
        <f>+G29+H29</f>
        <v>0.50110242489612078</v>
      </c>
    </row>
    <row r="30" spans="3:14" ht="25.9" customHeight="1" thickBot="1" x14ac:dyDescent="0.3">
      <c r="C30" s="1395"/>
      <c r="D30" s="1397"/>
      <c r="E30" s="1399"/>
      <c r="G30" s="1393"/>
      <c r="H30" s="1393"/>
      <c r="I30" s="1376"/>
    </row>
    <row r="31" spans="3:14" ht="26.25" thickBot="1" x14ac:dyDescent="0.3">
      <c r="C31" s="67" t="s">
        <v>2051</v>
      </c>
      <c r="D31" s="26"/>
      <c r="E31" s="68" t="s">
        <v>2084</v>
      </c>
      <c r="L31" s="924"/>
    </row>
    <row r="32" spans="3:14" ht="27" customHeight="1" thickBot="1" x14ac:dyDescent="0.3">
      <c r="C32" s="67" t="s">
        <v>2086</v>
      </c>
      <c r="D32" s="28"/>
      <c r="E32" s="68" t="s">
        <v>2087</v>
      </c>
      <c r="G32" s="1365" t="s">
        <v>2094</v>
      </c>
      <c r="H32" s="1375">
        <f>+H29/4</f>
        <v>7.5145063746120372E-2</v>
      </c>
      <c r="J32" s="1367" t="s">
        <v>2095</v>
      </c>
      <c r="K32" s="1368"/>
      <c r="L32" s="1369"/>
      <c r="M32" s="1400">
        <v>0.23949999999999999</v>
      </c>
      <c r="N32" s="1401"/>
    </row>
    <row r="33" spans="3:20" ht="15" customHeight="1" thickBot="1" x14ac:dyDescent="0.3">
      <c r="C33" s="69" t="s">
        <v>2089</v>
      </c>
      <c r="D33" s="70"/>
      <c r="E33" s="71" t="s">
        <v>2090</v>
      </c>
      <c r="G33" s="1366"/>
      <c r="H33" s="1376"/>
      <c r="J33" s="1370"/>
      <c r="K33" s="1371"/>
      <c r="L33" s="1372"/>
      <c r="M33" s="1402"/>
      <c r="N33" s="1403"/>
      <c r="P33" s="13"/>
      <c r="T33" s="924"/>
    </row>
    <row r="34" spans="3:20" ht="14.45" customHeight="1" x14ac:dyDescent="0.25">
      <c r="G34" s="1365" t="s">
        <v>2096</v>
      </c>
      <c r="H34" s="1378">
        <f>+M32-G29</f>
        <v>3.8977830088360699E-2</v>
      </c>
      <c r="J34" s="1367" t="s">
        <v>2097</v>
      </c>
      <c r="K34" s="1368"/>
      <c r="L34" s="1369"/>
      <c r="M34" s="1400">
        <f>+G17</f>
        <v>0.31348901775979898</v>
      </c>
      <c r="N34" s="1401"/>
    </row>
    <row r="35" spans="3:20" ht="15.75" thickBot="1" x14ac:dyDescent="0.3">
      <c r="G35" s="1377"/>
      <c r="H35" s="1379"/>
      <c r="J35" s="1370"/>
      <c r="K35" s="1371"/>
      <c r="L35" s="1372"/>
      <c r="M35" s="1402"/>
      <c r="N35" s="1403"/>
    </row>
    <row r="36" spans="3:20" ht="15" customHeight="1" thickBot="1" x14ac:dyDescent="0.3">
      <c r="G36" s="1366"/>
      <c r="H36" s="1380"/>
    </row>
    <row r="37" spans="3:20" ht="15" customHeight="1" x14ac:dyDescent="0.25">
      <c r="G37" s="1365" t="s">
        <v>2098</v>
      </c>
      <c r="H37" s="1404">
        <f>+G17-M32</f>
        <v>7.3989017759798992E-2</v>
      </c>
    </row>
    <row r="38" spans="3:20" ht="24.6" customHeight="1" thickBot="1" x14ac:dyDescent="0.3">
      <c r="G38" s="1366"/>
      <c r="H38" s="1405"/>
      <c r="I38" s="13"/>
    </row>
    <row r="39" spans="3:20" x14ac:dyDescent="0.25">
      <c r="G39" s="1365" t="s">
        <v>2099</v>
      </c>
      <c r="H39" s="1373">
        <f>+H34-H32</f>
        <v>-3.6167233657759673E-2</v>
      </c>
      <c r="J39" s="13"/>
    </row>
    <row r="40" spans="3:20" ht="36.6" customHeight="1" thickBot="1" x14ac:dyDescent="0.35">
      <c r="G40" s="1366"/>
      <c r="H40" s="1374"/>
      <c r="J40" s="1218"/>
    </row>
    <row r="41" spans="3:20" ht="36" customHeight="1" x14ac:dyDescent="0.25">
      <c r="G41" s="1365" t="s">
        <v>2100</v>
      </c>
      <c r="H41" s="1373">
        <f>H37-H32</f>
        <v>-1.1560459863213801E-3</v>
      </c>
      <c r="K41" s="980"/>
    </row>
    <row r="42" spans="3:20" ht="15.75" thickBot="1" x14ac:dyDescent="0.3">
      <c r="G42" s="1366"/>
      <c r="H42" s="1374"/>
    </row>
    <row r="43" spans="3:20" ht="31.15" customHeight="1" x14ac:dyDescent="0.25"/>
  </sheetData>
  <mergeCells count="43">
    <mergeCell ref="D12:D13"/>
    <mergeCell ref="E12:E13"/>
    <mergeCell ref="F11:G11"/>
    <mergeCell ref="F12:G13"/>
    <mergeCell ref="D17:D18"/>
    <mergeCell ref="E17:E18"/>
    <mergeCell ref="C19:C20"/>
    <mergeCell ref="D19:D20"/>
    <mergeCell ref="E19:E20"/>
    <mergeCell ref="C27:C28"/>
    <mergeCell ref="D27:D28"/>
    <mergeCell ref="E27:E28"/>
    <mergeCell ref="C29:C30"/>
    <mergeCell ref="D29:D30"/>
    <mergeCell ref="E29:E30"/>
    <mergeCell ref="M32:N33"/>
    <mergeCell ref="H39:H40"/>
    <mergeCell ref="G37:G38"/>
    <mergeCell ref="H37:H38"/>
    <mergeCell ref="J34:L35"/>
    <mergeCell ref="M34:N35"/>
    <mergeCell ref="G27:G28"/>
    <mergeCell ref="G29:G30"/>
    <mergeCell ref="H27:H28"/>
    <mergeCell ref="H29:H30"/>
    <mergeCell ref="I27:I28"/>
    <mergeCell ref="I29:I30"/>
    <mergeCell ref="J16:K23"/>
    <mergeCell ref="F17:F18"/>
    <mergeCell ref="F19:F20"/>
    <mergeCell ref="J3:K13"/>
    <mergeCell ref="G41:G42"/>
    <mergeCell ref="J32:L33"/>
    <mergeCell ref="G39:G40"/>
    <mergeCell ref="H41:H42"/>
    <mergeCell ref="G32:G33"/>
    <mergeCell ref="H32:H33"/>
    <mergeCell ref="G34:G36"/>
    <mergeCell ref="H34:H36"/>
    <mergeCell ref="C3:H3"/>
    <mergeCell ref="G17:G23"/>
    <mergeCell ref="H17:H23"/>
    <mergeCell ref="C17:C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Seguridad Humana</vt:lpstr>
      <vt:lpstr>Vida Digna</vt:lpstr>
      <vt:lpstr>Desarrollo Economico</vt:lpstr>
      <vt:lpstr>Ciudad Conectada</vt:lpstr>
      <vt:lpstr>Innovación Pública</vt:lpstr>
      <vt:lpstr>Capitulo Etnico</vt:lpstr>
      <vt:lpstr>PLAN DE DESARROLLO 2024 - 2027</vt:lpstr>
      <vt:lpstr>SEGUIMIENTO DEL PLAN DE DESARRO</vt:lpstr>
      <vt:lpstr>CRITERIOS DE EVALUACIÓN</vt:lpstr>
      <vt:lpstr>GRAFICAS SEGURIDAD HUMANA</vt:lpstr>
      <vt:lpstr>GRAFICAS VIDA DIGNA </vt:lpstr>
      <vt:lpstr>GRAFICAS DESARROLLO ECONOMICO</vt:lpstr>
      <vt:lpstr>GRAFICAS CIUDAD CONECTADA</vt:lpstr>
      <vt:lpstr>GRAFICAS INNOVACIÓN Y PARTICIPA</vt:lpstr>
      <vt:lpstr>GRAFICAS CAPITULO ETNICO</vt:lpstr>
      <vt:lpstr>Matriz de Visor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Yamil Gomez Rocha</dc:creator>
  <cp:keywords/>
  <dc:description/>
  <cp:lastModifiedBy>Alexander Parga</cp:lastModifiedBy>
  <cp:revision/>
  <dcterms:created xsi:type="dcterms:W3CDTF">2024-09-07T07:59:19Z</dcterms:created>
  <dcterms:modified xsi:type="dcterms:W3CDTF">2025-08-19T15:26:52Z</dcterms:modified>
  <cp:category/>
  <cp:contentStatus/>
</cp:coreProperties>
</file>