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Luz Marlene\OneDrive\EDUCACIÓN\PLAN DE ACCION INSTITUCIONAL 2025\1. PLANES DE ACCION DEPENDENCIAS\PES-PR\MARZO 2025\"/>
    </mc:Choice>
  </mc:AlternateContent>
  <xr:revisionPtr revIDLastSave="0" documentId="13_ncr:1_{982599F1-B1B5-48CC-852D-CC35420D7236}" xr6:coauthVersionLast="47" xr6:coauthVersionMax="47" xr10:uidLastSave="{00000000-0000-0000-0000-000000000000}"/>
  <bookViews>
    <workbookView xWindow="-120" yWindow="-120" windowWidth="20730" windowHeight="11160" firstSheet="2" activeTab="6"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 name="RESUMEN" sheetId="7" r:id="rId7"/>
  </sheets>
  <externalReferences>
    <externalReference r:id="rId8"/>
  </externalReferences>
  <definedNames>
    <definedName name="_xlnm._FilterDatabase" localSheetId="1" hidden="1">'1. ESTRATÉGICO'!$A$1:$Y$46</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16" i="7" l="1"/>
  <c r="C16" i="7"/>
  <c r="G16" i="7"/>
  <c r="N16" i="7"/>
  <c r="M16" i="7"/>
  <c r="K16" i="7"/>
  <c r="L16" i="7"/>
  <c r="J16" i="7"/>
  <c r="K12" i="7"/>
  <c r="L12" i="7"/>
  <c r="M12" i="7"/>
  <c r="N12" i="7"/>
  <c r="J12" i="7"/>
  <c r="K11" i="7"/>
  <c r="L11" i="7"/>
  <c r="M11" i="7"/>
  <c r="N11" i="7"/>
  <c r="J11" i="7"/>
  <c r="K10" i="7"/>
  <c r="L10" i="7"/>
  <c r="M10" i="7"/>
  <c r="N10" i="7"/>
  <c r="J10" i="7"/>
  <c r="K9" i="7"/>
  <c r="L9" i="7"/>
  <c r="M9" i="7"/>
  <c r="N9" i="7"/>
  <c r="J9" i="7"/>
  <c r="K8" i="7"/>
  <c r="L8" i="7"/>
  <c r="M8" i="7"/>
  <c r="N8" i="7"/>
  <c r="J8" i="7"/>
  <c r="K7" i="7"/>
  <c r="L7" i="7"/>
  <c r="M7" i="7"/>
  <c r="N7" i="7"/>
  <c r="J7" i="7"/>
  <c r="K6" i="7"/>
  <c r="L6" i="7"/>
  <c r="M6" i="7"/>
  <c r="N6" i="7"/>
  <c r="J6" i="7"/>
  <c r="K5" i="7"/>
  <c r="L5" i="7"/>
  <c r="M5" i="7"/>
  <c r="N5" i="7"/>
  <c r="J5" i="7"/>
  <c r="K4" i="7"/>
  <c r="L4" i="7"/>
  <c r="M4" i="7"/>
  <c r="N4" i="7"/>
  <c r="J4" i="7"/>
  <c r="K3" i="7"/>
  <c r="L3" i="7"/>
  <c r="M3" i="7"/>
  <c r="N3" i="7"/>
  <c r="J3" i="7"/>
  <c r="K2" i="7"/>
  <c r="L2" i="7"/>
  <c r="M2" i="7"/>
  <c r="N2" i="7"/>
  <c r="J2" i="7"/>
  <c r="AM71" i="6"/>
  <c r="AL71" i="6"/>
  <c r="AJ71" i="6"/>
  <c r="AK71" i="6"/>
  <c r="AI71" i="6"/>
  <c r="P71" i="6"/>
  <c r="AJ66" i="6" l="1"/>
  <c r="AK66" i="6"/>
  <c r="AL66" i="6"/>
  <c r="AM66" i="6"/>
  <c r="AI66" i="6"/>
  <c r="AM60" i="6"/>
  <c r="AL60" i="6"/>
  <c r="AJ59" i="6"/>
  <c r="AK59" i="6"/>
  <c r="AL59" i="6"/>
  <c r="AM59" i="6"/>
  <c r="AI59" i="6"/>
  <c r="AM57" i="6"/>
  <c r="AL57" i="6"/>
  <c r="AJ56" i="6"/>
  <c r="AK56" i="6"/>
  <c r="AL56" i="6"/>
  <c r="AM56" i="6"/>
  <c r="AI56" i="6"/>
  <c r="AJ55" i="6"/>
  <c r="AK55" i="6"/>
  <c r="AL55" i="6"/>
  <c r="AM55" i="6"/>
  <c r="AI55" i="6"/>
  <c r="AJ48" i="6"/>
  <c r="AK48" i="6"/>
  <c r="AL48" i="6"/>
  <c r="AM48" i="6"/>
  <c r="AI48" i="6"/>
  <c r="AM43" i="6"/>
  <c r="AL43" i="6"/>
  <c r="AJ42" i="6"/>
  <c r="AK42" i="6"/>
  <c r="AL42" i="6"/>
  <c r="AM42" i="6"/>
  <c r="AI42" i="6"/>
  <c r="AM38" i="6"/>
  <c r="AL38" i="6"/>
  <c r="AJ37" i="6"/>
  <c r="AK37" i="6"/>
  <c r="AL37" i="6"/>
  <c r="AM37" i="6"/>
  <c r="AI37" i="6"/>
  <c r="AM35" i="6"/>
  <c r="AL35" i="6"/>
  <c r="AJ34" i="6"/>
  <c r="AK34" i="6"/>
  <c r="AL34" i="6"/>
  <c r="AM34" i="6"/>
  <c r="AI34" i="6"/>
  <c r="AM26" i="6"/>
  <c r="AL26" i="6"/>
  <c r="AJ25" i="6"/>
  <c r="AK25" i="6"/>
  <c r="AL25" i="6"/>
  <c r="AM25" i="6"/>
  <c r="AI25" i="6"/>
  <c r="AM22" i="6"/>
  <c r="AL22" i="6"/>
  <c r="AJ21" i="6"/>
  <c r="AK21" i="6"/>
  <c r="AL21" i="6"/>
  <c r="AM21" i="6"/>
  <c r="AI21" i="6"/>
  <c r="AM17" i="6"/>
  <c r="AL17" i="6"/>
  <c r="AJ16" i="6"/>
  <c r="AK16" i="6"/>
  <c r="AL16" i="6"/>
  <c r="AM16" i="6"/>
  <c r="AI16" i="6"/>
  <c r="AM13" i="6"/>
  <c r="AL13" i="6"/>
  <c r="AJ12" i="6"/>
  <c r="AK12" i="6"/>
  <c r="AL12" i="6"/>
  <c r="AM12" i="6"/>
  <c r="AI12" i="6"/>
  <c r="AM9" i="6"/>
  <c r="AL9" i="6"/>
  <c r="Y42" i="1" l="1"/>
  <c r="R43" i="1"/>
  <c r="AA43" i="1" s="1"/>
  <c r="Y43" i="1"/>
  <c r="X43" i="1"/>
  <c r="P10" i="6" l="1"/>
  <c r="P11" i="6"/>
  <c r="P13" i="6"/>
  <c r="P14" i="6"/>
  <c r="P15" i="6"/>
  <c r="P17" i="6"/>
  <c r="P18" i="6"/>
  <c r="P19" i="6"/>
  <c r="P20" i="6"/>
  <c r="P22" i="6"/>
  <c r="P23" i="6"/>
  <c r="P26" i="6"/>
  <c r="P27" i="6"/>
  <c r="P32" i="6"/>
  <c r="P35" i="6"/>
  <c r="P36" i="6"/>
  <c r="P38" i="6"/>
  <c r="P39" i="6"/>
  <c r="P40" i="6"/>
  <c r="P41" i="6"/>
  <c r="P43" i="6"/>
  <c r="P44" i="6"/>
  <c r="P46" i="6"/>
  <c r="P49" i="6"/>
  <c r="P50" i="6"/>
  <c r="P51" i="6"/>
  <c r="P57" i="6"/>
  <c r="P58" i="6"/>
  <c r="P60" i="6"/>
  <c r="P61" i="6"/>
  <c r="P63" i="6"/>
  <c r="P65" i="6"/>
  <c r="P67" i="6"/>
  <c r="P9" i="6"/>
  <c r="P59" i="6" l="1"/>
  <c r="P66" i="6"/>
  <c r="P37" i="6"/>
  <c r="P42" i="6"/>
  <c r="P25" i="6"/>
  <c r="P34" i="6"/>
  <c r="P21" i="6"/>
  <c r="P16" i="6"/>
  <c r="P12" i="6"/>
  <c r="U46" i="1" l="1"/>
  <c r="V46" i="1"/>
  <c r="W46" i="1"/>
  <c r="T46" i="1"/>
  <c r="W36" i="1"/>
  <c r="U36" i="1"/>
  <c r="W29" i="1"/>
  <c r="U29" i="1"/>
  <c r="W25" i="1"/>
  <c r="U25" i="1"/>
  <c r="W13" i="1"/>
  <c r="U13" i="1"/>
  <c r="W9" i="1"/>
  <c r="U9" i="1"/>
  <c r="W11" i="1"/>
  <c r="W12" i="1"/>
  <c r="W15" i="1"/>
  <c r="W16" i="1"/>
  <c r="W17" i="1"/>
  <c r="W18" i="1"/>
  <c r="W20" i="1"/>
  <c r="W21" i="1" s="1"/>
  <c r="W22" i="1"/>
  <c r="W23" i="1"/>
  <c r="W24" i="1"/>
  <c r="W26" i="1"/>
  <c r="W28" i="1"/>
  <c r="W31" i="1"/>
  <c r="W32" i="1"/>
  <c r="W33" i="1"/>
  <c r="W35" i="1"/>
  <c r="W37" i="1"/>
  <c r="W39" i="1"/>
  <c r="W41" i="1" s="1"/>
  <c r="W40" i="1"/>
  <c r="W42" i="1"/>
  <c r="W43" i="1"/>
  <c r="W45" i="1"/>
  <c r="W8" i="1"/>
  <c r="V9" i="1"/>
  <c r="V11" i="1"/>
  <c r="V12" i="1"/>
  <c r="V13" i="1"/>
  <c r="V15" i="1"/>
  <c r="V16" i="1"/>
  <c r="V17" i="1"/>
  <c r="V18" i="1"/>
  <c r="V20" i="1"/>
  <c r="V21" i="1" s="1"/>
  <c r="V22" i="1"/>
  <c r="V23" i="1"/>
  <c r="V24" i="1"/>
  <c r="V25" i="1"/>
  <c r="V26" i="1"/>
  <c r="V28" i="1"/>
  <c r="V29" i="1"/>
  <c r="V31" i="1"/>
  <c r="V32" i="1"/>
  <c r="V33" i="1"/>
  <c r="V36" i="1"/>
  <c r="V39" i="1"/>
  <c r="V40" i="1"/>
  <c r="V42" i="1"/>
  <c r="V45" i="1"/>
  <c r="V8" i="1"/>
  <c r="V10" i="1" s="1"/>
  <c r="U11" i="1"/>
  <c r="U12" i="1"/>
  <c r="U15" i="1"/>
  <c r="U16" i="1"/>
  <c r="U17" i="1"/>
  <c r="U18" i="1"/>
  <c r="U20" i="1"/>
  <c r="U21" i="1" s="1"/>
  <c r="U22" i="1"/>
  <c r="U23" i="1"/>
  <c r="U24" i="1"/>
  <c r="U26" i="1"/>
  <c r="U28" i="1"/>
  <c r="U31" i="1"/>
  <c r="U32" i="1"/>
  <c r="U33" i="1"/>
  <c r="U35" i="1"/>
  <c r="U37" i="1"/>
  <c r="U39" i="1"/>
  <c r="U41" i="1" s="1"/>
  <c r="U40" i="1"/>
  <c r="U42" i="1"/>
  <c r="U43" i="1"/>
  <c r="U44" i="1" s="1"/>
  <c r="U51" i="1" s="1"/>
  <c r="U45" i="1"/>
  <c r="U8" i="1"/>
  <c r="T9" i="1"/>
  <c r="T11" i="1"/>
  <c r="T12" i="1"/>
  <c r="T13" i="1"/>
  <c r="T15" i="1"/>
  <c r="T16" i="1"/>
  <c r="T17" i="1"/>
  <c r="T18" i="1"/>
  <c r="T20" i="1"/>
  <c r="T21" i="1" s="1"/>
  <c r="T22" i="1"/>
  <c r="T23" i="1"/>
  <c r="T24" i="1"/>
  <c r="T25" i="1"/>
  <c r="T26" i="1"/>
  <c r="T28" i="1"/>
  <c r="T30" i="1" s="1"/>
  <c r="T29" i="1"/>
  <c r="T31" i="1"/>
  <c r="T32" i="1"/>
  <c r="T33" i="1"/>
  <c r="T36" i="1"/>
  <c r="T39" i="1"/>
  <c r="T40" i="1"/>
  <c r="T42" i="1"/>
  <c r="T45" i="1"/>
  <c r="T8" i="1"/>
  <c r="T10" i="1" s="1"/>
  <c r="AA25" i="1"/>
  <c r="AB25" i="1" s="1"/>
  <c r="AA36" i="1"/>
  <c r="AB36" i="1" s="1"/>
  <c r="AA29" i="1"/>
  <c r="AB29" i="1" s="1"/>
  <c r="AA13" i="1"/>
  <c r="AB13" i="1" s="1"/>
  <c r="AA9" i="1"/>
  <c r="AB9" i="1" s="1"/>
  <c r="AA18" i="1"/>
  <c r="AB18" i="1" s="1"/>
  <c r="AA28" i="1"/>
  <c r="AB28" i="1" s="1"/>
  <c r="AA32" i="1"/>
  <c r="AB32" i="1" s="1"/>
  <c r="AA39" i="1"/>
  <c r="AB39" i="1" s="1"/>
  <c r="AA40" i="1"/>
  <c r="AB40" i="1" s="1"/>
  <c r="W44" i="1" l="1"/>
  <c r="W51" i="1" s="1"/>
  <c r="T41" i="1"/>
  <c r="V41" i="1"/>
  <c r="T34" i="1"/>
  <c r="U34" i="1"/>
  <c r="U38" i="1"/>
  <c r="W38" i="1"/>
  <c r="W34" i="1"/>
  <c r="U30" i="1"/>
  <c r="V34" i="1"/>
  <c r="V30" i="1"/>
  <c r="U27" i="1"/>
  <c r="W27" i="1"/>
  <c r="T27" i="1"/>
  <c r="V27" i="1"/>
  <c r="W30" i="1"/>
  <c r="T19" i="1"/>
  <c r="T14" i="1"/>
  <c r="V19" i="1"/>
  <c r="W19" i="1"/>
  <c r="U19" i="1"/>
  <c r="W10" i="1"/>
  <c r="U10" i="1"/>
  <c r="V14" i="1"/>
  <c r="W14" i="1"/>
  <c r="U14" i="1"/>
  <c r="R37" i="1"/>
  <c r="Y45" i="1"/>
  <c r="AA45" i="1" s="1"/>
  <c r="AB45" i="1" s="1"/>
  <c r="AA37" i="1" l="1"/>
  <c r="AB37" i="1" s="1"/>
  <c r="V37" i="1"/>
  <c r="T37" i="1"/>
  <c r="AA42" i="1"/>
  <c r="AB42" i="1" s="1"/>
  <c r="R35" i="1"/>
  <c r="X35" i="1"/>
  <c r="Y35" i="1"/>
  <c r="Y33" i="1"/>
  <c r="AA33" i="1" s="1"/>
  <c r="AB33" i="1" s="1"/>
  <c r="Y31" i="1"/>
  <c r="AA31" i="1" s="1"/>
  <c r="AB31" i="1" s="1"/>
  <c r="Y26" i="1"/>
  <c r="AA26" i="1" s="1"/>
  <c r="AB26" i="1" s="1"/>
  <c r="Y24" i="1"/>
  <c r="AA24" i="1" s="1"/>
  <c r="AB24" i="1" s="1"/>
  <c r="Y23" i="1"/>
  <c r="AA23" i="1" s="1"/>
  <c r="AB23" i="1" s="1"/>
  <c r="Y22" i="1"/>
  <c r="AA22" i="1" s="1"/>
  <c r="AB22" i="1" s="1"/>
  <c r="Y20" i="1"/>
  <c r="AA20" i="1" s="1"/>
  <c r="AB20" i="1" s="1"/>
  <c r="Y17" i="1"/>
  <c r="AA17" i="1" s="1"/>
  <c r="AB17" i="1" s="1"/>
  <c r="Y16" i="1"/>
  <c r="AA16" i="1" s="1"/>
  <c r="AB16" i="1" s="1"/>
  <c r="Y15" i="1"/>
  <c r="AA15" i="1" s="1"/>
  <c r="AB15" i="1" s="1"/>
  <c r="Y12" i="1"/>
  <c r="AA12" i="1" s="1"/>
  <c r="AB12" i="1" s="1"/>
  <c r="Y11" i="1"/>
  <c r="AA11" i="1" s="1"/>
  <c r="AB11" i="1" s="1"/>
  <c r="Y8" i="1"/>
  <c r="AA8" i="1" s="1"/>
  <c r="AB8" i="1" s="1"/>
  <c r="V35" i="1" l="1"/>
  <c r="V38" i="1" s="1"/>
  <c r="T35" i="1"/>
  <c r="T38" i="1" s="1"/>
  <c r="V43" i="1"/>
  <c r="V44" i="1" s="1"/>
  <c r="V51" i="1" s="1"/>
  <c r="T43" i="1"/>
  <c r="T44" i="1" s="1"/>
  <c r="T51" i="1" s="1"/>
  <c r="AA35" i="1"/>
  <c r="AB3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7"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00000000-0006-0000-03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B8" authorId="1" shapeId="0" xr:uid="{00000000-0006-0000-0300-000002000000}">
      <text>
        <r>
          <rPr>
            <sz val="9"/>
            <color indexed="81"/>
            <rFont val="Tahoma"/>
            <family val="2"/>
          </rPr>
          <t xml:space="preserve">VER ANEXO 1
</t>
        </r>
      </text>
    </comment>
    <comment ref="AC8" authorId="1" shapeId="0" xr:uid="{00000000-0006-0000-03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<sst xmlns="http://schemas.openxmlformats.org/spreadsheetml/2006/main" count="1211" uniqueCount="649">
  <si>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</si>
  <si>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</si>
  <si>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</si>
  <si>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</si>
  <si>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</si>
  <si>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</si>
  <si>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</si>
  <si>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</si>
  <si>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</si>
  <si>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</si>
  <si>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</si>
  <si>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</si>
  <si>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</si>
  <si>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</si>
  <si>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</si>
  <si>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</si>
  <si>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</si>
  <si>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</si>
  <si>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</si>
  <si>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</si>
  <si>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</si>
  <si>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</si>
  <si>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</si>
  <si>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</si>
  <si>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</si>
  <si>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</si>
  <si>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</si>
  <si>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</si>
  <si>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</si>
  <si>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</si>
  <si>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</si>
  <si>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</si>
  <si>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</si>
  <si>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</si>
  <si>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</si>
  <si>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</si>
  <si>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</si>
  <si>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</si>
  <si>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</si>
  <si>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</si>
  <si>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</si>
  <si>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</si>
  <si>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</si>
  <si>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</si>
  <si>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</si>
  <si>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</si>
  <si>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</si>
  <si>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</si>
  <si>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</si>
  <si>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</si>
  <si>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</si>
  <si>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</si>
  <si>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</si>
  <si>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</si>
  <si>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</si>
  <si>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</si>
  <si>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</si>
  <si>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</si>
  <si>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</si>
  <si>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</si>
  <si>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</si>
  <si>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</si>
  <si>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</si>
  <si>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</si>
  <si>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</si>
  <si>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</si>
  <si>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</si>
  <si>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</si>
  <si>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</si>
  <si>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</si>
  <si>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</si>
  <si>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</si>
  <si>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</si>
  <si>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</si>
  <si>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</si>
  <si>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</si>
  <si>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</si>
  <si>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</si>
  <si>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</si>
  <si>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</si>
  <si>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</si>
  <si>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</si>
  <si>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</si>
  <si>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</si>
  <si>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</si>
  <si>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</si>
  <si>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</si>
  <si>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</si>
  <si>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</si>
  <si>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</si>
  <si>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</si>
  <si>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</si>
  <si>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</si>
  <si>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</si>
  <si>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</si>
  <si>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</si>
  <si>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</si>
  <si>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</si>
  <si>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</si>
  <si>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</si>
  <si>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</si>
  <si>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</si>
  <si>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</si>
  <si>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</si>
  <si>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</si>
  <si>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</si>
  <si>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</si>
  <si>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</si>
  <si>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</si>
  <si>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</si>
  <si>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</si>
  <si>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</si>
  <si>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</si>
  <si>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</si>
  <si>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</si>
  <si>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</si>
  <si>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</si>
  <si>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</si>
  <si>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</si>
  <si>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</si>
  <si>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</si>
  <si>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</si>
  <si>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</si>
  <si>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</si>
  <si>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</si>
  <si>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</si>
  <si>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</si>
  <si>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</si>
  <si>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</si>
  <si>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</si>
  <si>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</si>
  <si>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</si>
  <si>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</si>
  <si>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</si>
  <si>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</si>
  <si>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</si>
  <si>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</si>
  <si>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</si>
  <si>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</si>
  <si>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</si>
  <si>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</si>
  <si>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</si>
  <si>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</si>
  <si>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</si>
  <si>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</si>
  <si>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</si>
  <si>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</si>
  <si>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</si>
  <si>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</si>
  <si>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</si>
  <si>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</si>
  <si>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APROPACIÓN DEFINITIVA POR PROYECTO</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</si>
  <si>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</si>
  <si>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</si>
  <si>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</si>
  <si>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</si>
  <si>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</si>
  <si>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</si>
  <si>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</si>
  <si>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</si>
  <si>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</si>
  <si>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</si>
  <si>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</si>
  <si>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</si>
  <si>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</si>
  <si>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</si>
  <si>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</si>
  <si>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</si>
  <si>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</si>
  <si>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</si>
  <si>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</si>
  <si>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</si>
  <si>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</si>
  <si>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</si>
  <si>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</si>
  <si>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</si>
  <si>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</si>
  <si>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</si>
  <si>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</si>
  <si>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</si>
  <si>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</si>
  <si>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</si>
  <si>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</si>
  <si>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</si>
  <si>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</si>
  <si>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</si>
  <si>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</si>
  <si>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</si>
  <si>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</si>
  <si>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</si>
  <si>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</si>
  <si>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</si>
  <si>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</si>
  <si>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</si>
  <si>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</si>
  <si>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</si>
  <si>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</si>
  <si>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</si>
  <si>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</si>
  <si>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</si>
  <si>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</si>
  <si>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</si>
  <si>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</si>
  <si>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</si>
  <si>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</si>
  <si>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</si>
  <si>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</si>
  <si>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</si>
  <si>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PRIMERA INFANCIA, INFANCIA Y ADOLESCENCIA</t>
  </si>
  <si>
    <t>CAMBIO CLIMÁTICO</t>
  </si>
  <si>
    <t>GESTIÓN DEL RIESGO DE DESASTRES</t>
  </si>
  <si>
    <t>TRAZADOR PRESUPUESTAL</t>
  </si>
  <si>
    <t>EQUIDAD DE LA MUJER</t>
  </si>
  <si>
    <t>CONSTRUCCIÓN DE PAZ</t>
  </si>
  <si>
    <t>DESPLAZADOS</t>
  </si>
  <si>
    <t>VÍCTIMAS</t>
  </si>
  <si>
    <t>GRUPOS ÉTNICOS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</si>
  <si>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</si>
  <si>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</si>
  <si>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</si>
  <si>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</si>
  <si>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</si>
  <si>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</si>
  <si>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</si>
  <si>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</si>
  <si>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</si>
  <si>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</si>
  <si>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</si>
  <si>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Identificación para la superación de la pobreza extrema</t>
  </si>
  <si>
    <t>Salud para la superación de la pobreza extrema</t>
  </si>
  <si>
    <t>Educación para la superación de la pobreza extrema</t>
  </si>
  <si>
    <t>Habitabilidad para la superación de la pobreza extrema</t>
  </si>
  <si>
    <t xml:space="preserve">Ingreso y Trabajo para la Superación de la Pobreza Extrema </t>
  </si>
  <si>
    <t>Bancarización para la superación de la pobreza extrema</t>
  </si>
  <si>
    <t>Dinámica familiar para la superación de la pobreza extrema</t>
  </si>
  <si>
    <t>Seguridad alimentaria y nutrición para la superación de la pobreza extrema</t>
  </si>
  <si>
    <t>Acceso a la justicia para la superación de la pobreza extrema</t>
  </si>
  <si>
    <t>Fortalecimiento institucional para la superación de la pobreza extrema</t>
  </si>
  <si>
    <t>Mujer Indigena, Familia y Generación de Ingresos</t>
  </si>
  <si>
    <t>Reducir  la
pobreza monetaria
extrema al 8%</t>
  </si>
  <si>
    <t>Reducir el
desempleo en
Cartagena al 9.3%</t>
  </si>
  <si>
    <t>Reducir el
porcentaje de
inseguridad
alimentaria al 18%</t>
  </si>
  <si>
    <t>Incrementar  el
porcentaje de población
indígena que habita el
Distrito de Cartagena
vinculada a procesos
fortalecimiento y
reconocimiento de sus
derechos, diversidad étnica
y cultural como un
principio fundamental al 50%</t>
  </si>
  <si>
    <t>Fortalecer el acceso a los servicios de documentación a población en pobreza extrema y en situación de desplazamiento</t>
  </si>
  <si>
    <t>Aumentar el acceso de la oferta en salud en la población en pobreza extrema de Cartagena de Indias.</t>
  </si>
  <si>
    <t>Aumentar la cobertura de afiliación en el sistema general de salud.</t>
  </si>
  <si>
    <t>Fortalecer el conocimiento y sensibilización en salud integral comunitaria.</t>
  </si>
  <si>
    <t>Aumentar información en la población de la medicina ancestral.</t>
  </si>
  <si>
    <t>Asegurar el acceso de la población en pobreza extrema a documentos de identificación</t>
  </si>
  <si>
    <t>Gestión en la regularización de la situación militar de la población en pobreza extrema en articulación con el Distrito Militar 14</t>
  </si>
  <si>
    <t>Desarrollar acciones para acompañar a las familias en pobreza extrema, víctimas del conflicto armado, migrantes y retornados en el
proceso de inserción y retención escolar, de esta forma se pretende crear espacios para fortalecer el valor de la educa</t>
  </si>
  <si>
    <t>Facilitar el acceso e inclusión a niños, niñas y adolescentes enpobreza extrema, al sistema educativo en articulación con la secretaria de Educacion Distrital.</t>
  </si>
  <si>
    <t>Formar familias en el valor a la Educación</t>
  </si>
  <si>
    <t>Fortalecer la implemnetación de programas de retención escolar en Instituciones Educativas Oficiales del Distrito</t>
  </si>
  <si>
    <t>Disminuir el indice de viviendas en condiciones inadecuadas de habitabilidad entre la población de extrema pobreza en el distrito de cartagena.</t>
  </si>
  <si>
    <t>Aumentar el número de viviendas con condiciones adecuadas de habitabilidad.</t>
  </si>
  <si>
    <t>Aumentar los ingresos y el trabajo de familias en pobreza extrema del Distrito de Cartagena de Indias.</t>
  </si>
  <si>
    <t>Implementar un centro oportunidades para el empleo que este enfocado en gestionar la vinculación de empleoformal y desarrollar de
actividades de generación de ingresos a población vulnerable</t>
  </si>
  <si>
    <t>Fortalecer técnica y financieramente a unidades de productivas,organizaciones de economía solidaria y cabildos indígenas de población vulnerable.</t>
  </si>
  <si>
    <t>Aumentar el acceso a servicios financieros en la población en pobreza extrema cartagena de indias</t>
  </si>
  <si>
    <t>Fomentar el acceso del servios financiero con bajos costo.</t>
  </si>
  <si>
    <t>Fomentar el acceso de microcreditos con tramites sencillos.</t>
  </si>
  <si>
    <t>Fortalecer la estructura familiar y comunitaria de población en pobreza extrema en Cartagena.</t>
  </si>
  <si>
    <t>Formar en prevención de consumo de sustancias psicoactivas a familias u hogares en pobreza extrema de Cartagena.</t>
  </si>
  <si>
    <t>Desarrollar Estrategias de prevención de violencia basada en género y violencia intrafamiliar para familias en pobreza extrema</t>
  </si>
  <si>
    <t>Elaborar y coordinar estrategias lúdicas para generar códigos de convivencia ciudadana.</t>
  </si>
  <si>
    <t>Fortalecer el acceso ala justicia en la población en pobreza extrema en cartagena.</t>
  </si>
  <si>
    <t>Fortalecer mecanismos de acceso a al justicia en población de pobreza extrema.</t>
  </si>
  <si>
    <t>Disminuir los niveles de inseguridad alimentaria que afectan a la población en pobreza extrema de Cartagena.</t>
  </si>
  <si>
    <t>Disminuir los Índices de desnutrición de la población en pobreza extrema</t>
  </si>
  <si>
    <t>Implementar estrategias de comunicación que permitan el acceso a la justicia.</t>
  </si>
  <si>
    <t>Fortalecer la participación ciudadana y diálogos con las comunidades en situación de pobreza extrema.</t>
  </si>
  <si>
    <t>Implementar espacios de dialogo y participación ciudadana denominados "Encuentros Barriales"</t>
  </si>
  <si>
    <t>Desarrollar jornadas de intervención con la oferta institucional del Distrito de cartagena</t>
  </si>
  <si>
    <t>Servicio de información para la atención de población vulnerable</t>
  </si>
  <si>
    <t>Servicio de gestión de oferta social para la población vulnerable</t>
  </si>
  <si>
    <t>Realizar jornadas de identificación en la población en pobreza extrema</t>
  </si>
  <si>
    <t>Realizar jornadas de afiliación al SGSS en articulación con el DADIS.</t>
  </si>
  <si>
    <t>Servicio de acompañamiento familiar y comunitario para la
superación de la pobreza</t>
  </si>
  <si>
    <t>Servicio de educación para el trabajo a la población vulnerable</t>
  </si>
  <si>
    <t>Focalización de niños, niñas y adolescentes que se encuentran desescolarizados y remitidos a la secretaria de educación</t>
  </si>
  <si>
    <t>Talleres sobre proyectos de vida o vocacional.</t>
  </si>
  <si>
    <t>Fortalecer actividades de retención escolar para los niños, niñas y adolescentes en pobreza extrema</t>
  </si>
  <si>
    <t>Vivienda de Interés Prioritario mejoradas</t>
  </si>
  <si>
    <t>Caracterización social y seguimiento de viviendas objeto de intervención</t>
  </si>
  <si>
    <t>Mejoramiento de condiciones de habitabilidad de las viviendas focalizadas y caracterizadas</t>
  </si>
  <si>
    <t>Servicio de apoyo a unidades productivas individuales para la
generación de ingresos</t>
  </si>
  <si>
    <t>Realizar formación, asesoría empresarial, entrega de capital semilla y seguimiento</t>
  </si>
  <si>
    <t>Servicio de apoyo para el fortalecimiento de unidades productivas colectivas para la generación de ingresos</t>
  </si>
  <si>
    <t>Articulación de entidades públicas y privadas que ofertan empleo y brindan acceso a la generación de ingresos.</t>
  </si>
  <si>
    <t>Servicio de apoyo financiero para la entrega de transferencias monetarias no condicionadas</t>
  </si>
  <si>
    <t>Focalizar beneficiarios para el acceso a el sector financiero.</t>
  </si>
  <si>
    <t>Establecer convenios con micro-financieras o bancos para brindar créditos blandos a unidades productivas de población en pobreza extrema.</t>
  </si>
  <si>
    <t>Servicio de acompañamiento familiar y comunitario para la superación de la pobreza</t>
  </si>
  <si>
    <t>Caracterización de la población en riesgo de consumo de sustancias psicoactivas</t>
  </si>
  <si>
    <t>Jornadas de capacitación integral para aplicar estrategias de prevención basadas en violencia de genero e intrafamiliar.</t>
  </si>
  <si>
    <t>Realización de talleres interactivos a las organizaciones comunitarias para fortalecer los conocimientos acerca de los códigos de convivencia</t>
  </si>
  <si>
    <t>Servicio de entrega de raciones de alimentos</t>
  </si>
  <si>
    <t>Identificación y selección de los comedores comunitarios</t>
  </si>
  <si>
    <t>Mejora y adecuación de comedores comunitarios</t>
  </si>
  <si>
    <t>Dotación de Equipamiento</t>
  </si>
  <si>
    <t>Implementación de programas de alimentación</t>
  </si>
  <si>
    <t>Servicio de información para orientar al ciudadano en el acceso a la justicia</t>
  </si>
  <si>
    <t>Jornadas jurídicas de formación en los mecanismos alternativos de resolución de conflictos MARC</t>
  </si>
  <si>
    <t>Servicio de promoción del acceso a la justicia</t>
  </si>
  <si>
    <t>Realizar actividades de comunicación en torno a los mecanismos alternativos de resolución de conflictos.</t>
  </si>
  <si>
    <t>Servicio de promoción a la participación ciudadana</t>
  </si>
  <si>
    <t>Jornadas de "Encuentros Barriales"</t>
  </si>
  <si>
    <t>Realizar mesas de trabajo con la población para la población en pobreza extrema.</t>
  </si>
  <si>
    <t>Servicio de integración de la oferta pública</t>
  </si>
  <si>
    <t>Jornadas de "Gobierno a el Barrio"</t>
  </si>
  <si>
    <t>Caracterización de los grupos de valor</t>
  </si>
  <si>
    <t xml:space="preserve">Director Jorge Redondo Suarez - Coordinador </t>
  </si>
  <si>
    <t>UCG  2, 3, 4, 5, 6, 11, 14, 15</t>
  </si>
  <si>
    <t>Director Jorge Redondo Suarez - Coordinador</t>
  </si>
  <si>
    <t>Si</t>
  </si>
  <si>
    <t>Dificultades en el traslado a
tiempo o falta de mantenimiento
de la maquina utilizada en el
proceso de identificación en las
jornadas</t>
  </si>
  <si>
    <t>Realizar a tiempo el traslado especial que requiere la maquina al
lugar de la jornada y además hacerle los respectivos mantenimientos preventivos</t>
  </si>
  <si>
    <t>Dificultades al coordinar las
jornadas con el Distrito militar</t>
  </si>
  <si>
    <t>No disponer de los recursos a
tiempo</t>
  </si>
  <si>
    <t>Gestión oportuna en Contratación</t>
  </si>
  <si>
    <t>Posible descoordinación con
aliados estratégicos</t>
  </si>
  <si>
    <t>Lista de chequeo Oportuna de Aliados, Apoyo para la gestión de Insumos.</t>
  </si>
  <si>
    <t>Poca receptividad de la
comunidad</t>
  </si>
  <si>
    <t>Oportuna información Fortalecimiento de alianzas</t>
  </si>
  <si>
    <t>Identificación y caracterización para el fortalecimiento de las practicas medicinales ancestrales.</t>
  </si>
  <si>
    <t>Procesos de intervencion a docentes, administrativos y padres familia sobre el valor de la educación y prevencion de las causas que insiden en la deserción escolar.</t>
  </si>
  <si>
    <t>"Facilitar la vinculación de jóvenes y adultos a la educación para el trabajo ydesarrollo humano, técnica para la adquisición de competencias que contribuyan a la inserción laboral"</t>
  </si>
  <si>
    <t>Aumento de la deserción escolar
en las Instituciones Públicas de
la Ciudad, teniendo en cuenta la
apatía del niño, niña y
adolescente para asistir a la
institución</t>
  </si>
  <si>
    <t>Trabajar desde el núcleo familiar y educativo los procesos de enseñanzas de los estudiantes</t>
  </si>
  <si>
    <t>Poca asistencia de la comunidad
a las jornadas organizadas por
el programa de educación</t>
  </si>
  <si>
    <t>Realizar jornadas en lo posible en sitios cerrados y seguros</t>
  </si>
  <si>
    <t>Falta de Documentos de
Identificación para el proceso de
vinculación de los estudiantes al
sistema educativo</t>
  </si>
  <si>
    <t>Realizar jornadas del programa de educación en las instituciones educativas con el apoyo del programa de Identificación del Pes para permitir que los niños tengan su documento de identidad.</t>
  </si>
  <si>
    <t>Retraso en la llegada de los
insumos o materiales para la
ejecución de la obra</t>
  </si>
  <si>
    <t>Establecer reunión de comité de obra, para revisión</t>
  </si>
  <si>
    <t>Falta de recursos, para la
ejecución de las intervenciones</t>
  </si>
  <si>
    <t>Gestionar reuniones con entidades que nos permitan obtener más
recursos para la ejecución de las obras</t>
  </si>
  <si>
    <t>Inestabilidad del mercado y alza
en los precios para compra de
activos de capital semilla</t>
  </si>
  <si>
    <t>Establecer acuerdos con compradores directos</t>
  </si>
  <si>
    <t>Posibilidad que las ESAL
incumpla en sus entregables</t>
  </si>
  <si>
    <t>Póliza de cumplimiento y seguimiento continuo en las operaciones</t>
  </si>
  <si>
    <t>Inestabilidad del mercado y alza
en tasas de interés y
devaluación del dinero</t>
  </si>
  <si>
    <t>El ingreso estimado en el horizonte de operación no alcanzaría para el
cumplimiento de metas</t>
  </si>
  <si>
    <t>Posibilidad que las entidades
bancarias o microfinancieras
incumpla en sus entregables</t>
  </si>
  <si>
    <t>Inestabilidad Económica</t>
  </si>
  <si>
    <t>Monitoreo continuo, acuerdos de precios fijos, creación de un fondo
de contingencia</t>
  </si>
  <si>
    <t>Resistencia Comunitaria</t>
  </si>
  <si>
    <t>Campañas de sensibilización, involucrar a líderes comunitarios,
mecanismos de retroalimentación</t>
  </si>
  <si>
    <t>Desafíos Administrativos</t>
  </si>
  <si>
    <t>Fortalecimiento de la capacidad administrativa, canales de
comunicación claros</t>
  </si>
  <si>
    <t>Retrasos en la ejecución de
obras de adecuación</t>
  </si>
  <si>
    <t>Monitoreo continuo y ajustes en el cronograma</t>
  </si>
  <si>
    <t>Falta de recursos para la
adquisición de equipamientos</t>
  </si>
  <si>
    <t>Gestión de fondos adicionales y priorización de adquisiciones</t>
  </si>
  <si>
    <t>Retrasos en la selección y
caracterización de beneficiarios</t>
  </si>
  <si>
    <t>Optimización del proceso de selección y caracterización</t>
  </si>
  <si>
    <t>Accesoria insatisfecha por la
ciudadanía.</t>
  </si>
  <si>
    <t>Seguimiento periodico a los casos presentados a las entidades</t>
  </si>
  <si>
    <t>Poca credibilidad en las
entidades para la resoluciones
los conflictos en las
comunidades.</t>
  </si>
  <si>
    <t>Campañas junto a los aliados que
permiten el efectivo acceso a la
justicia.</t>
  </si>
  <si>
    <t xml:space="preserve">Jornadas Realizadas </t>
  </si>
  <si>
    <t>Desarrollo de capacidades en estrategias de salud sexual, prevención ETS en las instituciones educativas.</t>
  </si>
  <si>
    <t>Caracterizaciones Realizadas</t>
  </si>
  <si>
    <t xml:space="preserve">Talleres Realizados </t>
  </si>
  <si>
    <t xml:space="preserve">Actividades de retencion realizadas </t>
  </si>
  <si>
    <t xml:space="preserve">Mejoramientos Realizados </t>
  </si>
  <si>
    <t xml:space="preserve">Formacion y capital semilla entregados </t>
  </si>
  <si>
    <t xml:space="preserve">Caracterizaciones realizadas </t>
  </si>
  <si>
    <t xml:space="preserve">Dotaciones realizadas </t>
  </si>
  <si>
    <t>Mesas de trabajo realizadas</t>
  </si>
  <si>
    <t>Caracterizaciones realizadas</t>
  </si>
  <si>
    <t xml:space="preserve">Convenios realizados </t>
  </si>
  <si>
    <t>Temporadas de lluvias y
fenomenos naturales.</t>
  </si>
  <si>
    <t>Tener planes de contingencia y planificación de los espacios donde
se realizan las jornadas</t>
  </si>
  <si>
    <t>Hacer seguimiento de las soluciones de insumos y materiales</t>
  </si>
  <si>
    <t>Retraso en la llegada de los insumos o materiales para la
ejecución de las jornadas.</t>
  </si>
  <si>
    <t>La baja participación ciudadana
en los dialogos.</t>
  </si>
  <si>
    <t>Efectividad en la convocatoria y resultado de los compromisos</t>
  </si>
  <si>
    <t>N/A</t>
  </si>
  <si>
    <t>01-04-02</t>
  </si>
  <si>
    <t>01-04-03</t>
  </si>
  <si>
    <t>01-04-04</t>
  </si>
  <si>
    <t>01-04-05</t>
  </si>
  <si>
    <t>01-04-06</t>
  </si>
  <si>
    <t>01-04-07</t>
  </si>
  <si>
    <t>01-04-08</t>
  </si>
  <si>
    <t>01-04-09</t>
  </si>
  <si>
    <t>01-04-10</t>
  </si>
  <si>
    <t>01-04-11</t>
  </si>
  <si>
    <t>Fin de la pobreza</t>
  </si>
  <si>
    <t xml:space="preserve">SEGURIDAD HUMANA </t>
  </si>
  <si>
    <t>Superación de la pobreza extrema y soberanía alimentaria</t>
  </si>
  <si>
    <t>Pobreza
monetaria
extrema</t>
  </si>
  <si>
    <t>Número de personas con el derecho a la identificación garantizado</t>
  </si>
  <si>
    <t>Personas</t>
  </si>
  <si>
    <t>12,7% de pobreza monetaria
extrema en el año 2022
Fuente: DANE, 2022</t>
  </si>
  <si>
    <t>Número de personas con situación militar definidas acompañadas por la estrategia PES</t>
  </si>
  <si>
    <t>Hombres</t>
  </si>
  <si>
    <t>Número de personas en pobreza extrema, víctimas del conflicto armado, migrantes y retornados afiliadas  al Sistema General de Seguridad Social.</t>
  </si>
  <si>
    <t xml:space="preserve">Número de personas en pobreza extrema formadas en asuntos de Salud Integral </t>
  </si>
  <si>
    <t>Caracterización de los Consejos Comunitarios y Cabildo para el fortalecimiento de la práctica de medicina ancestral elaborada</t>
  </si>
  <si>
    <t>Cabildos Indigenas y Concejos comunitarios</t>
  </si>
  <si>
    <t>Niños, niñas y adolescentes en pobreza extrema que se encuentra por fuera del  sistema educativo vincular</t>
  </si>
  <si>
    <t>Número de jóvenes y adultos en pobreza extrema con acceso  a educación técnica.</t>
  </si>
  <si>
    <t>Vincular catorce mil (14.000) jóvenes y adultos en pobreza extrema en programas de  acceso  a educación técnica.</t>
  </si>
  <si>
    <t>Familias formadas sobre el valor de la educación</t>
  </si>
  <si>
    <t>Familias</t>
  </si>
  <si>
    <t xml:space="preserve">Formar a veinticinco mil familias (25.000) sobre el valor de la educación
</t>
  </si>
  <si>
    <t>Instituciones Educativas Oficiales del Distrito con programas de retención escolar implementados</t>
  </si>
  <si>
    <t>Instituciones Educativas</t>
  </si>
  <si>
    <t>Implementar programas de retención escolar en cincuenta (50) Instituciones Educativas Oficiales</t>
  </si>
  <si>
    <t>Número de  vivienda en sectores en pobreza extrema del Distrito de Cartagena mejoradas.</t>
  </si>
  <si>
    <t>Viviendas</t>
  </si>
  <si>
    <t xml:space="preserve">Mejorar cinco mil (5.000)  unidades  de vivienda en sectores en pobreza extrema del Distrito de Cartagena </t>
  </si>
  <si>
    <t>Número de familias en situación de pobreza extrema dotadas con capital de trabajo y formación empresarial</t>
  </si>
  <si>
    <t>Dotar con capital de trabajo y formación empresarial a ocho mil (8.000) familias en pobreza extrema</t>
  </si>
  <si>
    <t>Número de emprendimientos y/o unidades productivas apoyadas técnica o financieramente</t>
  </si>
  <si>
    <t>Emprendimientos</t>
  </si>
  <si>
    <t>Apoyar técnica y financieramente a tres mil ochocientos (3.800) emprendimientos y/o unidades productivas</t>
  </si>
  <si>
    <t>Organizaciones de economía popular integradas por población de pobreza extrema en economía solidaria impactadas</t>
  </si>
  <si>
    <t>Organizaciones de economia popular</t>
  </si>
  <si>
    <t>Impactar a ochenta (80) organizaciones de economía popular integradas por población de pobreza extrema en economía solidaria</t>
  </si>
  <si>
    <t>Centro de Oportunidades para el Empleo del Distrito de Cartagena creado</t>
  </si>
  <si>
    <t>10,6% de desempleo en
Cartagena en el año 2022
Fuente: DANE indicadores de
mercado laboral, 2022</t>
  </si>
  <si>
    <t>Número de personas en pobreza extrema con vinculación de empleo formal gestionada</t>
  </si>
  <si>
    <t>Gestionar la vinculación de empleo formal para tres mil doscientas (3.200) personas en pobreza extrema</t>
  </si>
  <si>
    <t>Personas en pobreza extrema vinculadas  al sistema financiero.</t>
  </si>
  <si>
    <t>Vincular veinte mil (20.000) Personas en pobreza extrema vinculadas  al sistema financiero.</t>
  </si>
  <si>
    <t>Número de familias en situación de pobreza extrema con acceso a créditos financieros</t>
  </si>
  <si>
    <t>Lograr acceso a crédito financiero para tres mil (3.000) familias en pobreza extrema</t>
  </si>
  <si>
    <t>Miembros de familia en el Distrito de Cartagena sensibilizadas en prevención al consumo de sustancias psicoactivas.</t>
  </si>
  <si>
    <t>Formar mil noventa y dos (1.092) nuevos miembros de familias en el Distrito de Cartagena en prevención al consumo de sustancias psicoactivas</t>
  </si>
  <si>
    <t>Estrategia de prevención de violencia basada en género y violencia intrafamiliar desarrollada.</t>
  </si>
  <si>
    <t>Implementar cuatro (4) estrategias de prevención de violencia basada en género y violencia intrafamiliar para familias en pobreza extrema</t>
  </si>
  <si>
    <t>Talleres lúdicos recreativos para generar códigos de convivencia con organizaciones de base comunitaria coordinados y elaborados.</t>
  </si>
  <si>
    <t>Coordinar y elaborar ciento cincuenta (150) talleres lúdicos recreativos para generar códigos de convivencia con organizaciones de base comunitaria</t>
  </si>
  <si>
    <t>Hambre cero</t>
  </si>
  <si>
    <t>Niños en primera infancia, personas mayores y población con discapacidad atendidos con la estrategia de ollas comunitarias</t>
  </si>
  <si>
    <t>24% de inseguridad
alimentaria en el año 2022
Fuente: Encuesta Integrada
de Hogares - DANE, 2022</t>
  </si>
  <si>
    <t>Atender diez mil
(10.000) niños en
primera infancia,
personas mayores y
población con
discapacidad con la
estrategia de ollas
comunitarias</t>
  </si>
  <si>
    <t>Número de personas atendidas  Estrategia Guerra Frontal contra el Hambre</t>
  </si>
  <si>
    <t>Atender a cincuenta y un mil (51.000) personas con la estrategia Hambre Cero</t>
  </si>
  <si>
    <t>Numero de Mercados campesinos  realizados</t>
  </si>
  <si>
    <t>Mercados Campesinos</t>
  </si>
  <si>
    <t>Realizar noventa y seis (96) eventos de Mercados campesinos</t>
  </si>
  <si>
    <t>Numero de rutas de atención que permitan la atención oportuna para garantizar derechos y resolver conflictos creados</t>
  </si>
  <si>
    <t xml:space="preserve">Crear diecisiete (17) rutas de atención que permitan la atención oportuna para garantizar derechos y resolver conflictos
</t>
  </si>
  <si>
    <t>Estrategias de comunicación para dar a conocer las rutas del Plan de Emergencia Social implementadas</t>
  </si>
  <si>
    <t xml:space="preserve">Estrategias </t>
  </si>
  <si>
    <t>Implementar cuatro (4) estrategias de comunicación para dar a conocer las rutas del Plan de Emergencia Social</t>
  </si>
  <si>
    <t>Jornadas de atención integral a la comunidad "Gobierno al Barrio" desarrolladas.</t>
  </si>
  <si>
    <t>Jornadas</t>
  </si>
  <si>
    <t>Desarrollar ciento veinte (120) jornadas de atención integral a la comunidad "Gobierno al Barrio".</t>
  </si>
  <si>
    <t>Número de jornadas de diálogos y gobernanzas desarrolladas</t>
  </si>
  <si>
    <t>Desarrollar setenta y dos (72) jornadas de diálogos y gobernanza en el Distrito de Cartagena a través de la estrategia “Encuentros Barriales”</t>
  </si>
  <si>
    <t>Garantizar la seguridad humana en sus diferentes aspectos en el Distrito de Cartagena de Indias, mediante la disminución de las tasas de homicidios, mortalidad materna e infantil, violencia de género, pobreza extrema e inseguridad alimentaria a través de la implementación de estrategias focalizadas y programas de apoyo integral para proteger la vida de todos los ciudadanos, durante el período de gobierno 2024-2027.</t>
  </si>
  <si>
    <t>Usuarios del sistema</t>
  </si>
  <si>
    <t>Beneficiarios potenciales para
quienes se gestiona la oferta social</t>
  </si>
  <si>
    <t>Hogares con acompañamiento
familiar</t>
  </si>
  <si>
    <t>Personas inscritas</t>
  </si>
  <si>
    <t>Vivienda de Interés Prioritario
mejoradas</t>
  </si>
  <si>
    <t>Unidades productivas
capitalizadas</t>
  </si>
  <si>
    <t>Unidades productivas colectivas
fortalecidas</t>
  </si>
  <si>
    <t>Familias beneficiadas con
transferencias monetarias no condicionadas</t>
  </si>
  <si>
    <t>Personas beneficiadas con
raciones de alimentos</t>
  </si>
  <si>
    <t>Servicio de monitoreo y seguimiento a las intervenciones
implementadas para la inclusión social y productiva de la población en
situación de vulnerabilidad</t>
  </si>
  <si>
    <t>Visitantes que consultan el sitio
web Legal App</t>
  </si>
  <si>
    <t>Estrategias de acceso a la
justicia desarrolladas</t>
  </si>
  <si>
    <t>Espacios de participación
promovidos</t>
  </si>
  <si>
    <t>Espacios de integración de
oferta pública generados</t>
  </si>
  <si>
    <t xml:space="preserve"> META PRODUCTO PDD 2025</t>
  </si>
  <si>
    <t>Implementación de conectividad para jornadas de identificación en areas sin cobertura de internet.</t>
  </si>
  <si>
    <t>UCG  2, 3, 4, 5, 6, 11, 14, 16</t>
  </si>
  <si>
    <t>Realizar a tiempo la planeación de las acciones de coordinación con el distrito militar</t>
  </si>
  <si>
    <t>FORTALECIMIENTO DE LAS ESTRATEGIA DE IDENTIFICACIÓN PARA LA SUPERACIÓN DE LA POBREZA EXTREMA Y DESIGUALDAD CARTAGENA DE INDIAS</t>
  </si>
  <si>
    <t>FORTALECIMIENTO DE LAS ESTRATEGIAS DE SALUD PARA LA POBLACIÓN EN POBREZA EXTREMA CARTAGENA DE INDIAS</t>
  </si>
  <si>
    <t>FORTALECIMIENTO DE LA ESTRATEGIA DE EDUCACIÓN PARA LA SUPERACIÓN DE LA POBREZA EXTREMA Y DESIGUALDAD CARTAGENA DE INDIAS</t>
  </si>
  <si>
    <t>FORTALECIMIENTO LA ESTRATEGIA DE HABITABILIDAD PARA EL MEJORAMIENTO DE VIVIENDA DE LAS FAMILIAS EN SITUACIÓN DE POBREZA EXTREMA CARTAGENA DE INDIAS</t>
  </si>
  <si>
    <t>FORTALECIMIENTO DE LA ESTRATEGIA GENERACIÓN DE INGRESOS Y TRABAJO PARA LA POBLACIÓN EN POBREZA EXTREMA DEL DISTRITO DE CARTAGENA DE INDIAS</t>
  </si>
  <si>
    <t>FORTALECIMIENTO DE LA ESTRATEGIA BANCARIZACIÓN PARA LA POBLACIÓN DE POBREZA EXTREMA Y DESIGUALDAD EN LA CARTAGENA DE INDIAS</t>
  </si>
  <si>
    <t>IMPLEMENTACIÓN DE ESTRATEGIAS DE DINAMICA FAMILIAR COMO SOPORTE SOCIAL PARA LA DISMINUCIÓN DE LA POBREZA EN CARTAGENA DE INDIAS</t>
  </si>
  <si>
    <t>IMPLEMENTACIÓN DE LA ESTRATEGIA OLLAS COMUNITARIAS PARA UNA CARTAGENA SIN HAMBRE CARTAGENA DE INDIAS</t>
  </si>
  <si>
    <t>IMPLEMENTACIÓN DE LA ESTRATEGIA, CARTAGENA SOSTENIBLE: HAMBRE CERO, CARTAGENA DE INDIAS</t>
  </si>
  <si>
    <t>Reducir los altos niveles de inseguridad alimentaria que afecta al 30% de la población Cartagenera.</t>
  </si>
  <si>
    <t>Fortalecer la seguridad alimentaria mediante la implementación de Mercados Campesinos.</t>
  </si>
  <si>
    <t>Fortalecer la implementación de buenas practicas para el aprovechamiento integral de los alimentos.</t>
  </si>
  <si>
    <t>Proporcionar apoyo logistico para la ejecución de los mercados campesinos.</t>
  </si>
  <si>
    <t>UCG  2, 3, 4, 5, 6, 11, 14, 17</t>
  </si>
  <si>
    <t>UCG  2, 3, 4, 5, 6, 11, 14, 18</t>
  </si>
  <si>
    <t>UCG  2, 3, 4, 5, 6, 11, 14, 19</t>
  </si>
  <si>
    <t>UCG  2, 3, 4, 5, 6, 11, 14, 20</t>
  </si>
  <si>
    <t>UCG  2, 3, 4, 5, 6, 11, 14, 21</t>
  </si>
  <si>
    <t>Bajo presupuesto para la
ejecución del proyecto</t>
  </si>
  <si>
    <t>Falta de compromiso de los
aliados con el proyecto</t>
  </si>
  <si>
    <t>Problema logístico en la
recolección acopio, adecuación
y distribución de los alimentos.</t>
  </si>
  <si>
    <t>Gestionar con las entidades
pertinentes los recursos necesarios</t>
  </si>
  <si>
    <t>Insentivar las iniciativas del proyecto
con los aliados</t>
  </si>
  <si>
    <t>Planificación detallada de la logística
y su cordinación</t>
  </si>
  <si>
    <t>FORTALECIMIENTO A LA ESTRATEGIA DE ACCESO A LA JUSTICIA PARA LA POBLACIÓN EN POBREZA EXTREMA Y DESIGUALDAD DEL DISTRITO DE CARTAGENA DE INDIAS</t>
  </si>
  <si>
    <t>AUNAR ESFUEZOS TECNICOS ADMINISTRATIVOS Y FINANCIEROS PARA RESOLVER SITUACION MILITAR A LA POBLACION VULNERABLE</t>
  </si>
  <si>
    <t>CONTRATAR LOS SERVIICOS DE ANTENA DE INTERNET SATELITAL PARA GARANTIZAR LA REALIZACION DE JORNADAS DE INDENTIFICACION EN ZONAS DONDE NO EXISTE COBERTURA DE INTERNET</t>
  </si>
  <si>
    <t>Convenio Interadministrativo</t>
  </si>
  <si>
    <t>MARZO</t>
  </si>
  <si>
    <t>FEBRERO</t>
  </si>
  <si>
    <t>2.3.4103.1500.2024130010187</t>
  </si>
  <si>
    <t>1,2,1,0,00-001 - ICLD</t>
  </si>
  <si>
    <t xml:space="preserve">CONTRATAR EL FORTALECIMIENTO DE LOS PROCESOS DE MEDICINA ANCESTRAL EN LOS CABILDOS INDIGENES Y COMUNIDAES AFROS DEL DISTRITO DE CARTAGENA </t>
  </si>
  <si>
    <t>ABRIL</t>
  </si>
  <si>
    <t>2.3.4103.1500.2024130010177</t>
  </si>
  <si>
    <t>2.3.4103.1500.2024130010188</t>
  </si>
  <si>
    <t xml:space="preserve">AUNAR ESFUEZOS TECNICOS ADMINISTRATIVOS Y FINANCIEROS PARA EL MEJORAMIENTO DE VIVENDA EN SECTORES VULNERABLES DELDISTRITO DE CARTAGENA  </t>
  </si>
  <si>
    <t>CONTRATAR LOS SERVICIOS DE MEJORAMIENTO DE VIVENDA PARA VENEFICIAR A FAMILIAS DE EXTREMA POBREZA DEL DISTRITO DE CARTAGENA</t>
  </si>
  <si>
    <t>Convenio de Asociación</t>
  </si>
  <si>
    <t>Licitación Publica</t>
  </si>
  <si>
    <t>2.3.4001.1400.2024130010185</t>
  </si>
  <si>
    <t xml:space="preserve">AUNAR ESFUERZOS TECNICO, ADMINSTRATIVOS Y FINANCIEROS PARA LA ATENCION DE 500 FAMILIAS VULNERABLES DEL DISTRITO DE CARTAGENA CON AL APOYO A LA INICIACION Y FORTALECIMIENTO DE EMPRENDIMIENTOS DENTRO DE LA ESTRATEGIA CAMININO DE OPORTUNIDADES. </t>
  </si>
  <si>
    <t xml:space="preserve">AUNAR ESFUERZOS TECNICO, ADMINSTRATIVOS Y FINANCIEROS PARA LA ATENCION DE 180 FAMILIAS VULNERABLES DEL DISTRITO DE CARTAGENA EN LA CONSOLIDADACION DE SUS UNIDADES PRODUCTIVAS. </t>
  </si>
  <si>
    <t xml:space="preserve">AUNAR ESFUERZOS TECNICOS, ADMINISTRATIVOS Y FINANCIEROS PARA EL FORTALECIMEINTO DE LA ESTRATEGIA DE INGRESO Y TRABAJO PARA LA POBLACION AFRO, INDIGENA, RAIZAL Y DESPLAZADOS EN EL DISTRITO. </t>
  </si>
  <si>
    <t xml:space="preserve">AUNAR ESFUERZOS TECNICOS, ADMINISTRATIVOS Y FINANCIEROS PARA EL FORTALECIMEINTO DE LA ESTRATEGIA DE INGRESO Y TRABAJO EN POBLACIONES VULNERABLES DEL DISTRITO DE CARTAGENA. </t>
  </si>
  <si>
    <t>Convenio Competitivo</t>
  </si>
  <si>
    <t>2.3.4103.1500.2024130010198</t>
  </si>
  <si>
    <t xml:space="preserve">AUNAR ESFUERZOS TECNICOS, ADMINISTRATIVOS Y FINANCIEROS PARA EL FORTALECIMEINTO DE LA ESTRATEGIA DE BANCARIZACION A LA  POBLACIONES VULNERABLES DEL DISTRITO DE CARTAGENA QUE TENGA O DESEE REALIZAR PEQUEÑOS NEGOCIOS. </t>
  </si>
  <si>
    <t>2.3.4103.1500.2024130010184</t>
  </si>
  <si>
    <t>AUNAR ESFUERZOS TECNICOS ADMINSTRATIVOS Y FINACIEROS PARA EL DESARROLLO DE LA ESTRATEGIA DE PREVENCION DE LA VIOLENCIA INTRAFAMILIAR Y DE GENERO EN LAS POBLACIONES DEL DISTRITO DE CARTAGENA</t>
  </si>
  <si>
    <t>2.3.4103.1500.2024130010182</t>
  </si>
  <si>
    <t>AUNAR ESFUERZOS TECNICOS ADMINSTRATIVOS Y FINACIEROS PARA EL DESARRILLO DE LA POLITICA PUBLICA DE DERECHO HUMANO  A LA ALIMENTACION ADECUADA EN  EL DISTRITO DE CARTAGENA</t>
  </si>
  <si>
    <t xml:space="preserve">CONTRATAR EL SUMNISTRO Y DISTRIBUCION DE ALIMENTOS NO PREPARADOS CONDESTINO AL FORTALECIMIENTO DE LAS OLLAS COMUNITARIAS EN LAS DIFERENTES LOCALIDADES DEL DISTRITO DE CARTAGENA. </t>
  </si>
  <si>
    <t>JUNIO</t>
  </si>
  <si>
    <t>2.3.4103.1500.2024130010196</t>
  </si>
  <si>
    <t>2.3.4103.1500.202500000006669</t>
  </si>
  <si>
    <t>AUNAR ESFUERZOS TECNICOS ADMINSTRATIVOS Y FINACIEROS PARA LA REALIZACION Y SOCIALIZACION DE 8 RUTAS DE ATENCION  EN  EL DISTRITO DE CARTAGENA</t>
  </si>
  <si>
    <t>2.3.1202.0800.2024130010183</t>
  </si>
  <si>
    <t xml:space="preserve">CONTRATAR LACOMPRAVENTA DE EQUIPOS TECNOLOGICOS Y ENCERES PARA LA JORNADAS DE ATENCION DE GOBIERNOS AL BARRIO Y DEMAS ACTIVIDADES REALIZADAS EN EL MARCO DEL PROGRAMA DE IMPLEMENTACION DE LAS ESTRATEGIAS CIUDADANAS Y GOBERNANZA </t>
  </si>
  <si>
    <t xml:space="preserve">CONTRATAR LOS SERVICIOS TECNICOS Y LOSGISTICOS PARA LA ORGANIZACIÓN DE EVENTOS Y ACTIVIDADES EN EL MARCO DEL PROYECTO IMPLEMENTACION DE LAS ESTRATEGIAS DE PARTICIPACION CIUDADANA Y GOBERNANZA EN LA POBLACION DE POBREZA EXTREMA DE CARTAGENA DE INDIAS. </t>
  </si>
  <si>
    <t>Compra por grande superficies</t>
  </si>
  <si>
    <t xml:space="preserve">CONTRATAR LA PTRESTACION DE SERVICIO DE TRANSPORTE AUTOMOTOR TERRESTRE CON CONDUCTOR PARA EL DESPLAZAMIENTO DE FUNCIONARIOS Y CONTRATISTAS ENEL MARCO DEL PROYECTO IMPLEMENTACION DE LAS ESTRATEGIAS DE PARTICIPACION CIUDADANA Y GOBERNANZA EN LA POBLACION DE POBREZA EXTREMA DE CARTAGENA DE INDIAS </t>
  </si>
  <si>
    <t>Selección Abreviada</t>
  </si>
  <si>
    <t>CONTRATAR EL DISEÑO Y ADQUISICION DE MATERIALES IMPRESOS PARA IDENTIFICAR, PUBLICAR Y DISTINGUIR LAS ACTIVIDADES REALIZADOAS POR EL PES.</t>
  </si>
  <si>
    <t>Minima cuantia</t>
  </si>
  <si>
    <t>Antena instalada</t>
  </si>
  <si>
    <t>Numero de personas impactadas</t>
  </si>
  <si>
    <t>Numero de docentes,  administrativos y padres de familia impactados</t>
  </si>
  <si>
    <t xml:space="preserve">Numero de articulaciones realizadas </t>
  </si>
  <si>
    <t xml:space="preserve">Numero  de beneficiarios focalizados </t>
  </si>
  <si>
    <t xml:space="preserve">Numero de comedores identificados y seleccionados </t>
  </si>
  <si>
    <t xml:space="preserve">Numero de comedores mejorados </t>
  </si>
  <si>
    <t xml:space="preserve">Numero de personas impactadas </t>
  </si>
  <si>
    <t>Numero de mercados campesinos realizados</t>
  </si>
  <si>
    <t>Numero de apoyos logisticos realizados</t>
  </si>
  <si>
    <t>Numero de apoyos logisticos y tecnologicos realizados</t>
  </si>
  <si>
    <t>Numero de niños, niñas y adolescentes  focalizados</t>
  </si>
  <si>
    <t>Viviendas caracterizadas</t>
  </si>
  <si>
    <t xml:space="preserve">Numero de campañas realizadas </t>
  </si>
  <si>
    <t>Numero de organizaciones impactadas</t>
  </si>
  <si>
    <t>CONTRATAR LA PRESTATACION DE SERVICIOS PROFESIONALES Y APOYO A LA GESTION EN EL MARCO DEL PROYECTO FORTALECIMIENTO DE LAS ESTRATEGIA DE IDENTIFICACIÓN PARA LA SUPERACIÓN DE LA POBREZA EXTREMA Y DESIGUALDAD  CARTAGENA DE INDIAS DEL PLAN EMERGENCIA SOCIAL PEDRO ROMERO PES -PR</t>
  </si>
  <si>
    <t>CONTRATAR LA PRESTATACION DE SERVICIOS PROFESIONALES Y APOYO A LA GESTION EN EL MARCO DEL PROYECTO FORTALECIMIENTO  DE LAS ESTRATEGIAS DE SALUD PARA LA POBLACIÓN EN POBREZA EXTREMA  CARTAGENA DE INDIAS DEL PLAN EMERGENCIA SOCIAL PEDRO ROMERO PES -PR</t>
  </si>
  <si>
    <t>Contratación Directa</t>
  </si>
  <si>
    <t>CONTRATAR LA PRESTATACION DE SERVICIOS PROFESIONALES Y APOYO A LA GESTION EN EL MARCO DEL PROYECTO FORTALECIMIENTO DE LA ESTRATEGIA DE EDUCACIÓN PARA LA SUPERACIÓN DE LA POBREZA EXTREMA Y DESIGUALDAD  CARTAGENA DE INDIAS DEL PLAN EMERGENCIA SOCIAL PEDRO ROMERO PES -PR</t>
  </si>
  <si>
    <t>CONTRATAR LA PRESTATACION DE SERVICIOS PROFESIONALES Y APOYO A LA GESTION EN EL MARCO DEL PROYECTO FFORTALECIMIENTO  LA ESTRATEGIA DE HABITABILIDAD PARA EL MEJORAMIENTO DE VIVIENDA DE LAS FAMILIAS EN SITUACIÓN DE POBREZA EXTREMA   CARTAGENA DE INDIAS DEL PLAN EMERGENCIA SOCIAL PEDRO ROMERO PES -PR</t>
  </si>
  <si>
    <t>CONTRATAR LA PRESTATACION DE SERVICIOS PROFESIONALES Y APOYO A LA GESTION EN EL MARCO DEL PROYECTO FORTALECIMIENTO  DE LA ESTRATEGIA GENERACIÓN DE INGRESOS Y TRABAJO PARA LA POBLACIÓN EN POBREZA EXTREMA DEL DISTRITO DE CARTAGENA DE INDIAS  CARTAGENA DE INDIAS DEL PLAN EMERGENCIA SOCIAL PEDRO ROMERO PES -PR</t>
  </si>
  <si>
    <t>CONTRATAR LA PRESTATACION DE SERVICIOS PROFESIONALES Y APOYO A LA GESTION EN EL MARCO DEL PROYECTO FORTALECIMIENTO  DE LA ESTRATEGIA BANCARIZACIÓN PARA LA POBLACIÓN DE POBREZA EXTREMA Y DESIGUALDAD EN LA  CARTAGENA DE INDIAS DEL PLAN EMERGENCIA SOCIAL PEDRO ROMERO PES -PR</t>
  </si>
  <si>
    <t>CONTRATAR LA PRESTATACION DE SERVICIOS PROFESIONALES Y APOYO A LA GESTION EN EL MARCO DEL PROYECTO  IMPLEMENTACIÓN DE ESTRATEGIAS DE DINAMICA FAMILIAR COMO SOPORTE SOCIAL PARA LA DISMINUCIÓN DE LA POBREZA EN CARTAGENA.  CARTAGENA DE INDIAS DEL PLAN EMERGENCIA SOCIAL PEDRO ROMERO PES -PR</t>
  </si>
  <si>
    <t>CONTRATAR LA PRESTATACION DE SERVICIOS PROFESIONALES Y APOYO A LA GESTION EN EL MARCO DEL PROYECTO  IMPLEMENTACIÓN DE LA ESTRATEGIA OLLAS COMUNITARIAS PARA UNA CARTAGENA SIN HAMBRE  CARTAGENA DE INDIAS DEL PLAN EMERGENCIA SOCIAL PEDRO ROMERO PES -PR</t>
  </si>
  <si>
    <t>CONTRATAR LA PRESTATACION DE SERVICIOS PROFESIONALES Y APOYO A LA GESTION EN EL MARCO DEL PROYECTO IMPLEMENTACIÓN DE LA ESTRATEGIA, CARTAGENA SOSTENIBLE: HAMBRE CERO, CARTAGENA DE INDIAS</t>
  </si>
  <si>
    <t>CONTRATAR LA PRESTATACION DE SERVICIOS PROFESIONALES Y APOYO A LA GESTION EN EL MARCO DEL PROYECTO  FORTALECIMIENTO  A LA ESTRATEGIA DE ACCESO A LA JUSTICIA PARA LA POBLACIÓN EN POBREZA EXTREMA Y DESIGUALDAD DEL DISTRITO DE   CARTAGENA DE INDIAS DEL PLAN EMERGENCIA SOCIAL PEDRO ROMERO PES -PR</t>
  </si>
  <si>
    <t xml:space="preserve">Contratación Directa </t>
  </si>
  <si>
    <t>CONTRATAR LA PRESTATACION DE SERVICIOS PROFESIONALES Y APOYO A LA GESTION EN EL MARCO DEL PROYECTO  IMPLEMENTACIÓN DE LAS ESTRATEGIAS DE PARTICIPACIÓN CIUDADANA Y GOBERNANZA EN LA POBLACIÓN DE POBREZA EXTREMA CARTAGENA DE INDIAS.  CARTAGENA DE INDIAS DEL PLAN EMERGENCIA SOCIAL PEDRO ROMERO PES -PR</t>
  </si>
  <si>
    <t>NP</t>
  </si>
  <si>
    <t>REPORTE DEL 1 ENERO AL 31 DE MARZO DEL 2025</t>
  </si>
  <si>
    <t>REPORTE DEL 1 ENERO A 31 DE MARZO DEL 2025</t>
  </si>
  <si>
    <t>ACUMULADO META PRODUCTO AL AÑO 2024</t>
  </si>
  <si>
    <t>NA</t>
  </si>
  <si>
    <t>DE LOS PUEBLOS Y COMUNIDADES ETNICAS</t>
  </si>
  <si>
    <t>Territorio Sitio de Paz y Pensamiento Colectivo</t>
  </si>
  <si>
    <t>Incrementar a 50% el porcentaje de población indígena que habita el Distrito de Cartagena vinculada a procesos fortalecimiento y reconocimiento de sus derechos, diversidad étnica y cultural como un principio fundamental</t>
  </si>
  <si>
    <t>MUJER INDÍGENA, FAMILIA Y GENERACIÓN DE INGRESOS</t>
  </si>
  <si>
    <t>Unidades productivas en cabildos indigenas con asistencias tecnicas y apoyo financiero</t>
  </si>
  <si>
    <t>Numero</t>
  </si>
  <si>
    <t>ND</t>
  </si>
  <si>
    <t>Brindar asistencia técnica y apoyo financiero a doscientas (200) unidades productivas de los Cabildos Indígenas presentes en el Distrito</t>
  </si>
  <si>
    <t>Elaborar una (1) caracterización de los Consejos Comunitarios y Cabildo para el fortalecimiento de la práctica de medicina ancestral</t>
  </si>
  <si>
    <t>Crear un (1) Centro de Oportunidades para el Empleo del Distrito de Cartagena</t>
  </si>
  <si>
    <t>AVANCE AÑO
Promedio Simple</t>
  </si>
  <si>
    <t>AVANCE CUATRIENIO
Promedio Simple</t>
  </si>
  <si>
    <t>AVANCE AÑO
Promedio Ponderado</t>
  </si>
  <si>
    <t>AVANCE CUATRIENIO
Promedio Ponderado</t>
  </si>
  <si>
    <t>Avance Programa Identificación para la superación de la pobreza extrema</t>
  </si>
  <si>
    <t>Avance Programa Salud para la superación de la pobreza extrema</t>
  </si>
  <si>
    <t>Avance Programa Educación para la superación de la pobreza extrema</t>
  </si>
  <si>
    <t>Avance Programa Habitabilidad para la superación de la pobreza extrema</t>
  </si>
  <si>
    <t>Avance Programa Ingreso y trabajo para la superación de la pobreza extrema</t>
  </si>
  <si>
    <t>Avance Programa Bancarización para la superación de la pobreza extrema</t>
  </si>
  <si>
    <t>Avance Programa Dinámica familiar para la superación de la pobreza extrema</t>
  </si>
  <si>
    <t>Avance Programa Seguridad alimentaria para la superación de la pobreza extrema</t>
  </si>
  <si>
    <t>Avance Programa Acceso a la Justicia para la superación de la pobreza extrema</t>
  </si>
  <si>
    <t>Avance Programa Fortalecimiento Institucional para la superación de la pobreza extrema</t>
  </si>
  <si>
    <t>Avance Programa Mujer Indígena, Familia y Generación de ingresos</t>
  </si>
  <si>
    <t>AVANCE PLAN DE DESARROLLO PLAN DE EMERGENCIA SOCIAL PEDRO ROMERO A MARZO 31 DE 2025</t>
  </si>
  <si>
    <t>Realizar jornadas de asesoriamiento para la definicion de la situacion militar con el Distrito militar 14</t>
  </si>
  <si>
    <t>Formar doce mil (12.000) nuevas personas en pobreza extrema en asuntos de salud integral</t>
  </si>
  <si>
    <t>Coordinar la afiliación para cinco mil (5.000) personas en pobreza extrema, víctimas del conflicto armado, migrantes y retornados al Sistema General de Seguridad Social</t>
  </si>
  <si>
    <t>Garantizar el derecho a la identificación de dieciséis mil (16.000) personas</t>
  </si>
  <si>
    <t>Acompañar a dos mil doscientas (2.200) personas en la definición de su situación militar</t>
  </si>
  <si>
    <t>AVANCE PROYECTO FORTALECIMIENTO DE LAS ESTRATEGIA DE IDENTIFICACIÓN PARA LA SUPERACIÓN DE LA POBREZA EXTREMA Y DESIGUALDAD CARTAGENA DE INDIAS</t>
  </si>
  <si>
    <t>AVANCE ACTIVIDADES PROYECTO</t>
  </si>
  <si>
    <t>AVANCE PROYECTO FORTALECIMIENTO DE LAS ESTRATEGIAS DE SALUD PARA LA POBLACIÓN EN POBREZA EXTREMA CARTAGENA DE INDIAS</t>
  </si>
  <si>
    <t>AVANCE PROYECTO FORTALECIMIENTO DE LA ESTRATEGIA DE EDUCACIÓN PARA LA SUPERACIÓN DE LA POBREZA EXTREMA Y DESIGUALDAD CARTAGENA DE INDIAS</t>
  </si>
  <si>
    <t>Vincular cinco mil quinientos cincuenta y seis (5.556) niños, niñas y adolescentes en pobreza extrema al sistema educativo en articulación con la Secretaría de Educación Distrital</t>
  </si>
  <si>
    <t>AVANCE PROYECTO FORTALECIMIENTO LA ESTRATEGIA DE HABITABILIDAD PARA EL MEJORAMIENTO DE VIVIENDA DE LAS FAMILIAS EN SITUACIÓN DE POBREZA EXTREMA CARTAGENA DE INDIAS</t>
  </si>
  <si>
    <t>Caracterizar unidades productivas con necesidades capital de trabajo y formación empresarial en la población en pobreza extrema.</t>
  </si>
  <si>
    <t>AVANCE PROYECTO FORTALECIMIENTO DE LA ESTRATEGIA GENERACIÓN DE INGRESOS Y TRABAJO PARA LA POBLACIÓN EN POBREZA EXTREMA DEL DISTRITO DE CARTAGENA DE INDIAS</t>
  </si>
  <si>
    <t>AVANCE PROYECTO FORTALECIMIENTO DE LA ESTRATEGIA BANCARIZACIÓN PARA LA POBLACIÓN DE POBREZA EXTREMA Y DESIGUALDAD EN LA CARTAGENA DE INDIAS</t>
  </si>
  <si>
    <t>Campañas de sensibilización para fortalecer los factores protectores para la prevención del consumo de sustancias psi-coactivas</t>
  </si>
  <si>
    <t>AVANCE PROYECTO IMPLEMENTACIÓN DE LA ESTRATEGIA OLLAS COMUNITARIAS PARA UNA CARTAGENA SIN HAMBRE CARTAGENA DE INDIAS</t>
  </si>
  <si>
    <t>AVANCE PROYECTO IMPLEMENTACIÓN DE ESTRATEGIAS DE DINAMICA FAMILIAR COMO SOPORTE SOCIAL PARA LA DISMINUCIÓN DE LA POBREZA EN CARTAGENA DE INDIAS</t>
  </si>
  <si>
    <t>AVANCE PROYECTO IMPLEMENTACIÓN DE LA ESTRATEGIA, CARTAGENA SOSTENIBLE: HAMBRE CERO, CARTAGENA DE INDIAS</t>
  </si>
  <si>
    <t>AVANCE PROYECTO PROGRAMA SEGURIDAD ALIMENTARIA Y NUTRICIÓN PARA LA SUPERACIÓN DE LA POBREZA EXTREMA</t>
  </si>
  <si>
    <t>Promover y ejecutar los mercados campesinos en las tres localidades de cartagena.</t>
  </si>
  <si>
    <t>Implementar acciones de educación y sencibilización sobre hábitos nutricionales, compra y consumo responsable de alimentos.</t>
  </si>
  <si>
    <t>Implementar las buena practicas para la recoleccion, rescate, donación y distribución de alimentos aptos para el consumo entre los actores del abastecimiento y los beneficiarios.</t>
  </si>
  <si>
    <t>Desarrollar campañas de sencibilización para los actores de abastecimiento sobre la importancia de la reducción de perdidas y desperdicios de alimentos y practicas sostenibles.</t>
  </si>
  <si>
    <t>Logística y tecnologia requerida para la recolección, acopio, adecuación y distribución de los alimentos rescatados.</t>
  </si>
  <si>
    <t>IMPLEMENTACIÓN DE LAS ESTRATEGIAS DE PARTICIPACIÓN CIUDADANA Y GOBERNANZA EN LA POBLACIÓN DE POBREZA EXTREMA DEL DISTRITO CARTAGENA DE INDIAS</t>
  </si>
  <si>
    <t>PRESUPUESTO DEFINITIVO</t>
  </si>
  <si>
    <t>COMPROMISOS</t>
  </si>
  <si>
    <t>OBLIGACIONES</t>
  </si>
  <si>
    <t>EJECUCIÓN SEGÚN COMPROMISOS</t>
  </si>
  <si>
    <t>EJECUCIÓN SEGÚN OBLIGACIONES</t>
  </si>
  <si>
    <t>EJECUCIÓN PRESUPUESTAL</t>
  </si>
  <si>
    <t>EJECUCIÓN PRESUPUESTAL PROGRAMA</t>
  </si>
  <si>
    <t>AVANCE EJECUCIÓN DE PROYECTOS PLAN DE EMERGENCIA SOCIAL PEDRO ROMERO A MARZO 31 DE 2025</t>
  </si>
  <si>
    <t>AVANCE EJECUCIÓN PRESUPUESTAL PLAN DE EMERGENCIA SOCIAL PEDRO ROMERO A MARZO 31 DE 2025</t>
  </si>
  <si>
    <t xml:space="preserve">Ingreso y trabajo para la superación de la pobreza extrema </t>
  </si>
  <si>
    <t>ITEM</t>
  </si>
  <si>
    <t>AVANCE AÑO</t>
  </si>
  <si>
    <t>AVANCE CUATRIENIO</t>
  </si>
  <si>
    <t>PROYECTO</t>
  </si>
  <si>
    <t>EJECUCION SEGÚN COMPROMISOS</t>
  </si>
  <si>
    <t>EJECUCION SEGÚN OBLIGACIONES</t>
  </si>
  <si>
    <t>Mujer Indígena, Familia y Generación de Ingresos</t>
  </si>
  <si>
    <t>FORTALECIMIENTO DE LAS ESTRATEGIAS DE EDUCACION PARA LA POBLACIÓN EN POBREZA EXTREMA CARTAGENA DE INDIAS</t>
  </si>
  <si>
    <t>FORTALECIMIENTO DE LAS ESTRATEGIAS DE GENERACIÓN DE INGRESOS Y TRABAJO PARA LA POBLACIÓN EN POBREZA EXTREMA CARTAGENA DE INDIAS</t>
  </si>
  <si>
    <t>FORTALECIMIENTO DE LAS ESTRATEGIAS DE BANCARIZACION PARA LA POBLACIÓN EN POBREZA EXTREMA CARTAGENA DE INDIAS</t>
  </si>
  <si>
    <t>AVANCE PROYECTO FORTALECIMIENTO A LA ESTRATEGIA DE ACCESO A LA JUSTICIA PARA LA POBLACIÓN EN POBREZA EXTREMA Y DESIGUALDAD DEL DISTRITO DE CARTAGENA DE INDIAS</t>
  </si>
  <si>
    <t>AVANCE PROYECTO IMPLEMENTACIÓN DE LAS ESTRATEGIAS DE PARTICIPACIÓN CIUDADANA Y GOBERNANZA EN LA POBLACIÓN DE POBREZA EXTREMA DEL DISTRITO CARTAGENA DE INDIAS</t>
  </si>
  <si>
    <t>EJECUCIÓN PROGRAMAS (PROMEDIO SIMPLE)  PLAN DE EMERGENCIA SOCIAL - PEDRO ROMERO A MARZO 31 DE 2025</t>
  </si>
  <si>
    <t>EJECUCIÓN PROYECTOS  PLAN DE EMERGENCIA SOCIAL - PEDRO ROMERO A MARZO 31 DE 2025</t>
  </si>
  <si>
    <t>EJECUCIÓN PRESUPUESTAL  PLAN DE EMERGENCIA SOCIAL - PEDRO ROMERO A MARZO 31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</si>
</sst>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44" formatCode="_-&quot;$&quot;\ * #,##0.00_-;\-&quot;$&quot;\ * #,##0.00_-;_-&quot;$&quot;\ * &quot;-&quot;??_-;_-@_-"/>
    <numFmt numFmtId="43" formatCode="_-* #,##0.00_-;\-* #,##0.00_-;_-* &quot;-&quot;??_-;_-@_-"/>
  </numFmts>
  <fonts count="37">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sz val="14"/>
      <color theme="1"/>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b/>
      <sz val="14"/>
      <color theme="1"/>
      <name val="Aptos Narrow"/>
      <family val="2"/>
      <scheme val="minor"/>
    </font>
    <font>
      <b/>
      <sz val="14"/>
      <name val="Aptos Narrow"/>
      <family val="2"/>
      <scheme val="minor"/>
    </font>
    <font>
      <sz val="14"/>
      <name val="Aptos Narrow"/>
      <family val="2"/>
      <scheme val="minor"/>
    </font>
    <font>
      <b/>
      <sz val="14"/>
      <color rgb="FFFF0000"/>
      <name val="Aptos Narrow"/>
      <family val="2"/>
      <scheme val="minor"/>
    </font>
    <font>
      <sz val="14"/>
      <color rgb="FFFF0000"/>
      <name val="Aptos Narrow"/>
      <family val="2"/>
      <scheme val="minor"/>
    </font>
    <font>
      <b/>
      <sz val="16"/>
      <color rgb="FFFF0000"/>
      <name val="Aptos Narrow"/>
      <family val="2"/>
      <scheme val="minor"/>
    </font>
    <font>
      <b/>
      <sz val="18"/>
      <color rgb="FFFF0000"/>
      <name val="Aptos Narrow"/>
      <family val="2"/>
      <scheme val="minor"/>
    </font>
    <font>
      <sz val="14"/>
      <color rgb="FF000000"/>
      <name val="Aptos Narrow"/>
      <family val="2"/>
      <scheme val="minor"/>
    </font>
    <font>
      <b/>
      <sz val="14"/>
      <color theme="1"/>
      <name val="Arial"/>
      <family val="2"/>
    </font>
    <font>
      <b/>
      <sz val="14"/>
      <name val="Arial"/>
      <family val="2"/>
    </font>
    <font>
      <b/>
      <sz val="14"/>
      <color theme="1" tint="4.9989318521683403E-2"/>
      <name val="Arial"/>
      <family val="2"/>
    </font>
    <font>
      <b/>
      <sz val="14"/>
      <color rgb="FFFF0000"/>
      <name val="Arial"/>
      <family val="2"/>
    </font>
    <font>
      <sz val="14"/>
      <color rgb="FF000000"/>
      <name val="Arial MT"/>
    </font>
    <font>
      <sz val="14"/>
      <color theme="1"/>
      <name val="Arial"/>
      <family val="2"/>
    </font>
    <font>
      <b/>
      <sz val="11"/>
      <color rgb="FFFF0000"/>
      <name val="Aptos Narrow"/>
      <family val="2"/>
      <scheme val="minor"/>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00B0F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CCFFFF"/>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diagonal/>
    </border>
  </borders>
  <cellStyleXfs count="9">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0" fillId="6" borderId="0" applyNumberFormat="0" applyBorder="0" applyProtection="0">
      <alignment horizontal="center" vertical="center"/>
    </xf>
    <xf numFmtId="49" fontId="11" fillId="0" borderId="0" applyFill="0" applyBorder="0" applyProtection="0">
      <alignment horizontal="left" vertical="center"/>
    </xf>
    <xf numFmtId="3" fontId="11" fillId="0" borderId="0" applyFill="0" applyBorder="0" applyProtection="0">
      <alignment horizontal="right" vertical="center"/>
    </xf>
    <xf numFmtId="44" fontId="1" fillId="0" borderId="0" applyFont="0" applyFill="0" applyBorder="0" applyAlignment="0" applyProtection="0"/>
    <xf numFmtId="9" fontId="1" fillId="0" borderId="0" applyFont="0" applyFill="0" applyBorder="0" applyAlignment="0" applyProtection="0"/>
  </cellStyleXfs>
  <cellXfs count="536">
    <xf numFmtId="0" fontId="0" fillId="0" borderId="0" xfId="0"/>
    <xf numFmtId="0" fontId="0" fillId="2" borderId="0" xfId="0" applyFill="1"/>
    <xf numFmtId="0" fontId="5" fillId="2" borderId="1" xfId="0" applyFont="1" applyFill="1" applyBorder="1" applyAlignment="1">
      <alignment horizontal="center" vertical="center" wrapText="1"/>
    </xf>
    <xf numFmtId="0" fontId="6" fillId="2" borderId="0" xfId="0" applyFont="1" applyFill="1" applyAlignment="1">
      <alignment horizontal="center" vertical="center"/>
    </xf>
    <xf numFmtId="0" fontId="0" fillId="0" borderId="0" xfId="0" applyAlignment="1">
      <alignment vertical="center"/>
    </xf>
    <xf numFmtId="0" fontId="10" fillId="6" borderId="1" xfId="4" applyBorder="1" applyProtection="1">
      <alignment horizontal="center" vertical="center"/>
    </xf>
    <xf numFmtId="3" fontId="11" fillId="0" borderId="1" xfId="6" applyBorder="1" applyAlignment="1" applyProtection="1">
      <alignment horizontal="center" vertical="center"/>
    </xf>
    <xf numFmtId="49" fontId="11" fillId="0" borderId="1" xfId="5" applyBorder="1" applyProtection="1">
      <alignment horizontal="left" vertical="center"/>
    </xf>
    <xf numFmtId="0" fontId="14" fillId="0" borderId="0" xfId="0" applyFont="1" applyAlignment="1">
      <alignment horizontal="left"/>
    </xf>
    <xf numFmtId="0" fontId="14" fillId="0" borderId="0" xfId="0" applyFont="1" applyAlignment="1">
      <alignment horizontal="left" vertical="center" wrapText="1"/>
    </xf>
    <xf numFmtId="0" fontId="15" fillId="0" borderId="0" xfId="0" applyFont="1" applyAlignment="1">
      <alignment horizontal="left" vertical="center" wrapText="1"/>
    </xf>
    <xf numFmtId="0" fontId="9" fillId="0" borderId="0" xfId="0" applyFont="1" applyAlignment="1">
      <alignment horizontal="left" vertical="center" wrapText="1"/>
    </xf>
    <xf numFmtId="0" fontId="14" fillId="4" borderId="1" xfId="0" applyFont="1" applyFill="1" applyBorder="1" applyAlignment="1">
      <alignment horizontal="left" vertical="center" wrapText="1"/>
    </xf>
    <xf numFmtId="0" fontId="14" fillId="4" borderId="1" xfId="0" applyFont="1" applyFill="1" applyBorder="1" applyAlignment="1">
      <alignment horizontal="left" vertical="center"/>
    </xf>
    <xf numFmtId="0" fontId="15"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4" fillId="0" borderId="0" xfId="0" applyFont="1" applyAlignment="1">
      <alignment horizontal="left" vertical="center"/>
    </xf>
    <xf numFmtId="0" fontId="0" fillId="2" borderId="0" xfId="0" applyFill="1" applyAlignment="1">
      <alignment horizont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49" fontId="11" fillId="0" borderId="1" xfId="5" applyBorder="1" applyAlignment="1" applyProtection="1">
      <alignment vertical="center" wrapText="1"/>
    </xf>
    <xf numFmtId="0" fontId="10" fillId="6" borderId="1" xfId="4" applyBorder="1" applyAlignment="1" applyProtection="1">
      <alignment vertical="center"/>
    </xf>
    <xf numFmtId="0" fontId="18" fillId="2" borderId="1" xfId="1" applyFont="1" applyFill="1" applyBorder="1" applyAlignment="1">
      <alignment horizontal="left" vertical="center"/>
    </xf>
    <xf numFmtId="0" fontId="19" fillId="5" borderId="9" xfId="1" applyFont="1" applyFill="1" applyBorder="1" applyAlignment="1">
      <alignment horizontal="center" vertical="center"/>
    </xf>
    <xf numFmtId="0" fontId="19" fillId="5" borderId="10" xfId="1" applyFont="1" applyFill="1" applyBorder="1" applyAlignment="1">
      <alignment horizontal="center" vertical="center"/>
    </xf>
    <xf numFmtId="14" fontId="20" fillId="0" borderId="1" xfId="0" applyNumberFormat="1" applyFont="1" applyBorder="1" applyAlignment="1">
      <alignment horizontal="center" vertical="center"/>
    </xf>
    <xf numFmtId="0" fontId="21" fillId="0" borderId="1" xfId="1" applyFont="1" applyBorder="1" applyAlignment="1">
      <alignment horizontal="center" vertical="center"/>
    </xf>
    <xf numFmtId="14" fontId="21" fillId="0" borderId="1" xfId="1" applyNumberFormat="1" applyFont="1" applyBorder="1" applyAlignment="1">
      <alignment horizontal="center" vertical="center"/>
    </xf>
    <xf numFmtId="0" fontId="21" fillId="0" borderId="1" xfId="1" applyFont="1" applyBorder="1"/>
    <xf numFmtId="0" fontId="21" fillId="0" borderId="1" xfId="1" applyFont="1" applyBorder="1" applyAlignment="1">
      <alignment horizontal="center" wrapText="1"/>
    </xf>
    <xf numFmtId="0" fontId="19" fillId="5" borderId="1" xfId="1" applyFont="1" applyFill="1" applyBorder="1" applyAlignment="1">
      <alignment horizontal="center" vertical="center"/>
    </xf>
    <xf numFmtId="0" fontId="19" fillId="5" borderId="1" xfId="1" applyFont="1" applyFill="1" applyBorder="1" applyAlignment="1">
      <alignment vertical="center"/>
    </xf>
    <xf numFmtId="0" fontId="6" fillId="2" borderId="0" xfId="0" applyFont="1" applyFill="1"/>
    <xf numFmtId="0" fontId="6" fillId="2" borderId="0" xfId="0" applyFont="1" applyFill="1" applyAlignment="1">
      <alignment horizontal="center"/>
    </xf>
    <xf numFmtId="0" fontId="22" fillId="2" borderId="5"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9" fontId="6"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wrapText="1"/>
    </xf>
    <xf numFmtId="9" fontId="6" fillId="0" borderId="1" xfId="0" applyNumberFormat="1" applyFont="1" applyBorder="1" applyAlignment="1">
      <alignment horizontal="center" vertical="center"/>
    </xf>
    <xf numFmtId="3" fontId="6" fillId="0" borderId="1" xfId="0" applyNumberFormat="1" applyFont="1" applyBorder="1" applyAlignment="1">
      <alignment horizontal="center" vertical="center" wrapText="1"/>
    </xf>
    <xf numFmtId="0" fontId="6" fillId="2" borderId="19" xfId="0" applyFont="1" applyFill="1" applyBorder="1" applyAlignment="1">
      <alignment horizontal="center" vertical="center"/>
    </xf>
    <xf numFmtId="3" fontId="6" fillId="0" borderId="19" xfId="0" applyNumberFormat="1" applyFont="1" applyBorder="1" applyAlignment="1">
      <alignment horizontal="center" vertical="center"/>
    </xf>
    <xf numFmtId="0" fontId="23" fillId="0" borderId="5" xfId="0" applyFont="1" applyBorder="1" applyAlignment="1">
      <alignment horizontal="center" vertical="center" wrapText="1"/>
    </xf>
    <xf numFmtId="0" fontId="24" fillId="0" borderId="1" xfId="0" applyFont="1" applyBorder="1" applyAlignment="1">
      <alignment horizontal="center" vertical="center"/>
    </xf>
    <xf numFmtId="0" fontId="24" fillId="0" borderId="19" xfId="0" applyFont="1" applyBorder="1" applyAlignment="1">
      <alignment horizontal="center" vertical="center"/>
    </xf>
    <xf numFmtId="0" fontId="24" fillId="0" borderId="0" xfId="0" applyFont="1" applyAlignment="1">
      <alignment horizontal="center"/>
    </xf>
    <xf numFmtId="0" fontId="24" fillId="0" borderId="0" xfId="0" applyFont="1"/>
    <xf numFmtId="0" fontId="24" fillId="8" borderId="1" xfId="0" applyFont="1" applyFill="1" applyBorder="1" applyAlignment="1">
      <alignment horizontal="center" vertical="center"/>
    </xf>
    <xf numFmtId="0" fontId="24" fillId="8" borderId="19" xfId="0" applyFont="1" applyFill="1" applyBorder="1" applyAlignment="1">
      <alignment horizontal="center" vertical="center"/>
    </xf>
    <xf numFmtId="0" fontId="23" fillId="9" borderId="5" xfId="0" applyFont="1" applyFill="1" applyBorder="1" applyAlignment="1">
      <alignment horizontal="center" vertical="center" wrapText="1"/>
    </xf>
    <xf numFmtId="3" fontId="24" fillId="9" borderId="1" xfId="0" applyNumberFormat="1" applyFont="1" applyFill="1" applyBorder="1" applyAlignment="1">
      <alignment horizontal="center" vertical="center"/>
    </xf>
    <xf numFmtId="0" fontId="24" fillId="9" borderId="1" xfId="0" applyFont="1" applyFill="1" applyBorder="1" applyAlignment="1">
      <alignment horizontal="center" vertical="center"/>
    </xf>
    <xf numFmtId="3" fontId="24" fillId="9" borderId="1" xfId="0" applyNumberFormat="1" applyFont="1" applyFill="1" applyBorder="1" applyAlignment="1">
      <alignment horizontal="center" vertical="center" wrapText="1"/>
    </xf>
    <xf numFmtId="3" fontId="24" fillId="9" borderId="19" xfId="0" applyNumberFormat="1" applyFont="1" applyFill="1" applyBorder="1" applyAlignment="1">
      <alignment horizontal="center" vertical="center"/>
    </xf>
    <xf numFmtId="0" fontId="24" fillId="9" borderId="0" xfId="0" applyFont="1" applyFill="1" applyAlignment="1">
      <alignment horizontal="center" vertical="center"/>
    </xf>
    <xf numFmtId="3" fontId="6" fillId="2" borderId="0" xfId="0" applyNumberFormat="1" applyFont="1" applyFill="1" applyAlignment="1">
      <alignment horizontal="center" vertical="center"/>
    </xf>
    <xf numFmtId="0" fontId="25" fillId="9" borderId="1" xfId="0" applyFont="1" applyFill="1" applyBorder="1" applyAlignment="1">
      <alignment horizontal="center" vertical="center"/>
    </xf>
    <xf numFmtId="0" fontId="25" fillId="0" borderId="5" xfId="0" applyFont="1" applyBorder="1" applyAlignment="1">
      <alignment horizontal="center" vertical="center" wrapText="1"/>
    </xf>
    <xf numFmtId="0" fontId="26" fillId="0" borderId="0" xfId="0" applyFont="1"/>
    <xf numFmtId="10" fontId="26" fillId="0" borderId="1" xfId="8" applyNumberFormat="1" applyFont="1" applyFill="1" applyBorder="1" applyAlignment="1">
      <alignment horizontal="center" vertical="center"/>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3" xfId="0" applyFont="1" applyBorder="1" applyAlignment="1">
      <alignment horizontal="center" vertical="center" wrapText="1"/>
    </xf>
    <xf numFmtId="0" fontId="6" fillId="2" borderId="18" xfId="0" applyFont="1" applyFill="1" applyBorder="1" applyAlignment="1">
      <alignment horizontal="center" vertical="center"/>
    </xf>
    <xf numFmtId="9" fontId="6" fillId="0" borderId="18" xfId="0" applyNumberFormat="1" applyFont="1" applyBorder="1" applyAlignment="1">
      <alignment horizontal="center" vertical="center"/>
    </xf>
    <xf numFmtId="3" fontId="6" fillId="0" borderId="18" xfId="0" applyNumberFormat="1" applyFont="1" applyBorder="1" applyAlignment="1">
      <alignment horizontal="center" vertical="center"/>
    </xf>
    <xf numFmtId="3" fontId="24" fillId="9" borderId="18" xfId="0" applyNumberFormat="1" applyFont="1" applyFill="1" applyBorder="1" applyAlignment="1">
      <alignment horizontal="center" vertical="center"/>
    </xf>
    <xf numFmtId="0" fontId="24" fillId="0" borderId="18" xfId="0" applyFont="1" applyBorder="1" applyAlignment="1">
      <alignment horizontal="center" vertical="center"/>
    </xf>
    <xf numFmtId="0" fontId="24" fillId="8" borderId="18" xfId="0" applyFont="1" applyFill="1" applyBorder="1" applyAlignment="1">
      <alignment horizontal="center" vertical="center"/>
    </xf>
    <xf numFmtId="9" fontId="6" fillId="0" borderId="19" xfId="0" applyNumberFormat="1" applyFont="1" applyBorder="1" applyAlignment="1">
      <alignment horizontal="center" vertical="center"/>
    </xf>
    <xf numFmtId="0" fontId="6" fillId="2" borderId="19"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2" borderId="2" xfId="0" applyFont="1" applyFill="1" applyBorder="1"/>
    <xf numFmtId="0" fontId="6" fillId="2" borderId="6"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3" fillId="0" borderId="1" xfId="1" applyFont="1" applyBorder="1" applyAlignment="1">
      <alignment horizontal="left" vertical="center"/>
    </xf>
    <xf numFmtId="0" fontId="23" fillId="0" borderId="12" xfId="1" applyFont="1" applyBorder="1" applyAlignment="1">
      <alignment horizontal="left" vertical="center"/>
    </xf>
    <xf numFmtId="0" fontId="22" fillId="2" borderId="18"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9" borderId="35"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8" borderId="1" xfId="0" applyFont="1" applyFill="1" applyBorder="1" applyAlignment="1">
      <alignment horizontal="center" vertical="center" wrapText="1"/>
    </xf>
    <xf numFmtId="0" fontId="25" fillId="0" borderId="1" xfId="0" applyFont="1" applyBorder="1" applyAlignment="1">
      <alignment horizontal="center" vertical="center" wrapText="1"/>
    </xf>
    <xf numFmtId="49" fontId="29" fillId="0" borderId="4" xfId="0" applyNumberFormat="1" applyFont="1" applyBorder="1" applyAlignment="1">
      <alignment horizontal="center" vertical="center"/>
    </xf>
    <xf numFmtId="49" fontId="29" fillId="0" borderId="1" xfId="0" applyNumberFormat="1" applyFont="1" applyBorder="1" applyAlignment="1">
      <alignment horizontal="center" vertical="center"/>
    </xf>
    <xf numFmtId="10" fontId="28" fillId="10" borderId="37" xfId="8" applyNumberFormat="1" applyFont="1" applyFill="1" applyBorder="1" applyAlignment="1">
      <alignment horizontal="center" vertical="center"/>
    </xf>
    <xf numFmtId="10" fontId="28" fillId="10" borderId="36" xfId="8" applyNumberFormat="1" applyFont="1" applyFill="1" applyBorder="1" applyAlignment="1">
      <alignment horizontal="center" vertical="center"/>
    </xf>
    <xf numFmtId="10" fontId="28" fillId="10" borderId="39" xfId="8" applyNumberFormat="1" applyFont="1" applyFill="1" applyBorder="1" applyAlignment="1">
      <alignment horizontal="center" vertical="center"/>
    </xf>
    <xf numFmtId="10" fontId="25" fillId="10" borderId="36" xfId="8" applyNumberFormat="1" applyFont="1" applyFill="1" applyBorder="1" applyAlignment="1">
      <alignment horizontal="center" vertical="center"/>
    </xf>
    <xf numFmtId="10" fontId="25" fillId="10" borderId="50" xfId="8" applyNumberFormat="1" applyFont="1" applyFill="1" applyBorder="1" applyAlignment="1">
      <alignment horizontal="center" vertical="center"/>
    </xf>
    <xf numFmtId="10" fontId="25" fillId="10" borderId="49" xfId="8" applyNumberFormat="1" applyFont="1" applyFill="1" applyBorder="1" applyAlignment="1">
      <alignment horizontal="center" vertical="center"/>
    </xf>
    <xf numFmtId="10" fontId="25" fillId="0" borderId="49" xfId="8" applyNumberFormat="1" applyFont="1" applyFill="1" applyBorder="1" applyAlignment="1">
      <alignment horizontal="center" vertical="center"/>
    </xf>
    <xf numFmtId="0" fontId="30" fillId="2" borderId="1" xfId="1" applyFont="1" applyFill="1" applyBorder="1" applyAlignment="1">
      <alignment horizontal="left" vertical="center"/>
    </xf>
    <xf numFmtId="0" fontId="30" fillId="2" borderId="5" xfId="0" applyFont="1" applyFill="1" applyBorder="1" applyAlignment="1">
      <alignment horizontal="center" vertical="center" wrapText="1"/>
    </xf>
    <xf numFmtId="0" fontId="6" fillId="0" borderId="0" xfId="0" applyFont="1"/>
    <xf numFmtId="0" fontId="30" fillId="2" borderId="14" xfId="0" applyFont="1" applyFill="1" applyBorder="1" applyAlignment="1">
      <alignment horizontal="center" vertical="center" wrapText="1"/>
    </xf>
    <xf numFmtId="0" fontId="31" fillId="2" borderId="18"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32" fillId="7" borderId="18" xfId="0" applyFont="1" applyFill="1" applyBorder="1" applyAlignment="1">
      <alignment horizontal="center" vertical="center" wrapText="1"/>
    </xf>
    <xf numFmtId="0" fontId="31" fillId="7" borderId="18" xfId="0" applyFont="1" applyFill="1" applyBorder="1" applyAlignment="1">
      <alignment horizontal="center" vertical="center" wrapText="1"/>
    </xf>
    <xf numFmtId="0" fontId="33" fillId="0" borderId="18" xfId="0" applyFont="1" applyBorder="1" applyAlignment="1">
      <alignment horizontal="center" vertical="center" wrapText="1"/>
    </xf>
    <xf numFmtId="0" fontId="32" fillId="2" borderId="18" xfId="0" applyFont="1" applyFill="1" applyBorder="1" applyAlignment="1">
      <alignment horizontal="center" vertical="center" wrapText="1"/>
    </xf>
    <xf numFmtId="0" fontId="6" fillId="0" borderId="0" xfId="0" applyFont="1" applyAlignment="1">
      <alignment horizontal="center"/>
    </xf>
    <xf numFmtId="0" fontId="6" fillId="0" borderId="7" xfId="0" applyFont="1" applyBorder="1" applyAlignment="1">
      <alignment horizontal="center" vertical="center" wrapText="1"/>
    </xf>
    <xf numFmtId="0" fontId="6" fillId="0" borderId="7" xfId="0" applyFont="1" applyBorder="1" applyAlignment="1">
      <alignment vertical="center" wrapText="1"/>
    </xf>
    <xf numFmtId="0" fontId="6" fillId="0" borderId="7" xfId="0" applyFont="1" applyBorder="1" applyAlignment="1">
      <alignment horizontal="center" vertical="center"/>
    </xf>
    <xf numFmtId="0" fontId="6" fillId="2" borderId="7" xfId="0" applyFont="1" applyFill="1" applyBorder="1" applyAlignment="1">
      <alignment horizontal="center" vertical="center"/>
    </xf>
    <xf numFmtId="10" fontId="26" fillId="2" borderId="1" xfId="8" applyNumberFormat="1" applyFont="1" applyFill="1" applyBorder="1" applyAlignment="1">
      <alignment horizontal="center" vertical="center"/>
    </xf>
    <xf numFmtId="14" fontId="6" fillId="0" borderId="7" xfId="0" applyNumberFormat="1" applyFont="1" applyBorder="1" applyAlignment="1">
      <alignment horizontal="center" vertical="center"/>
    </xf>
    <xf numFmtId="44" fontId="6" fillId="0" borderId="7" xfId="7" applyFont="1" applyBorder="1" applyAlignment="1">
      <alignment horizontal="center" vertical="center"/>
    </xf>
    <xf numFmtId="0" fontId="6" fillId="0" borderId="20" xfId="0" applyFont="1" applyBorder="1" applyAlignment="1">
      <alignment horizontal="center" vertical="center" wrapText="1"/>
    </xf>
    <xf numFmtId="0" fontId="6" fillId="0" borderId="1" xfId="0" applyFont="1" applyBorder="1" applyAlignment="1">
      <alignment vertical="center" wrapText="1"/>
    </xf>
    <xf numFmtId="14" fontId="6" fillId="0" borderId="1" xfId="0" applyNumberFormat="1" applyFont="1" applyBorder="1" applyAlignment="1">
      <alignment horizontal="center" vertical="center"/>
    </xf>
    <xf numFmtId="44" fontId="6" fillId="0" borderId="1" xfId="7" applyFont="1" applyBorder="1" applyAlignment="1">
      <alignment vertical="center"/>
    </xf>
    <xf numFmtId="0" fontId="6" fillId="0" borderId="1" xfId="0" applyFont="1" applyBorder="1" applyAlignment="1">
      <alignment vertical="center"/>
    </xf>
    <xf numFmtId="44" fontId="6" fillId="0" borderId="1" xfId="7" applyFont="1" applyBorder="1" applyAlignment="1">
      <alignment horizontal="center" vertical="center"/>
    </xf>
    <xf numFmtId="0" fontId="6" fillId="2" borderId="21" xfId="0" applyFont="1" applyFill="1" applyBorder="1" applyAlignment="1">
      <alignment horizontal="center" vertical="center"/>
    </xf>
    <xf numFmtId="0" fontId="6" fillId="0" borderId="21" xfId="0" applyFont="1" applyBorder="1" applyAlignment="1">
      <alignment horizontal="center" vertical="center" wrapText="1"/>
    </xf>
    <xf numFmtId="0" fontId="6" fillId="0" borderId="21" xfId="0" applyFont="1" applyBorder="1" applyAlignment="1">
      <alignment vertical="center" wrapText="1"/>
    </xf>
    <xf numFmtId="9" fontId="6" fillId="0" borderId="21" xfId="0" applyNumberFormat="1" applyFont="1" applyBorder="1" applyAlignment="1">
      <alignment horizontal="center" vertical="center"/>
    </xf>
    <xf numFmtId="0" fontId="6" fillId="0" borderId="21" xfId="0" applyFont="1" applyBorder="1" applyAlignment="1">
      <alignment horizontal="center" vertical="center"/>
    </xf>
    <xf numFmtId="10" fontId="26" fillId="2" borderId="18" xfId="8" applyNumberFormat="1" applyFont="1" applyFill="1" applyBorder="1" applyAlignment="1">
      <alignment horizontal="center" vertical="center"/>
    </xf>
    <xf numFmtId="14" fontId="6" fillId="0" borderId="21" xfId="0" applyNumberFormat="1" applyFont="1" applyBorder="1" applyAlignment="1">
      <alignment horizontal="center" vertical="center"/>
    </xf>
    <xf numFmtId="44" fontId="6" fillId="0" borderId="21" xfId="7" applyFont="1" applyBorder="1" applyAlignment="1">
      <alignment vertical="center"/>
    </xf>
    <xf numFmtId="0" fontId="6" fillId="0" borderId="21" xfId="0" applyFont="1" applyBorder="1" applyAlignment="1">
      <alignment vertical="center"/>
    </xf>
    <xf numFmtId="44" fontId="6" fillId="0" borderId="21" xfId="7" applyFont="1" applyBorder="1" applyAlignment="1">
      <alignment horizontal="center" vertical="center"/>
    </xf>
    <xf numFmtId="0" fontId="6" fillId="10" borderId="17" xfId="0" applyFont="1" applyFill="1" applyBorder="1" applyAlignment="1">
      <alignment horizontal="center" vertical="center"/>
    </xf>
    <xf numFmtId="0" fontId="6" fillId="10" borderId="20" xfId="0" applyFont="1" applyFill="1" applyBorder="1" applyAlignment="1">
      <alignment horizontal="center" vertical="center" wrapText="1"/>
    </xf>
    <xf numFmtId="49" fontId="6" fillId="10" borderId="20" xfId="0" applyNumberFormat="1" applyFont="1" applyFill="1" applyBorder="1" applyAlignment="1">
      <alignment horizontal="center" vertical="center" wrapText="1"/>
    </xf>
    <xf numFmtId="0" fontId="6" fillId="10" borderId="20" xfId="0" applyFont="1" applyFill="1" applyBorder="1" applyAlignment="1">
      <alignment horizontal="center" vertical="center"/>
    </xf>
    <xf numFmtId="14" fontId="6" fillId="10" borderId="50" xfId="0" applyNumberFormat="1" applyFont="1" applyFill="1" applyBorder="1" applyAlignment="1">
      <alignment horizontal="center" vertical="center"/>
    </xf>
    <xf numFmtId="0" fontId="6" fillId="10" borderId="50" xfId="0" applyFont="1" applyFill="1" applyBorder="1" applyAlignment="1">
      <alignment horizontal="center" vertical="center"/>
    </xf>
    <xf numFmtId="0" fontId="6" fillId="10" borderId="50" xfId="0" applyFont="1" applyFill="1" applyBorder="1" applyAlignment="1">
      <alignment horizontal="center" vertical="center" wrapText="1"/>
    </xf>
    <xf numFmtId="0" fontId="6" fillId="10" borderId="50" xfId="0" applyFont="1" applyFill="1" applyBorder="1" applyAlignment="1">
      <alignment vertical="center" wrapText="1"/>
    </xf>
    <xf numFmtId="44" fontId="6" fillId="10" borderId="50" xfId="7" applyFont="1" applyFill="1" applyBorder="1" applyAlignment="1">
      <alignment vertical="center"/>
    </xf>
    <xf numFmtId="0" fontId="6" fillId="10" borderId="50" xfId="0" applyFont="1" applyFill="1" applyBorder="1" applyAlignment="1">
      <alignment vertical="center"/>
    </xf>
    <xf numFmtId="44" fontId="6" fillId="10" borderId="50" xfId="7" applyFont="1" applyFill="1" applyBorder="1" applyAlignment="1">
      <alignment horizontal="center" vertical="center"/>
    </xf>
    <xf numFmtId="0" fontId="6" fillId="10" borderId="51" xfId="0" applyFont="1" applyFill="1" applyBorder="1" applyAlignment="1">
      <alignment horizontal="center" vertical="center"/>
    </xf>
    <xf numFmtId="0" fontId="6" fillId="10" borderId="0" xfId="0" applyFont="1" applyFill="1"/>
    <xf numFmtId="0" fontId="6" fillId="2" borderId="43" xfId="0" applyFont="1" applyFill="1" applyBorder="1" applyAlignment="1">
      <alignment horizontal="center" vertical="center"/>
    </xf>
    <xf numFmtId="1" fontId="6" fillId="0" borderId="15" xfId="0" applyNumberFormat="1" applyFont="1" applyBorder="1" applyAlignment="1">
      <alignment horizontal="center" vertical="center"/>
    </xf>
    <xf numFmtId="0" fontId="6" fillId="0" borderId="19" xfId="0" applyFont="1" applyBorder="1" applyAlignment="1">
      <alignment vertical="center" wrapText="1"/>
    </xf>
    <xf numFmtId="0" fontId="6" fillId="0" borderId="19" xfId="0" applyFont="1" applyBorder="1" applyAlignment="1">
      <alignment horizontal="center" vertical="center"/>
    </xf>
    <xf numFmtId="10" fontId="26" fillId="2" borderId="19" xfId="8" applyNumberFormat="1" applyFont="1" applyFill="1" applyBorder="1" applyAlignment="1">
      <alignment horizontal="center" vertical="center"/>
    </xf>
    <xf numFmtId="14" fontId="6" fillId="0" borderId="19" xfId="0" applyNumberFormat="1" applyFont="1" applyBorder="1" applyAlignment="1">
      <alignment horizontal="center" vertical="center"/>
    </xf>
    <xf numFmtId="0" fontId="6" fillId="2" borderId="20" xfId="0" applyFont="1" applyFill="1" applyBorder="1" applyAlignment="1">
      <alignment horizontal="center" vertical="center"/>
    </xf>
    <xf numFmtId="0" fontId="6" fillId="0" borderId="20" xfId="0" applyFont="1" applyBorder="1" applyAlignment="1">
      <alignment horizontal="center" vertical="center"/>
    </xf>
    <xf numFmtId="14" fontId="6" fillId="0" borderId="20" xfId="0" applyNumberFormat="1" applyFont="1" applyBorder="1" applyAlignment="1">
      <alignment horizontal="center" vertical="center"/>
    </xf>
    <xf numFmtId="0" fontId="6" fillId="2" borderId="2" xfId="0" applyFont="1" applyFill="1" applyBorder="1" applyAlignment="1">
      <alignment horizontal="center" vertical="center"/>
    </xf>
    <xf numFmtId="44" fontId="6" fillId="0" borderId="19" xfId="7" applyFont="1" applyBorder="1" applyAlignment="1">
      <alignment horizontal="center" vertical="center" wrapText="1"/>
    </xf>
    <xf numFmtId="0" fontId="6" fillId="2" borderId="32" xfId="0" applyFont="1" applyFill="1" applyBorder="1" applyAlignment="1">
      <alignment horizontal="center" vertical="center"/>
    </xf>
    <xf numFmtId="0" fontId="6" fillId="0" borderId="18" xfId="0" applyFont="1" applyBorder="1" applyAlignment="1">
      <alignment vertical="center" wrapText="1"/>
    </xf>
    <xf numFmtId="0" fontId="6" fillId="0" borderId="18" xfId="0" applyFont="1" applyBorder="1" applyAlignment="1">
      <alignment horizontal="center" vertical="center"/>
    </xf>
    <xf numFmtId="14" fontId="6" fillId="0" borderId="18" xfId="0" applyNumberFormat="1" applyFont="1" applyBorder="1" applyAlignment="1">
      <alignment horizontal="center" vertical="center"/>
    </xf>
    <xf numFmtId="0" fontId="6" fillId="0" borderId="18" xfId="0" applyFont="1" applyBorder="1" applyAlignment="1">
      <alignment horizontal="left" vertical="center" wrapText="1"/>
    </xf>
    <xf numFmtId="44" fontId="6" fillId="0" borderId="18" xfId="7" applyFont="1" applyBorder="1" applyAlignment="1">
      <alignment vertical="center" wrapText="1"/>
    </xf>
    <xf numFmtId="49" fontId="6" fillId="10" borderId="20" xfId="0" applyNumberFormat="1" applyFont="1" applyFill="1" applyBorder="1" applyAlignment="1">
      <alignment horizontal="center" vertical="center"/>
    </xf>
    <xf numFmtId="0" fontId="6" fillId="10" borderId="16" xfId="0" applyFont="1" applyFill="1" applyBorder="1" applyAlignment="1">
      <alignment horizontal="center" vertical="center"/>
    </xf>
    <xf numFmtId="0" fontId="6" fillId="10" borderId="49" xfId="0" applyFont="1" applyFill="1" applyBorder="1" applyAlignment="1">
      <alignment horizontal="center" vertical="center"/>
    </xf>
    <xf numFmtId="49" fontId="6" fillId="10" borderId="50" xfId="0" applyNumberFormat="1" applyFont="1" applyFill="1" applyBorder="1" applyAlignment="1">
      <alignment horizontal="center" vertical="center"/>
    </xf>
    <xf numFmtId="49" fontId="6" fillId="0" borderId="19" xfId="0" applyNumberFormat="1" applyFont="1" applyBorder="1" applyAlignment="1">
      <alignment horizontal="center" vertical="center"/>
    </xf>
    <xf numFmtId="0" fontId="6" fillId="2" borderId="13" xfId="0" applyFont="1" applyFill="1" applyBorder="1" applyAlignment="1">
      <alignment horizontal="center" vertical="center"/>
    </xf>
    <xf numFmtId="44" fontId="6" fillId="0" borderId="19" xfId="7" applyFont="1" applyBorder="1" applyAlignment="1">
      <alignment vertical="center"/>
    </xf>
    <xf numFmtId="0" fontId="6" fillId="0" borderId="19" xfId="0" applyFont="1" applyBorder="1" applyAlignment="1">
      <alignment vertical="center"/>
    </xf>
    <xf numFmtId="44" fontId="6" fillId="0" borderId="1" xfId="7" applyFont="1" applyBorder="1" applyAlignment="1">
      <alignment vertical="center" wrapText="1"/>
    </xf>
    <xf numFmtId="44" fontId="6" fillId="0" borderId="20" xfId="7" applyFont="1" applyBorder="1" applyAlignment="1">
      <alignment vertical="center" wrapText="1"/>
    </xf>
    <xf numFmtId="44" fontId="6" fillId="0" borderId="20" xfId="7" applyFont="1" applyBorder="1" applyAlignment="1">
      <alignment vertical="center"/>
    </xf>
    <xf numFmtId="0" fontId="6" fillId="0" borderId="20" xfId="0" applyFont="1" applyBorder="1" applyAlignment="1">
      <alignment vertical="center"/>
    </xf>
    <xf numFmtId="0" fontId="6" fillId="10" borderId="49" xfId="0" applyFont="1" applyFill="1" applyBorder="1" applyAlignment="1">
      <alignment horizontal="center" vertical="center" wrapText="1"/>
    </xf>
    <xf numFmtId="0" fontId="6" fillId="10" borderId="53" xfId="0" applyFont="1" applyFill="1" applyBorder="1" applyAlignment="1">
      <alignment horizontal="center" vertical="center"/>
    </xf>
    <xf numFmtId="0" fontId="6" fillId="0" borderId="1" xfId="0" applyFont="1" applyBorder="1" applyAlignment="1">
      <alignment horizontal="left" vertical="center" wrapText="1"/>
    </xf>
    <xf numFmtId="0" fontId="34" fillId="0" borderId="1" xfId="0" applyFont="1" applyBorder="1" applyAlignment="1">
      <alignment vertical="center" wrapText="1"/>
    </xf>
    <xf numFmtId="14" fontId="6" fillId="0" borderId="1" xfId="0" applyNumberFormat="1" applyFont="1" applyBorder="1" applyAlignment="1">
      <alignment vertical="center"/>
    </xf>
    <xf numFmtId="0" fontId="6" fillId="0" borderId="18" xfId="0" applyFont="1" applyBorder="1" applyAlignment="1">
      <alignment horizontal="center"/>
    </xf>
    <xf numFmtId="0" fontId="6" fillId="10" borderId="29" xfId="0" applyFont="1" applyFill="1" applyBorder="1" applyAlignment="1">
      <alignment horizontal="center" vertical="center" wrapText="1"/>
    </xf>
    <xf numFmtId="0" fontId="6" fillId="10" borderId="50" xfId="0" applyFont="1" applyFill="1" applyBorder="1" applyAlignment="1">
      <alignment horizontal="center"/>
    </xf>
    <xf numFmtId="44" fontId="6" fillId="0" borderId="18" xfId="7" applyFont="1" applyBorder="1" applyAlignment="1">
      <alignment vertical="center"/>
    </xf>
    <xf numFmtId="0" fontId="6" fillId="0" borderId="18" xfId="0" applyFont="1" applyBorder="1" applyAlignment="1">
      <alignment vertical="center"/>
    </xf>
    <xf numFmtId="0" fontId="6" fillId="0" borderId="1" xfId="0" applyFont="1" applyBorder="1" applyAlignment="1">
      <alignment horizontal="left" vertical="center"/>
    </xf>
    <xf numFmtId="44" fontId="6" fillId="0" borderId="11" xfId="7" applyFont="1" applyBorder="1" applyAlignment="1">
      <alignment vertical="center"/>
    </xf>
    <xf numFmtId="0" fontId="6" fillId="2" borderId="22" xfId="0" applyFont="1" applyFill="1" applyBorder="1" applyAlignment="1">
      <alignment horizontal="center" vertical="center"/>
    </xf>
    <xf numFmtId="44" fontId="6" fillId="0" borderId="32" xfId="7" applyFont="1" applyBorder="1" applyAlignment="1">
      <alignment vertical="center"/>
    </xf>
    <xf numFmtId="0" fontId="6" fillId="10" borderId="17" xfId="0" applyFont="1" applyFill="1" applyBorder="1" applyAlignment="1">
      <alignment horizontal="center" vertical="center" wrapText="1"/>
    </xf>
    <xf numFmtId="0" fontId="6" fillId="0" borderId="7" xfId="0" applyFont="1" applyBorder="1" applyAlignment="1">
      <alignment horizontal="left" vertical="center" wrapText="1"/>
    </xf>
    <xf numFmtId="0" fontId="6" fillId="0" borderId="23" xfId="0" applyFont="1" applyBorder="1" applyAlignment="1">
      <alignment vertical="center" wrapText="1"/>
    </xf>
    <xf numFmtId="0" fontId="6" fillId="0" borderId="23" xfId="0" applyFont="1" applyBorder="1" applyAlignment="1">
      <alignment vertical="center"/>
    </xf>
    <xf numFmtId="0" fontId="6" fillId="0" borderId="21" xfId="0" applyFont="1" applyBorder="1" applyAlignment="1">
      <alignment horizontal="left" vertical="center" wrapText="1"/>
    </xf>
    <xf numFmtId="9" fontId="6" fillId="0" borderId="7" xfId="0" applyNumberFormat="1" applyFont="1" applyBorder="1" applyAlignment="1">
      <alignment horizontal="center" vertical="center"/>
    </xf>
    <xf numFmtId="44" fontId="6" fillId="0" borderId="19" xfId="7" applyFont="1" applyBorder="1" applyAlignment="1">
      <alignment vertical="center" wrapText="1"/>
    </xf>
    <xf numFmtId="0" fontId="6" fillId="0" borderId="18" xfId="0" applyFont="1" applyBorder="1" applyAlignment="1">
      <alignment horizontal="center" wrapText="1"/>
    </xf>
    <xf numFmtId="44" fontId="6" fillId="0" borderId="0" xfId="7" applyFont="1" applyAlignment="1">
      <alignment horizontal="center" vertical="center"/>
    </xf>
    <xf numFmtId="0" fontId="35" fillId="10" borderId="20" xfId="0" applyFont="1" applyFill="1" applyBorder="1" applyAlignment="1">
      <alignment horizontal="center" vertical="center" wrapText="1"/>
    </xf>
    <xf numFmtId="0" fontId="6" fillId="0" borderId="7" xfId="0" applyFont="1" applyBorder="1" applyAlignment="1">
      <alignment vertical="center"/>
    </xf>
    <xf numFmtId="0" fontId="6" fillId="0" borderId="19" xfId="0" applyFont="1" applyBorder="1" applyAlignment="1">
      <alignment horizontal="center" wrapText="1"/>
    </xf>
    <xf numFmtId="0" fontId="6" fillId="0" borderId="20" xfId="0" applyFont="1" applyBorder="1" applyAlignment="1">
      <alignment vertical="center" wrapText="1"/>
    </xf>
    <xf numFmtId="44" fontId="6" fillId="0" borderId="18" xfId="7" applyFont="1" applyBorder="1" applyAlignment="1">
      <alignment horizontal="center" vertical="center" wrapText="1"/>
    </xf>
    <xf numFmtId="0" fontId="6" fillId="0" borderId="1" xfId="0" applyFont="1" applyBorder="1" applyAlignment="1">
      <alignment wrapText="1"/>
    </xf>
    <xf numFmtId="0" fontId="6" fillId="0" borderId="19" xfId="0" applyFont="1" applyBorder="1" applyAlignment="1">
      <alignment wrapText="1"/>
    </xf>
    <xf numFmtId="44" fontId="6" fillId="0" borderId="1" xfId="7" applyFont="1" applyBorder="1" applyAlignment="1">
      <alignment horizontal="center" vertical="center" wrapText="1"/>
    </xf>
    <xf numFmtId="14" fontId="6" fillId="0" borderId="18" xfId="0" applyNumberFormat="1" applyFont="1" applyBorder="1" applyAlignment="1">
      <alignment vertical="center"/>
    </xf>
    <xf numFmtId="0" fontId="6" fillId="10" borderId="27" xfId="0" applyFont="1" applyFill="1" applyBorder="1" applyAlignment="1">
      <alignment horizontal="center" vertical="center" wrapText="1"/>
    </xf>
    <xf numFmtId="0" fontId="35" fillId="10" borderId="22" xfId="0" applyFont="1" applyFill="1" applyBorder="1" applyAlignment="1">
      <alignment horizontal="center" vertical="center" wrapText="1"/>
    </xf>
    <xf numFmtId="49" fontId="6" fillId="10" borderId="22" xfId="0" applyNumberFormat="1" applyFont="1" applyFill="1" applyBorder="1" applyAlignment="1">
      <alignment horizontal="center" vertical="center"/>
    </xf>
    <xf numFmtId="0" fontId="6" fillId="10" borderId="34" xfId="0" applyFont="1" applyFill="1" applyBorder="1" applyAlignment="1">
      <alignment horizontal="center" vertical="center"/>
    </xf>
    <xf numFmtId="14" fontId="6" fillId="10" borderId="50" xfId="0" applyNumberFormat="1" applyFont="1" applyFill="1" applyBorder="1" applyAlignment="1">
      <alignment vertical="center"/>
    </xf>
    <xf numFmtId="0" fontId="35" fillId="0" borderId="19" xfId="0" applyFont="1" applyBorder="1" applyAlignment="1">
      <alignment horizontal="center" vertical="center" wrapText="1"/>
    </xf>
    <xf numFmtId="0" fontId="6" fillId="0" borderId="19" xfId="0" applyFont="1" applyBorder="1" applyAlignment="1">
      <alignment horizontal="center"/>
    </xf>
    <xf numFmtId="0" fontId="6" fillId="0" borderId="19" xfId="0" applyFont="1" applyBorder="1"/>
    <xf numFmtId="0" fontId="26" fillId="2" borderId="0" xfId="0" applyFont="1" applyFill="1"/>
    <xf numFmtId="0" fontId="6" fillId="0" borderId="0" xfId="0" applyFont="1" applyAlignment="1">
      <alignment horizontal="center" vertical="center"/>
    </xf>
    <xf numFmtId="0" fontId="28" fillId="0" borderId="1" xfId="0" applyFont="1" applyBorder="1" applyAlignment="1">
      <alignment horizontal="center" vertical="center" wrapText="1"/>
    </xf>
    <xf numFmtId="44" fontId="27" fillId="10" borderId="50" xfId="7" applyFont="1" applyFill="1" applyBorder="1" applyAlignment="1">
      <alignment horizontal="center" vertical="center"/>
    </xf>
    <xf numFmtId="10" fontId="27" fillId="10" borderId="50" xfId="8" applyNumberFormat="1" applyFont="1" applyFill="1" applyBorder="1" applyAlignment="1">
      <alignment horizontal="center" vertical="center"/>
    </xf>
    <xf numFmtId="44" fontId="27" fillId="10" borderId="50" xfId="0" applyNumberFormat="1" applyFont="1" applyFill="1" applyBorder="1" applyAlignment="1">
      <alignment horizontal="center" vertical="center"/>
    </xf>
    <xf numFmtId="44" fontId="27" fillId="10" borderId="50" xfId="0" applyNumberFormat="1" applyFont="1" applyFill="1" applyBorder="1" applyAlignment="1">
      <alignment vertical="center"/>
    </xf>
    <xf numFmtId="44" fontId="27" fillId="10" borderId="17" xfId="0" applyNumberFormat="1" applyFont="1" applyFill="1" applyBorder="1" applyAlignment="1">
      <alignment horizontal="center" vertical="center"/>
    </xf>
    <xf numFmtId="10" fontId="27" fillId="10" borderId="17" xfId="8" applyNumberFormat="1" applyFont="1" applyFill="1" applyBorder="1" applyAlignment="1">
      <alignment horizontal="center" vertical="center"/>
    </xf>
    <xf numFmtId="44" fontId="28" fillId="10" borderId="50" xfId="0" applyNumberFormat="1" applyFont="1" applyFill="1" applyBorder="1" applyAlignment="1">
      <alignment horizontal="center" vertical="center"/>
    </xf>
    <xf numFmtId="10" fontId="28" fillId="10" borderId="50" xfId="8" applyNumberFormat="1" applyFont="1" applyFill="1" applyBorder="1" applyAlignment="1">
      <alignment horizontal="center" vertical="center"/>
    </xf>
    <xf numFmtId="44" fontId="27" fillId="10" borderId="50" xfId="0" applyNumberFormat="1" applyFont="1" applyFill="1" applyBorder="1" applyAlignment="1">
      <alignment vertical="center" wrapText="1"/>
    </xf>
    <xf numFmtId="10" fontId="27" fillId="10" borderId="50" xfId="8" applyNumberFormat="1" applyFont="1" applyFill="1" applyBorder="1" applyAlignment="1">
      <alignment horizontal="center" vertical="center" wrapText="1"/>
    </xf>
    <xf numFmtId="0" fontId="24" fillId="0" borderId="4" xfId="0" applyFont="1" applyBorder="1" applyAlignment="1">
      <alignment horizontal="center" vertical="center"/>
    </xf>
    <xf numFmtId="10" fontId="26" fillId="0" borderId="18" xfId="8" applyNumberFormat="1" applyFont="1" applyFill="1" applyBorder="1" applyAlignment="1">
      <alignment horizontal="center" vertical="center"/>
    </xf>
    <xf numFmtId="10" fontId="26" fillId="0" borderId="19" xfId="8" applyNumberFormat="1" applyFont="1" applyFill="1" applyBorder="1" applyAlignment="1">
      <alignment horizontal="center" vertical="center"/>
    </xf>
    <xf numFmtId="10" fontId="27" fillId="10" borderId="37" xfId="8" applyNumberFormat="1" applyFont="1" applyFill="1" applyBorder="1" applyAlignment="1">
      <alignment horizontal="center" vertical="center"/>
    </xf>
    <xf numFmtId="10" fontId="27" fillId="10" borderId="36" xfId="8" applyNumberFormat="1" applyFont="1" applyFill="1" applyBorder="1" applyAlignment="1">
      <alignment horizontal="center" vertical="center"/>
    </xf>
    <xf numFmtId="10" fontId="27" fillId="10" borderId="38" xfId="8" applyNumberFormat="1" applyFont="1" applyFill="1" applyBorder="1" applyAlignment="1">
      <alignment horizontal="center" vertical="center"/>
    </xf>
    <xf numFmtId="10" fontId="27" fillId="10" borderId="39" xfId="8" applyNumberFormat="1" applyFont="1" applyFill="1" applyBorder="1" applyAlignment="1">
      <alignment horizontal="center" vertical="center"/>
    </xf>
    <xf numFmtId="10" fontId="26" fillId="0" borderId="20" xfId="8" applyNumberFormat="1" applyFont="1" applyFill="1" applyBorder="1" applyAlignment="1">
      <alignment horizontal="center" vertical="center"/>
    </xf>
    <xf numFmtId="0" fontId="24" fillId="0" borderId="15" xfId="0" applyFont="1" applyBorder="1" applyAlignment="1">
      <alignment horizontal="center" vertical="center"/>
    </xf>
    <xf numFmtId="10" fontId="28" fillId="2" borderId="36" xfId="0" applyNumberFormat="1" applyFont="1" applyFill="1" applyBorder="1" applyAlignment="1">
      <alignment horizontal="center" vertical="center"/>
    </xf>
    <xf numFmtId="44" fontId="28" fillId="0" borderId="37" xfId="0" applyNumberFormat="1" applyFont="1" applyBorder="1" applyAlignment="1">
      <alignment horizontal="center" vertical="center"/>
    </xf>
    <xf numFmtId="44" fontId="28" fillId="0" borderId="38" xfId="0" applyNumberFormat="1" applyFont="1" applyBorder="1" applyAlignment="1">
      <alignment horizontal="center" vertical="center"/>
    </xf>
    <xf numFmtId="10" fontId="28" fillId="0" borderId="39" xfId="8" applyNumberFormat="1" applyFont="1" applyBorder="1" applyAlignment="1">
      <alignment horizontal="center" vertical="center"/>
    </xf>
    <xf numFmtId="44" fontId="28" fillId="0" borderId="36" xfId="0" applyNumberFormat="1" applyFont="1" applyBorder="1" applyAlignment="1">
      <alignment horizontal="center" vertical="center"/>
    </xf>
    <xf numFmtId="10" fontId="28" fillId="0" borderId="36" xfId="8" applyNumberFormat="1" applyFont="1" applyBorder="1" applyAlignment="1">
      <alignment horizontal="center"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10" fontId="0" fillId="0" borderId="1" xfId="0" applyNumberFormat="1" applyBorder="1" applyAlignment="1">
      <alignment horizontal="center" vertical="center"/>
    </xf>
    <xf numFmtId="0" fontId="0" fillId="0" borderId="1" xfId="0" applyBorder="1" applyAlignment="1">
      <alignment wrapText="1"/>
    </xf>
    <xf numFmtId="0" fontId="0" fillId="0" borderId="1" xfId="0" applyBorder="1" applyAlignment="1">
      <alignment vertical="center" wrapText="1"/>
    </xf>
    <xf numFmtId="44" fontId="0" fillId="0" borderId="1" xfId="0" applyNumberFormat="1" applyBorder="1" applyAlignment="1">
      <alignment horizontal="center" vertical="center"/>
    </xf>
    <xf numFmtId="10" fontId="0" fillId="0" borderId="1" xfId="8" applyNumberFormat="1" applyFont="1" applyBorder="1" applyAlignment="1">
      <alignment horizontal="center" vertical="center"/>
    </xf>
    <xf numFmtId="0" fontId="36" fillId="0" borderId="37" xfId="0" applyFont="1" applyBorder="1" applyAlignment="1">
      <alignment horizontal="center" vertical="center" wrapText="1"/>
    </xf>
    <xf numFmtId="0" fontId="36" fillId="0" borderId="36" xfId="0" applyFont="1" applyBorder="1" applyAlignment="1">
      <alignment horizontal="center" vertical="center" wrapText="1"/>
    </xf>
    <xf numFmtId="10" fontId="12" fillId="0" borderId="39" xfId="0" applyNumberFormat="1" applyFont="1" applyBorder="1" applyAlignment="1">
      <alignment horizontal="center" vertical="center"/>
    </xf>
    <xf numFmtId="10" fontId="12" fillId="0" borderId="36" xfId="0" applyNumberFormat="1" applyFont="1" applyBorder="1" applyAlignment="1">
      <alignment horizontal="center" vertical="center"/>
    </xf>
    <xf numFmtId="44" fontId="12" fillId="0" borderId="36" xfId="0" applyNumberFormat="1" applyFont="1" applyBorder="1" applyAlignment="1">
      <alignment vertical="center"/>
    </xf>
    <xf numFmtId="44" fontId="12" fillId="0" borderId="38" xfId="0" applyNumberFormat="1" applyFont="1" applyBorder="1" applyAlignment="1">
      <alignment vertical="center"/>
    </xf>
    <xf numFmtId="10" fontId="12" fillId="0" borderId="38" xfId="8" applyNumberFormat="1" applyFont="1" applyBorder="1" applyAlignment="1">
      <alignment horizontal="center" vertical="center"/>
    </xf>
    <xf numFmtId="10" fontId="12" fillId="0" borderId="36" xfId="8" applyNumberFormat="1" applyFont="1" applyBorder="1" applyAlignment="1">
      <alignment horizontal="center" vertical="center"/>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4" fillId="3"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4" fillId="2" borderId="1" xfId="0" applyFont="1" applyFill="1" applyBorder="1" applyAlignment="1">
      <alignment horizontal="left" vertical="center"/>
    </xf>
    <xf numFmtId="0" fontId="9"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4" fillId="0" borderId="1" xfId="0" applyFont="1" applyBorder="1" applyAlignment="1">
      <alignment horizontal="left" vertical="center"/>
    </xf>
    <xf numFmtId="0" fontId="14" fillId="0" borderId="1" xfId="0" applyFont="1" applyBorder="1" applyAlignment="1">
      <alignment horizontal="left"/>
    </xf>
    <xf numFmtId="0" fontId="15" fillId="0" borderId="1" xfId="0" applyFont="1" applyBorder="1" applyAlignment="1">
      <alignment horizontal="lef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4" fillId="0" borderId="3" xfId="0" applyFont="1" applyBorder="1" applyAlignment="1">
      <alignment horizont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6" fillId="0" borderId="1" xfId="0" applyFont="1" applyBorder="1" applyAlignment="1">
      <alignment horizontal="left" vertical="center" wrapText="1"/>
    </xf>
    <xf numFmtId="0" fontId="6" fillId="0" borderId="1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3" xfId="0" applyFont="1" applyBorder="1" applyAlignment="1">
      <alignment horizontal="center" vertical="center" wrapText="1"/>
    </xf>
    <xf numFmtId="49" fontId="29" fillId="0" borderId="4" xfId="0" applyNumberFormat="1" applyFont="1" applyBorder="1" applyAlignment="1">
      <alignment horizontal="center" vertical="center"/>
    </xf>
    <xf numFmtId="49" fontId="29" fillId="0" borderId="12" xfId="0" applyNumberFormat="1" applyFont="1" applyBorder="1" applyAlignment="1">
      <alignment horizontal="center" vertical="center"/>
    </xf>
    <xf numFmtId="49" fontId="29" fillId="0" borderId="15" xfId="0" applyNumberFormat="1" applyFont="1" applyBorder="1" applyAlignment="1">
      <alignment horizontal="center" vertical="center"/>
    </xf>
    <xf numFmtId="49" fontId="27" fillId="0" borderId="38" xfId="0" applyNumberFormat="1" applyFont="1" applyBorder="1" applyAlignment="1">
      <alignment horizontal="right" vertical="center"/>
    </xf>
    <xf numFmtId="49" fontId="27" fillId="0" borderId="39" xfId="0" applyNumberFormat="1" applyFont="1" applyBorder="1" applyAlignment="1">
      <alignment horizontal="right" vertical="center"/>
    </xf>
    <xf numFmtId="49" fontId="27" fillId="0" borderId="37" xfId="0" applyNumberFormat="1" applyFont="1" applyBorder="1" applyAlignment="1">
      <alignment horizontal="right" vertical="center"/>
    </xf>
    <xf numFmtId="0" fontId="6" fillId="0" borderId="26"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2" borderId="45"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48"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 xfId="0" applyFont="1" applyFill="1" applyBorder="1" applyAlignment="1">
      <alignment horizontal="center" vertical="center"/>
    </xf>
    <xf numFmtId="0" fontId="6" fillId="2" borderId="1" xfId="0" applyFont="1" applyFill="1" applyBorder="1" applyAlignment="1">
      <alignment horizontal="center"/>
    </xf>
    <xf numFmtId="0" fontId="22" fillId="2" borderId="1"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28" fillId="0" borderId="37"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39" xfId="0" applyFont="1" applyBorder="1" applyAlignment="1">
      <alignment horizontal="center" vertical="center" wrapTex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7" fillId="2" borderId="11" xfId="0" applyFont="1" applyFill="1" applyBorder="1" applyAlignment="1">
      <alignment horizontal="center"/>
    </xf>
    <xf numFmtId="0" fontId="17" fillId="2" borderId="12" xfId="0" applyFont="1" applyFill="1" applyBorder="1" applyAlignment="1">
      <alignment horizontal="center"/>
    </xf>
    <xf numFmtId="0" fontId="17" fillId="2" borderId="16" xfId="0" applyFont="1" applyFill="1" applyBorder="1" applyAlignment="1">
      <alignment horizontal="center"/>
    </xf>
    <xf numFmtId="0" fontId="17" fillId="2" borderId="17" xfId="0" applyFont="1" applyFill="1" applyBorder="1" applyAlignment="1">
      <alignment horizontal="center"/>
    </xf>
    <xf numFmtId="0" fontId="17" fillId="2" borderId="13" xfId="0" applyFont="1" applyFill="1" applyBorder="1" applyAlignment="1">
      <alignment horizontal="center"/>
    </xf>
    <xf numFmtId="0" fontId="17" fillId="2" borderId="15" xfId="0" applyFont="1" applyFill="1" applyBorder="1" applyAlignment="1">
      <alignment horizontal="center"/>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44" fontId="26" fillId="0" borderId="23" xfId="7" applyFont="1" applyBorder="1" applyAlignment="1">
      <alignment horizontal="center" vertical="center"/>
    </xf>
    <xf numFmtId="44" fontId="26" fillId="0" borderId="20" xfId="7" applyFont="1" applyBorder="1" applyAlignment="1">
      <alignment horizontal="center" vertical="center"/>
    </xf>
    <xf numFmtId="44" fontId="26" fillId="0" borderId="22" xfId="7" applyFont="1" applyBorder="1" applyAlignment="1">
      <alignment horizontal="center" vertical="center"/>
    </xf>
    <xf numFmtId="10" fontId="26" fillId="0" borderId="23" xfId="8" applyNumberFormat="1" applyFont="1" applyBorder="1" applyAlignment="1">
      <alignment horizontal="center" vertical="center"/>
    </xf>
    <xf numFmtId="10" fontId="26" fillId="0" borderId="20" xfId="8" applyNumberFormat="1" applyFont="1" applyBorder="1" applyAlignment="1">
      <alignment horizontal="center" vertical="center"/>
    </xf>
    <xf numFmtId="10" fontId="26" fillId="0" borderId="22" xfId="8" applyNumberFormat="1" applyFont="1" applyBorder="1" applyAlignment="1">
      <alignment horizontal="center" vertical="center"/>
    </xf>
    <xf numFmtId="0" fontId="28" fillId="2" borderId="49" xfId="0" applyFont="1" applyFill="1" applyBorder="1" applyAlignment="1">
      <alignment horizontal="center" vertical="center" wrapText="1"/>
    </xf>
    <xf numFmtId="0" fontId="28" fillId="2" borderId="50" xfId="0" applyFont="1" applyFill="1" applyBorder="1" applyAlignment="1">
      <alignment horizontal="center" vertical="center" wrapText="1"/>
    </xf>
    <xf numFmtId="0" fontId="28" fillId="2" borderId="53" xfId="0" applyFont="1" applyFill="1" applyBorder="1" applyAlignment="1">
      <alignment horizontal="center" vertical="center" wrapText="1"/>
    </xf>
    <xf numFmtId="14" fontId="6" fillId="10" borderId="37" xfId="0" applyNumberFormat="1" applyFont="1" applyFill="1" applyBorder="1" applyAlignment="1">
      <alignment horizontal="center" vertical="center"/>
    </xf>
    <xf numFmtId="14" fontId="6" fillId="10" borderId="38" xfId="0" applyNumberFormat="1" applyFont="1" applyFill="1" applyBorder="1" applyAlignment="1">
      <alignment horizontal="center" vertical="center"/>
    </xf>
    <xf numFmtId="14" fontId="6" fillId="10" borderId="52" xfId="0" applyNumberFormat="1" applyFont="1" applyFill="1" applyBorder="1" applyAlignment="1">
      <alignment horizontal="center" vertical="center"/>
    </xf>
    <xf numFmtId="44" fontId="27" fillId="10" borderId="53" xfId="7" applyFont="1" applyFill="1" applyBorder="1" applyAlignment="1">
      <alignment horizontal="center" vertical="center"/>
    </xf>
    <xf numFmtId="44" fontId="27" fillId="10" borderId="38" xfId="7" applyFont="1" applyFill="1" applyBorder="1" applyAlignment="1">
      <alignment horizontal="center" vertical="center"/>
    </xf>
    <xf numFmtId="44" fontId="27" fillId="10" borderId="39" xfId="7" applyFont="1" applyFill="1" applyBorder="1" applyAlignment="1">
      <alignment horizontal="center" vertical="center"/>
    </xf>
    <xf numFmtId="44" fontId="28" fillId="10" borderId="53" xfId="7" applyFont="1" applyFill="1" applyBorder="1" applyAlignment="1">
      <alignment horizontal="center" vertical="center"/>
    </xf>
    <xf numFmtId="44" fontId="28" fillId="10" borderId="38" xfId="7" applyFont="1" applyFill="1" applyBorder="1" applyAlignment="1">
      <alignment horizontal="center" vertical="center"/>
    </xf>
    <xf numFmtId="44" fontId="28" fillId="10" borderId="39" xfId="7" applyFont="1" applyFill="1" applyBorder="1" applyAlignment="1">
      <alignment horizontal="center" vertical="center"/>
    </xf>
    <xf numFmtId="44" fontId="26" fillId="0" borderId="23" xfId="7" applyFont="1" applyBorder="1" applyAlignment="1">
      <alignment horizontal="center" vertical="center" wrapText="1"/>
    </xf>
    <xf numFmtId="44" fontId="26" fillId="0" borderId="22" xfId="7" applyFont="1" applyBorder="1" applyAlignment="1">
      <alignment horizontal="center" vertical="center" wrapText="1"/>
    </xf>
    <xf numFmtId="10" fontId="26" fillId="0" borderId="23" xfId="8" applyNumberFormat="1" applyFont="1" applyBorder="1" applyAlignment="1">
      <alignment horizontal="center" vertical="center" wrapText="1"/>
    </xf>
    <xf numFmtId="10" fontId="26" fillId="0" borderId="22" xfId="8" applyNumberFormat="1" applyFont="1" applyBorder="1" applyAlignment="1">
      <alignment horizontal="center" vertical="center" wrapText="1"/>
    </xf>
    <xf numFmtId="0" fontId="6" fillId="0" borderId="23" xfId="0" applyFont="1" applyBorder="1" applyAlignment="1">
      <alignment horizontal="center" vertical="center"/>
    </xf>
    <xf numFmtId="0" fontId="6" fillId="0" borderId="20" xfId="0" applyFont="1" applyBorder="1" applyAlignment="1">
      <alignment horizontal="center" vertical="center"/>
    </xf>
    <xf numFmtId="44" fontId="6" fillId="0" borderId="23" xfId="7" applyFont="1" applyBorder="1" applyAlignment="1">
      <alignment horizontal="center" vertical="center"/>
    </xf>
    <xf numFmtId="44" fontId="6" fillId="0" borderId="20" xfId="7" applyFont="1" applyBorder="1" applyAlignment="1">
      <alignment horizontal="center" vertical="center"/>
    </xf>
    <xf numFmtId="44" fontId="26" fillId="0" borderId="25" xfId="7" applyFont="1" applyBorder="1" applyAlignment="1">
      <alignment horizontal="center" vertical="center"/>
    </xf>
    <xf numFmtId="44" fontId="26" fillId="0" borderId="29" xfId="7" applyFont="1" applyBorder="1" applyAlignment="1">
      <alignment horizontal="center" vertical="center"/>
    </xf>
    <xf numFmtId="44" fontId="26" fillId="0" borderId="27" xfId="7" applyFont="1" applyBorder="1" applyAlignment="1">
      <alignment horizontal="center" vertical="center"/>
    </xf>
    <xf numFmtId="10" fontId="26" fillId="0" borderId="25" xfId="8" applyNumberFormat="1" applyFont="1" applyBorder="1" applyAlignment="1">
      <alignment horizontal="center" vertical="center"/>
    </xf>
    <xf numFmtId="10" fontId="26" fillId="0" borderId="29" xfId="8" applyNumberFormat="1" applyFont="1" applyBorder="1" applyAlignment="1">
      <alignment horizontal="center" vertical="center"/>
    </xf>
    <xf numFmtId="10" fontId="26" fillId="0" borderId="27" xfId="8" applyNumberFormat="1" applyFont="1" applyBorder="1" applyAlignment="1">
      <alignment horizontal="center" vertical="center"/>
    </xf>
    <xf numFmtId="0" fontId="6" fillId="0" borderId="30" xfId="0" applyFont="1" applyBorder="1" applyAlignment="1">
      <alignment horizontal="center" vertical="center"/>
    </xf>
    <xf numFmtId="0" fontId="6" fillId="0" borderId="28" xfId="0" applyFont="1" applyBorder="1" applyAlignment="1">
      <alignment horizontal="center" vertical="center"/>
    </xf>
    <xf numFmtId="0" fontId="6" fillId="2" borderId="20" xfId="0" applyFont="1" applyFill="1" applyBorder="1" applyAlignment="1">
      <alignment horizontal="center" vertical="center"/>
    </xf>
    <xf numFmtId="0" fontId="6" fillId="2" borderId="22" xfId="0" applyFont="1" applyFill="1" applyBorder="1" applyAlignment="1">
      <alignment horizontal="center" vertical="center"/>
    </xf>
    <xf numFmtId="0" fontId="6" fillId="0" borderId="20" xfId="0" applyFont="1" applyBorder="1" applyAlignment="1">
      <alignment horizontal="center" vertical="center" wrapText="1"/>
    </xf>
    <xf numFmtId="0" fontId="6" fillId="0" borderId="19" xfId="0" applyFont="1" applyBorder="1" applyAlignment="1">
      <alignment horizontal="center" vertical="center" wrapText="1"/>
    </xf>
    <xf numFmtId="44" fontId="6" fillId="0" borderId="19" xfId="7" applyFont="1" applyBorder="1" applyAlignment="1">
      <alignment horizontal="center" vertical="center"/>
    </xf>
    <xf numFmtId="0" fontId="6" fillId="0" borderId="19" xfId="0" applyFont="1" applyBorder="1" applyAlignment="1">
      <alignment horizontal="center" vertical="center"/>
    </xf>
    <xf numFmtId="14" fontId="6" fillId="0" borderId="20" xfId="0" applyNumberFormat="1" applyFont="1" applyBorder="1" applyAlignment="1">
      <alignment horizontal="center" vertical="center"/>
    </xf>
    <xf numFmtId="14" fontId="6" fillId="0" borderId="19" xfId="0" applyNumberFormat="1" applyFont="1" applyBorder="1" applyAlignment="1">
      <alignment horizontal="center" vertical="center"/>
    </xf>
    <xf numFmtId="0" fontId="6" fillId="0" borderId="55" xfId="0" applyFont="1" applyBorder="1" applyAlignment="1">
      <alignment horizontal="center" vertical="center"/>
    </xf>
    <xf numFmtId="0" fontId="6" fillId="0" borderId="10" xfId="0" applyFont="1" applyBorder="1" applyAlignment="1">
      <alignment horizontal="center" vertical="center"/>
    </xf>
    <xf numFmtId="0" fontId="6" fillId="0" borderId="57" xfId="0" applyFont="1" applyBorder="1" applyAlignment="1">
      <alignment horizontal="center" vertical="center"/>
    </xf>
    <xf numFmtId="14" fontId="6" fillId="0" borderId="18" xfId="0" applyNumberFormat="1" applyFont="1" applyBorder="1" applyAlignment="1">
      <alignment horizontal="center" vertical="center"/>
    </xf>
    <xf numFmtId="0" fontId="6" fillId="0" borderId="18" xfId="0" applyFont="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0" borderId="18" xfId="0" applyFont="1" applyBorder="1" applyAlignment="1">
      <alignment horizontal="center"/>
    </xf>
    <xf numFmtId="0" fontId="6" fillId="0" borderId="20" xfId="0" applyFont="1" applyBorder="1" applyAlignment="1">
      <alignment horizontal="center"/>
    </xf>
    <xf numFmtId="14" fontId="6" fillId="0" borderId="1" xfId="0" applyNumberFormat="1" applyFont="1" applyBorder="1" applyAlignment="1">
      <alignment horizontal="center" vertical="center"/>
    </xf>
    <xf numFmtId="10" fontId="26" fillId="0" borderId="26" xfId="8" applyNumberFormat="1" applyFont="1" applyBorder="1" applyAlignment="1">
      <alignment horizontal="center" vertical="center"/>
    </xf>
    <xf numFmtId="10" fontId="26" fillId="0" borderId="30" xfId="8" applyNumberFormat="1" applyFont="1" applyBorder="1" applyAlignment="1">
      <alignment horizontal="center" vertical="center"/>
    </xf>
    <xf numFmtId="10" fontId="26" fillId="0" borderId="28" xfId="8" applyNumberFormat="1" applyFont="1" applyBorder="1" applyAlignment="1">
      <alignment horizontal="center" vertical="center"/>
    </xf>
    <xf numFmtId="0" fontId="6" fillId="0" borderId="26" xfId="0" applyFont="1" applyBorder="1" applyAlignment="1">
      <alignment horizontal="center" vertical="center"/>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14" fontId="6" fillId="0" borderId="12" xfId="0" applyNumberFormat="1" applyFont="1" applyBorder="1" applyAlignment="1">
      <alignment horizontal="center" vertical="center"/>
    </xf>
    <xf numFmtId="14" fontId="6" fillId="0" borderId="17" xfId="0" applyNumberFormat="1" applyFont="1" applyBorder="1" applyAlignment="1">
      <alignment horizontal="center" vertical="center"/>
    </xf>
    <xf numFmtId="0" fontId="6" fillId="0" borderId="18"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2" xfId="0" applyFont="1" applyBorder="1" applyAlignment="1">
      <alignment horizontal="center" vertical="center"/>
    </xf>
    <xf numFmtId="44" fontId="6" fillId="0" borderId="22" xfId="7" applyFont="1" applyBorder="1" applyAlignment="1">
      <alignment horizontal="center" vertical="center"/>
    </xf>
    <xf numFmtId="44" fontId="6" fillId="0" borderId="1" xfId="7" applyFont="1" applyBorder="1" applyAlignment="1">
      <alignment horizontal="center" vertical="center"/>
    </xf>
    <xf numFmtId="44" fontId="6" fillId="0" borderId="18" xfId="7" applyFont="1" applyBorder="1" applyAlignment="1">
      <alignment horizontal="center" vertical="center"/>
    </xf>
    <xf numFmtId="1" fontId="25" fillId="10" borderId="38" xfId="0" applyNumberFormat="1" applyFont="1" applyFill="1" applyBorder="1" applyAlignment="1">
      <alignment horizontal="right" vertical="center"/>
    </xf>
    <xf numFmtId="1" fontId="25" fillId="10" borderId="39" xfId="0" applyNumberFormat="1" applyFont="1" applyFill="1" applyBorder="1" applyAlignment="1">
      <alignment horizontal="right" vertical="center"/>
    </xf>
    <xf numFmtId="44" fontId="6" fillId="0" borderId="17" xfId="7" applyFont="1" applyBorder="1" applyAlignment="1">
      <alignment horizontal="center" vertical="center"/>
    </xf>
    <xf numFmtId="44" fontId="6" fillId="0" borderId="33" xfId="7" applyFont="1" applyBorder="1" applyAlignment="1">
      <alignment horizontal="center" vertical="center"/>
    </xf>
    <xf numFmtId="0" fontId="6" fillId="2" borderId="18"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 xfId="0" applyFont="1" applyFill="1" applyBorder="1" applyAlignment="1">
      <alignment horizontal="center" vertical="center"/>
    </xf>
    <xf numFmtId="49" fontId="6" fillId="0" borderId="19"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6" fillId="0" borderId="18" xfId="0" applyNumberFormat="1" applyFont="1" applyBorder="1" applyAlignment="1">
      <alignment horizontal="center" vertical="center"/>
    </xf>
    <xf numFmtId="0" fontId="6" fillId="2" borderId="1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1" xfId="0" applyFont="1" applyFill="1" applyBorder="1" applyAlignment="1">
      <alignment horizontal="center" vertical="center"/>
    </xf>
    <xf numFmtId="1" fontId="6" fillId="0" borderId="17" xfId="0" applyNumberFormat="1" applyFont="1" applyBorder="1" applyAlignment="1">
      <alignment horizontal="center" vertical="center"/>
    </xf>
    <xf numFmtId="9" fontId="6" fillId="0" borderId="19" xfId="0" applyNumberFormat="1" applyFont="1" applyBorder="1" applyAlignment="1">
      <alignment horizontal="center" vertical="center"/>
    </xf>
    <xf numFmtId="0" fontId="6" fillId="0" borderId="1" xfId="0" applyFont="1" applyBorder="1" applyAlignment="1">
      <alignment horizontal="center" vertical="center"/>
    </xf>
    <xf numFmtId="0" fontId="35" fillId="0" borderId="23"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20" xfId="0" applyFont="1" applyBorder="1" applyAlignment="1">
      <alignment horizontal="center" vertical="center" wrapText="1"/>
    </xf>
    <xf numFmtId="1" fontId="6" fillId="0" borderId="58" xfId="0" applyNumberFormat="1" applyFont="1" applyBorder="1" applyAlignment="1">
      <alignment horizontal="center" vertical="center"/>
    </xf>
    <xf numFmtId="1" fontId="6" fillId="0" borderId="33" xfId="0" applyNumberFormat="1" applyFont="1" applyBorder="1" applyAlignment="1">
      <alignment horizontal="center" vertical="center"/>
    </xf>
    <xf numFmtId="0" fontId="6" fillId="2" borderId="44" xfId="0" applyFont="1" applyFill="1" applyBorder="1" applyAlignment="1">
      <alignment horizontal="center" vertical="center"/>
    </xf>
    <xf numFmtId="0" fontId="6" fillId="2" borderId="16" xfId="0" applyFont="1" applyFill="1" applyBorder="1" applyAlignment="1">
      <alignment horizontal="center" vertical="center"/>
    </xf>
    <xf numFmtId="0" fontId="6" fillId="0" borderId="25"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7" xfId="0" applyFont="1" applyBorder="1" applyAlignment="1">
      <alignment horizontal="center" vertical="center" wrapText="1"/>
    </xf>
    <xf numFmtId="1" fontId="6" fillId="0" borderId="23" xfId="0" applyNumberFormat="1" applyFont="1" applyBorder="1" applyAlignment="1">
      <alignment horizontal="center" vertical="center"/>
    </xf>
    <xf numFmtId="1" fontId="6" fillId="0" borderId="20" xfId="0" applyNumberFormat="1" applyFont="1" applyBorder="1" applyAlignment="1">
      <alignment horizontal="center" vertical="center"/>
    </xf>
    <xf numFmtId="1" fontId="6" fillId="0" borderId="22" xfId="0" applyNumberFormat="1" applyFont="1" applyBorder="1" applyAlignment="1">
      <alignment horizontal="center" vertical="center"/>
    </xf>
    <xf numFmtId="0" fontId="6" fillId="2" borderId="23" xfId="0" applyFont="1" applyFill="1" applyBorder="1" applyAlignment="1">
      <alignment horizontal="center" vertical="center" wrapText="1"/>
    </xf>
    <xf numFmtId="0" fontId="6" fillId="2" borderId="22" xfId="0" applyFont="1" applyFill="1" applyBorder="1" applyAlignment="1">
      <alignment horizontal="center" vertical="center" wrapText="1"/>
    </xf>
    <xf numFmtId="1" fontId="6" fillId="0" borderId="7" xfId="0" applyNumberFormat="1" applyFont="1" applyBorder="1" applyAlignment="1">
      <alignment horizontal="center" vertical="center"/>
    </xf>
    <xf numFmtId="1" fontId="6" fillId="0" borderId="21" xfId="0" applyNumberFormat="1" applyFont="1" applyBorder="1" applyAlignment="1">
      <alignment horizontal="center" vertical="center"/>
    </xf>
    <xf numFmtId="0" fontId="6" fillId="0" borderId="21" xfId="0" applyFont="1" applyBorder="1" applyAlignment="1">
      <alignment horizontal="center" vertical="center"/>
    </xf>
    <xf numFmtId="49" fontId="6" fillId="0" borderId="23" xfId="0" applyNumberFormat="1" applyFont="1" applyBorder="1" applyAlignment="1">
      <alignment horizontal="center" vertical="center"/>
    </xf>
    <xf numFmtId="49" fontId="6" fillId="0" borderId="22" xfId="0" applyNumberFormat="1" applyFont="1" applyBorder="1" applyAlignment="1">
      <alignment horizontal="center" vertical="center"/>
    </xf>
    <xf numFmtId="49" fontId="6" fillId="0" borderId="20" xfId="0" applyNumberFormat="1" applyFont="1" applyBorder="1" applyAlignment="1">
      <alignment horizontal="center" vertical="center"/>
    </xf>
    <xf numFmtId="0" fontId="6" fillId="2" borderId="23" xfId="0" applyFont="1" applyFill="1" applyBorder="1" applyAlignment="1">
      <alignment horizontal="center" vertical="center"/>
    </xf>
    <xf numFmtId="0" fontId="22" fillId="0" borderId="23"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4" xfId="0" applyFont="1" applyBorder="1" applyAlignment="1">
      <alignment horizontal="center" vertical="center"/>
    </xf>
    <xf numFmtId="0" fontId="6" fillId="0" borderId="54" xfId="0" applyFont="1" applyBorder="1" applyAlignment="1">
      <alignment horizontal="center" vertical="center" wrapText="1"/>
    </xf>
    <xf numFmtId="9" fontId="6" fillId="0" borderId="23" xfId="0" applyNumberFormat="1" applyFont="1" applyBorder="1" applyAlignment="1">
      <alignment horizontal="center" vertical="center"/>
    </xf>
    <xf numFmtId="0" fontId="6" fillId="0" borderId="24" xfId="0" applyFont="1" applyBorder="1" applyAlignment="1">
      <alignment horizontal="center" vertical="center" wrapText="1"/>
    </xf>
    <xf numFmtId="0" fontId="6" fillId="0" borderId="1" xfId="0" applyFont="1" applyBorder="1" applyAlignment="1">
      <alignment horizontal="left" vertical="center" wrapText="1"/>
    </xf>
    <xf numFmtId="0" fontId="6" fillId="0" borderId="18" xfId="0" applyFont="1" applyBorder="1" applyAlignment="1">
      <alignment horizontal="left" vertical="center" wrapText="1"/>
    </xf>
    <xf numFmtId="0" fontId="6" fillId="0" borderId="9" xfId="0" applyFont="1" applyBorder="1" applyAlignment="1">
      <alignment horizontal="center" vertical="center"/>
    </xf>
    <xf numFmtId="0" fontId="6" fillId="0" borderId="31" xfId="0" applyFont="1" applyBorder="1" applyAlignment="1">
      <alignment horizontal="center" vertical="center"/>
    </xf>
    <xf numFmtId="0" fontId="6" fillId="0" borderId="21" xfId="0" applyFont="1" applyBorder="1" applyAlignment="1">
      <alignment horizontal="center" vertical="center" wrapText="1"/>
    </xf>
    <xf numFmtId="1" fontId="6" fillId="0" borderId="1" xfId="0" applyNumberFormat="1" applyFont="1" applyBorder="1" applyAlignment="1">
      <alignment horizontal="center" vertical="center"/>
    </xf>
    <xf numFmtId="1" fontId="6" fillId="0" borderId="15" xfId="0" applyNumberFormat="1" applyFont="1" applyBorder="1" applyAlignment="1">
      <alignment horizontal="center" vertical="center"/>
    </xf>
    <xf numFmtId="1" fontId="6" fillId="0" borderId="4" xfId="0" applyNumberFormat="1" applyFont="1" applyBorder="1" applyAlignment="1">
      <alignment horizontal="center" vertical="center"/>
    </xf>
    <xf numFmtId="1" fontId="6" fillId="0" borderId="12" xfId="0" applyNumberFormat="1" applyFont="1" applyBorder="1" applyAlignment="1">
      <alignment horizontal="center" vertical="center"/>
    </xf>
    <xf numFmtId="1" fontId="6" fillId="0" borderId="47" xfId="0" applyNumberFormat="1" applyFont="1" applyBorder="1" applyAlignment="1">
      <alignment horizontal="center" vertical="center"/>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30" fillId="0" borderId="5" xfId="0" applyFont="1" applyBorder="1" applyAlignment="1">
      <alignment horizontal="center" vertical="center"/>
    </xf>
    <xf numFmtId="0" fontId="30" fillId="0" borderId="12"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2" borderId="1"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30" fillId="2" borderId="1" xfId="0" applyFont="1" applyFill="1" applyBorder="1" applyAlignment="1">
      <alignment horizontal="center" vertical="center"/>
    </xf>
    <xf numFmtId="9" fontId="6" fillId="0" borderId="1" xfId="0" applyNumberFormat="1" applyFont="1" applyBorder="1" applyAlignment="1">
      <alignment horizontal="center" vertical="center"/>
    </xf>
    <xf numFmtId="0" fontId="6" fillId="0" borderId="18" xfId="0" applyFont="1" applyBorder="1" applyAlignment="1">
      <alignment horizontal="left" vertical="center"/>
    </xf>
    <xf numFmtId="1" fontId="6" fillId="0" borderId="19" xfId="0" applyNumberFormat="1" applyFont="1" applyBorder="1" applyAlignment="1">
      <alignment horizontal="center" vertical="center"/>
    </xf>
    <xf numFmtId="1" fontId="6" fillId="0" borderId="18" xfId="0" applyNumberFormat="1" applyFont="1" applyBorder="1" applyAlignment="1">
      <alignment horizontal="center" vertical="center"/>
    </xf>
    <xf numFmtId="49" fontId="6" fillId="0" borderId="23" xfId="0" applyNumberFormat="1" applyFont="1" applyBorder="1" applyAlignment="1">
      <alignment horizontal="center" vertical="center" wrapText="1"/>
    </xf>
    <xf numFmtId="49" fontId="6" fillId="0" borderId="20" xfId="0" applyNumberFormat="1" applyFont="1" applyBorder="1" applyAlignment="1">
      <alignment horizontal="center" vertical="center" wrapText="1"/>
    </xf>
    <xf numFmtId="49" fontId="6" fillId="0" borderId="22" xfId="0" applyNumberFormat="1" applyFont="1" applyBorder="1" applyAlignment="1">
      <alignment horizontal="center" vertical="center" wrapText="1"/>
    </xf>
    <xf numFmtId="49" fontId="6" fillId="0" borderId="21" xfId="0" applyNumberFormat="1" applyFont="1" applyBorder="1" applyAlignment="1">
      <alignment horizontal="center" vertical="center"/>
    </xf>
    <xf numFmtId="0" fontId="6" fillId="2" borderId="44"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34" fillId="0" borderId="18" xfId="0" applyFont="1" applyBorder="1" applyAlignment="1">
      <alignment horizontal="left" vertical="center" wrapText="1"/>
    </xf>
    <xf numFmtId="0" fontId="34" fillId="0" borderId="19" xfId="0" applyFont="1" applyBorder="1" applyAlignment="1">
      <alignment horizontal="left" vertical="center" wrapText="1"/>
    </xf>
    <xf numFmtId="44" fontId="6" fillId="0" borderId="20" xfId="7" applyFont="1" applyBorder="1" applyAlignment="1">
      <alignment horizontal="center" vertical="center" wrapText="1"/>
    </xf>
    <xf numFmtId="44" fontId="6" fillId="0" borderId="19" xfId="7" applyFont="1" applyBorder="1" applyAlignment="1">
      <alignment horizontal="center" vertical="center" wrapText="1"/>
    </xf>
    <xf numFmtId="10" fontId="26" fillId="2" borderId="18" xfId="8" applyNumberFormat="1" applyFont="1" applyFill="1" applyBorder="1" applyAlignment="1">
      <alignment horizontal="center" vertical="center"/>
    </xf>
    <xf numFmtId="10" fontId="26" fillId="2" borderId="20" xfId="8" applyNumberFormat="1" applyFont="1" applyFill="1" applyBorder="1" applyAlignment="1">
      <alignment horizontal="center" vertical="center"/>
    </xf>
    <xf numFmtId="1" fontId="25" fillId="10" borderId="37" xfId="0" applyNumberFormat="1" applyFont="1" applyFill="1" applyBorder="1" applyAlignment="1">
      <alignment horizontal="right" vertical="center"/>
    </xf>
    <xf numFmtId="6" fontId="6" fillId="0" borderId="20" xfId="0" applyNumberFormat="1" applyFont="1" applyBorder="1" applyAlignment="1">
      <alignment horizontal="center" vertical="center" wrapText="1"/>
    </xf>
    <xf numFmtId="6" fontId="6" fillId="0" borderId="19" xfId="0" applyNumberFormat="1" applyFont="1" applyBorder="1" applyAlignment="1">
      <alignment horizontal="center" vertical="center" wrapText="1"/>
    </xf>
    <xf numFmtId="9" fontId="6" fillId="0" borderId="20" xfId="0" applyNumberFormat="1" applyFont="1" applyBorder="1" applyAlignment="1">
      <alignment horizontal="center" vertical="center"/>
    </xf>
    <xf numFmtId="14" fontId="6" fillId="0" borderId="22" xfId="0" applyNumberFormat="1" applyFont="1" applyBorder="1" applyAlignment="1">
      <alignment horizontal="center" vertical="center"/>
    </xf>
    <xf numFmtId="0" fontId="6" fillId="2" borderId="7" xfId="0" applyFont="1" applyFill="1" applyBorder="1" applyAlignment="1">
      <alignment horizontal="center" vertical="center" wrapText="1"/>
    </xf>
    <xf numFmtId="0" fontId="6" fillId="2" borderId="34" xfId="0" applyFont="1" applyFill="1" applyBorder="1" applyAlignment="1">
      <alignment horizontal="center" vertical="center"/>
    </xf>
    <xf numFmtId="9" fontId="6" fillId="0" borderId="18" xfId="0" applyNumberFormat="1" applyFont="1" applyBorder="1" applyAlignment="1">
      <alignment horizontal="center" vertical="center"/>
    </xf>
    <xf numFmtId="1" fontId="25" fillId="0" borderId="53" xfId="0" applyNumberFormat="1" applyFont="1" applyBorder="1" applyAlignment="1">
      <alignment horizontal="center" vertical="center"/>
    </xf>
    <xf numFmtId="1" fontId="25" fillId="0" borderId="38" xfId="0" applyNumberFormat="1" applyFont="1" applyBorder="1" applyAlignment="1">
      <alignment horizontal="center" vertical="center"/>
    </xf>
    <xf numFmtId="1" fontId="25" fillId="0" borderId="52" xfId="0" applyNumberFormat="1" applyFont="1" applyBorder="1" applyAlignment="1">
      <alignment horizontal="center" vertical="center"/>
    </xf>
    <xf numFmtId="0" fontId="6" fillId="2" borderId="41" xfId="0" applyFont="1" applyFill="1" applyBorder="1" applyAlignment="1">
      <alignment horizontal="center" vertical="center" wrapText="1"/>
    </xf>
    <xf numFmtId="9" fontId="6" fillId="0" borderId="22" xfId="0" applyNumberFormat="1" applyFont="1" applyBorder="1" applyAlignment="1">
      <alignment horizontal="center" vertical="center"/>
    </xf>
    <xf numFmtId="10" fontId="26" fillId="2" borderId="22" xfId="8" applyNumberFormat="1" applyFont="1" applyFill="1" applyBorder="1" applyAlignment="1">
      <alignment horizontal="center" vertical="center"/>
    </xf>
    <xf numFmtId="10" fontId="26" fillId="2" borderId="19" xfId="8" applyNumberFormat="1" applyFont="1" applyFill="1" applyBorder="1" applyAlignment="1">
      <alignment horizontal="center" vertical="center"/>
    </xf>
    <xf numFmtId="0" fontId="6" fillId="2" borderId="56" xfId="0" applyFont="1" applyFill="1" applyBorder="1" applyAlignment="1">
      <alignment horizontal="center" vertical="center" wrapText="1"/>
    </xf>
    <xf numFmtId="0" fontId="19" fillId="5" borderId="2" xfId="1" applyFont="1" applyFill="1" applyBorder="1" applyAlignment="1">
      <alignment horizontal="center" vertical="center"/>
    </xf>
    <xf numFmtId="0" fontId="19" fillId="5" borderId="3" xfId="1" applyFont="1" applyFill="1" applyBorder="1" applyAlignment="1">
      <alignment horizontal="center" vertical="center"/>
    </xf>
    <xf numFmtId="0" fontId="19" fillId="5" borderId="4" xfId="1" applyFont="1" applyFill="1" applyBorder="1" applyAlignment="1">
      <alignment horizontal="center" vertical="center"/>
    </xf>
    <xf numFmtId="0" fontId="21" fillId="0" borderId="1" xfId="1" applyFont="1" applyBorder="1" applyAlignment="1">
      <alignment horizontal="center" vertical="center"/>
    </xf>
    <xf numFmtId="0" fontId="19" fillId="5" borderId="1" xfId="1" applyFont="1" applyFill="1" applyBorder="1" applyAlignment="1">
      <alignment horizontal="center" vertical="center"/>
    </xf>
    <xf numFmtId="0" fontId="21" fillId="0" borderId="1" xfId="1" applyFont="1" applyBorder="1" applyAlignment="1">
      <alignment horizontal="center" vertical="center" wrapText="1"/>
    </xf>
    <xf numFmtId="0" fontId="21" fillId="0" borderId="1" xfId="1" applyFont="1" applyBorder="1" applyAlignment="1">
      <alignment horizontal="center" wrapText="1"/>
    </xf>
    <xf numFmtId="0" fontId="19" fillId="5" borderId="6" xfId="1" applyFont="1" applyFill="1" applyBorder="1" applyAlignment="1">
      <alignment horizontal="center" vertical="center"/>
    </xf>
    <xf numFmtId="0" fontId="19" fillId="5" borderId="7" xfId="1" applyFont="1" applyFill="1" applyBorder="1" applyAlignment="1">
      <alignment horizontal="center" vertical="center"/>
    </xf>
    <xf numFmtId="0" fontId="19" fillId="5" borderId="8" xfId="1" applyFont="1" applyFill="1" applyBorder="1" applyAlignment="1">
      <alignment horizontal="center"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10" fontId="0" fillId="0" borderId="18" xfId="0" applyNumberFormat="1" applyBorder="1" applyAlignment="1">
      <alignment horizontal="center" vertical="center"/>
    </xf>
    <xf numFmtId="10" fontId="0" fillId="0" borderId="19" xfId="0" applyNumberForma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cellXfs>
  <cellStyles count="9">
    <cellStyle name="BodyStyle" xfId="5" xr:uid="{00000000-0005-0000-0000-000000000000}"/>
    <cellStyle name="HeaderStyle" xfId="4" xr:uid="{00000000-0005-0000-0000-000001000000}"/>
    <cellStyle name="Millares 2" xfId="3" xr:uid="{00000000-0005-0000-0000-000002000000}"/>
    <cellStyle name="Moneda" xfId="7" builtinId="4"/>
    <cellStyle name="Moneda 2" xfId="2" xr:uid="{00000000-0005-0000-0000-000003000000}"/>
    <cellStyle name="Normal" xfId="0" builtinId="0"/>
    <cellStyle name="Normal 2" xfId="1" xr:uid="{00000000-0005-0000-0000-000005000000}"/>
    <cellStyle name="Numeric" xfId="6" xr:uid="{00000000-0005-0000-0000-000006000000}"/>
    <cellStyle name="Porcentaje" xfId="8" builtinId="5"/>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s>
    <sheetDataSet>
      <sheetData sheetId="0"/>
      <sheetData sheetId="1"/>
      <sheetData sheetId="2"/>
      <sheetData sheetId="3" refreshError="1"/>
      <sheetData sheetId="4" refreshError="1"/>
      <sheetData sheetId="5" refreshError="1"/>
      <sheetData sheetId="6"/>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42" zoomScale="80" zoomScaleNormal="80" workbookViewId="0">
      <selection activeCell="B48" sqref="B48:H48"/>
    </sheetView>
  </sheetViews>
  <sheetFormatPr baseColWidth="10" defaultColWidth="10.85546875" defaultRowHeight="15"/>
  <cols>
    <col min="1" max="1" width="34.140625" style="16" customWidth="1"/>
    <col min="2" max="2" width="10.85546875" style="8"/>
    <col min="3" max="3" width="28.42578125" style="8" customWidth="1"/>
    <col min="4" max="4" width="21.42578125" style="8" customWidth="1"/>
    <col min="5" max="5" width="19.42578125" style="8" customWidth="1"/>
    <col min="6" max="6" width="27.42578125" style="8" customWidth="1"/>
    <col min="7" max="7" width="17.28515625" style="8" customWidth="1"/>
    <col min="8" max="8" width="27.42578125" style="8" customWidth="1"/>
    <col min="9" max="9" width="15.42578125" style="8" customWidth="1"/>
    <col min="10" max="10" width="17.85546875" style="8" customWidth="1"/>
    <col min="11" max="11" width="19.42578125" style="8" customWidth="1"/>
    <col min="12" max="12" width="25.42578125" style="8" customWidth="1"/>
    <col min="13" max="13" width="20.7109375" style="8" customWidth="1"/>
    <col min="14" max="15" width="10.85546875" style="8"/>
    <col min="16" max="16" width="16.7109375" style="8" customWidth="1"/>
    <col min="17" max="17" width="20.42578125" style="8" customWidth="1"/>
    <col min="18" max="18" width="18.7109375" style="8" customWidth="1"/>
    <col min="19" max="19" width="22.85546875" style="8" customWidth="1"/>
    <col min="20" max="20" width="22.140625" style="8" customWidth="1"/>
    <col min="21" max="21" width="25.42578125" style="8" customWidth="1"/>
    <col min="22" max="22" width="21.140625" style="8" customWidth="1"/>
    <col min="23" max="23" width="19.140625" style="8" customWidth="1"/>
    <col min="24" max="24" width="17.42578125" style="8" customWidth="1"/>
    <col min="25" max="25" width="16.42578125" style="8" customWidth="1"/>
    <col min="26" max="26" width="16.28515625" style="8" customWidth="1"/>
    <col min="27" max="27" width="28.7109375" style="8" customWidth="1"/>
    <col min="28" max="28" width="19.42578125" style="8" customWidth="1"/>
    <col min="29" max="29" width="21.140625" style="8" customWidth="1"/>
    <col min="30" max="30" width="21.85546875" style="8" customWidth="1"/>
    <col min="31" max="31" width="25.42578125" style="8" customWidth="1"/>
    <col min="32" max="32" width="22.28515625" style="8" customWidth="1"/>
    <col min="33" max="33" width="29.7109375" style="8" customWidth="1"/>
    <col min="34" max="34" width="18.7109375" style="8" customWidth="1"/>
    <col min="35" max="35" width="18.28515625" style="8" customWidth="1"/>
    <col min="36" max="36" width="22.28515625" style="8" customWidth="1"/>
    <col min="37" max="16384" width="10.85546875" style="8"/>
  </cols>
  <sheetData>
    <row r="1" spans="1:50" ht="54.75" customHeight="1">
      <c r="A1" s="297" t="s">
        <v>158</v>
      </c>
      <c r="B1" s="297"/>
      <c r="C1" s="297"/>
      <c r="D1" s="297"/>
      <c r="E1" s="297"/>
      <c r="F1" s="297"/>
      <c r="G1" s="297"/>
      <c r="H1" s="297"/>
    </row>
    <row r="2" spans="1:50" ht="33" customHeight="1">
      <c r="A2" s="280" t="s">
        <v>177</v>
      </c>
      <c r="B2" s="280"/>
      <c r="C2" s="280"/>
      <c r="D2" s="280"/>
      <c r="E2" s="280"/>
      <c r="F2" s="280"/>
      <c r="G2" s="280"/>
      <c r="H2" s="280"/>
      <c r="I2" s="9"/>
      <c r="J2" s="9"/>
      <c r="K2" s="9"/>
      <c r="L2" s="9"/>
      <c r="M2" s="9"/>
      <c r="N2" s="9"/>
      <c r="O2" s="9"/>
      <c r="P2" s="9"/>
      <c r="Q2" s="9"/>
      <c r="R2" s="9"/>
      <c r="S2" s="9"/>
      <c r="T2" s="9"/>
      <c r="U2" s="9"/>
      <c r="V2" s="9"/>
      <c r="W2" s="9"/>
      <c r="X2" s="9"/>
      <c r="Y2" s="9"/>
      <c r="Z2" s="9"/>
      <c r="AA2" s="10"/>
      <c r="AB2" s="10"/>
      <c r="AC2" s="10"/>
      <c r="AD2" s="10"/>
      <c r="AE2" s="10"/>
      <c r="AF2" s="10"/>
      <c r="AG2" s="11"/>
      <c r="AH2" s="11"/>
      <c r="AI2" s="11"/>
      <c r="AJ2" s="11"/>
      <c r="AK2" s="11"/>
      <c r="AL2" s="11"/>
      <c r="AM2" s="11"/>
      <c r="AN2" s="11"/>
      <c r="AO2" s="11"/>
      <c r="AP2" s="11"/>
      <c r="AQ2" s="9"/>
      <c r="AR2" s="9"/>
      <c r="AS2" s="9"/>
      <c r="AT2" s="9"/>
      <c r="AU2" s="9"/>
      <c r="AV2" s="9"/>
      <c r="AW2" s="9"/>
      <c r="AX2" s="9"/>
    </row>
    <row r="3" spans="1:50" ht="48" customHeight="1">
      <c r="A3" s="12" t="s">
        <v>92</v>
      </c>
      <c r="B3" s="276" t="s">
        <v>105</v>
      </c>
      <c r="C3" s="276"/>
      <c r="D3" s="276"/>
      <c r="E3" s="276"/>
      <c r="F3" s="276"/>
      <c r="G3" s="276"/>
      <c r="H3" s="276"/>
    </row>
    <row r="4" spans="1:50" ht="48" customHeight="1">
      <c r="A4" s="12" t="s">
        <v>164</v>
      </c>
      <c r="B4" s="269" t="s">
        <v>183</v>
      </c>
      <c r="C4" s="270"/>
      <c r="D4" s="270"/>
      <c r="E4" s="270"/>
      <c r="F4" s="270"/>
      <c r="G4" s="270"/>
      <c r="H4" s="271"/>
    </row>
    <row r="5" spans="1:50" ht="31.5" customHeight="1">
      <c r="A5" s="12" t="s">
        <v>182</v>
      </c>
      <c r="B5" s="276" t="s">
        <v>106</v>
      </c>
      <c r="C5" s="276"/>
      <c r="D5" s="276"/>
      <c r="E5" s="276"/>
      <c r="F5" s="276"/>
      <c r="G5" s="276"/>
      <c r="H5" s="276"/>
    </row>
    <row r="6" spans="1:50" ht="40.5" customHeight="1">
      <c r="A6" s="12" t="s">
        <v>80</v>
      </c>
      <c r="B6" s="269" t="s">
        <v>107</v>
      </c>
      <c r="C6" s="270"/>
      <c r="D6" s="270"/>
      <c r="E6" s="270"/>
      <c r="F6" s="270"/>
      <c r="G6" s="270"/>
      <c r="H6" s="271"/>
    </row>
    <row r="7" spans="1:50" ht="41.1" customHeight="1">
      <c r="A7" s="12" t="s">
        <v>98</v>
      </c>
      <c r="B7" s="276" t="s">
        <v>108</v>
      </c>
      <c r="C7" s="276"/>
      <c r="D7" s="276"/>
      <c r="E7" s="276"/>
      <c r="F7" s="276"/>
      <c r="G7" s="276"/>
      <c r="H7" s="276"/>
    </row>
    <row r="8" spans="1:50" ht="48.95" customHeight="1">
      <c r="A8" s="12" t="s">
        <v>32</v>
      </c>
      <c r="B8" s="276" t="s">
        <v>191</v>
      </c>
      <c r="C8" s="276"/>
      <c r="D8" s="276"/>
      <c r="E8" s="276"/>
      <c r="F8" s="276"/>
      <c r="G8" s="276"/>
      <c r="H8" s="276"/>
    </row>
    <row r="9" spans="1:50" ht="48.95" customHeight="1">
      <c r="A9" s="12" t="s">
        <v>192</v>
      </c>
      <c r="B9" s="269" t="s">
        <v>193</v>
      </c>
      <c r="C9" s="270"/>
      <c r="D9" s="270"/>
      <c r="E9" s="270"/>
      <c r="F9" s="270"/>
      <c r="G9" s="270"/>
      <c r="H9" s="271"/>
    </row>
    <row r="10" spans="1:50" ht="30">
      <c r="A10" s="12" t="s">
        <v>33</v>
      </c>
      <c r="B10" s="276" t="s">
        <v>109</v>
      </c>
      <c r="C10" s="276"/>
      <c r="D10" s="276"/>
      <c r="E10" s="276"/>
      <c r="F10" s="276"/>
      <c r="G10" s="276"/>
      <c r="H10" s="276"/>
    </row>
    <row r="11" spans="1:50" ht="30">
      <c r="A11" s="12" t="s">
        <v>7</v>
      </c>
      <c r="B11" s="276" t="s">
        <v>110</v>
      </c>
      <c r="C11" s="276"/>
      <c r="D11" s="276"/>
      <c r="E11" s="276"/>
      <c r="F11" s="276"/>
      <c r="G11" s="276"/>
      <c r="H11" s="276"/>
    </row>
    <row r="12" spans="1:50" ht="33.950000000000003" customHeight="1">
      <c r="A12" s="12" t="s">
        <v>81</v>
      </c>
      <c r="B12" s="276" t="s">
        <v>111</v>
      </c>
      <c r="C12" s="276"/>
      <c r="D12" s="276"/>
      <c r="E12" s="276"/>
      <c r="F12" s="276"/>
      <c r="G12" s="276"/>
      <c r="H12" s="276"/>
    </row>
    <row r="13" spans="1:50" ht="30">
      <c r="A13" s="12" t="s">
        <v>28</v>
      </c>
      <c r="B13" s="276" t="s">
        <v>112</v>
      </c>
      <c r="C13" s="276"/>
      <c r="D13" s="276"/>
      <c r="E13" s="276"/>
      <c r="F13" s="276"/>
      <c r="G13" s="276"/>
      <c r="H13" s="276"/>
    </row>
    <row r="14" spans="1:50" ht="30">
      <c r="A14" s="12" t="s">
        <v>102</v>
      </c>
      <c r="B14" s="276" t="s">
        <v>113</v>
      </c>
      <c r="C14" s="276"/>
      <c r="D14" s="276"/>
      <c r="E14" s="276"/>
      <c r="F14" s="276"/>
      <c r="G14" s="276"/>
      <c r="H14" s="276"/>
    </row>
    <row r="15" spans="1:50" ht="44.1" customHeight="1">
      <c r="A15" s="12" t="s">
        <v>99</v>
      </c>
      <c r="B15" s="276" t="s">
        <v>114</v>
      </c>
      <c r="C15" s="276"/>
      <c r="D15" s="276"/>
      <c r="E15" s="276"/>
      <c r="F15" s="276"/>
      <c r="G15" s="276"/>
      <c r="H15" s="276"/>
    </row>
    <row r="16" spans="1:50" ht="60">
      <c r="A16" s="12" t="s">
        <v>8</v>
      </c>
      <c r="B16" s="276" t="s">
        <v>115</v>
      </c>
      <c r="C16" s="276"/>
      <c r="D16" s="276"/>
      <c r="E16" s="276"/>
      <c r="F16" s="276"/>
      <c r="G16" s="276"/>
      <c r="H16" s="276"/>
    </row>
    <row r="17" spans="1:8" ht="58.5" customHeight="1">
      <c r="A17" s="12" t="s">
        <v>29</v>
      </c>
      <c r="B17" s="276" t="s">
        <v>116</v>
      </c>
      <c r="C17" s="276"/>
      <c r="D17" s="276"/>
      <c r="E17" s="276"/>
      <c r="F17" s="276"/>
      <c r="G17" s="276"/>
      <c r="H17" s="276"/>
    </row>
    <row r="18" spans="1:8" ht="30">
      <c r="A18" s="12" t="s">
        <v>82</v>
      </c>
      <c r="B18" s="276" t="s">
        <v>117</v>
      </c>
      <c r="C18" s="276"/>
      <c r="D18" s="276"/>
      <c r="E18" s="276"/>
      <c r="F18" s="276"/>
      <c r="G18" s="276"/>
      <c r="H18" s="276"/>
    </row>
    <row r="19" spans="1:8" ht="30" customHeight="1">
      <c r="A19" s="294"/>
      <c r="B19" s="295"/>
      <c r="C19" s="295"/>
      <c r="D19" s="295"/>
      <c r="E19" s="295"/>
      <c r="F19" s="295"/>
      <c r="G19" s="295"/>
      <c r="H19" s="296"/>
    </row>
    <row r="20" spans="1:8" ht="37.5" customHeight="1">
      <c r="A20" s="280" t="s">
        <v>178</v>
      </c>
      <c r="B20" s="280"/>
      <c r="C20" s="280"/>
      <c r="D20" s="280"/>
      <c r="E20" s="280"/>
      <c r="F20" s="280"/>
      <c r="G20" s="280"/>
      <c r="H20" s="280"/>
    </row>
    <row r="21" spans="1:8" ht="117" customHeight="1">
      <c r="A21" s="277" t="s">
        <v>34</v>
      </c>
      <c r="B21" s="277"/>
      <c r="C21" s="277"/>
      <c r="D21" s="277"/>
      <c r="E21" s="277"/>
      <c r="F21" s="277"/>
      <c r="G21" s="277"/>
      <c r="H21" s="277"/>
    </row>
    <row r="22" spans="1:8" ht="117" customHeight="1">
      <c r="A22" s="12" t="s">
        <v>98</v>
      </c>
      <c r="B22" s="276" t="s">
        <v>108</v>
      </c>
      <c r="C22" s="276"/>
      <c r="D22" s="276"/>
      <c r="E22" s="276"/>
      <c r="F22" s="276"/>
      <c r="G22" s="276"/>
      <c r="H22" s="276"/>
    </row>
    <row r="23" spans="1:8" ht="167.1" customHeight="1">
      <c r="A23" s="12" t="s">
        <v>83</v>
      </c>
      <c r="B23" s="277" t="s">
        <v>118</v>
      </c>
      <c r="C23" s="277"/>
      <c r="D23" s="277"/>
      <c r="E23" s="277"/>
      <c r="F23" s="277"/>
      <c r="G23" s="277"/>
      <c r="H23" s="277"/>
    </row>
    <row r="24" spans="1:8" ht="69.75" customHeight="1">
      <c r="A24" s="12" t="s">
        <v>184</v>
      </c>
      <c r="B24" s="277" t="s">
        <v>119</v>
      </c>
      <c r="C24" s="277"/>
      <c r="D24" s="277"/>
      <c r="E24" s="277"/>
      <c r="F24" s="277"/>
      <c r="G24" s="277"/>
      <c r="H24" s="277"/>
    </row>
    <row r="25" spans="1:8" ht="60" customHeight="1">
      <c r="A25" s="12" t="s">
        <v>185</v>
      </c>
      <c r="B25" s="277" t="s">
        <v>121</v>
      </c>
      <c r="C25" s="277"/>
      <c r="D25" s="277"/>
      <c r="E25" s="277"/>
      <c r="F25" s="277"/>
      <c r="G25" s="277"/>
      <c r="H25" s="277"/>
    </row>
    <row r="26" spans="1:8" ht="24.75" customHeight="1">
      <c r="A26" s="13" t="s">
        <v>85</v>
      </c>
      <c r="B26" s="278" t="s">
        <v>120</v>
      </c>
      <c r="C26" s="278"/>
      <c r="D26" s="278"/>
      <c r="E26" s="278"/>
      <c r="F26" s="278"/>
      <c r="G26" s="278"/>
      <c r="H26" s="278"/>
    </row>
    <row r="27" spans="1:8" ht="26.25" customHeight="1">
      <c r="A27" s="13" t="s">
        <v>86</v>
      </c>
      <c r="B27" s="278" t="s">
        <v>100</v>
      </c>
      <c r="C27" s="278"/>
      <c r="D27" s="278"/>
      <c r="E27" s="278"/>
      <c r="F27" s="278"/>
      <c r="G27" s="278"/>
      <c r="H27" s="278"/>
    </row>
    <row r="28" spans="1:8" ht="53.25" customHeight="1">
      <c r="A28" s="12" t="s">
        <v>165</v>
      </c>
      <c r="B28" s="277" t="s">
        <v>171</v>
      </c>
      <c r="C28" s="277"/>
      <c r="D28" s="277"/>
      <c r="E28" s="277"/>
      <c r="F28" s="277"/>
      <c r="G28" s="277"/>
      <c r="H28" s="277"/>
    </row>
    <row r="29" spans="1:8" ht="45" customHeight="1">
      <c r="A29" s="12" t="s">
        <v>167</v>
      </c>
      <c r="B29" s="272" t="s">
        <v>172</v>
      </c>
      <c r="C29" s="273"/>
      <c r="D29" s="273"/>
      <c r="E29" s="273"/>
      <c r="F29" s="273"/>
      <c r="G29" s="273"/>
      <c r="H29" s="274"/>
    </row>
    <row r="30" spans="1:8" ht="45" customHeight="1">
      <c r="A30" s="12" t="s">
        <v>166</v>
      </c>
      <c r="B30" s="272" t="s">
        <v>173</v>
      </c>
      <c r="C30" s="273"/>
      <c r="D30" s="273"/>
      <c r="E30" s="273"/>
      <c r="F30" s="273"/>
      <c r="G30" s="273"/>
      <c r="H30" s="274"/>
    </row>
    <row r="31" spans="1:8" ht="45" customHeight="1">
      <c r="A31" s="12" t="s">
        <v>156</v>
      </c>
      <c r="B31" s="272" t="s">
        <v>174</v>
      </c>
      <c r="C31" s="273"/>
      <c r="D31" s="273"/>
      <c r="E31" s="273"/>
      <c r="F31" s="273"/>
      <c r="G31" s="273"/>
      <c r="H31" s="274"/>
    </row>
    <row r="32" spans="1:8" ht="33" customHeight="1">
      <c r="A32" s="13" t="s">
        <v>186</v>
      </c>
      <c r="B32" s="277" t="s">
        <v>122</v>
      </c>
      <c r="C32" s="277"/>
      <c r="D32" s="277"/>
      <c r="E32" s="277"/>
      <c r="F32" s="277"/>
      <c r="G32" s="277"/>
      <c r="H32" s="277"/>
    </row>
    <row r="33" spans="1:8" ht="39" customHeight="1">
      <c r="A33" s="12" t="s">
        <v>87</v>
      </c>
      <c r="B33" s="278" t="s">
        <v>175</v>
      </c>
      <c r="C33" s="278"/>
      <c r="D33" s="278"/>
      <c r="E33" s="278"/>
      <c r="F33" s="278"/>
      <c r="G33" s="278"/>
      <c r="H33" s="278"/>
    </row>
    <row r="34" spans="1:8" ht="39" customHeight="1">
      <c r="A34" s="280" t="s">
        <v>217</v>
      </c>
      <c r="B34" s="280"/>
      <c r="C34" s="280"/>
      <c r="D34" s="280"/>
      <c r="E34" s="280"/>
      <c r="F34" s="280"/>
      <c r="G34" s="280"/>
      <c r="H34" s="280"/>
    </row>
    <row r="35" spans="1:8" ht="79.5" customHeight="1">
      <c r="A35" s="269" t="s">
        <v>218</v>
      </c>
      <c r="B35" s="270"/>
      <c r="C35" s="270"/>
      <c r="D35" s="270"/>
      <c r="E35" s="270"/>
      <c r="F35" s="270"/>
      <c r="G35" s="270"/>
      <c r="H35" s="271"/>
    </row>
    <row r="36" spans="1:8" ht="33" customHeight="1">
      <c r="A36" s="12" t="s">
        <v>25</v>
      </c>
      <c r="B36" s="277" t="s">
        <v>145</v>
      </c>
      <c r="C36" s="277"/>
      <c r="D36" s="277"/>
      <c r="E36" s="277"/>
      <c r="F36" s="277"/>
      <c r="G36" s="277"/>
      <c r="H36" s="277"/>
    </row>
    <row r="37" spans="1:8" ht="33" customHeight="1">
      <c r="A37" s="12" t="s">
        <v>26</v>
      </c>
      <c r="B37" s="277" t="s">
        <v>146</v>
      </c>
      <c r="C37" s="277"/>
      <c r="D37" s="277"/>
      <c r="E37" s="277"/>
      <c r="F37" s="277"/>
      <c r="G37" s="277"/>
      <c r="H37" s="277"/>
    </row>
    <row r="38" spans="1:8" ht="33" customHeight="1">
      <c r="A38" s="18"/>
      <c r="B38" s="19"/>
      <c r="C38" s="19"/>
      <c r="D38" s="19"/>
      <c r="E38" s="19"/>
      <c r="F38" s="19"/>
      <c r="G38" s="19"/>
      <c r="H38" s="20"/>
    </row>
    <row r="39" spans="1:8" ht="34.5" customHeight="1">
      <c r="A39" s="280" t="s">
        <v>179</v>
      </c>
      <c r="B39" s="280"/>
      <c r="C39" s="280"/>
      <c r="D39" s="280"/>
      <c r="E39" s="280"/>
      <c r="F39" s="280"/>
      <c r="G39" s="280"/>
      <c r="H39" s="280"/>
    </row>
    <row r="40" spans="1:8" ht="34.5" customHeight="1">
      <c r="A40" s="12" t="s">
        <v>9</v>
      </c>
      <c r="B40" s="277" t="s">
        <v>123</v>
      </c>
      <c r="C40" s="277"/>
      <c r="D40" s="277"/>
      <c r="E40" s="277"/>
      <c r="F40" s="277"/>
      <c r="G40" s="277"/>
      <c r="H40" s="277"/>
    </row>
    <row r="41" spans="1:8" ht="29.25" customHeight="1">
      <c r="A41" s="12" t="s">
        <v>10</v>
      </c>
      <c r="B41" s="277" t="s">
        <v>124</v>
      </c>
      <c r="C41" s="277"/>
      <c r="D41" s="277"/>
      <c r="E41" s="277"/>
      <c r="F41" s="277"/>
      <c r="G41" s="277"/>
      <c r="H41" s="277"/>
    </row>
    <row r="42" spans="1:8" ht="42" customHeight="1">
      <c r="A42" s="12" t="s">
        <v>147</v>
      </c>
      <c r="B42" s="277" t="s">
        <v>195</v>
      </c>
      <c r="C42" s="277"/>
      <c r="D42" s="277"/>
      <c r="E42" s="277"/>
      <c r="F42" s="277"/>
      <c r="G42" s="277"/>
      <c r="H42" s="277"/>
    </row>
    <row r="43" spans="1:8" ht="42" customHeight="1">
      <c r="A43" s="12" t="s">
        <v>197</v>
      </c>
      <c r="B43" s="272" t="s">
        <v>198</v>
      </c>
      <c r="C43" s="273"/>
      <c r="D43" s="273"/>
      <c r="E43" s="273"/>
      <c r="F43" s="273"/>
      <c r="G43" s="273"/>
      <c r="H43" s="274"/>
    </row>
    <row r="44" spans="1:8" ht="42" customHeight="1">
      <c r="A44" s="12" t="s">
        <v>148</v>
      </c>
      <c r="B44" s="272" t="s">
        <v>199</v>
      </c>
      <c r="C44" s="273"/>
      <c r="D44" s="273"/>
      <c r="E44" s="273"/>
      <c r="F44" s="273"/>
      <c r="G44" s="273"/>
      <c r="H44" s="274"/>
    </row>
    <row r="45" spans="1:8" ht="42" customHeight="1">
      <c r="A45" s="12" t="s">
        <v>200</v>
      </c>
      <c r="B45" s="272" t="s">
        <v>202</v>
      </c>
      <c r="C45" s="273"/>
      <c r="D45" s="273"/>
      <c r="E45" s="273"/>
      <c r="F45" s="273"/>
      <c r="G45" s="273"/>
      <c r="H45" s="274"/>
    </row>
    <row r="46" spans="1:8" ht="86.1" customHeight="1">
      <c r="A46" s="14" t="s">
        <v>204</v>
      </c>
      <c r="B46" s="283" t="s">
        <v>125</v>
      </c>
      <c r="C46" s="283"/>
      <c r="D46" s="283"/>
      <c r="E46" s="283"/>
      <c r="F46" s="283"/>
      <c r="G46" s="283"/>
      <c r="H46" s="283"/>
    </row>
    <row r="47" spans="1:8" ht="39.75" customHeight="1">
      <c r="A47" s="14" t="s">
        <v>211</v>
      </c>
      <c r="B47" s="291" t="s">
        <v>219</v>
      </c>
      <c r="C47" s="292"/>
      <c r="D47" s="292"/>
      <c r="E47" s="292"/>
      <c r="F47" s="292"/>
      <c r="G47" s="292"/>
      <c r="H47" s="293"/>
    </row>
    <row r="48" spans="1:8" ht="31.5" customHeight="1">
      <c r="A48" s="14" t="s">
        <v>11</v>
      </c>
      <c r="B48" s="283" t="s">
        <v>203</v>
      </c>
      <c r="C48" s="283"/>
      <c r="D48" s="283"/>
      <c r="E48" s="283"/>
      <c r="F48" s="283"/>
      <c r="G48" s="283"/>
      <c r="H48" s="283"/>
    </row>
    <row r="49" spans="1:8" ht="45">
      <c r="A49" s="14" t="s">
        <v>205</v>
      </c>
      <c r="B49" s="283" t="s">
        <v>126</v>
      </c>
      <c r="C49" s="283"/>
      <c r="D49" s="283"/>
      <c r="E49" s="283"/>
      <c r="F49" s="283"/>
      <c r="G49" s="283"/>
      <c r="H49" s="283"/>
    </row>
    <row r="50" spans="1:8" ht="43.5" customHeight="1">
      <c r="A50" s="14" t="s">
        <v>13</v>
      </c>
      <c r="B50" s="283" t="s">
        <v>127</v>
      </c>
      <c r="C50" s="283"/>
      <c r="D50" s="283"/>
      <c r="E50" s="283"/>
      <c r="F50" s="283"/>
      <c r="G50" s="283"/>
      <c r="H50" s="283"/>
    </row>
    <row r="51" spans="1:8" ht="40.5" customHeight="1">
      <c r="A51" s="14" t="s">
        <v>14</v>
      </c>
      <c r="B51" s="283" t="s">
        <v>128</v>
      </c>
      <c r="C51" s="283"/>
      <c r="D51" s="283"/>
      <c r="E51" s="283"/>
      <c r="F51" s="283"/>
      <c r="G51" s="283"/>
      <c r="H51" s="283"/>
    </row>
    <row r="52" spans="1:8" ht="75.75" customHeight="1">
      <c r="A52" s="15" t="s">
        <v>15</v>
      </c>
      <c r="B52" s="279" t="s">
        <v>129</v>
      </c>
      <c r="C52" s="279"/>
      <c r="D52" s="279"/>
      <c r="E52" s="279"/>
      <c r="F52" s="279"/>
      <c r="G52" s="279"/>
      <c r="H52" s="279"/>
    </row>
    <row r="53" spans="1:8" ht="41.25" customHeight="1">
      <c r="A53" s="15" t="s">
        <v>16</v>
      </c>
      <c r="B53" s="279" t="s">
        <v>130</v>
      </c>
      <c r="C53" s="279"/>
      <c r="D53" s="279"/>
      <c r="E53" s="279"/>
      <c r="F53" s="279"/>
      <c r="G53" s="279"/>
      <c r="H53" s="279"/>
    </row>
    <row r="54" spans="1:8" ht="47.45" customHeight="1">
      <c r="A54" s="15" t="s">
        <v>163</v>
      </c>
      <c r="B54" s="279" t="s">
        <v>131</v>
      </c>
      <c r="C54" s="279"/>
      <c r="D54" s="279"/>
      <c r="E54" s="279"/>
      <c r="F54" s="279"/>
      <c r="G54" s="279"/>
      <c r="H54" s="279"/>
    </row>
    <row r="55" spans="1:8" ht="57.6" customHeight="1">
      <c r="A55" s="15" t="s">
        <v>35</v>
      </c>
      <c r="B55" s="279" t="s">
        <v>132</v>
      </c>
      <c r="C55" s="279"/>
      <c r="D55" s="279"/>
      <c r="E55" s="279"/>
      <c r="F55" s="279"/>
      <c r="G55" s="279"/>
      <c r="H55" s="279"/>
    </row>
    <row r="56" spans="1:8" ht="31.5" customHeight="1">
      <c r="A56" s="15" t="s">
        <v>103</v>
      </c>
      <c r="B56" s="279" t="s">
        <v>133</v>
      </c>
      <c r="C56" s="279"/>
      <c r="D56" s="279"/>
      <c r="E56" s="279"/>
      <c r="F56" s="279"/>
      <c r="G56" s="279"/>
      <c r="H56" s="279"/>
    </row>
    <row r="57" spans="1:8" ht="70.5" customHeight="1">
      <c r="A57" s="15" t="s">
        <v>104</v>
      </c>
      <c r="B57" s="279" t="s">
        <v>134</v>
      </c>
      <c r="C57" s="279"/>
      <c r="D57" s="279"/>
      <c r="E57" s="279"/>
      <c r="F57" s="279"/>
      <c r="G57" s="279"/>
      <c r="H57" s="279"/>
    </row>
    <row r="58" spans="1:8" ht="33.75" customHeight="1">
      <c r="A58" s="284"/>
      <c r="B58" s="284"/>
      <c r="C58" s="284"/>
      <c r="D58" s="284"/>
      <c r="E58" s="284"/>
      <c r="F58" s="284"/>
      <c r="G58" s="284"/>
      <c r="H58" s="285"/>
    </row>
    <row r="59" spans="1:8" ht="32.25" customHeight="1">
      <c r="A59" s="275" t="s">
        <v>181</v>
      </c>
      <c r="B59" s="275"/>
      <c r="C59" s="275"/>
      <c r="D59" s="275"/>
      <c r="E59" s="275"/>
      <c r="F59" s="275"/>
      <c r="G59" s="275"/>
      <c r="H59" s="275"/>
    </row>
    <row r="60" spans="1:8" ht="34.5" customHeight="1">
      <c r="A60" s="12" t="s">
        <v>21</v>
      </c>
      <c r="B60" s="281" t="s">
        <v>140</v>
      </c>
      <c r="C60" s="281"/>
      <c r="D60" s="281"/>
      <c r="E60" s="281"/>
      <c r="F60" s="281"/>
      <c r="G60" s="281"/>
      <c r="H60" s="281"/>
    </row>
    <row r="61" spans="1:8" ht="60" customHeight="1">
      <c r="A61" s="12" t="s">
        <v>31</v>
      </c>
      <c r="B61" s="290" t="s">
        <v>141</v>
      </c>
      <c r="C61" s="290"/>
      <c r="D61" s="290"/>
      <c r="E61" s="290"/>
      <c r="F61" s="290"/>
      <c r="G61" s="290"/>
      <c r="H61" s="290"/>
    </row>
    <row r="62" spans="1:8" ht="41.25" customHeight="1">
      <c r="A62" s="12" t="s">
        <v>206</v>
      </c>
      <c r="B62" s="287" t="s">
        <v>207</v>
      </c>
      <c r="C62" s="288"/>
      <c r="D62" s="288"/>
      <c r="E62" s="288"/>
      <c r="F62" s="288"/>
      <c r="G62" s="288"/>
      <c r="H62" s="289"/>
    </row>
    <row r="63" spans="1:8" ht="42" customHeight="1">
      <c r="A63" s="12" t="s">
        <v>22</v>
      </c>
      <c r="B63" s="277" t="s">
        <v>142</v>
      </c>
      <c r="C63" s="277"/>
      <c r="D63" s="277"/>
      <c r="E63" s="277"/>
      <c r="F63" s="277"/>
      <c r="G63" s="277"/>
      <c r="H63" s="277"/>
    </row>
    <row r="64" spans="1:8" ht="31.5" customHeight="1">
      <c r="A64" s="12" t="s">
        <v>23</v>
      </c>
      <c r="B64" s="281" t="s">
        <v>143</v>
      </c>
      <c r="C64" s="281"/>
      <c r="D64" s="281"/>
      <c r="E64" s="281"/>
      <c r="F64" s="281"/>
      <c r="G64" s="281"/>
      <c r="H64" s="281"/>
    </row>
    <row r="65" spans="1:8" ht="45.75" customHeight="1">
      <c r="A65" s="12" t="s">
        <v>24</v>
      </c>
      <c r="B65" s="281" t="s">
        <v>144</v>
      </c>
      <c r="C65" s="281"/>
      <c r="D65" s="281"/>
      <c r="E65" s="281"/>
      <c r="F65" s="281"/>
      <c r="G65" s="281"/>
      <c r="H65" s="281"/>
    </row>
    <row r="66" spans="1:8" ht="30.75" customHeight="1">
      <c r="A66" s="286"/>
      <c r="B66" s="286"/>
      <c r="C66" s="286"/>
      <c r="D66" s="286"/>
      <c r="E66" s="286"/>
      <c r="F66" s="286"/>
      <c r="G66" s="286"/>
      <c r="H66" s="286"/>
    </row>
    <row r="67" spans="1:8" ht="34.5" customHeight="1">
      <c r="A67" s="275" t="s">
        <v>180</v>
      </c>
      <c r="B67" s="275"/>
      <c r="C67" s="275"/>
      <c r="D67" s="275"/>
      <c r="E67" s="275"/>
      <c r="F67" s="275"/>
      <c r="G67" s="275"/>
      <c r="H67" s="275"/>
    </row>
    <row r="68" spans="1:8" ht="39.75" customHeight="1">
      <c r="A68" s="15" t="s">
        <v>18</v>
      </c>
      <c r="B68" s="281" t="s">
        <v>135</v>
      </c>
      <c r="C68" s="281"/>
      <c r="D68" s="281"/>
      <c r="E68" s="281"/>
      <c r="F68" s="281"/>
      <c r="G68" s="281"/>
      <c r="H68" s="281"/>
    </row>
    <row r="69" spans="1:8" ht="39.75" customHeight="1">
      <c r="A69" s="15" t="s">
        <v>12</v>
      </c>
      <c r="B69" s="281" t="s">
        <v>136</v>
      </c>
      <c r="C69" s="281"/>
      <c r="D69" s="281"/>
      <c r="E69" s="281"/>
      <c r="F69" s="281"/>
      <c r="G69" s="281"/>
      <c r="H69" s="281"/>
    </row>
    <row r="70" spans="1:8" ht="42" customHeight="1">
      <c r="A70" s="15" t="s">
        <v>17</v>
      </c>
      <c r="B70" s="279" t="s">
        <v>137</v>
      </c>
      <c r="C70" s="279"/>
      <c r="D70" s="279"/>
      <c r="E70" s="279"/>
      <c r="F70" s="279"/>
      <c r="G70" s="279"/>
      <c r="H70" s="279"/>
    </row>
    <row r="71" spans="1:8" ht="33.75" customHeight="1">
      <c r="A71" s="15" t="s">
        <v>19</v>
      </c>
      <c r="B71" s="281" t="s">
        <v>138</v>
      </c>
      <c r="C71" s="281"/>
      <c r="D71" s="281"/>
      <c r="E71" s="281"/>
      <c r="F71" s="281"/>
      <c r="G71" s="281"/>
      <c r="H71" s="281"/>
    </row>
    <row r="72" spans="1:8" ht="33" customHeight="1">
      <c r="A72" s="15" t="s">
        <v>20</v>
      </c>
      <c r="B72" s="281" t="s">
        <v>139</v>
      </c>
      <c r="C72" s="281"/>
      <c r="D72" s="281"/>
      <c r="E72" s="281"/>
      <c r="F72" s="281"/>
      <c r="G72" s="281"/>
      <c r="H72" s="281"/>
    </row>
    <row r="73" spans="1:8" ht="33.75" customHeight="1">
      <c r="A73" s="282"/>
      <c r="B73" s="282"/>
      <c r="C73" s="282"/>
      <c r="D73" s="282"/>
      <c r="E73" s="282"/>
      <c r="F73" s="282"/>
      <c r="G73" s="282"/>
      <c r="H73" s="282"/>
    </row>
    <row r="74" spans="1:8" ht="54.75" customHeight="1"/>
    <row r="76" spans="1:8" ht="134.44999999999999"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51"/>
  <sheetViews>
    <sheetView topLeftCell="L1" zoomScale="49" zoomScaleNormal="40" workbookViewId="0">
      <pane ySplit="7" topLeftCell="A15" activePane="bottomLeft" state="frozen"/>
      <selection activeCell="A7" sqref="A7"/>
      <selection pane="bottomLeft" activeCell="T19" sqref="T19"/>
    </sheetView>
  </sheetViews>
  <sheetFormatPr baseColWidth="10" defaultColWidth="11.42578125" defaultRowHeight="18.75"/>
  <cols>
    <col min="1" max="2" width="26.42578125" style="33" customWidth="1"/>
    <col min="3" max="3" width="27.7109375" style="33" customWidth="1"/>
    <col min="4" max="4" width="22.42578125" style="33" customWidth="1"/>
    <col min="5" max="5" width="23.140625" style="33" customWidth="1"/>
    <col min="6" max="7" width="23.7109375" style="33" customWidth="1"/>
    <col min="8" max="8" width="27.140625" style="33" customWidth="1"/>
    <col min="9" max="9" width="27.7109375" style="33" customWidth="1"/>
    <col min="10" max="10" width="31.140625" style="33" customWidth="1"/>
    <col min="11" max="11" width="35.140625" style="3" customWidth="1"/>
    <col min="12" max="12" width="25.85546875" style="3" customWidth="1"/>
    <col min="13" max="13" width="21.140625" style="3" customWidth="1"/>
    <col min="14" max="14" width="28.5703125" style="3" customWidth="1"/>
    <col min="15" max="15" width="22.85546875" style="3" customWidth="1"/>
    <col min="16" max="16" width="21.5703125" style="59" bestFit="1" customWidth="1"/>
    <col min="17" max="17" width="26.28515625" style="50" bestFit="1" customWidth="1"/>
    <col min="18" max="18" width="26" style="51" bestFit="1" customWidth="1"/>
    <col min="19" max="19" width="30.28515625" style="51" customWidth="1"/>
    <col min="20" max="23" width="30.28515625" style="63" customWidth="1"/>
    <col min="24" max="24" width="30.28515625" style="51" customWidth="1"/>
    <col min="25" max="25" width="32.28515625" style="51" customWidth="1"/>
    <col min="26" max="26" width="11.42578125" style="33"/>
    <col min="27" max="28" width="12.140625" style="3" bestFit="1" customWidth="1"/>
    <col min="29" max="16384" width="11.42578125" style="33"/>
  </cols>
  <sheetData>
    <row r="1" spans="1:28">
      <c r="A1" s="320"/>
      <c r="B1" s="320"/>
      <c r="C1" s="321" t="s">
        <v>1</v>
      </c>
      <c r="D1" s="321"/>
      <c r="E1" s="321"/>
      <c r="F1" s="321"/>
      <c r="G1" s="321"/>
      <c r="H1" s="321"/>
      <c r="I1" s="321"/>
      <c r="J1" s="321"/>
      <c r="K1" s="321"/>
      <c r="L1" s="321"/>
      <c r="M1" s="321"/>
      <c r="N1" s="321"/>
      <c r="O1" s="321"/>
      <c r="P1" s="321"/>
      <c r="Q1" s="321"/>
      <c r="R1" s="321"/>
      <c r="S1" s="321"/>
      <c r="T1" s="321"/>
      <c r="U1" s="321"/>
      <c r="V1" s="321"/>
      <c r="W1" s="321"/>
      <c r="X1" s="321"/>
      <c r="Y1" s="89" t="s">
        <v>221</v>
      </c>
    </row>
    <row r="2" spans="1:28">
      <c r="A2" s="320"/>
      <c r="B2" s="320"/>
      <c r="C2" s="321" t="s">
        <v>2</v>
      </c>
      <c r="D2" s="321"/>
      <c r="E2" s="321"/>
      <c r="F2" s="321"/>
      <c r="G2" s="321"/>
      <c r="H2" s="321"/>
      <c r="I2" s="321"/>
      <c r="J2" s="321"/>
      <c r="K2" s="321"/>
      <c r="L2" s="321"/>
      <c r="M2" s="321"/>
      <c r="N2" s="321"/>
      <c r="O2" s="321"/>
      <c r="P2" s="321"/>
      <c r="Q2" s="321"/>
      <c r="R2" s="321"/>
      <c r="S2" s="321"/>
      <c r="T2" s="321"/>
      <c r="U2" s="321"/>
      <c r="V2" s="321"/>
      <c r="W2" s="321"/>
      <c r="X2" s="321"/>
      <c r="Y2" s="89" t="s">
        <v>3</v>
      </c>
    </row>
    <row r="3" spans="1:28">
      <c r="A3" s="320"/>
      <c r="B3" s="320"/>
      <c r="C3" s="321" t="s">
        <v>4</v>
      </c>
      <c r="D3" s="321"/>
      <c r="E3" s="321"/>
      <c r="F3" s="321"/>
      <c r="G3" s="321"/>
      <c r="H3" s="321"/>
      <c r="I3" s="321"/>
      <c r="J3" s="321"/>
      <c r="K3" s="321"/>
      <c r="L3" s="321"/>
      <c r="M3" s="321"/>
      <c r="N3" s="321"/>
      <c r="O3" s="321"/>
      <c r="P3" s="321"/>
      <c r="Q3" s="321"/>
      <c r="R3" s="321"/>
      <c r="S3" s="321"/>
      <c r="T3" s="321"/>
      <c r="U3" s="321"/>
      <c r="V3" s="321"/>
      <c r="W3" s="321"/>
      <c r="X3" s="321"/>
      <c r="Y3" s="89" t="s">
        <v>220</v>
      </c>
    </row>
    <row r="4" spans="1:28">
      <c r="A4" s="320"/>
      <c r="B4" s="320"/>
      <c r="C4" s="321" t="s">
        <v>157</v>
      </c>
      <c r="D4" s="321"/>
      <c r="E4" s="321"/>
      <c r="F4" s="321"/>
      <c r="G4" s="321"/>
      <c r="H4" s="321"/>
      <c r="I4" s="321"/>
      <c r="J4" s="321"/>
      <c r="K4" s="321"/>
      <c r="L4" s="321"/>
      <c r="M4" s="321"/>
      <c r="N4" s="321"/>
      <c r="O4" s="321"/>
      <c r="P4" s="321"/>
      <c r="Q4" s="321"/>
      <c r="R4" s="321"/>
      <c r="S4" s="321"/>
      <c r="T4" s="321"/>
      <c r="U4" s="321"/>
      <c r="V4" s="321"/>
      <c r="W4" s="321"/>
      <c r="X4" s="321"/>
      <c r="Y4" s="89" t="s">
        <v>223</v>
      </c>
    </row>
    <row r="5" spans="1:28">
      <c r="A5" s="319" t="s">
        <v>169</v>
      </c>
      <c r="B5" s="319"/>
      <c r="C5" s="34"/>
      <c r="D5" s="35"/>
      <c r="E5" s="35"/>
      <c r="F5" s="35"/>
      <c r="G5" s="35"/>
      <c r="H5" s="35"/>
      <c r="I5" s="35"/>
      <c r="J5" s="35"/>
      <c r="K5" s="35"/>
      <c r="L5" s="35"/>
      <c r="M5" s="35"/>
      <c r="N5" s="35"/>
      <c r="O5" s="35"/>
      <c r="P5" s="54"/>
      <c r="Q5" s="47"/>
      <c r="R5" s="47"/>
      <c r="S5" s="47"/>
      <c r="T5" s="62"/>
      <c r="U5" s="62"/>
      <c r="V5" s="62"/>
      <c r="W5" s="62"/>
      <c r="X5" s="47"/>
      <c r="Y5" s="90"/>
    </row>
    <row r="6" spans="1:28">
      <c r="A6" s="316" t="s">
        <v>159</v>
      </c>
      <c r="B6" s="317"/>
      <c r="C6" s="317"/>
      <c r="D6" s="317"/>
      <c r="E6" s="317"/>
      <c r="F6" s="317"/>
      <c r="G6" s="317"/>
      <c r="H6" s="317"/>
      <c r="I6" s="317"/>
      <c r="J6" s="317"/>
      <c r="K6" s="317"/>
      <c r="L6" s="317"/>
      <c r="M6" s="317"/>
      <c r="N6" s="317"/>
      <c r="O6" s="317"/>
      <c r="P6" s="317"/>
      <c r="Q6" s="317"/>
      <c r="R6" s="317"/>
      <c r="S6" s="317"/>
      <c r="T6" s="317"/>
      <c r="U6" s="317"/>
      <c r="V6" s="317"/>
      <c r="W6" s="317"/>
      <c r="X6" s="317"/>
      <c r="Y6" s="318"/>
    </row>
    <row r="7" spans="1:28" ht="78.75" customHeight="1" thickBot="1">
      <c r="A7" s="88" t="s">
        <v>92</v>
      </c>
      <c r="B7" s="88" t="s">
        <v>164</v>
      </c>
      <c r="C7" s="91" t="s">
        <v>155</v>
      </c>
      <c r="D7" s="91" t="s">
        <v>27</v>
      </c>
      <c r="E7" s="91" t="s">
        <v>101</v>
      </c>
      <c r="F7" s="91" t="s">
        <v>6</v>
      </c>
      <c r="G7" s="88" t="s">
        <v>192</v>
      </c>
      <c r="H7" s="88" t="s">
        <v>33</v>
      </c>
      <c r="I7" s="88" t="s">
        <v>7</v>
      </c>
      <c r="J7" s="92" t="s">
        <v>154</v>
      </c>
      <c r="K7" s="88" t="s">
        <v>97</v>
      </c>
      <c r="L7" s="88" t="s">
        <v>96</v>
      </c>
      <c r="M7" s="88" t="s">
        <v>176</v>
      </c>
      <c r="N7" s="88" t="s">
        <v>8</v>
      </c>
      <c r="O7" s="88" t="s">
        <v>29</v>
      </c>
      <c r="P7" s="93" t="s">
        <v>571</v>
      </c>
      <c r="Q7" s="94" t="s">
        <v>30</v>
      </c>
      <c r="R7" s="94" t="s">
        <v>161</v>
      </c>
      <c r="S7" s="95" t="s">
        <v>570</v>
      </c>
      <c r="T7" s="96" t="s">
        <v>583</v>
      </c>
      <c r="U7" s="96" t="s">
        <v>584</v>
      </c>
      <c r="V7" s="96" t="s">
        <v>585</v>
      </c>
      <c r="W7" s="96" t="s">
        <v>586</v>
      </c>
      <c r="X7" s="94" t="s">
        <v>162</v>
      </c>
      <c r="Y7" s="94" t="s">
        <v>160</v>
      </c>
    </row>
    <row r="8" spans="1:28" ht="133.5" customHeight="1">
      <c r="A8" s="41" t="s">
        <v>390</v>
      </c>
      <c r="B8" s="298" t="s">
        <v>456</v>
      </c>
      <c r="C8" s="76" t="s">
        <v>391</v>
      </c>
      <c r="D8" s="77" t="s">
        <v>392</v>
      </c>
      <c r="E8" s="77" t="s">
        <v>393</v>
      </c>
      <c r="F8" s="307" t="s">
        <v>228</v>
      </c>
      <c r="G8" s="301" t="s">
        <v>380</v>
      </c>
      <c r="H8" s="37" t="s">
        <v>394</v>
      </c>
      <c r="I8" s="36" t="s">
        <v>395</v>
      </c>
      <c r="J8" s="38" t="s">
        <v>396</v>
      </c>
      <c r="K8" s="38" t="s">
        <v>602</v>
      </c>
      <c r="L8" s="39">
        <v>0.7</v>
      </c>
      <c r="M8" s="36" t="s">
        <v>188</v>
      </c>
      <c r="N8" s="37" t="s">
        <v>457</v>
      </c>
      <c r="O8" s="40">
        <v>16000</v>
      </c>
      <c r="P8" s="55">
        <v>2576</v>
      </c>
      <c r="Q8" s="48">
        <v>2000</v>
      </c>
      <c r="R8" s="48">
        <v>5500</v>
      </c>
      <c r="S8" s="52">
        <v>939</v>
      </c>
      <c r="T8" s="64">
        <f>+S8/R8</f>
        <v>0.17072727272727273</v>
      </c>
      <c r="U8" s="64">
        <f>+(P8+S8)/O8</f>
        <v>0.21968750000000001</v>
      </c>
      <c r="V8" s="64">
        <f>+(S8/R8)*L8</f>
        <v>0.1195090909090909</v>
      </c>
      <c r="W8" s="64">
        <f>+((P8+S8)/O8)*L8</f>
        <v>0.15378125000000001</v>
      </c>
      <c r="X8" s="48">
        <v>5500</v>
      </c>
      <c r="Y8" s="48">
        <f>3000-576</f>
        <v>2424</v>
      </c>
      <c r="AA8" s="60">
        <f>+P8+R8+X8+Y8</f>
        <v>16000</v>
      </c>
      <c r="AB8" s="60">
        <f>+O8-AA8</f>
        <v>0</v>
      </c>
    </row>
    <row r="9" spans="1:28" ht="154.5" customHeight="1" thickBot="1">
      <c r="A9" s="41" t="s">
        <v>390</v>
      </c>
      <c r="B9" s="299"/>
      <c r="C9" s="78" t="s">
        <v>391</v>
      </c>
      <c r="D9" s="37" t="s">
        <v>392</v>
      </c>
      <c r="E9" s="37" t="s">
        <v>393</v>
      </c>
      <c r="F9" s="308"/>
      <c r="G9" s="302"/>
      <c r="H9" s="84" t="s">
        <v>397</v>
      </c>
      <c r="I9" s="68" t="s">
        <v>398</v>
      </c>
      <c r="J9" s="65" t="s">
        <v>396</v>
      </c>
      <c r="K9" s="65" t="s">
        <v>603</v>
      </c>
      <c r="L9" s="69">
        <v>0.3</v>
      </c>
      <c r="M9" s="68" t="s">
        <v>188</v>
      </c>
      <c r="N9" s="84" t="s">
        <v>458</v>
      </c>
      <c r="O9" s="70">
        <v>2200</v>
      </c>
      <c r="P9" s="71" t="s">
        <v>572</v>
      </c>
      <c r="Q9" s="72" t="s">
        <v>568</v>
      </c>
      <c r="R9" s="72">
        <v>700</v>
      </c>
      <c r="S9" s="73">
        <v>9</v>
      </c>
      <c r="T9" s="236">
        <f t="shared" ref="T9:T43" si="0">+S9/R9</f>
        <v>1.2857142857142857E-2</v>
      </c>
      <c r="U9" s="236">
        <f>+(S9)/O9</f>
        <v>4.0909090909090912E-3</v>
      </c>
      <c r="V9" s="236">
        <f t="shared" ref="V9:V43" si="1">+(S9/R9)*L9</f>
        <v>3.8571428571428567E-3</v>
      </c>
      <c r="W9" s="236">
        <f>+((S9)/O9)*L9</f>
        <v>1.2272727272727272E-3</v>
      </c>
      <c r="X9" s="48">
        <v>700</v>
      </c>
      <c r="Y9" s="48">
        <v>800</v>
      </c>
      <c r="AA9" s="60">
        <f>+R9+X9+Y9</f>
        <v>2200</v>
      </c>
      <c r="AB9" s="60">
        <f t="shared" ref="AB9:AB42" si="2">+O9-AA9</f>
        <v>0</v>
      </c>
    </row>
    <row r="10" spans="1:28" ht="57" customHeight="1" thickBot="1">
      <c r="A10" s="41"/>
      <c r="B10" s="299"/>
      <c r="C10" s="79"/>
      <c r="D10" s="80"/>
      <c r="E10" s="80"/>
      <c r="F10" s="309"/>
      <c r="G10" s="304" t="s">
        <v>587</v>
      </c>
      <c r="H10" s="304"/>
      <c r="I10" s="304"/>
      <c r="J10" s="304"/>
      <c r="K10" s="304"/>
      <c r="L10" s="304"/>
      <c r="M10" s="304"/>
      <c r="N10" s="304"/>
      <c r="O10" s="304"/>
      <c r="P10" s="304"/>
      <c r="Q10" s="304"/>
      <c r="R10" s="304"/>
      <c r="S10" s="305"/>
      <c r="T10" s="238">
        <f>AVERAGE(T8:T9)</f>
        <v>9.1792207792207786E-2</v>
      </c>
      <c r="U10" s="239">
        <f>AVERAGE(U8:U9)</f>
        <v>0.11188920454545455</v>
      </c>
      <c r="V10" s="240">
        <f>SUM(V8:V9)</f>
        <v>0.12336623376623375</v>
      </c>
      <c r="W10" s="239">
        <f>SUM(W8:W9)</f>
        <v>0.15500852272727272</v>
      </c>
      <c r="X10" s="235"/>
      <c r="Y10" s="48"/>
      <c r="AA10" s="60"/>
      <c r="AB10" s="60"/>
    </row>
    <row r="11" spans="1:28" ht="131.25">
      <c r="A11" s="41" t="s">
        <v>390</v>
      </c>
      <c r="B11" s="299"/>
      <c r="C11" s="76" t="s">
        <v>391</v>
      </c>
      <c r="D11" s="77" t="s">
        <v>392</v>
      </c>
      <c r="E11" s="82" t="s">
        <v>393</v>
      </c>
      <c r="F11" s="310" t="s">
        <v>229</v>
      </c>
      <c r="G11" s="303" t="s">
        <v>381</v>
      </c>
      <c r="H11" s="75" t="s">
        <v>399</v>
      </c>
      <c r="I11" s="45" t="s">
        <v>395</v>
      </c>
      <c r="J11" s="66" t="s">
        <v>396</v>
      </c>
      <c r="K11" s="66" t="s">
        <v>601</v>
      </c>
      <c r="L11" s="74">
        <v>0.4</v>
      </c>
      <c r="M11" s="45" t="s">
        <v>188</v>
      </c>
      <c r="N11" s="75" t="s">
        <v>458</v>
      </c>
      <c r="O11" s="46">
        <v>5000</v>
      </c>
      <c r="P11" s="58">
        <v>1867</v>
      </c>
      <c r="Q11" s="49">
        <v>1000</v>
      </c>
      <c r="R11" s="49">
        <v>1334</v>
      </c>
      <c r="S11" s="53">
        <v>618</v>
      </c>
      <c r="T11" s="237">
        <f t="shared" si="0"/>
        <v>0.46326836581709147</v>
      </c>
      <c r="U11" s="237">
        <f t="shared" ref="U11:U43" si="3">+(P11+S11)/O11</f>
        <v>0.497</v>
      </c>
      <c r="V11" s="237">
        <f t="shared" si="1"/>
        <v>0.1853073463268366</v>
      </c>
      <c r="W11" s="237">
        <f t="shared" ref="W11:W43" si="4">+((P11+S11)/O11)*L11</f>
        <v>0.1988</v>
      </c>
      <c r="X11" s="48">
        <v>1333</v>
      </c>
      <c r="Y11" s="48">
        <f>1333-867</f>
        <v>466</v>
      </c>
      <c r="AA11" s="60">
        <f t="shared" ref="AA11:AA42" si="5">+P11+R11+X11+Y11</f>
        <v>5000</v>
      </c>
      <c r="AB11" s="60">
        <f t="shared" si="2"/>
        <v>0</v>
      </c>
    </row>
    <row r="12" spans="1:28" ht="142.5" customHeight="1">
      <c r="A12" s="41" t="s">
        <v>390</v>
      </c>
      <c r="B12" s="299"/>
      <c r="C12" s="78" t="s">
        <v>391</v>
      </c>
      <c r="D12" s="37" t="s">
        <v>392</v>
      </c>
      <c r="E12" s="81" t="s">
        <v>393</v>
      </c>
      <c r="F12" s="311"/>
      <c r="G12" s="301"/>
      <c r="H12" s="37" t="s">
        <v>400</v>
      </c>
      <c r="I12" s="36" t="s">
        <v>395</v>
      </c>
      <c r="J12" s="38" t="s">
        <v>396</v>
      </c>
      <c r="K12" s="38" t="s">
        <v>600</v>
      </c>
      <c r="L12" s="43">
        <v>0.3</v>
      </c>
      <c r="M12" s="36" t="s">
        <v>188</v>
      </c>
      <c r="N12" s="37" t="s">
        <v>457</v>
      </c>
      <c r="O12" s="40">
        <v>12000</v>
      </c>
      <c r="P12" s="55">
        <v>4713</v>
      </c>
      <c r="Q12" s="48">
        <v>5000</v>
      </c>
      <c r="R12" s="48">
        <v>2400</v>
      </c>
      <c r="S12" s="52">
        <v>626</v>
      </c>
      <c r="T12" s="64">
        <f t="shared" si="0"/>
        <v>0.26083333333333331</v>
      </c>
      <c r="U12" s="64">
        <f t="shared" si="3"/>
        <v>0.44491666666666668</v>
      </c>
      <c r="V12" s="64">
        <f t="shared" si="1"/>
        <v>7.8249999999999986E-2</v>
      </c>
      <c r="W12" s="64">
        <f t="shared" si="4"/>
        <v>0.13347500000000001</v>
      </c>
      <c r="X12" s="48">
        <v>2300</v>
      </c>
      <c r="Y12" s="48">
        <f>2300+287</f>
        <v>2587</v>
      </c>
      <c r="AA12" s="60">
        <f t="shared" si="5"/>
        <v>12000</v>
      </c>
      <c r="AB12" s="60">
        <f t="shared" si="2"/>
        <v>0</v>
      </c>
    </row>
    <row r="13" spans="1:28" ht="132" thickBot="1">
      <c r="A13" s="41" t="s">
        <v>390</v>
      </c>
      <c r="B13" s="299"/>
      <c r="C13" s="78" t="s">
        <v>391</v>
      </c>
      <c r="D13" s="37" t="s">
        <v>392</v>
      </c>
      <c r="E13" s="81" t="s">
        <v>393</v>
      </c>
      <c r="F13" s="311"/>
      <c r="G13" s="302"/>
      <c r="H13" s="84" t="s">
        <v>401</v>
      </c>
      <c r="I13" s="84" t="s">
        <v>402</v>
      </c>
      <c r="J13" s="65" t="s">
        <v>396</v>
      </c>
      <c r="K13" s="65" t="s">
        <v>581</v>
      </c>
      <c r="L13" s="69">
        <v>0.3</v>
      </c>
      <c r="M13" s="68" t="s">
        <v>188</v>
      </c>
      <c r="N13" s="84" t="s">
        <v>459</v>
      </c>
      <c r="O13" s="70">
        <v>1</v>
      </c>
      <c r="P13" s="71" t="s">
        <v>572</v>
      </c>
      <c r="Q13" s="72" t="s">
        <v>568</v>
      </c>
      <c r="R13" s="72">
        <v>1</v>
      </c>
      <c r="S13" s="73">
        <v>1</v>
      </c>
      <c r="T13" s="236">
        <f t="shared" si="0"/>
        <v>1</v>
      </c>
      <c r="U13" s="236">
        <f>+(PS13)/O13</f>
        <v>0</v>
      </c>
      <c r="V13" s="236">
        <f t="shared" si="1"/>
        <v>0.3</v>
      </c>
      <c r="W13" s="236">
        <f>+((S13)/O13)*L13</f>
        <v>0.3</v>
      </c>
      <c r="X13" s="48">
        <v>1</v>
      </c>
      <c r="Y13" s="48">
        <v>1</v>
      </c>
      <c r="AA13" s="60">
        <f>+R13+X13+Y13</f>
        <v>3</v>
      </c>
      <c r="AB13" s="60">
        <f t="shared" si="2"/>
        <v>-2</v>
      </c>
    </row>
    <row r="14" spans="1:28" ht="60" customHeight="1" thickBot="1">
      <c r="A14" s="41"/>
      <c r="B14" s="299"/>
      <c r="C14" s="79"/>
      <c r="D14" s="80"/>
      <c r="E14" s="83"/>
      <c r="F14" s="312"/>
      <c r="G14" s="306" t="s">
        <v>588</v>
      </c>
      <c r="H14" s="304"/>
      <c r="I14" s="304"/>
      <c r="J14" s="304"/>
      <c r="K14" s="304"/>
      <c r="L14" s="304"/>
      <c r="M14" s="304"/>
      <c r="N14" s="304"/>
      <c r="O14" s="304"/>
      <c r="P14" s="304"/>
      <c r="Q14" s="304"/>
      <c r="R14" s="304"/>
      <c r="S14" s="305"/>
      <c r="T14" s="239">
        <f>AVERAGE(T11:T13)</f>
        <v>0.57470056638347489</v>
      </c>
      <c r="U14" s="238">
        <f>AVERAGE(U11:U13)</f>
        <v>0.31397222222222226</v>
      </c>
      <c r="V14" s="239">
        <f>SUM(V11:V13)</f>
        <v>0.56355734632683663</v>
      </c>
      <c r="W14" s="241">
        <f>SUM(W11:W13)</f>
        <v>0.63227499999999992</v>
      </c>
      <c r="X14" s="235"/>
      <c r="Y14" s="48"/>
      <c r="AA14" s="60"/>
      <c r="AB14" s="60"/>
    </row>
    <row r="15" spans="1:28" ht="157.5" customHeight="1">
      <c r="A15" s="41" t="s">
        <v>390</v>
      </c>
      <c r="B15" s="299"/>
      <c r="C15" s="76" t="s">
        <v>391</v>
      </c>
      <c r="D15" s="77" t="s">
        <v>392</v>
      </c>
      <c r="E15" s="82" t="s">
        <v>393</v>
      </c>
      <c r="F15" s="310" t="s">
        <v>230</v>
      </c>
      <c r="G15" s="303" t="s">
        <v>382</v>
      </c>
      <c r="H15" s="66" t="s">
        <v>403</v>
      </c>
      <c r="I15" s="45" t="s">
        <v>395</v>
      </c>
      <c r="J15" s="66" t="s">
        <v>396</v>
      </c>
      <c r="K15" s="66" t="s">
        <v>608</v>
      </c>
      <c r="L15" s="74">
        <v>0.2</v>
      </c>
      <c r="M15" s="45" t="s">
        <v>188</v>
      </c>
      <c r="N15" s="75" t="s">
        <v>460</v>
      </c>
      <c r="O15" s="46">
        <v>5556</v>
      </c>
      <c r="P15" s="58">
        <v>272</v>
      </c>
      <c r="Q15" s="49">
        <v>1100</v>
      </c>
      <c r="R15" s="49">
        <v>1500</v>
      </c>
      <c r="S15" s="53">
        <v>402</v>
      </c>
      <c r="T15" s="237">
        <f t="shared" si="0"/>
        <v>0.26800000000000002</v>
      </c>
      <c r="U15" s="237">
        <f t="shared" si="3"/>
        <v>0.12131029517638589</v>
      </c>
      <c r="V15" s="237">
        <f t="shared" si="1"/>
        <v>5.3600000000000009E-2</v>
      </c>
      <c r="W15" s="237">
        <f t="shared" si="4"/>
        <v>2.4262059035277179E-2</v>
      </c>
      <c r="X15" s="48">
        <v>1956</v>
      </c>
      <c r="Y15" s="48">
        <f>1000+828</f>
        <v>1828</v>
      </c>
      <c r="AA15" s="60">
        <f t="shared" si="5"/>
        <v>5556</v>
      </c>
      <c r="AB15" s="60">
        <f t="shared" si="2"/>
        <v>0</v>
      </c>
    </row>
    <row r="16" spans="1:28" ht="101.25" customHeight="1">
      <c r="A16" s="41" t="s">
        <v>390</v>
      </c>
      <c r="B16" s="299"/>
      <c r="C16" s="78" t="s">
        <v>391</v>
      </c>
      <c r="D16" s="37" t="s">
        <v>392</v>
      </c>
      <c r="E16" s="81" t="s">
        <v>393</v>
      </c>
      <c r="F16" s="311"/>
      <c r="G16" s="301"/>
      <c r="H16" s="38" t="s">
        <v>404</v>
      </c>
      <c r="I16" s="36" t="s">
        <v>395</v>
      </c>
      <c r="J16" s="38" t="s">
        <v>396</v>
      </c>
      <c r="K16" s="38" t="s">
        <v>405</v>
      </c>
      <c r="L16" s="43">
        <v>0.3</v>
      </c>
      <c r="M16" s="36" t="s">
        <v>188</v>
      </c>
      <c r="N16" s="37" t="s">
        <v>458</v>
      </c>
      <c r="O16" s="40">
        <v>14000</v>
      </c>
      <c r="P16" s="55">
        <v>1929</v>
      </c>
      <c r="Q16" s="48">
        <v>2000</v>
      </c>
      <c r="R16" s="48">
        <v>5000</v>
      </c>
      <c r="S16" s="52">
        <v>145</v>
      </c>
      <c r="T16" s="64">
        <f t="shared" si="0"/>
        <v>2.9000000000000001E-2</v>
      </c>
      <c r="U16" s="64">
        <f t="shared" si="3"/>
        <v>0.14814285714285713</v>
      </c>
      <c r="V16" s="64">
        <f t="shared" si="1"/>
        <v>8.6999999999999994E-3</v>
      </c>
      <c r="W16" s="64">
        <f t="shared" si="4"/>
        <v>4.4442857142857138E-2</v>
      </c>
      <c r="X16" s="48">
        <v>5000</v>
      </c>
      <c r="Y16" s="48">
        <f>2000+71</f>
        <v>2071</v>
      </c>
      <c r="AA16" s="60">
        <f t="shared" si="5"/>
        <v>14000</v>
      </c>
      <c r="AB16" s="60">
        <f t="shared" si="2"/>
        <v>0</v>
      </c>
    </row>
    <row r="17" spans="1:28" ht="75">
      <c r="A17" s="41" t="s">
        <v>390</v>
      </c>
      <c r="B17" s="299"/>
      <c r="C17" s="78" t="s">
        <v>391</v>
      </c>
      <c r="D17" s="37" t="s">
        <v>392</v>
      </c>
      <c r="E17" s="81" t="s">
        <v>393</v>
      </c>
      <c r="F17" s="311"/>
      <c r="G17" s="301"/>
      <c r="H17" s="38" t="s">
        <v>406</v>
      </c>
      <c r="I17" s="36" t="s">
        <v>407</v>
      </c>
      <c r="J17" s="38" t="s">
        <v>396</v>
      </c>
      <c r="K17" s="38" t="s">
        <v>408</v>
      </c>
      <c r="L17" s="43">
        <v>0.2</v>
      </c>
      <c r="M17" s="36" t="s">
        <v>188</v>
      </c>
      <c r="N17" s="37" t="s">
        <v>459</v>
      </c>
      <c r="O17" s="40">
        <v>25000</v>
      </c>
      <c r="P17" s="55">
        <v>1168</v>
      </c>
      <c r="Q17" s="48">
        <v>4000</v>
      </c>
      <c r="R17" s="48">
        <v>8000</v>
      </c>
      <c r="S17" s="52">
        <v>401</v>
      </c>
      <c r="T17" s="64">
        <f t="shared" si="0"/>
        <v>5.0125000000000003E-2</v>
      </c>
      <c r="U17" s="64">
        <f t="shared" si="3"/>
        <v>6.2759999999999996E-2</v>
      </c>
      <c r="V17" s="64">
        <f t="shared" si="1"/>
        <v>1.0025000000000001E-2</v>
      </c>
      <c r="W17" s="64">
        <f t="shared" si="4"/>
        <v>1.2552000000000001E-2</v>
      </c>
      <c r="X17" s="48">
        <v>7000</v>
      </c>
      <c r="Y17" s="48">
        <f>6000+2832</f>
        <v>8832</v>
      </c>
      <c r="AA17" s="60">
        <f t="shared" si="5"/>
        <v>25000</v>
      </c>
      <c r="AB17" s="60">
        <f t="shared" si="2"/>
        <v>0</v>
      </c>
    </row>
    <row r="18" spans="1:28" ht="113.25" thickBot="1">
      <c r="A18" s="41" t="s">
        <v>390</v>
      </c>
      <c r="B18" s="299"/>
      <c r="C18" s="78" t="s">
        <v>391</v>
      </c>
      <c r="D18" s="37" t="s">
        <v>392</v>
      </c>
      <c r="E18" s="81" t="s">
        <v>393</v>
      </c>
      <c r="F18" s="311"/>
      <c r="G18" s="301"/>
      <c r="H18" s="38" t="s">
        <v>409</v>
      </c>
      <c r="I18" s="36" t="s">
        <v>410</v>
      </c>
      <c r="J18" s="38" t="s">
        <v>396</v>
      </c>
      <c r="K18" s="38" t="s">
        <v>411</v>
      </c>
      <c r="L18" s="43">
        <v>0.3</v>
      </c>
      <c r="M18" s="36" t="s">
        <v>188</v>
      </c>
      <c r="N18" s="37" t="s">
        <v>457</v>
      </c>
      <c r="O18" s="41">
        <v>50</v>
      </c>
      <c r="P18" s="56">
        <v>10</v>
      </c>
      <c r="Q18" s="48">
        <v>10</v>
      </c>
      <c r="R18" s="48">
        <v>15</v>
      </c>
      <c r="S18" s="52">
        <v>0</v>
      </c>
      <c r="T18" s="236">
        <f t="shared" si="0"/>
        <v>0</v>
      </c>
      <c r="U18" s="236">
        <f t="shared" si="3"/>
        <v>0.2</v>
      </c>
      <c r="V18" s="236">
        <f t="shared" si="1"/>
        <v>0</v>
      </c>
      <c r="W18" s="236">
        <f t="shared" si="4"/>
        <v>0.06</v>
      </c>
      <c r="X18" s="48">
        <v>15</v>
      </c>
      <c r="Y18" s="48">
        <v>10</v>
      </c>
      <c r="AA18" s="60">
        <f t="shared" si="5"/>
        <v>50</v>
      </c>
      <c r="AB18" s="60">
        <f t="shared" si="2"/>
        <v>0</v>
      </c>
    </row>
    <row r="19" spans="1:28" ht="71.25" customHeight="1" thickBot="1">
      <c r="A19" s="41"/>
      <c r="B19" s="299"/>
      <c r="C19" s="313"/>
      <c r="D19" s="314"/>
      <c r="E19" s="315"/>
      <c r="F19" s="312"/>
      <c r="G19" s="304" t="s">
        <v>589</v>
      </c>
      <c r="H19" s="304"/>
      <c r="I19" s="304"/>
      <c r="J19" s="304"/>
      <c r="K19" s="304"/>
      <c r="L19" s="304"/>
      <c r="M19" s="304"/>
      <c r="N19" s="304"/>
      <c r="O19" s="304"/>
      <c r="P19" s="304"/>
      <c r="Q19" s="304"/>
      <c r="R19" s="304"/>
      <c r="S19" s="305"/>
      <c r="T19" s="238">
        <f>AVERAGE(T15:T18)</f>
        <v>8.6781250000000004E-2</v>
      </c>
      <c r="U19" s="239">
        <f>AVERAGE(U15:U18)</f>
        <v>0.13305328807981076</v>
      </c>
      <c r="V19" s="240">
        <f>SUM(V15:V18)</f>
        <v>7.2325000000000014E-2</v>
      </c>
      <c r="W19" s="239">
        <f>SUM(W15:W18)</f>
        <v>0.14125691617813432</v>
      </c>
      <c r="X19" s="235"/>
      <c r="Y19" s="48"/>
      <c r="AA19" s="60"/>
      <c r="AB19" s="60"/>
    </row>
    <row r="20" spans="1:28" ht="162" customHeight="1" thickBot="1">
      <c r="A20" s="41" t="s">
        <v>390</v>
      </c>
      <c r="B20" s="299"/>
      <c r="C20" s="76" t="s">
        <v>391</v>
      </c>
      <c r="D20" s="77" t="s">
        <v>392</v>
      </c>
      <c r="E20" s="82" t="s">
        <v>393</v>
      </c>
      <c r="F20" s="310" t="s">
        <v>231</v>
      </c>
      <c r="G20" s="97" t="s">
        <v>383</v>
      </c>
      <c r="H20" s="37" t="s">
        <v>412</v>
      </c>
      <c r="I20" s="36" t="s">
        <v>413</v>
      </c>
      <c r="J20" s="38" t="s">
        <v>396</v>
      </c>
      <c r="K20" s="37" t="s">
        <v>414</v>
      </c>
      <c r="L20" s="43">
        <v>1</v>
      </c>
      <c r="M20" s="36" t="s">
        <v>188</v>
      </c>
      <c r="N20" s="37" t="s">
        <v>461</v>
      </c>
      <c r="O20" s="40">
        <v>5000</v>
      </c>
      <c r="P20" s="55">
        <v>0</v>
      </c>
      <c r="Q20" s="48">
        <v>210</v>
      </c>
      <c r="R20" s="48">
        <v>1650</v>
      </c>
      <c r="S20" s="52">
        <v>0</v>
      </c>
      <c r="T20" s="242">
        <f t="shared" si="0"/>
        <v>0</v>
      </c>
      <c r="U20" s="242">
        <f t="shared" si="3"/>
        <v>0</v>
      </c>
      <c r="V20" s="242">
        <f t="shared" si="1"/>
        <v>0</v>
      </c>
      <c r="W20" s="242">
        <f t="shared" si="4"/>
        <v>0</v>
      </c>
      <c r="X20" s="48">
        <v>1650</v>
      </c>
      <c r="Y20" s="48">
        <f>1490+210</f>
        <v>1700</v>
      </c>
      <c r="AA20" s="60">
        <f t="shared" si="5"/>
        <v>5000</v>
      </c>
      <c r="AB20" s="60">
        <f t="shared" si="2"/>
        <v>0</v>
      </c>
    </row>
    <row r="21" spans="1:28" ht="66" customHeight="1" thickBot="1">
      <c r="A21" s="41"/>
      <c r="B21" s="299"/>
      <c r="C21" s="313"/>
      <c r="D21" s="314"/>
      <c r="E21" s="314"/>
      <c r="F21" s="312"/>
      <c r="G21" s="304" t="s">
        <v>590</v>
      </c>
      <c r="H21" s="304"/>
      <c r="I21" s="304"/>
      <c r="J21" s="304"/>
      <c r="K21" s="304"/>
      <c r="L21" s="304"/>
      <c r="M21" s="304"/>
      <c r="N21" s="304"/>
      <c r="O21" s="304"/>
      <c r="P21" s="304"/>
      <c r="Q21" s="304"/>
      <c r="R21" s="304"/>
      <c r="S21" s="305"/>
      <c r="T21" s="238">
        <f>+T20</f>
        <v>0</v>
      </c>
      <c r="U21" s="239">
        <f t="shared" ref="U21:W21" si="6">+U20</f>
        <v>0</v>
      </c>
      <c r="V21" s="240">
        <f t="shared" si="6"/>
        <v>0</v>
      </c>
      <c r="W21" s="239">
        <f t="shared" si="6"/>
        <v>0</v>
      </c>
      <c r="X21" s="235"/>
      <c r="Y21" s="48"/>
      <c r="AA21" s="60"/>
      <c r="AB21" s="60"/>
    </row>
    <row r="22" spans="1:28" ht="93.75">
      <c r="A22" s="41" t="s">
        <v>390</v>
      </c>
      <c r="B22" s="299"/>
      <c r="C22" s="76" t="s">
        <v>391</v>
      </c>
      <c r="D22" s="77" t="s">
        <v>392</v>
      </c>
      <c r="E22" s="82" t="s">
        <v>393</v>
      </c>
      <c r="F22" s="310" t="s">
        <v>232</v>
      </c>
      <c r="G22" s="301" t="s">
        <v>384</v>
      </c>
      <c r="H22" s="38" t="s">
        <v>415</v>
      </c>
      <c r="I22" s="36" t="s">
        <v>407</v>
      </c>
      <c r="J22" s="38" t="s">
        <v>396</v>
      </c>
      <c r="K22" s="38" t="s">
        <v>416</v>
      </c>
      <c r="L22" s="43">
        <v>0.24</v>
      </c>
      <c r="M22" s="36" t="s">
        <v>188</v>
      </c>
      <c r="N22" s="37" t="s">
        <v>462</v>
      </c>
      <c r="O22" s="44">
        <v>8000</v>
      </c>
      <c r="P22" s="57">
        <v>477</v>
      </c>
      <c r="Q22" s="48">
        <v>350</v>
      </c>
      <c r="R22" s="48">
        <v>2550</v>
      </c>
      <c r="S22" s="52">
        <v>32</v>
      </c>
      <c r="T22" s="237">
        <f t="shared" si="0"/>
        <v>1.2549019607843137E-2</v>
      </c>
      <c r="U22" s="237">
        <f t="shared" si="3"/>
        <v>6.3625000000000001E-2</v>
      </c>
      <c r="V22" s="237">
        <f t="shared" si="1"/>
        <v>3.0117647058823527E-3</v>
      </c>
      <c r="W22" s="237">
        <f t="shared" si="4"/>
        <v>1.5269999999999999E-2</v>
      </c>
      <c r="X22" s="48">
        <v>2550</v>
      </c>
      <c r="Y22" s="48">
        <f>2550-127</f>
        <v>2423</v>
      </c>
      <c r="AA22" s="60">
        <f t="shared" si="5"/>
        <v>8000</v>
      </c>
      <c r="AB22" s="60">
        <f t="shared" si="2"/>
        <v>0</v>
      </c>
    </row>
    <row r="23" spans="1:28" ht="93.75">
      <c r="A23" s="41" t="s">
        <v>390</v>
      </c>
      <c r="B23" s="299"/>
      <c r="C23" s="78" t="s">
        <v>391</v>
      </c>
      <c r="D23" s="37" t="s">
        <v>392</v>
      </c>
      <c r="E23" s="81" t="s">
        <v>393</v>
      </c>
      <c r="F23" s="311"/>
      <c r="G23" s="301"/>
      <c r="H23" s="38" t="s">
        <v>417</v>
      </c>
      <c r="I23" s="36" t="s">
        <v>418</v>
      </c>
      <c r="J23" s="38" t="s">
        <v>396</v>
      </c>
      <c r="K23" s="38" t="s">
        <v>419</v>
      </c>
      <c r="L23" s="43">
        <v>0.2</v>
      </c>
      <c r="M23" s="36" t="s">
        <v>188</v>
      </c>
      <c r="N23" s="37" t="s">
        <v>463</v>
      </c>
      <c r="O23" s="44">
        <v>3800</v>
      </c>
      <c r="P23" s="57">
        <v>529</v>
      </c>
      <c r="Q23" s="48">
        <v>280</v>
      </c>
      <c r="R23" s="48">
        <v>1170</v>
      </c>
      <c r="S23" s="52">
        <v>0</v>
      </c>
      <c r="T23" s="64">
        <f t="shared" si="0"/>
        <v>0</v>
      </c>
      <c r="U23" s="64">
        <f t="shared" si="3"/>
        <v>0.13921052631578948</v>
      </c>
      <c r="V23" s="64">
        <f t="shared" si="1"/>
        <v>0</v>
      </c>
      <c r="W23" s="64">
        <f t="shared" si="4"/>
        <v>2.7842105263157897E-2</v>
      </c>
      <c r="X23" s="48">
        <v>1170</v>
      </c>
      <c r="Y23" s="48">
        <f>1180-249</f>
        <v>931</v>
      </c>
      <c r="AA23" s="60">
        <f t="shared" si="5"/>
        <v>3800</v>
      </c>
      <c r="AB23" s="60">
        <f t="shared" si="2"/>
        <v>0</v>
      </c>
    </row>
    <row r="24" spans="1:28" ht="112.5">
      <c r="A24" s="41" t="s">
        <v>390</v>
      </c>
      <c r="B24" s="299"/>
      <c r="C24" s="78" t="s">
        <v>391</v>
      </c>
      <c r="D24" s="37" t="s">
        <v>392</v>
      </c>
      <c r="E24" s="81" t="s">
        <v>393</v>
      </c>
      <c r="F24" s="311"/>
      <c r="G24" s="301"/>
      <c r="H24" s="38" t="s">
        <v>420</v>
      </c>
      <c r="I24" s="37" t="s">
        <v>421</v>
      </c>
      <c r="J24" s="38" t="s">
        <v>396</v>
      </c>
      <c r="K24" s="38" t="s">
        <v>422</v>
      </c>
      <c r="L24" s="43">
        <v>0.18</v>
      </c>
      <c r="M24" s="36" t="s">
        <v>188</v>
      </c>
      <c r="N24" s="37" t="s">
        <v>463</v>
      </c>
      <c r="O24" s="41">
        <v>80</v>
      </c>
      <c r="P24" s="56">
        <v>32</v>
      </c>
      <c r="Q24" s="48">
        <v>30</v>
      </c>
      <c r="R24" s="48">
        <v>20</v>
      </c>
      <c r="S24" s="52">
        <v>3</v>
      </c>
      <c r="T24" s="64">
        <f t="shared" si="0"/>
        <v>0.15</v>
      </c>
      <c r="U24" s="64">
        <f t="shared" si="3"/>
        <v>0.4375</v>
      </c>
      <c r="V24" s="64">
        <f t="shared" si="1"/>
        <v>2.7E-2</v>
      </c>
      <c r="W24" s="64">
        <f t="shared" si="4"/>
        <v>7.8750000000000001E-2</v>
      </c>
      <c r="X24" s="48">
        <v>10</v>
      </c>
      <c r="Y24" s="48">
        <f>20-2</f>
        <v>18</v>
      </c>
      <c r="AA24" s="60">
        <f t="shared" si="5"/>
        <v>80</v>
      </c>
      <c r="AB24" s="60">
        <f t="shared" si="2"/>
        <v>0</v>
      </c>
    </row>
    <row r="25" spans="1:28" ht="93.75">
      <c r="A25" s="41" t="s">
        <v>390</v>
      </c>
      <c r="B25" s="299"/>
      <c r="C25" s="78" t="s">
        <v>391</v>
      </c>
      <c r="D25" s="37" t="s">
        <v>392</v>
      </c>
      <c r="E25" s="81" t="s">
        <v>393</v>
      </c>
      <c r="F25" s="311"/>
      <c r="G25" s="301"/>
      <c r="H25" s="38" t="s">
        <v>423</v>
      </c>
      <c r="I25" s="36" t="s">
        <v>395</v>
      </c>
      <c r="J25" s="38" t="s">
        <v>424</v>
      </c>
      <c r="K25" s="38" t="s">
        <v>582</v>
      </c>
      <c r="L25" s="43">
        <v>0.2</v>
      </c>
      <c r="M25" s="36" t="s">
        <v>187</v>
      </c>
      <c r="N25" s="37" t="s">
        <v>463</v>
      </c>
      <c r="O25" s="41">
        <v>1</v>
      </c>
      <c r="P25" s="56" t="s">
        <v>572</v>
      </c>
      <c r="Q25" s="48" t="s">
        <v>568</v>
      </c>
      <c r="R25" s="48">
        <v>0.33</v>
      </c>
      <c r="S25" s="52">
        <v>0</v>
      </c>
      <c r="T25" s="64">
        <f t="shared" si="0"/>
        <v>0</v>
      </c>
      <c r="U25" s="64">
        <f>+(S25)/O25</f>
        <v>0</v>
      </c>
      <c r="V25" s="64">
        <f t="shared" si="1"/>
        <v>0</v>
      </c>
      <c r="W25" s="64">
        <f>+((S25)/O25)*L25</f>
        <v>0</v>
      </c>
      <c r="X25" s="48">
        <v>0.33</v>
      </c>
      <c r="Y25" s="48">
        <v>0.34</v>
      </c>
      <c r="AA25" s="60">
        <f>+R25+X25+Y25</f>
        <v>1</v>
      </c>
      <c r="AB25" s="60">
        <f t="shared" si="2"/>
        <v>0</v>
      </c>
    </row>
    <row r="26" spans="1:28" ht="94.5" thickBot="1">
      <c r="A26" s="41" t="s">
        <v>390</v>
      </c>
      <c r="B26" s="299"/>
      <c r="C26" s="78" t="s">
        <v>391</v>
      </c>
      <c r="D26" s="37" t="s">
        <v>392</v>
      </c>
      <c r="E26" s="81" t="s">
        <v>393</v>
      </c>
      <c r="F26" s="311"/>
      <c r="G26" s="301"/>
      <c r="H26" s="38" t="s">
        <v>425</v>
      </c>
      <c r="I26" s="36" t="s">
        <v>395</v>
      </c>
      <c r="J26" s="38" t="s">
        <v>424</v>
      </c>
      <c r="K26" s="38" t="s">
        <v>426</v>
      </c>
      <c r="L26" s="43">
        <v>0.18</v>
      </c>
      <c r="M26" s="36" t="s">
        <v>188</v>
      </c>
      <c r="N26" s="37" t="s">
        <v>463</v>
      </c>
      <c r="O26" s="40">
        <v>3200</v>
      </c>
      <c r="P26" s="55">
        <v>415</v>
      </c>
      <c r="Q26" s="48">
        <v>200</v>
      </c>
      <c r="R26" s="48">
        <v>1000</v>
      </c>
      <c r="S26" s="52">
        <v>98</v>
      </c>
      <c r="T26" s="236">
        <f t="shared" si="0"/>
        <v>9.8000000000000004E-2</v>
      </c>
      <c r="U26" s="236">
        <f t="shared" si="3"/>
        <v>0.1603125</v>
      </c>
      <c r="V26" s="236">
        <f t="shared" si="1"/>
        <v>1.7639999999999999E-2</v>
      </c>
      <c r="W26" s="236">
        <f t="shared" si="4"/>
        <v>2.885625E-2</v>
      </c>
      <c r="X26" s="48">
        <v>1000</v>
      </c>
      <c r="Y26" s="48">
        <f>1000-215</f>
        <v>785</v>
      </c>
      <c r="AA26" s="60">
        <f t="shared" si="5"/>
        <v>3200</v>
      </c>
      <c r="AB26" s="60">
        <f t="shared" si="2"/>
        <v>0</v>
      </c>
    </row>
    <row r="27" spans="1:28" ht="60" customHeight="1" thickBot="1">
      <c r="A27" s="41"/>
      <c r="B27" s="299"/>
      <c r="C27" s="313"/>
      <c r="D27" s="314"/>
      <c r="E27" s="315"/>
      <c r="F27" s="312"/>
      <c r="G27" s="304" t="s">
        <v>591</v>
      </c>
      <c r="H27" s="304"/>
      <c r="I27" s="304"/>
      <c r="J27" s="304"/>
      <c r="K27" s="304"/>
      <c r="L27" s="304"/>
      <c r="M27" s="304"/>
      <c r="N27" s="304"/>
      <c r="O27" s="304"/>
      <c r="P27" s="304"/>
      <c r="Q27" s="304"/>
      <c r="R27" s="304"/>
      <c r="S27" s="305"/>
      <c r="T27" s="238">
        <f>AVERAGE(T22:T26)</f>
        <v>5.210980392156863E-2</v>
      </c>
      <c r="U27" s="239">
        <f>AVERAGE(U22:U26)</f>
        <v>0.16012960526315789</v>
      </c>
      <c r="V27" s="240">
        <f>SUM(V22:V26)</f>
        <v>4.7651764705882352E-2</v>
      </c>
      <c r="W27" s="239">
        <f>SUM(W22:W26)</f>
        <v>0.15071835526315791</v>
      </c>
      <c r="X27" s="235"/>
      <c r="Y27" s="48"/>
      <c r="AA27" s="60"/>
      <c r="AB27" s="60"/>
    </row>
    <row r="28" spans="1:28" ht="93.75">
      <c r="A28" s="41" t="s">
        <v>390</v>
      </c>
      <c r="B28" s="299"/>
      <c r="C28" s="76" t="s">
        <v>391</v>
      </c>
      <c r="D28" s="77" t="s">
        <v>392</v>
      </c>
      <c r="E28" s="82" t="s">
        <v>393</v>
      </c>
      <c r="F28" s="310" t="s">
        <v>233</v>
      </c>
      <c r="G28" s="301" t="s">
        <v>385</v>
      </c>
      <c r="H28" s="37" t="s">
        <v>427</v>
      </c>
      <c r="I28" s="36" t="s">
        <v>395</v>
      </c>
      <c r="J28" s="38" t="s">
        <v>424</v>
      </c>
      <c r="K28" s="38" t="s">
        <v>428</v>
      </c>
      <c r="L28" s="43">
        <v>0.3</v>
      </c>
      <c r="M28" s="36" t="s">
        <v>188</v>
      </c>
      <c r="N28" s="37" t="s">
        <v>464</v>
      </c>
      <c r="O28" s="40">
        <v>20000</v>
      </c>
      <c r="P28" s="55">
        <v>250</v>
      </c>
      <c r="Q28" s="48">
        <v>250</v>
      </c>
      <c r="R28" s="48">
        <v>6000</v>
      </c>
      <c r="S28" s="52">
        <v>219</v>
      </c>
      <c r="T28" s="237">
        <f t="shared" si="0"/>
        <v>3.6499999999999998E-2</v>
      </c>
      <c r="U28" s="237">
        <f t="shared" si="3"/>
        <v>2.3449999999999999E-2</v>
      </c>
      <c r="V28" s="237">
        <f t="shared" si="1"/>
        <v>1.095E-2</v>
      </c>
      <c r="W28" s="237">
        <f t="shared" si="4"/>
        <v>7.0349999999999996E-3</v>
      </c>
      <c r="X28" s="48">
        <v>8000</v>
      </c>
      <c r="Y28" s="48">
        <v>5750</v>
      </c>
      <c r="AA28" s="60">
        <f t="shared" si="5"/>
        <v>20000</v>
      </c>
      <c r="AB28" s="60">
        <f t="shared" si="2"/>
        <v>0</v>
      </c>
    </row>
    <row r="29" spans="1:28" ht="94.5" thickBot="1">
      <c r="A29" s="41" t="s">
        <v>390</v>
      </c>
      <c r="B29" s="299"/>
      <c r="C29" s="78" t="s">
        <v>391</v>
      </c>
      <c r="D29" s="37" t="s">
        <v>392</v>
      </c>
      <c r="E29" s="81" t="s">
        <v>393</v>
      </c>
      <c r="F29" s="311"/>
      <c r="G29" s="301"/>
      <c r="H29" s="37" t="s">
        <v>429</v>
      </c>
      <c r="I29" s="36" t="s">
        <v>395</v>
      </c>
      <c r="J29" s="38" t="s">
        <v>424</v>
      </c>
      <c r="K29" s="38" t="s">
        <v>430</v>
      </c>
      <c r="L29" s="43">
        <v>0.7</v>
      </c>
      <c r="M29" s="36" t="s">
        <v>188</v>
      </c>
      <c r="N29" s="37" t="s">
        <v>458</v>
      </c>
      <c r="O29" s="40">
        <v>3000</v>
      </c>
      <c r="P29" s="55" t="s">
        <v>572</v>
      </c>
      <c r="Q29" s="48" t="s">
        <v>568</v>
      </c>
      <c r="R29" s="48">
        <v>1000</v>
      </c>
      <c r="S29" s="52">
        <v>0</v>
      </c>
      <c r="T29" s="236">
        <f t="shared" si="0"/>
        <v>0</v>
      </c>
      <c r="U29" s="236">
        <f>+(S29)/O29</f>
        <v>0</v>
      </c>
      <c r="V29" s="236">
        <f t="shared" si="1"/>
        <v>0</v>
      </c>
      <c r="W29" s="236">
        <f>+((S29)/O29)*L29</f>
        <v>0</v>
      </c>
      <c r="X29" s="48">
        <v>1000</v>
      </c>
      <c r="Y29" s="48">
        <v>1000</v>
      </c>
      <c r="AA29" s="60">
        <f>+R29+X29+Y29</f>
        <v>3000</v>
      </c>
      <c r="AB29" s="60">
        <f t="shared" si="2"/>
        <v>0</v>
      </c>
    </row>
    <row r="30" spans="1:28" ht="56.25" customHeight="1" thickBot="1">
      <c r="A30" s="41"/>
      <c r="B30" s="299"/>
      <c r="C30" s="313"/>
      <c r="D30" s="314"/>
      <c r="E30" s="315"/>
      <c r="F30" s="312"/>
      <c r="G30" s="304" t="s">
        <v>592</v>
      </c>
      <c r="H30" s="304"/>
      <c r="I30" s="304"/>
      <c r="J30" s="304"/>
      <c r="K30" s="304"/>
      <c r="L30" s="304"/>
      <c r="M30" s="304"/>
      <c r="N30" s="304"/>
      <c r="O30" s="304"/>
      <c r="P30" s="304"/>
      <c r="Q30" s="304"/>
      <c r="R30" s="304"/>
      <c r="S30" s="305"/>
      <c r="T30" s="238">
        <f>AVERAGE(T28:T29)</f>
        <v>1.8249999999999999E-2</v>
      </c>
      <c r="U30" s="239">
        <f>AVERAGE(U28:U29)</f>
        <v>1.1724999999999999E-2</v>
      </c>
      <c r="V30" s="240">
        <f>SUM(V28:V29)</f>
        <v>1.095E-2</v>
      </c>
      <c r="W30" s="239">
        <f>SUM(W28:W29)</f>
        <v>7.0349999999999996E-3</v>
      </c>
      <c r="X30" s="235"/>
      <c r="Y30" s="48"/>
      <c r="AA30" s="60"/>
      <c r="AB30" s="60"/>
    </row>
    <row r="31" spans="1:28" ht="150">
      <c r="A31" s="41" t="s">
        <v>390</v>
      </c>
      <c r="B31" s="299"/>
      <c r="C31" s="76" t="s">
        <v>391</v>
      </c>
      <c r="D31" s="77" t="s">
        <v>392</v>
      </c>
      <c r="E31" s="82" t="s">
        <v>393</v>
      </c>
      <c r="F31" s="310" t="s">
        <v>234</v>
      </c>
      <c r="G31" s="301" t="s">
        <v>386</v>
      </c>
      <c r="H31" s="37" t="s">
        <v>431</v>
      </c>
      <c r="I31" s="36" t="s">
        <v>407</v>
      </c>
      <c r="J31" s="38" t="s">
        <v>396</v>
      </c>
      <c r="K31" s="38" t="s">
        <v>432</v>
      </c>
      <c r="L31" s="43">
        <v>0.25</v>
      </c>
      <c r="M31" s="36" t="s">
        <v>188</v>
      </c>
      <c r="N31" s="37" t="s">
        <v>459</v>
      </c>
      <c r="O31" s="40">
        <v>1092</v>
      </c>
      <c r="P31" s="55">
        <v>188</v>
      </c>
      <c r="Q31" s="48">
        <v>200</v>
      </c>
      <c r="R31" s="48">
        <v>346</v>
      </c>
      <c r="S31" s="52">
        <v>125</v>
      </c>
      <c r="T31" s="237">
        <f t="shared" si="0"/>
        <v>0.36127167630057805</v>
      </c>
      <c r="U31" s="237">
        <f t="shared" si="3"/>
        <v>0.28663003663003661</v>
      </c>
      <c r="V31" s="237">
        <f t="shared" si="1"/>
        <v>9.0317919075144512E-2</v>
      </c>
      <c r="W31" s="237">
        <f t="shared" si="4"/>
        <v>7.1657509157509153E-2</v>
      </c>
      <c r="X31" s="48">
        <v>273</v>
      </c>
      <c r="Y31" s="48">
        <f>273+12</f>
        <v>285</v>
      </c>
      <c r="AA31" s="60">
        <f t="shared" si="5"/>
        <v>1092</v>
      </c>
      <c r="AB31" s="60">
        <f t="shared" si="2"/>
        <v>0</v>
      </c>
    </row>
    <row r="32" spans="1:28" ht="112.5">
      <c r="A32" s="41" t="s">
        <v>390</v>
      </c>
      <c r="B32" s="299"/>
      <c r="C32" s="78" t="s">
        <v>391</v>
      </c>
      <c r="D32" s="37" t="s">
        <v>392</v>
      </c>
      <c r="E32" s="81" t="s">
        <v>393</v>
      </c>
      <c r="F32" s="311"/>
      <c r="G32" s="301"/>
      <c r="H32" s="37" t="s">
        <v>433</v>
      </c>
      <c r="I32" s="36" t="s">
        <v>395</v>
      </c>
      <c r="J32" s="38" t="s">
        <v>396</v>
      </c>
      <c r="K32" s="38" t="s">
        <v>434</v>
      </c>
      <c r="L32" s="43">
        <v>0.35</v>
      </c>
      <c r="M32" s="36" t="s">
        <v>188</v>
      </c>
      <c r="N32" s="37" t="s">
        <v>457</v>
      </c>
      <c r="O32" s="40">
        <v>4</v>
      </c>
      <c r="P32" s="55">
        <v>1</v>
      </c>
      <c r="Q32" s="48">
        <v>1</v>
      </c>
      <c r="R32" s="48">
        <v>1</v>
      </c>
      <c r="S32" s="52">
        <v>1</v>
      </c>
      <c r="T32" s="64">
        <f t="shared" si="0"/>
        <v>1</v>
      </c>
      <c r="U32" s="64">
        <f t="shared" si="3"/>
        <v>0.5</v>
      </c>
      <c r="V32" s="64">
        <f t="shared" si="1"/>
        <v>0.35</v>
      </c>
      <c r="W32" s="64">
        <f t="shared" si="4"/>
        <v>0.17499999999999999</v>
      </c>
      <c r="X32" s="48">
        <v>1</v>
      </c>
      <c r="Y32" s="48">
        <v>1</v>
      </c>
      <c r="AA32" s="60">
        <f t="shared" si="5"/>
        <v>4</v>
      </c>
      <c r="AB32" s="60">
        <f t="shared" si="2"/>
        <v>0</v>
      </c>
    </row>
    <row r="33" spans="1:28" ht="163.5" customHeight="1" thickBot="1">
      <c r="A33" s="41" t="s">
        <v>390</v>
      </c>
      <c r="B33" s="299"/>
      <c r="C33" s="78" t="s">
        <v>391</v>
      </c>
      <c r="D33" s="37" t="s">
        <v>392</v>
      </c>
      <c r="E33" s="81" t="s">
        <v>393</v>
      </c>
      <c r="F33" s="311"/>
      <c r="G33" s="301"/>
      <c r="H33" s="37" t="s">
        <v>435</v>
      </c>
      <c r="I33" s="36" t="s">
        <v>395</v>
      </c>
      <c r="J33" s="38" t="s">
        <v>396</v>
      </c>
      <c r="K33" s="38" t="s">
        <v>436</v>
      </c>
      <c r="L33" s="43">
        <v>0.4</v>
      </c>
      <c r="M33" s="36" t="s">
        <v>188</v>
      </c>
      <c r="N33" s="37" t="s">
        <v>458</v>
      </c>
      <c r="O33" s="40">
        <v>150</v>
      </c>
      <c r="P33" s="55">
        <v>27</v>
      </c>
      <c r="Q33" s="48">
        <v>24</v>
      </c>
      <c r="R33" s="48">
        <v>45</v>
      </c>
      <c r="S33" s="52">
        <v>0</v>
      </c>
      <c r="T33" s="236">
        <f t="shared" si="0"/>
        <v>0</v>
      </c>
      <c r="U33" s="236">
        <f t="shared" si="3"/>
        <v>0.18</v>
      </c>
      <c r="V33" s="236">
        <f t="shared" si="1"/>
        <v>0</v>
      </c>
      <c r="W33" s="236">
        <f t="shared" si="4"/>
        <v>7.1999999999999995E-2</v>
      </c>
      <c r="X33" s="48">
        <v>45</v>
      </c>
      <c r="Y33" s="48">
        <f>36-3</f>
        <v>33</v>
      </c>
      <c r="AA33" s="60">
        <f t="shared" si="5"/>
        <v>150</v>
      </c>
      <c r="AB33" s="60">
        <f t="shared" si="2"/>
        <v>0</v>
      </c>
    </row>
    <row r="34" spans="1:28" ht="92.25" customHeight="1" thickBot="1">
      <c r="A34" s="41"/>
      <c r="B34" s="299"/>
      <c r="C34" s="313"/>
      <c r="D34" s="314"/>
      <c r="E34" s="315"/>
      <c r="F34" s="312"/>
      <c r="G34" s="304" t="s">
        <v>593</v>
      </c>
      <c r="H34" s="304"/>
      <c r="I34" s="304"/>
      <c r="J34" s="304"/>
      <c r="K34" s="304"/>
      <c r="L34" s="304"/>
      <c r="M34" s="304"/>
      <c r="N34" s="304"/>
      <c r="O34" s="304"/>
      <c r="P34" s="304"/>
      <c r="Q34" s="304"/>
      <c r="R34" s="304"/>
      <c r="S34" s="305"/>
      <c r="T34" s="238">
        <f>AVERAGE(T31:T33)</f>
        <v>0.45375722543352603</v>
      </c>
      <c r="U34" s="239">
        <f>AVERAGE(U31:U33)</f>
        <v>0.32221001221001222</v>
      </c>
      <c r="V34" s="240">
        <f>SUM(V31:V33)</f>
        <v>0.4403179190751445</v>
      </c>
      <c r="W34" s="239">
        <f>SUM(W31:W33)</f>
        <v>0.31865750915750912</v>
      </c>
      <c r="X34" s="235"/>
      <c r="Y34" s="48"/>
      <c r="AA34" s="60"/>
      <c r="AB34" s="60"/>
    </row>
    <row r="35" spans="1:28" ht="150">
      <c r="A35" s="41" t="s">
        <v>437</v>
      </c>
      <c r="B35" s="299"/>
      <c r="C35" s="76" t="s">
        <v>391</v>
      </c>
      <c r="D35" s="77" t="s">
        <v>392</v>
      </c>
      <c r="E35" s="82" t="s">
        <v>393</v>
      </c>
      <c r="F35" s="310" t="s">
        <v>235</v>
      </c>
      <c r="G35" s="301" t="s">
        <v>387</v>
      </c>
      <c r="H35" s="37" t="s">
        <v>438</v>
      </c>
      <c r="I35" s="36" t="s">
        <v>395</v>
      </c>
      <c r="J35" s="38" t="s">
        <v>439</v>
      </c>
      <c r="K35" s="42" t="s">
        <v>440</v>
      </c>
      <c r="L35" s="43">
        <v>0.4</v>
      </c>
      <c r="M35" s="36" t="s">
        <v>188</v>
      </c>
      <c r="N35" s="37" t="s">
        <v>465</v>
      </c>
      <c r="O35" s="40">
        <v>10000</v>
      </c>
      <c r="P35" s="55">
        <v>4315</v>
      </c>
      <c r="Q35" s="48">
        <v>1000</v>
      </c>
      <c r="R35" s="61">
        <f>4000-1658</f>
        <v>2342</v>
      </c>
      <c r="S35" s="52">
        <v>0</v>
      </c>
      <c r="T35" s="237">
        <f t="shared" si="0"/>
        <v>0</v>
      </c>
      <c r="U35" s="237">
        <f t="shared" si="3"/>
        <v>0.43149999999999999</v>
      </c>
      <c r="V35" s="237">
        <f t="shared" si="1"/>
        <v>0</v>
      </c>
      <c r="W35" s="237">
        <f t="shared" si="4"/>
        <v>0.1726</v>
      </c>
      <c r="X35" s="48">
        <f>4000-1657</f>
        <v>2343</v>
      </c>
      <c r="Y35" s="48">
        <f>1000</f>
        <v>1000</v>
      </c>
      <c r="AA35" s="60">
        <f t="shared" si="5"/>
        <v>10000</v>
      </c>
      <c r="AB35" s="60">
        <f t="shared" si="2"/>
        <v>0</v>
      </c>
    </row>
    <row r="36" spans="1:28" ht="93.75">
      <c r="A36" s="41" t="s">
        <v>437</v>
      </c>
      <c r="B36" s="299"/>
      <c r="C36" s="78" t="s">
        <v>391</v>
      </c>
      <c r="D36" s="37" t="s">
        <v>392</v>
      </c>
      <c r="E36" s="81" t="s">
        <v>393</v>
      </c>
      <c r="F36" s="311"/>
      <c r="G36" s="301"/>
      <c r="H36" s="37" t="s">
        <v>441</v>
      </c>
      <c r="I36" s="36" t="s">
        <v>395</v>
      </c>
      <c r="J36" s="38" t="s">
        <v>439</v>
      </c>
      <c r="K36" s="37" t="s">
        <v>442</v>
      </c>
      <c r="L36" s="43">
        <v>0.45</v>
      </c>
      <c r="M36" s="36" t="s">
        <v>188</v>
      </c>
      <c r="N36" s="37" t="s">
        <v>465</v>
      </c>
      <c r="O36" s="40">
        <v>51000</v>
      </c>
      <c r="P36" s="55" t="s">
        <v>572</v>
      </c>
      <c r="Q36" s="48" t="s">
        <v>568</v>
      </c>
      <c r="R36" s="56">
        <v>22000</v>
      </c>
      <c r="S36" s="52">
        <v>0</v>
      </c>
      <c r="T36" s="64">
        <f t="shared" si="0"/>
        <v>0</v>
      </c>
      <c r="U36" s="64">
        <f>+(S36)/O36</f>
        <v>0</v>
      </c>
      <c r="V36" s="64">
        <f t="shared" si="1"/>
        <v>0</v>
      </c>
      <c r="W36" s="64">
        <f>+((S36)/O36)*L36</f>
        <v>0</v>
      </c>
      <c r="X36" s="48">
        <v>18000</v>
      </c>
      <c r="Y36" s="48">
        <v>11000</v>
      </c>
      <c r="AA36" s="60">
        <f>+R36+X36+Y36</f>
        <v>51000</v>
      </c>
      <c r="AB36" s="60">
        <f t="shared" si="2"/>
        <v>0</v>
      </c>
    </row>
    <row r="37" spans="1:28" ht="169.5" thickBot="1">
      <c r="A37" s="41" t="s">
        <v>437</v>
      </c>
      <c r="B37" s="299"/>
      <c r="C37" s="78" t="s">
        <v>391</v>
      </c>
      <c r="D37" s="37" t="s">
        <v>392</v>
      </c>
      <c r="E37" s="81" t="s">
        <v>393</v>
      </c>
      <c r="F37" s="311"/>
      <c r="G37" s="301"/>
      <c r="H37" s="37" t="s">
        <v>443</v>
      </c>
      <c r="I37" s="36" t="s">
        <v>444</v>
      </c>
      <c r="J37" s="38" t="s">
        <v>439</v>
      </c>
      <c r="K37" s="37" t="s">
        <v>445</v>
      </c>
      <c r="L37" s="43">
        <v>0.15</v>
      </c>
      <c r="M37" s="36" t="s">
        <v>188</v>
      </c>
      <c r="N37" s="37" t="s">
        <v>466</v>
      </c>
      <c r="O37" s="41">
        <v>96</v>
      </c>
      <c r="P37" s="56">
        <v>8</v>
      </c>
      <c r="Q37" s="48">
        <v>18</v>
      </c>
      <c r="R37" s="48">
        <f>30+10</f>
        <v>40</v>
      </c>
      <c r="S37" s="52">
        <v>0</v>
      </c>
      <c r="T37" s="236">
        <f t="shared" si="0"/>
        <v>0</v>
      </c>
      <c r="U37" s="236">
        <f t="shared" si="3"/>
        <v>8.3333333333333329E-2</v>
      </c>
      <c r="V37" s="236">
        <f t="shared" si="1"/>
        <v>0</v>
      </c>
      <c r="W37" s="236">
        <f t="shared" si="4"/>
        <v>1.2499999999999999E-2</v>
      </c>
      <c r="X37" s="48">
        <v>26</v>
      </c>
      <c r="Y37" s="48">
        <v>22</v>
      </c>
      <c r="AA37" s="60">
        <f t="shared" si="5"/>
        <v>96</v>
      </c>
      <c r="AB37" s="60">
        <f t="shared" si="2"/>
        <v>0</v>
      </c>
    </row>
    <row r="38" spans="1:28" ht="69.75" customHeight="1" thickBot="1">
      <c r="A38" s="41"/>
      <c r="B38" s="299"/>
      <c r="C38" s="313"/>
      <c r="D38" s="314"/>
      <c r="E38" s="315"/>
      <c r="F38" s="312"/>
      <c r="G38" s="304" t="s">
        <v>594</v>
      </c>
      <c r="H38" s="304"/>
      <c r="I38" s="304"/>
      <c r="J38" s="304"/>
      <c r="K38" s="304"/>
      <c r="L38" s="304"/>
      <c r="M38" s="304"/>
      <c r="N38" s="304"/>
      <c r="O38" s="304"/>
      <c r="P38" s="304"/>
      <c r="Q38" s="304"/>
      <c r="R38" s="304"/>
      <c r="S38" s="305"/>
      <c r="T38" s="238">
        <f>AVERAGE(T35:T37)</f>
        <v>0</v>
      </c>
      <c r="U38" s="239">
        <f>AVERAGE(U35:U37)</f>
        <v>0.17161111111111113</v>
      </c>
      <c r="V38" s="240">
        <f>SUM(V35:V37)</f>
        <v>0</v>
      </c>
      <c r="W38" s="239">
        <f>SUM(W35:W37)</f>
        <v>0.18510000000000001</v>
      </c>
      <c r="X38" s="235"/>
      <c r="Y38" s="48"/>
      <c r="AA38" s="60"/>
      <c r="AB38" s="60"/>
    </row>
    <row r="39" spans="1:28" ht="84.75" customHeight="1">
      <c r="A39" s="41" t="s">
        <v>390</v>
      </c>
      <c r="B39" s="299"/>
      <c r="C39" s="76" t="s">
        <v>391</v>
      </c>
      <c r="D39" s="77" t="s">
        <v>392</v>
      </c>
      <c r="E39" s="82" t="s">
        <v>393</v>
      </c>
      <c r="F39" s="310" t="s">
        <v>236</v>
      </c>
      <c r="G39" s="301" t="s">
        <v>388</v>
      </c>
      <c r="H39" s="38" t="s">
        <v>446</v>
      </c>
      <c r="I39" s="36" t="s">
        <v>395</v>
      </c>
      <c r="J39" s="38" t="s">
        <v>396</v>
      </c>
      <c r="K39" s="38" t="s">
        <v>447</v>
      </c>
      <c r="L39" s="43">
        <v>0.65</v>
      </c>
      <c r="M39" s="36" t="s">
        <v>188</v>
      </c>
      <c r="N39" s="37" t="s">
        <v>467</v>
      </c>
      <c r="O39" s="40">
        <v>17</v>
      </c>
      <c r="P39" s="55">
        <v>4</v>
      </c>
      <c r="Q39" s="48">
        <v>4</v>
      </c>
      <c r="R39" s="48">
        <v>6</v>
      </c>
      <c r="S39" s="52">
        <v>3</v>
      </c>
      <c r="T39" s="237">
        <f t="shared" si="0"/>
        <v>0.5</v>
      </c>
      <c r="U39" s="237">
        <f t="shared" si="3"/>
        <v>0.41176470588235292</v>
      </c>
      <c r="V39" s="237">
        <f t="shared" si="1"/>
        <v>0.32500000000000001</v>
      </c>
      <c r="W39" s="237">
        <f t="shared" si="4"/>
        <v>0.2676470588235294</v>
      </c>
      <c r="X39" s="48">
        <v>5</v>
      </c>
      <c r="Y39" s="48">
        <v>2</v>
      </c>
      <c r="AA39" s="60">
        <f t="shared" si="5"/>
        <v>17</v>
      </c>
      <c r="AB39" s="60">
        <f t="shared" si="2"/>
        <v>0</v>
      </c>
    </row>
    <row r="40" spans="1:28" ht="94.5" thickBot="1">
      <c r="A40" s="41" t="s">
        <v>390</v>
      </c>
      <c r="B40" s="299"/>
      <c r="C40" s="78" t="s">
        <v>391</v>
      </c>
      <c r="D40" s="37" t="s">
        <v>392</v>
      </c>
      <c r="E40" s="81" t="s">
        <v>393</v>
      </c>
      <c r="F40" s="311"/>
      <c r="G40" s="301"/>
      <c r="H40" s="38" t="s">
        <v>448</v>
      </c>
      <c r="I40" s="36" t="s">
        <v>449</v>
      </c>
      <c r="J40" s="38" t="s">
        <v>396</v>
      </c>
      <c r="K40" s="38" t="s">
        <v>450</v>
      </c>
      <c r="L40" s="43">
        <v>0.35</v>
      </c>
      <c r="M40" s="36" t="s">
        <v>188</v>
      </c>
      <c r="N40" s="37" t="s">
        <v>468</v>
      </c>
      <c r="O40" s="40">
        <v>4</v>
      </c>
      <c r="P40" s="55">
        <v>1</v>
      </c>
      <c r="Q40" s="48">
        <v>1</v>
      </c>
      <c r="R40" s="48">
        <v>1</v>
      </c>
      <c r="S40" s="52">
        <v>0</v>
      </c>
      <c r="T40" s="236">
        <f t="shared" si="0"/>
        <v>0</v>
      </c>
      <c r="U40" s="236">
        <f t="shared" si="3"/>
        <v>0.25</v>
      </c>
      <c r="V40" s="236">
        <f t="shared" si="1"/>
        <v>0</v>
      </c>
      <c r="W40" s="236">
        <f t="shared" si="4"/>
        <v>8.7499999999999994E-2</v>
      </c>
      <c r="X40" s="48">
        <v>1</v>
      </c>
      <c r="Y40" s="48">
        <v>1</v>
      </c>
      <c r="AA40" s="60">
        <f t="shared" si="5"/>
        <v>4</v>
      </c>
      <c r="AB40" s="60">
        <f t="shared" si="2"/>
        <v>0</v>
      </c>
    </row>
    <row r="41" spans="1:28" ht="63.75" customHeight="1" thickBot="1">
      <c r="A41" s="41"/>
      <c r="B41" s="299"/>
      <c r="C41" s="313"/>
      <c r="D41" s="314"/>
      <c r="E41" s="315"/>
      <c r="F41" s="312"/>
      <c r="G41" s="304" t="s">
        <v>595</v>
      </c>
      <c r="H41" s="304"/>
      <c r="I41" s="304"/>
      <c r="J41" s="304"/>
      <c r="K41" s="304"/>
      <c r="L41" s="304"/>
      <c r="M41" s="304"/>
      <c r="N41" s="304"/>
      <c r="O41" s="304"/>
      <c r="P41" s="304"/>
      <c r="Q41" s="304"/>
      <c r="R41" s="304"/>
      <c r="S41" s="305"/>
      <c r="T41" s="238">
        <f>AVERAGE(T39:T40)</f>
        <v>0.25</v>
      </c>
      <c r="U41" s="239">
        <f>AVERAGE(U39:U40)</f>
        <v>0.33088235294117646</v>
      </c>
      <c r="V41" s="240">
        <f>SUM(V39:V40)</f>
        <v>0.32500000000000001</v>
      </c>
      <c r="W41" s="239">
        <f>SUM(W39:W40)</f>
        <v>0.35514705882352937</v>
      </c>
      <c r="X41" s="235"/>
      <c r="Y41" s="48"/>
      <c r="AA41" s="60"/>
      <c r="AB41" s="60"/>
    </row>
    <row r="42" spans="1:28" ht="66.75" customHeight="1">
      <c r="A42" s="41" t="s">
        <v>390</v>
      </c>
      <c r="B42" s="299"/>
      <c r="C42" s="76" t="s">
        <v>391</v>
      </c>
      <c r="D42" s="77" t="s">
        <v>392</v>
      </c>
      <c r="E42" s="82" t="s">
        <v>393</v>
      </c>
      <c r="F42" s="310" t="s">
        <v>237</v>
      </c>
      <c r="G42" s="301" t="s">
        <v>389</v>
      </c>
      <c r="H42" s="37" t="s">
        <v>451</v>
      </c>
      <c r="I42" s="36" t="s">
        <v>452</v>
      </c>
      <c r="J42" s="38" t="s">
        <v>396</v>
      </c>
      <c r="K42" s="37" t="s">
        <v>453</v>
      </c>
      <c r="L42" s="43">
        <v>0.6</v>
      </c>
      <c r="M42" s="36" t="s">
        <v>188</v>
      </c>
      <c r="N42" s="37" t="s">
        <v>469</v>
      </c>
      <c r="O42" s="40">
        <v>120</v>
      </c>
      <c r="P42" s="55">
        <v>19</v>
      </c>
      <c r="Q42" s="48">
        <v>20</v>
      </c>
      <c r="R42" s="48">
        <v>30</v>
      </c>
      <c r="S42" s="52">
        <v>8</v>
      </c>
      <c r="T42" s="237">
        <f t="shared" si="0"/>
        <v>0.26666666666666666</v>
      </c>
      <c r="U42" s="237">
        <f t="shared" si="3"/>
        <v>0.22500000000000001</v>
      </c>
      <c r="V42" s="237">
        <f t="shared" si="1"/>
        <v>0.16</v>
      </c>
      <c r="W42" s="237">
        <f t="shared" si="4"/>
        <v>0.13500000000000001</v>
      </c>
      <c r="X42" s="48">
        <v>40</v>
      </c>
      <c r="Y42" s="48">
        <f>30-2</f>
        <v>28</v>
      </c>
      <c r="AA42" s="60">
        <f t="shared" si="5"/>
        <v>117</v>
      </c>
      <c r="AB42" s="60">
        <f t="shared" si="2"/>
        <v>3</v>
      </c>
    </row>
    <row r="43" spans="1:28" ht="88.5" customHeight="1" thickBot="1">
      <c r="A43" s="41" t="s">
        <v>390</v>
      </c>
      <c r="B43" s="300"/>
      <c r="C43" s="78" t="s">
        <v>391</v>
      </c>
      <c r="D43" s="37" t="s">
        <v>392</v>
      </c>
      <c r="E43" s="81" t="s">
        <v>393</v>
      </c>
      <c r="F43" s="311"/>
      <c r="G43" s="301"/>
      <c r="H43" s="37" t="s">
        <v>454</v>
      </c>
      <c r="I43" s="36" t="s">
        <v>452</v>
      </c>
      <c r="J43" s="38" t="s">
        <v>396</v>
      </c>
      <c r="K43" s="37" t="s">
        <v>455</v>
      </c>
      <c r="L43" s="43">
        <v>0.4</v>
      </c>
      <c r="M43" s="36" t="s">
        <v>188</v>
      </c>
      <c r="N43" s="37" t="s">
        <v>470</v>
      </c>
      <c r="O43" s="40">
        <v>72</v>
      </c>
      <c r="P43" s="55">
        <v>20</v>
      </c>
      <c r="Q43" s="48">
        <v>18</v>
      </c>
      <c r="R43" s="48">
        <f>18-2</f>
        <v>16</v>
      </c>
      <c r="S43" s="52">
        <v>4</v>
      </c>
      <c r="T43" s="236">
        <f t="shared" si="0"/>
        <v>0.25</v>
      </c>
      <c r="U43" s="236">
        <f t="shared" si="3"/>
        <v>0.33333333333333331</v>
      </c>
      <c r="V43" s="236">
        <f t="shared" si="1"/>
        <v>0.1</v>
      </c>
      <c r="W43" s="236">
        <f t="shared" si="4"/>
        <v>0.13333333333333333</v>
      </c>
      <c r="X43" s="48">
        <f>18</f>
        <v>18</v>
      </c>
      <c r="Y43" s="48">
        <f>18</f>
        <v>18</v>
      </c>
      <c r="AA43" s="60">
        <f>+P43+R43+X43+Y43</f>
        <v>72</v>
      </c>
      <c r="AB43" s="60"/>
    </row>
    <row r="44" spans="1:28" ht="88.5" customHeight="1" thickBot="1">
      <c r="A44" s="41"/>
      <c r="B44" s="67"/>
      <c r="C44" s="313"/>
      <c r="D44" s="314"/>
      <c r="E44" s="315"/>
      <c r="F44" s="312"/>
      <c r="G44" s="304" t="s">
        <v>596</v>
      </c>
      <c r="H44" s="304"/>
      <c r="I44" s="304"/>
      <c r="J44" s="304"/>
      <c r="K44" s="304"/>
      <c r="L44" s="304"/>
      <c r="M44" s="304"/>
      <c r="N44" s="304"/>
      <c r="O44" s="304"/>
      <c r="P44" s="304"/>
      <c r="Q44" s="304"/>
      <c r="R44" s="304"/>
      <c r="S44" s="305"/>
      <c r="T44" s="238">
        <f>AVERAGE(T42:T43)</f>
        <v>0.2583333333333333</v>
      </c>
      <c r="U44" s="239">
        <f>AVERAGE(U42:U43)</f>
        <v>0.27916666666666667</v>
      </c>
      <c r="V44" s="240">
        <f>SUM(V42:V43)</f>
        <v>0.26</v>
      </c>
      <c r="W44" s="239">
        <f>SUM(W42:W43)</f>
        <v>0.26833333333333331</v>
      </c>
      <c r="X44" s="243"/>
      <c r="Y44" s="48"/>
      <c r="AA44" s="60"/>
      <c r="AB44" s="60"/>
    </row>
    <row r="45" spans="1:28" ht="122.25" customHeight="1" thickBot="1">
      <c r="A45" s="41" t="s">
        <v>390</v>
      </c>
      <c r="B45" s="86"/>
      <c r="C45" s="87" t="s">
        <v>573</v>
      </c>
      <c r="D45" s="77" t="s">
        <v>574</v>
      </c>
      <c r="E45" s="82" t="s">
        <v>575</v>
      </c>
      <c r="F45" s="322" t="s">
        <v>576</v>
      </c>
      <c r="G45" s="85"/>
      <c r="H45" s="37" t="s">
        <v>577</v>
      </c>
      <c r="I45" s="37" t="s">
        <v>578</v>
      </c>
      <c r="J45" s="38" t="s">
        <v>579</v>
      </c>
      <c r="K45" s="38" t="s">
        <v>580</v>
      </c>
      <c r="L45" s="43">
        <v>0.2</v>
      </c>
      <c r="M45" s="45" t="s">
        <v>188</v>
      </c>
      <c r="N45" s="37" t="s">
        <v>463</v>
      </c>
      <c r="O45" s="46">
        <v>200</v>
      </c>
      <c r="P45" s="58">
        <v>0</v>
      </c>
      <c r="Q45" s="49">
        <v>25</v>
      </c>
      <c r="R45" s="49">
        <v>75</v>
      </c>
      <c r="S45" s="53">
        <v>0</v>
      </c>
      <c r="T45" s="242">
        <f>+S45/R45</f>
        <v>0</v>
      </c>
      <c r="U45" s="242">
        <f>+(P45+S45)/O45</f>
        <v>0</v>
      </c>
      <c r="V45" s="242">
        <f>+(S45/R45)*L45</f>
        <v>0</v>
      </c>
      <c r="W45" s="242">
        <f>+((P45+S45)/O45)*L45</f>
        <v>0</v>
      </c>
      <c r="X45" s="49">
        <v>75</v>
      </c>
      <c r="Y45" s="48">
        <f>25+25</f>
        <v>50</v>
      </c>
      <c r="AA45" s="60">
        <f>+P45+R45+X45+Y45</f>
        <v>200</v>
      </c>
      <c r="AB45" s="60">
        <f>+O45-AA45</f>
        <v>0</v>
      </c>
    </row>
    <row r="46" spans="1:28" ht="88.5" customHeight="1" thickBot="1">
      <c r="A46" s="41"/>
      <c r="B46" s="67"/>
      <c r="C46" s="313"/>
      <c r="D46" s="314"/>
      <c r="E46" s="315"/>
      <c r="F46" s="323"/>
      <c r="G46" s="304" t="s">
        <v>597</v>
      </c>
      <c r="H46" s="304"/>
      <c r="I46" s="304"/>
      <c r="J46" s="304"/>
      <c r="K46" s="304"/>
      <c r="L46" s="304"/>
      <c r="M46" s="304"/>
      <c r="N46" s="304"/>
      <c r="O46" s="304"/>
      <c r="P46" s="304"/>
      <c r="Q46" s="304"/>
      <c r="R46" s="304"/>
      <c r="S46" s="305"/>
      <c r="T46" s="238">
        <f>+T45</f>
        <v>0</v>
      </c>
      <c r="U46" s="239">
        <f t="shared" ref="U46:W46" si="7">+U45</f>
        <v>0</v>
      </c>
      <c r="V46" s="240">
        <f t="shared" si="7"/>
        <v>0</v>
      </c>
      <c r="W46" s="239">
        <f t="shared" si="7"/>
        <v>0</v>
      </c>
      <c r="X46" s="243"/>
      <c r="Y46" s="48"/>
      <c r="AA46" s="60"/>
      <c r="AB46" s="60"/>
    </row>
    <row r="47" spans="1:28" ht="88.5" customHeight="1">
      <c r="A47" s="41"/>
      <c r="B47" s="66"/>
      <c r="C47" s="45"/>
      <c r="D47" s="75"/>
      <c r="E47" s="75"/>
      <c r="F47" s="66"/>
      <c r="G47" s="98"/>
      <c r="H47" s="37"/>
      <c r="I47" s="36"/>
      <c r="J47" s="38"/>
      <c r="K47" s="37"/>
      <c r="L47" s="43"/>
      <c r="M47" s="45"/>
      <c r="N47" s="37"/>
      <c r="O47" s="46"/>
      <c r="P47" s="58"/>
      <c r="Q47" s="49"/>
      <c r="R47" s="49"/>
      <c r="S47" s="53"/>
      <c r="T47" s="237"/>
      <c r="U47" s="237"/>
      <c r="V47" s="237"/>
      <c r="W47" s="237"/>
      <c r="X47" s="49"/>
      <c r="Y47" s="48"/>
      <c r="AA47" s="60"/>
      <c r="AB47" s="60"/>
    </row>
    <row r="50" spans="11:23" ht="19.5" thickBot="1"/>
    <row r="51" spans="11:23" ht="88.5" customHeight="1" thickBot="1">
      <c r="K51" s="51"/>
      <c r="L51" s="51"/>
      <c r="M51" s="51"/>
      <c r="N51" s="51"/>
      <c r="O51" s="324" t="s">
        <v>598</v>
      </c>
      <c r="P51" s="325"/>
      <c r="Q51" s="325"/>
      <c r="R51" s="325"/>
      <c r="S51" s="326"/>
      <c r="T51" s="99">
        <f>AVERAGE(T10,T14,T19,T21,T27,T30,T34,T38,T41,T44,T46)</f>
        <v>0.16233858062401005</v>
      </c>
      <c r="U51" s="100">
        <f>AVERAGE(U10,U14,U19,U21,U27,U30,U34,U38,U41,U44,U46)</f>
        <v>0.16678540573087383</v>
      </c>
      <c r="V51" s="100">
        <f>SUM(V10,V14,V19,V21,V27,V30,V34,V38,V41,V44,V46)/11</f>
        <v>0.16756075126128156</v>
      </c>
      <c r="W51" s="101">
        <f>SUM(W10,W14,W19,W21,W27,W30,W34,W38,W41,W44,W46)/11</f>
        <v>0.20123015413481243</v>
      </c>
    </row>
  </sheetData>
  <mergeCells count="49">
    <mergeCell ref="G46:S46"/>
    <mergeCell ref="F45:F46"/>
    <mergeCell ref="C46:E46"/>
    <mergeCell ref="O51:S51"/>
    <mergeCell ref="F39:F41"/>
    <mergeCell ref="C41:E41"/>
    <mergeCell ref="G41:S41"/>
    <mergeCell ref="F42:F44"/>
    <mergeCell ref="C44:E44"/>
    <mergeCell ref="G44:S44"/>
    <mergeCell ref="G39:G40"/>
    <mergeCell ref="G42:G43"/>
    <mergeCell ref="F31:F34"/>
    <mergeCell ref="C34:E34"/>
    <mergeCell ref="G34:S34"/>
    <mergeCell ref="F35:F38"/>
    <mergeCell ref="C38:E38"/>
    <mergeCell ref="G38:S38"/>
    <mergeCell ref="G31:G33"/>
    <mergeCell ref="G35:G37"/>
    <mergeCell ref="G27:S27"/>
    <mergeCell ref="F22:F27"/>
    <mergeCell ref="C27:E27"/>
    <mergeCell ref="G30:S30"/>
    <mergeCell ref="F28:F30"/>
    <mergeCell ref="C30:E30"/>
    <mergeCell ref="A6:Y6"/>
    <mergeCell ref="A5:B5"/>
    <mergeCell ref="A1:B4"/>
    <mergeCell ref="C1:X1"/>
    <mergeCell ref="C2:X2"/>
    <mergeCell ref="C3:X3"/>
    <mergeCell ref="C4:X4"/>
    <mergeCell ref="B8:B43"/>
    <mergeCell ref="G8:G9"/>
    <mergeCell ref="G11:G13"/>
    <mergeCell ref="G15:G18"/>
    <mergeCell ref="G22:G26"/>
    <mergeCell ref="G28:G29"/>
    <mergeCell ref="G10:S10"/>
    <mergeCell ref="G14:S14"/>
    <mergeCell ref="F8:F10"/>
    <mergeCell ref="F11:F14"/>
    <mergeCell ref="G19:S19"/>
    <mergeCell ref="F15:F19"/>
    <mergeCell ref="G21:S21"/>
    <mergeCell ref="F20:F21"/>
    <mergeCell ref="C21:E21"/>
    <mergeCell ref="C19:E19"/>
  </mergeCells>
  <dataValidations disablePrompts="1" count="1">
    <dataValidation type="list" allowBlank="1" showInputMessage="1" showErrorMessage="1" sqref="M8:M9 M11:M13 M15:M18 M20 M22:M26 M28:M29 M31:M33 M35:M37 M39:M40 M42:M43 M45 M47:M302" xr:uid="{00000000-0002-0000-0100-000000000000}">
      <formula1>#REF!</formula1>
    </dataValidation>
  </dataValidations>
  <pageMargins left="0.7" right="0.7" top="0.75" bottom="0.75" header="0.3" footer="0.3"/>
  <pageSetup paperSize="9" orientation="portrait" r:id="rId1"/>
  <ignoredErrors>
    <ignoredError sqref="G22 G42 G8 G11 G28 G31 G35 G20" twoDigitTextYear="1"/>
    <ignoredError sqref="T10 V10 T14 V14:W14 T19:U19 V19:W19 T21:W21 U25 T27:U27 V27:W27 T30:U30 T34:U34 V34:W34 U36 W36 T38:W38 T41:W41 T44:U44 V44:W44" 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3"/>
  <sheetViews>
    <sheetView zoomScaleNormal="100" workbookViewId="0">
      <selection activeCell="N4" sqref="N4"/>
    </sheetView>
  </sheetViews>
  <sheetFormatPr baseColWidth="10" defaultRowHeight="15"/>
  <cols>
    <col min="1" max="1" width="20.85546875" customWidth="1"/>
    <col min="2" max="2" width="30.7109375" customWidth="1"/>
    <col min="3" max="3" width="33.7109375" customWidth="1"/>
    <col min="4" max="4" width="32" customWidth="1"/>
    <col min="5" max="6" width="28.5703125" customWidth="1"/>
    <col min="7" max="7" width="33.28515625" bestFit="1" customWidth="1"/>
    <col min="8" max="8" width="33.28515625" customWidth="1"/>
    <col min="9" max="9" width="34" bestFit="1" customWidth="1"/>
    <col min="10" max="10" width="30.28515625" customWidth="1"/>
    <col min="11" max="11" width="23.7109375" customWidth="1"/>
    <col min="12" max="12" width="27.140625" customWidth="1"/>
    <col min="13" max="13" width="39.28515625" bestFit="1" customWidth="1"/>
    <col min="14" max="14" width="54.7109375" bestFit="1" customWidth="1"/>
    <col min="17" max="17" width="0" hidden="1" customWidth="1"/>
  </cols>
  <sheetData>
    <row r="1" spans="1:17" s="1" customFormat="1" ht="22.5" customHeight="1">
      <c r="A1" s="337"/>
      <c r="B1" s="338"/>
      <c r="C1" s="343" t="s">
        <v>1</v>
      </c>
      <c r="D1" s="344"/>
      <c r="E1" s="344"/>
      <c r="F1" s="344"/>
      <c r="G1" s="344"/>
      <c r="H1" s="344"/>
      <c r="I1" s="344"/>
      <c r="J1" s="344"/>
      <c r="K1" s="344"/>
      <c r="L1" s="344"/>
      <c r="M1" s="345"/>
      <c r="N1" s="23" t="s">
        <v>221</v>
      </c>
    </row>
    <row r="2" spans="1:17" s="1" customFormat="1" ht="22.5" customHeight="1">
      <c r="A2" s="339"/>
      <c r="B2" s="340"/>
      <c r="C2" s="343" t="s">
        <v>2</v>
      </c>
      <c r="D2" s="344"/>
      <c r="E2" s="344"/>
      <c r="F2" s="344"/>
      <c r="G2" s="344"/>
      <c r="H2" s="344"/>
      <c r="I2" s="344"/>
      <c r="J2" s="344"/>
      <c r="K2" s="344"/>
      <c r="L2" s="344"/>
      <c r="M2" s="345"/>
      <c r="N2" s="23" t="s">
        <v>3</v>
      </c>
    </row>
    <row r="3" spans="1:17" s="1" customFormat="1" ht="22.5" customHeight="1">
      <c r="A3" s="339"/>
      <c r="B3" s="340"/>
      <c r="C3" s="343" t="s">
        <v>4</v>
      </c>
      <c r="D3" s="344"/>
      <c r="E3" s="344"/>
      <c r="F3" s="344"/>
      <c r="G3" s="344"/>
      <c r="H3" s="344"/>
      <c r="I3" s="344"/>
      <c r="J3" s="344"/>
      <c r="K3" s="344"/>
      <c r="L3" s="344"/>
      <c r="M3" s="345"/>
      <c r="N3" s="23" t="s">
        <v>220</v>
      </c>
    </row>
    <row r="4" spans="1:17" s="1" customFormat="1" ht="22.5" customHeight="1">
      <c r="A4" s="341"/>
      <c r="B4" s="342"/>
      <c r="C4" s="343" t="s">
        <v>157</v>
      </c>
      <c r="D4" s="344"/>
      <c r="E4" s="344"/>
      <c r="F4" s="344"/>
      <c r="G4" s="344"/>
      <c r="H4" s="344"/>
      <c r="I4" s="344"/>
      <c r="J4" s="344"/>
      <c r="K4" s="344"/>
      <c r="L4" s="344"/>
      <c r="M4" s="345"/>
      <c r="N4" s="23" t="s">
        <v>222</v>
      </c>
    </row>
    <row r="5" spans="1:17" s="1" customFormat="1" ht="26.25" customHeight="1">
      <c r="A5" s="335" t="s">
        <v>5</v>
      </c>
      <c r="B5" s="336"/>
      <c r="C5" s="335"/>
      <c r="D5" s="346"/>
      <c r="E5" s="346"/>
      <c r="F5" s="346"/>
      <c r="G5" s="346"/>
      <c r="H5" s="346"/>
      <c r="I5" s="346"/>
      <c r="J5" s="346"/>
      <c r="K5" s="346"/>
      <c r="L5" s="346"/>
      <c r="M5" s="346"/>
      <c r="N5" s="346"/>
    </row>
    <row r="6" spans="1:17" s="1" customFormat="1" ht="15" customHeight="1">
      <c r="A6" s="331" t="s">
        <v>153</v>
      </c>
      <c r="B6" s="331"/>
      <c r="C6" s="331"/>
      <c r="D6" s="331"/>
      <c r="E6" s="331"/>
      <c r="F6" s="331"/>
      <c r="G6" s="331"/>
      <c r="H6" s="331"/>
      <c r="I6" s="331"/>
      <c r="J6" s="331"/>
      <c r="K6" s="331"/>
      <c r="L6" s="332"/>
      <c r="M6" s="327" t="s">
        <v>94</v>
      </c>
      <c r="N6" s="328"/>
    </row>
    <row r="7" spans="1:17" s="1" customFormat="1">
      <c r="A7" s="333"/>
      <c r="B7" s="333"/>
      <c r="C7" s="333"/>
      <c r="D7" s="333"/>
      <c r="E7" s="333"/>
      <c r="F7" s="333"/>
      <c r="G7" s="333"/>
      <c r="H7" s="333"/>
      <c r="I7" s="333"/>
      <c r="J7" s="333"/>
      <c r="K7" s="333"/>
      <c r="L7" s="334"/>
      <c r="M7" s="329"/>
      <c r="N7" s="330"/>
    </row>
    <row r="8" spans="1:17" s="17" customFormat="1" ht="66.75" customHeight="1">
      <c r="A8" s="2" t="s">
        <v>98</v>
      </c>
      <c r="B8" s="2" t="s">
        <v>189</v>
      </c>
      <c r="C8" s="2" t="s">
        <v>170</v>
      </c>
      <c r="D8" s="2" t="s">
        <v>84</v>
      </c>
      <c r="E8" s="2" t="s">
        <v>85</v>
      </c>
      <c r="F8" s="2" t="s">
        <v>86</v>
      </c>
      <c r="G8" s="2" t="s">
        <v>165</v>
      </c>
      <c r="H8" s="2" t="s">
        <v>167</v>
      </c>
      <c r="I8" s="2" t="s">
        <v>166</v>
      </c>
      <c r="J8" s="2" t="s">
        <v>156</v>
      </c>
      <c r="K8" s="2" t="s">
        <v>95</v>
      </c>
      <c r="L8" s="2" t="s">
        <v>87</v>
      </c>
      <c r="M8" s="2" t="s">
        <v>25</v>
      </c>
      <c r="N8" s="2" t="s">
        <v>26</v>
      </c>
    </row>
    <row r="10" spans="1:17">
      <c r="Q10" t="s">
        <v>88</v>
      </c>
    </row>
    <row r="11" spans="1:17">
      <c r="Q11" t="s">
        <v>89</v>
      </c>
    </row>
    <row r="12" spans="1:17">
      <c r="Q12" t="s">
        <v>90</v>
      </c>
    </row>
    <row r="13" spans="1:17">
      <c r="Q13" t="s">
        <v>91</v>
      </c>
    </row>
  </sheetData>
  <mergeCells count="9">
    <mergeCell ref="M6:N7"/>
    <mergeCell ref="A6:L7"/>
    <mergeCell ref="A5:B5"/>
    <mergeCell ref="A1:B4"/>
    <mergeCell ref="C1:M1"/>
    <mergeCell ref="C2:M2"/>
    <mergeCell ref="C3:M3"/>
    <mergeCell ref="C4:M4"/>
    <mergeCell ref="C5:N5"/>
  </mergeCells>
  <dataValidations count="1">
    <dataValidation type="list" allowBlank="1" showInputMessage="1" showErrorMessage="1" sqref="K9:K113" xr:uid="{00000000-0002-0000-0200-000000000000}">
      <formula1>$Q$10:$Q$13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71"/>
  <sheetViews>
    <sheetView topLeftCell="M68" zoomScale="50" zoomScaleNormal="55" workbookViewId="0">
      <selection activeCell="F68" sqref="F68:O68"/>
    </sheetView>
  </sheetViews>
  <sheetFormatPr baseColWidth="10" defaultRowHeight="18.75"/>
  <cols>
    <col min="1" max="1" width="23.42578125" style="108" customWidth="1"/>
    <col min="2" max="3" width="23.28515625" style="108" customWidth="1"/>
    <col min="4" max="4" width="26.140625" style="33" bestFit="1" customWidth="1"/>
    <col min="5" max="5" width="29.5703125" style="33" customWidth="1"/>
    <col min="6" max="6" width="32.5703125" style="108" bestFit="1" customWidth="1"/>
    <col min="7" max="7" width="32.28515625" style="108" customWidth="1"/>
    <col min="8" max="8" width="33.42578125" style="108" customWidth="1"/>
    <col min="9" max="9" width="26.42578125" style="108" customWidth="1"/>
    <col min="10" max="10" width="24.28515625" style="108" customWidth="1"/>
    <col min="11" max="12" width="45.140625" style="108" customWidth="1"/>
    <col min="13" max="13" width="30.5703125" style="33" customWidth="1"/>
    <col min="14" max="14" width="29.5703125" style="33" customWidth="1"/>
    <col min="15" max="15" width="33.5703125" style="33" customWidth="1"/>
    <col min="16" max="16" width="36.140625" style="222" customWidth="1"/>
    <col min="17" max="17" width="21.140625" style="108" customWidth="1"/>
    <col min="18" max="18" width="21.5703125" style="108" customWidth="1"/>
    <col min="19" max="19" width="20.85546875" style="108" customWidth="1"/>
    <col min="20" max="20" width="35.85546875" style="33" bestFit="1" customWidth="1"/>
    <col min="21" max="21" width="31.5703125" style="108" bestFit="1" customWidth="1"/>
    <col min="22" max="22" width="32.85546875" style="108" bestFit="1" customWidth="1"/>
    <col min="23" max="23" width="33.42578125" style="108" customWidth="1"/>
    <col min="24" max="24" width="61.85546875" style="108" customWidth="1"/>
    <col min="25" max="25" width="31.28515625" style="33" customWidth="1"/>
    <col min="26" max="26" width="58.7109375" style="108" customWidth="1"/>
    <col min="27" max="27" width="46.28515625" style="108" customWidth="1"/>
    <col min="28" max="28" width="29.42578125" style="108" bestFit="1" customWidth="1"/>
    <col min="29" max="29" width="30.140625" style="108" customWidth="1"/>
    <col min="30" max="30" width="33.28515625" style="108" bestFit="1" customWidth="1"/>
    <col min="31" max="31" width="36.42578125" style="108" customWidth="1"/>
    <col min="32" max="32" width="30.85546875" style="108" bestFit="1" customWidth="1"/>
    <col min="33" max="33" width="26.5703125" style="108" bestFit="1" customWidth="1"/>
    <col min="34" max="34" width="41" style="108" bestFit="1" customWidth="1"/>
    <col min="35" max="35" width="42.42578125" style="108" customWidth="1"/>
    <col min="36" max="38" width="33.28515625" style="108" customWidth="1"/>
    <col min="39" max="39" width="41" style="108" bestFit="1" customWidth="1"/>
    <col min="40" max="46" width="11.42578125" style="108"/>
    <col min="47" max="47" width="56.85546875" style="108" hidden="1" customWidth="1"/>
    <col min="48" max="16384" width="11.42578125" style="108"/>
  </cols>
  <sheetData>
    <row r="1" spans="1:47" s="33" customFormat="1" ht="23.25" customHeight="1">
      <c r="A1" s="481" t="s">
        <v>0</v>
      </c>
      <c r="B1" s="481"/>
      <c r="C1" s="472" t="s">
        <v>1</v>
      </c>
      <c r="D1" s="473"/>
      <c r="E1" s="473"/>
      <c r="F1" s="473"/>
      <c r="G1" s="473"/>
      <c r="H1" s="473"/>
      <c r="I1" s="473"/>
      <c r="J1" s="473"/>
      <c r="K1" s="473"/>
      <c r="L1" s="473"/>
      <c r="M1" s="473"/>
      <c r="N1" s="473"/>
      <c r="O1" s="473"/>
      <c r="P1" s="473"/>
      <c r="Q1" s="473"/>
      <c r="R1" s="473"/>
      <c r="S1" s="473"/>
      <c r="T1" s="473"/>
      <c r="U1" s="473"/>
      <c r="V1" s="473"/>
      <c r="W1" s="473"/>
      <c r="X1" s="473"/>
      <c r="Y1" s="473"/>
      <c r="Z1" s="473"/>
      <c r="AA1" s="473"/>
      <c r="AB1" s="473"/>
      <c r="AC1" s="473"/>
      <c r="AD1" s="473"/>
      <c r="AE1" s="473"/>
      <c r="AF1" s="473"/>
      <c r="AG1" s="473"/>
      <c r="AH1" s="473"/>
      <c r="AI1" s="473"/>
      <c r="AJ1" s="473"/>
      <c r="AK1" s="473"/>
      <c r="AL1" s="473"/>
      <c r="AM1" s="106" t="s">
        <v>221</v>
      </c>
    </row>
    <row r="2" spans="1:47" s="33" customFormat="1" ht="23.25" customHeight="1">
      <c r="A2" s="481"/>
      <c r="B2" s="481"/>
      <c r="C2" s="472" t="s">
        <v>2</v>
      </c>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106" t="s">
        <v>3</v>
      </c>
    </row>
    <row r="3" spans="1:47" s="33" customFormat="1" ht="23.25" customHeight="1">
      <c r="A3" s="481"/>
      <c r="B3" s="481"/>
      <c r="C3" s="472" t="s">
        <v>4</v>
      </c>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106" t="s">
        <v>220</v>
      </c>
    </row>
    <row r="4" spans="1:47" s="33" customFormat="1" ht="23.25" customHeight="1">
      <c r="A4" s="481"/>
      <c r="B4" s="481"/>
      <c r="C4" s="472" t="s">
        <v>157</v>
      </c>
      <c r="D4" s="473"/>
      <c r="E4" s="473"/>
      <c r="F4" s="473"/>
      <c r="G4" s="473"/>
      <c r="H4" s="473"/>
      <c r="I4" s="473"/>
      <c r="J4" s="473"/>
      <c r="K4" s="473"/>
      <c r="L4" s="473"/>
      <c r="M4" s="473"/>
      <c r="N4" s="473"/>
      <c r="O4" s="473"/>
      <c r="P4" s="473"/>
      <c r="Q4" s="473"/>
      <c r="R4" s="473"/>
      <c r="S4" s="473"/>
      <c r="T4" s="473"/>
      <c r="U4" s="473"/>
      <c r="V4" s="473"/>
      <c r="W4" s="473"/>
      <c r="X4" s="473"/>
      <c r="Y4" s="473"/>
      <c r="Z4" s="473"/>
      <c r="AA4" s="473"/>
      <c r="AB4" s="473"/>
      <c r="AC4" s="473"/>
      <c r="AD4" s="473"/>
      <c r="AE4" s="473"/>
      <c r="AF4" s="473"/>
      <c r="AG4" s="473"/>
      <c r="AH4" s="473"/>
      <c r="AI4" s="473"/>
      <c r="AJ4" s="473"/>
      <c r="AK4" s="473"/>
      <c r="AL4" s="473"/>
      <c r="AM4" s="106" t="s">
        <v>224</v>
      </c>
    </row>
    <row r="5" spans="1:47" s="33" customFormat="1" ht="26.25" customHeight="1">
      <c r="A5" s="321" t="s">
        <v>5</v>
      </c>
      <c r="B5" s="321"/>
      <c r="C5" s="474"/>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5"/>
      <c r="AH5" s="475"/>
      <c r="AI5" s="475"/>
      <c r="AJ5" s="475"/>
      <c r="AK5" s="475"/>
      <c r="AL5" s="475"/>
      <c r="AM5" s="476"/>
    </row>
    <row r="6" spans="1:47" ht="15" customHeight="1">
      <c r="A6" s="477" t="s">
        <v>168</v>
      </c>
      <c r="B6" s="477"/>
      <c r="C6" s="477"/>
      <c r="D6" s="477"/>
      <c r="E6" s="477"/>
      <c r="F6" s="477"/>
      <c r="G6" s="477"/>
      <c r="H6" s="477"/>
      <c r="I6" s="477"/>
      <c r="J6" s="477"/>
      <c r="K6" s="477"/>
      <c r="L6" s="477"/>
      <c r="M6" s="477"/>
      <c r="N6" s="477"/>
      <c r="O6" s="477"/>
      <c r="P6" s="477"/>
      <c r="Q6" s="477"/>
      <c r="R6" s="477"/>
      <c r="S6" s="477"/>
      <c r="T6" s="477"/>
      <c r="U6" s="477"/>
      <c r="V6" s="477"/>
      <c r="W6" s="477"/>
      <c r="X6" s="478"/>
      <c r="Y6" s="482" t="s">
        <v>93</v>
      </c>
      <c r="Z6" s="483"/>
      <c r="AA6" s="483"/>
      <c r="AB6" s="483"/>
      <c r="AC6" s="483"/>
      <c r="AD6" s="483"/>
      <c r="AE6" s="107"/>
      <c r="AF6" s="107"/>
      <c r="AG6" s="107"/>
      <c r="AH6" s="107"/>
      <c r="AI6" s="107"/>
      <c r="AJ6" s="107"/>
      <c r="AK6" s="107"/>
      <c r="AL6" s="107"/>
      <c r="AM6" s="486"/>
    </row>
    <row r="7" spans="1:47" ht="15" customHeight="1">
      <c r="A7" s="479"/>
      <c r="B7" s="479"/>
      <c r="C7" s="479"/>
      <c r="D7" s="479"/>
      <c r="E7" s="479"/>
      <c r="F7" s="479"/>
      <c r="G7" s="479"/>
      <c r="H7" s="479"/>
      <c r="I7" s="479"/>
      <c r="J7" s="479"/>
      <c r="K7" s="479"/>
      <c r="L7" s="479"/>
      <c r="M7" s="479"/>
      <c r="N7" s="479"/>
      <c r="O7" s="479"/>
      <c r="P7" s="479"/>
      <c r="Q7" s="479"/>
      <c r="R7" s="479"/>
      <c r="S7" s="479"/>
      <c r="T7" s="479"/>
      <c r="U7" s="479"/>
      <c r="V7" s="479"/>
      <c r="W7" s="479"/>
      <c r="X7" s="480"/>
      <c r="Y7" s="484"/>
      <c r="Z7" s="485"/>
      <c r="AA7" s="485"/>
      <c r="AB7" s="485"/>
      <c r="AC7" s="485"/>
      <c r="AD7" s="485"/>
      <c r="AE7" s="109"/>
      <c r="AF7" s="109"/>
      <c r="AG7" s="109"/>
      <c r="AH7" s="109"/>
      <c r="AI7" s="109"/>
      <c r="AJ7" s="109"/>
      <c r="AK7" s="109"/>
      <c r="AL7" s="109"/>
      <c r="AM7" s="486"/>
    </row>
    <row r="8" spans="1:47" s="116" customFormat="1" ht="94.5" customHeight="1" thickBot="1">
      <c r="A8" s="110" t="s">
        <v>98</v>
      </c>
      <c r="B8" s="110" t="s">
        <v>6</v>
      </c>
      <c r="C8" s="110" t="s">
        <v>192</v>
      </c>
      <c r="D8" s="111" t="s">
        <v>471</v>
      </c>
      <c r="E8" s="111" t="s">
        <v>9</v>
      </c>
      <c r="F8" s="110" t="s">
        <v>10</v>
      </c>
      <c r="G8" s="111" t="s">
        <v>147</v>
      </c>
      <c r="H8" s="111" t="s">
        <v>196</v>
      </c>
      <c r="I8" s="111" t="s">
        <v>148</v>
      </c>
      <c r="J8" s="111" t="s">
        <v>201</v>
      </c>
      <c r="K8" s="112" t="s">
        <v>190</v>
      </c>
      <c r="L8" s="112" t="s">
        <v>211</v>
      </c>
      <c r="M8" s="112" t="s">
        <v>11</v>
      </c>
      <c r="N8" s="113" t="s">
        <v>194</v>
      </c>
      <c r="O8" s="113" t="s">
        <v>569</v>
      </c>
      <c r="P8" s="114" t="s">
        <v>605</v>
      </c>
      <c r="Q8" s="115" t="s">
        <v>149</v>
      </c>
      <c r="R8" s="115" t="s">
        <v>150</v>
      </c>
      <c r="S8" s="110" t="s">
        <v>15</v>
      </c>
      <c r="T8" s="110" t="s">
        <v>16</v>
      </c>
      <c r="U8" s="110" t="s">
        <v>163</v>
      </c>
      <c r="V8" s="110" t="s">
        <v>35</v>
      </c>
      <c r="W8" s="110" t="s">
        <v>103</v>
      </c>
      <c r="X8" s="110" t="s">
        <v>104</v>
      </c>
      <c r="Y8" s="111" t="s">
        <v>21</v>
      </c>
      <c r="Z8" s="111" t="s">
        <v>152</v>
      </c>
      <c r="AA8" s="111" t="s">
        <v>206</v>
      </c>
      <c r="AB8" s="111" t="s">
        <v>22</v>
      </c>
      <c r="AC8" s="111" t="s">
        <v>23</v>
      </c>
      <c r="AD8" s="111" t="s">
        <v>24</v>
      </c>
      <c r="AE8" s="110" t="s">
        <v>18</v>
      </c>
      <c r="AF8" s="110" t="s">
        <v>151</v>
      </c>
      <c r="AG8" s="110" t="s">
        <v>17</v>
      </c>
      <c r="AH8" s="110" t="s">
        <v>19</v>
      </c>
      <c r="AI8" s="224" t="s">
        <v>624</v>
      </c>
      <c r="AJ8" s="224" t="s">
        <v>625</v>
      </c>
      <c r="AK8" s="224" t="s">
        <v>626</v>
      </c>
      <c r="AL8" s="224" t="s">
        <v>627</v>
      </c>
      <c r="AM8" s="224" t="s">
        <v>628</v>
      </c>
    </row>
    <row r="9" spans="1:47" ht="126.75" customHeight="1">
      <c r="A9" s="456" t="s">
        <v>239</v>
      </c>
      <c r="B9" s="408" t="s">
        <v>228</v>
      </c>
      <c r="C9" s="491" t="s">
        <v>380</v>
      </c>
      <c r="D9" s="452">
        <v>5500</v>
      </c>
      <c r="E9" s="444" t="s">
        <v>475</v>
      </c>
      <c r="F9" s="446">
        <v>2024130010187</v>
      </c>
      <c r="G9" s="403" t="s">
        <v>243</v>
      </c>
      <c r="H9" s="408" t="s">
        <v>248</v>
      </c>
      <c r="I9" s="408" t="s">
        <v>274</v>
      </c>
      <c r="J9" s="460">
        <v>0.7</v>
      </c>
      <c r="K9" s="118" t="s">
        <v>276</v>
      </c>
      <c r="L9" s="119" t="s">
        <v>215</v>
      </c>
      <c r="M9" s="77" t="s">
        <v>361</v>
      </c>
      <c r="N9" s="120">
        <v>70</v>
      </c>
      <c r="O9" s="120">
        <v>10</v>
      </c>
      <c r="P9" s="121">
        <f>+O9/N9</f>
        <v>0.14285714285714285</v>
      </c>
      <c r="Q9" s="122">
        <v>45658</v>
      </c>
      <c r="R9" s="122">
        <v>46022</v>
      </c>
      <c r="S9" s="119">
        <v>360</v>
      </c>
      <c r="T9" s="120">
        <v>5500</v>
      </c>
      <c r="U9" s="117" t="s">
        <v>313</v>
      </c>
      <c r="V9" s="117" t="s">
        <v>312</v>
      </c>
      <c r="W9" s="403" t="s">
        <v>316</v>
      </c>
      <c r="X9" s="403" t="s">
        <v>317</v>
      </c>
      <c r="Y9" s="120" t="s">
        <v>315</v>
      </c>
      <c r="Z9" s="117" t="s">
        <v>555</v>
      </c>
      <c r="AA9" s="123">
        <v>155543000</v>
      </c>
      <c r="AB9" s="123" t="s">
        <v>557</v>
      </c>
      <c r="AC9" s="123" t="s">
        <v>53</v>
      </c>
      <c r="AD9" s="123" t="s">
        <v>504</v>
      </c>
      <c r="AE9" s="371">
        <v>230000000</v>
      </c>
      <c r="AF9" s="371">
        <v>230000000</v>
      </c>
      <c r="AG9" s="408" t="s">
        <v>506</v>
      </c>
      <c r="AH9" s="402" t="s">
        <v>505</v>
      </c>
      <c r="AI9" s="347">
        <v>230000000</v>
      </c>
      <c r="AJ9" s="347">
        <v>40800000</v>
      </c>
      <c r="AK9" s="347">
        <v>0</v>
      </c>
      <c r="AL9" s="399">
        <f>+AJ9/AI9</f>
        <v>0.17739130434782607</v>
      </c>
      <c r="AM9" s="399">
        <f>+AK9/AI9</f>
        <v>0</v>
      </c>
      <c r="AU9" s="108" t="s">
        <v>212</v>
      </c>
    </row>
    <row r="10" spans="1:47" ht="93" customHeight="1">
      <c r="A10" s="457"/>
      <c r="B10" s="383"/>
      <c r="C10" s="492"/>
      <c r="D10" s="395"/>
      <c r="E10" s="419"/>
      <c r="F10" s="467"/>
      <c r="G10" s="404"/>
      <c r="H10" s="384"/>
      <c r="I10" s="384"/>
      <c r="J10" s="429"/>
      <c r="K10" s="125" t="s">
        <v>472</v>
      </c>
      <c r="L10" s="41" t="s">
        <v>215</v>
      </c>
      <c r="M10" s="37" t="s">
        <v>540</v>
      </c>
      <c r="N10" s="36">
        <v>1</v>
      </c>
      <c r="O10" s="36">
        <v>0</v>
      </c>
      <c r="P10" s="121">
        <f t="shared" ref="P10:P67" si="0">+O10/N10</f>
        <v>0</v>
      </c>
      <c r="Q10" s="126">
        <v>45658</v>
      </c>
      <c r="R10" s="126">
        <v>46022</v>
      </c>
      <c r="S10" s="41">
        <v>360</v>
      </c>
      <c r="T10" s="36">
        <v>200</v>
      </c>
      <c r="U10" s="38" t="s">
        <v>473</v>
      </c>
      <c r="V10" s="38" t="s">
        <v>312</v>
      </c>
      <c r="W10" s="404"/>
      <c r="X10" s="404"/>
      <c r="Y10" s="36" t="s">
        <v>315</v>
      </c>
      <c r="Z10" s="125" t="s">
        <v>501</v>
      </c>
      <c r="AA10" s="127">
        <v>24570000</v>
      </c>
      <c r="AB10" s="41" t="s">
        <v>67</v>
      </c>
      <c r="AC10" s="128" t="s">
        <v>53</v>
      </c>
      <c r="AD10" s="129" t="s">
        <v>504</v>
      </c>
      <c r="AE10" s="372"/>
      <c r="AF10" s="372"/>
      <c r="AG10" s="383"/>
      <c r="AH10" s="379"/>
      <c r="AI10" s="348"/>
      <c r="AJ10" s="348"/>
      <c r="AK10" s="348"/>
      <c r="AL10" s="400"/>
      <c r="AM10" s="400"/>
    </row>
    <row r="11" spans="1:47" ht="83.25" customHeight="1" thickBot="1">
      <c r="A11" s="458"/>
      <c r="B11" s="409"/>
      <c r="C11" s="493"/>
      <c r="D11" s="130">
        <v>700</v>
      </c>
      <c r="E11" s="419"/>
      <c r="F11" s="447"/>
      <c r="G11" s="466"/>
      <c r="H11" s="131" t="s">
        <v>249</v>
      </c>
      <c r="I11" s="132" t="s">
        <v>275</v>
      </c>
      <c r="J11" s="133">
        <v>0.3</v>
      </c>
      <c r="K11" s="132" t="s">
        <v>599</v>
      </c>
      <c r="L11" s="134" t="s">
        <v>215</v>
      </c>
      <c r="M11" s="130" t="s">
        <v>361</v>
      </c>
      <c r="N11" s="130">
        <v>30</v>
      </c>
      <c r="O11" s="130">
        <v>1</v>
      </c>
      <c r="P11" s="135">
        <f t="shared" si="0"/>
        <v>3.3333333333333333E-2</v>
      </c>
      <c r="Q11" s="136">
        <v>45658</v>
      </c>
      <c r="R11" s="136">
        <v>46022</v>
      </c>
      <c r="S11" s="134">
        <v>360</v>
      </c>
      <c r="T11" s="130">
        <v>700</v>
      </c>
      <c r="U11" s="134" t="s">
        <v>313</v>
      </c>
      <c r="V11" s="131" t="s">
        <v>312</v>
      </c>
      <c r="W11" s="131" t="s">
        <v>318</v>
      </c>
      <c r="X11" s="131" t="s">
        <v>474</v>
      </c>
      <c r="Y11" s="130" t="s">
        <v>315</v>
      </c>
      <c r="Z11" s="132" t="s">
        <v>500</v>
      </c>
      <c r="AA11" s="137">
        <v>50000000</v>
      </c>
      <c r="AB11" s="137" t="s">
        <v>502</v>
      </c>
      <c r="AC11" s="138" t="s">
        <v>53</v>
      </c>
      <c r="AD11" s="139" t="s">
        <v>503</v>
      </c>
      <c r="AE11" s="411"/>
      <c r="AF11" s="411"/>
      <c r="AG11" s="409"/>
      <c r="AH11" s="380"/>
      <c r="AI11" s="349"/>
      <c r="AJ11" s="349"/>
      <c r="AK11" s="349"/>
      <c r="AL11" s="401"/>
      <c r="AM11" s="401"/>
      <c r="AU11" s="108" t="s">
        <v>208</v>
      </c>
    </row>
    <row r="12" spans="1:47" s="152" customFormat="1" ht="83.25" customHeight="1" thickBot="1">
      <c r="A12" s="140"/>
      <c r="B12" s="141"/>
      <c r="C12" s="142"/>
      <c r="D12" s="143"/>
      <c r="E12" s="497"/>
      <c r="F12" s="504" t="s">
        <v>604</v>
      </c>
      <c r="G12" s="414"/>
      <c r="H12" s="414"/>
      <c r="I12" s="414"/>
      <c r="J12" s="414"/>
      <c r="K12" s="414"/>
      <c r="L12" s="414"/>
      <c r="M12" s="414"/>
      <c r="N12" s="414"/>
      <c r="O12" s="414"/>
      <c r="P12" s="102">
        <f>AVERAGE(P9:P11)</f>
        <v>5.8730158730158723E-2</v>
      </c>
      <c r="Q12" s="356"/>
      <c r="R12" s="357"/>
      <c r="S12" s="357"/>
      <c r="T12" s="357"/>
      <c r="U12" s="357"/>
      <c r="V12" s="357"/>
      <c r="W12" s="357"/>
      <c r="X12" s="357"/>
      <c r="Y12" s="357"/>
      <c r="Z12" s="357"/>
      <c r="AA12" s="357"/>
      <c r="AB12" s="357"/>
      <c r="AC12" s="357"/>
      <c r="AD12" s="358"/>
      <c r="AE12" s="359" t="s">
        <v>629</v>
      </c>
      <c r="AF12" s="360"/>
      <c r="AG12" s="360"/>
      <c r="AH12" s="361"/>
      <c r="AI12" s="225">
        <f>+AI9</f>
        <v>230000000</v>
      </c>
      <c r="AJ12" s="225">
        <f t="shared" ref="AJ12:AM12" si="1">+AJ9</f>
        <v>40800000</v>
      </c>
      <c r="AK12" s="225">
        <f t="shared" si="1"/>
        <v>0</v>
      </c>
      <c r="AL12" s="226">
        <f t="shared" si="1"/>
        <v>0.17739130434782607</v>
      </c>
      <c r="AM12" s="226">
        <f t="shared" si="1"/>
        <v>0</v>
      </c>
    </row>
    <row r="13" spans="1:47" ht="98.25" customHeight="1">
      <c r="A13" s="403" t="s">
        <v>239</v>
      </c>
      <c r="B13" s="408" t="s">
        <v>229</v>
      </c>
      <c r="C13" s="449" t="s">
        <v>381</v>
      </c>
      <c r="D13" s="153">
        <v>1334</v>
      </c>
      <c r="E13" s="322" t="s">
        <v>476</v>
      </c>
      <c r="F13" s="468">
        <v>2024130010177</v>
      </c>
      <c r="G13" s="384" t="s">
        <v>244</v>
      </c>
      <c r="H13" s="155" t="s">
        <v>245</v>
      </c>
      <c r="I13" s="155" t="s">
        <v>275</v>
      </c>
      <c r="J13" s="74">
        <v>0.4</v>
      </c>
      <c r="K13" s="155" t="s">
        <v>277</v>
      </c>
      <c r="L13" s="156" t="s">
        <v>215</v>
      </c>
      <c r="M13" s="45" t="s">
        <v>361</v>
      </c>
      <c r="N13" s="45">
        <v>33</v>
      </c>
      <c r="O13" s="45">
        <v>9</v>
      </c>
      <c r="P13" s="157">
        <f t="shared" si="0"/>
        <v>0.27272727272727271</v>
      </c>
      <c r="Q13" s="158">
        <v>45658</v>
      </c>
      <c r="R13" s="158">
        <v>46022</v>
      </c>
      <c r="S13" s="156">
        <v>360</v>
      </c>
      <c r="T13" s="45">
        <v>1334</v>
      </c>
      <c r="U13" s="156" t="s">
        <v>313</v>
      </c>
      <c r="V13" s="66" t="s">
        <v>312</v>
      </c>
      <c r="W13" s="66" t="s">
        <v>319</v>
      </c>
      <c r="X13" s="156" t="s">
        <v>324</v>
      </c>
      <c r="Y13" s="381" t="s">
        <v>315</v>
      </c>
      <c r="Z13" s="383" t="s">
        <v>556</v>
      </c>
      <c r="AA13" s="500">
        <v>157472000</v>
      </c>
      <c r="AB13" s="505" t="s">
        <v>76</v>
      </c>
      <c r="AC13" s="370" t="s">
        <v>53</v>
      </c>
      <c r="AD13" s="387" t="s">
        <v>504</v>
      </c>
      <c r="AE13" s="372">
        <v>242000000</v>
      </c>
      <c r="AF13" s="372">
        <v>242000000</v>
      </c>
      <c r="AG13" s="383" t="s">
        <v>506</v>
      </c>
      <c r="AH13" s="370" t="s">
        <v>509</v>
      </c>
      <c r="AI13" s="347">
        <v>242000000</v>
      </c>
      <c r="AJ13" s="347">
        <v>46180000</v>
      </c>
      <c r="AK13" s="347">
        <v>0</v>
      </c>
      <c r="AL13" s="350">
        <f>+AJ13/AI13</f>
        <v>0.19082644628099174</v>
      </c>
      <c r="AM13" s="351">
        <f>+AK13/AI13</f>
        <v>0</v>
      </c>
      <c r="AU13" s="108" t="s">
        <v>216</v>
      </c>
    </row>
    <row r="14" spans="1:47" ht="75" customHeight="1">
      <c r="A14" s="430"/>
      <c r="B14" s="383"/>
      <c r="C14" s="451"/>
      <c r="D14" s="162">
        <v>3000</v>
      </c>
      <c r="E14" s="515"/>
      <c r="F14" s="469"/>
      <c r="G14" s="404"/>
      <c r="H14" s="125" t="s">
        <v>246</v>
      </c>
      <c r="I14" s="125" t="s">
        <v>274</v>
      </c>
      <c r="J14" s="43">
        <v>0.3</v>
      </c>
      <c r="K14" s="125" t="s">
        <v>362</v>
      </c>
      <c r="L14" s="41" t="s">
        <v>215</v>
      </c>
      <c r="M14" s="37" t="s">
        <v>541</v>
      </c>
      <c r="N14" s="36">
        <v>3000</v>
      </c>
      <c r="O14" s="36">
        <v>818</v>
      </c>
      <c r="P14" s="121">
        <f t="shared" si="0"/>
        <v>0.27266666666666667</v>
      </c>
      <c r="Q14" s="126">
        <v>45658</v>
      </c>
      <c r="R14" s="126">
        <v>46022</v>
      </c>
      <c r="S14" s="41">
        <v>360</v>
      </c>
      <c r="T14" s="36">
        <v>3000</v>
      </c>
      <c r="U14" s="41" t="s">
        <v>313</v>
      </c>
      <c r="V14" s="38" t="s">
        <v>312</v>
      </c>
      <c r="W14" s="38" t="s">
        <v>321</v>
      </c>
      <c r="X14" s="38" t="s">
        <v>322</v>
      </c>
      <c r="Y14" s="381"/>
      <c r="Z14" s="384"/>
      <c r="AA14" s="501"/>
      <c r="AB14" s="506"/>
      <c r="AC14" s="386"/>
      <c r="AD14" s="388"/>
      <c r="AE14" s="372"/>
      <c r="AF14" s="372"/>
      <c r="AG14" s="383"/>
      <c r="AH14" s="370"/>
      <c r="AI14" s="348"/>
      <c r="AJ14" s="348"/>
      <c r="AK14" s="348"/>
      <c r="AL14" s="351"/>
      <c r="AM14" s="351"/>
      <c r="AU14" s="108" t="s">
        <v>209</v>
      </c>
    </row>
    <row r="15" spans="1:47" ht="69" customHeight="1" thickBot="1">
      <c r="A15" s="448"/>
      <c r="B15" s="409"/>
      <c r="C15" s="450"/>
      <c r="D15" s="164">
        <v>1</v>
      </c>
      <c r="E15" s="515"/>
      <c r="F15" s="470"/>
      <c r="G15" s="407"/>
      <c r="H15" s="165" t="s">
        <v>247</v>
      </c>
      <c r="I15" s="165" t="s">
        <v>293</v>
      </c>
      <c r="J15" s="69">
        <v>0.3</v>
      </c>
      <c r="K15" s="165" t="s">
        <v>325</v>
      </c>
      <c r="L15" s="166" t="s">
        <v>215</v>
      </c>
      <c r="M15" s="68" t="s">
        <v>363</v>
      </c>
      <c r="N15" s="68">
        <v>1</v>
      </c>
      <c r="O15" s="68">
        <v>1</v>
      </c>
      <c r="P15" s="135">
        <f t="shared" si="0"/>
        <v>1</v>
      </c>
      <c r="Q15" s="167">
        <v>45658</v>
      </c>
      <c r="R15" s="167">
        <v>46022</v>
      </c>
      <c r="S15" s="166">
        <v>360</v>
      </c>
      <c r="T15" s="68">
        <v>200</v>
      </c>
      <c r="U15" s="166" t="s">
        <v>313</v>
      </c>
      <c r="V15" s="65" t="s">
        <v>312</v>
      </c>
      <c r="W15" s="65" t="s">
        <v>323</v>
      </c>
      <c r="X15" s="166" t="s">
        <v>320</v>
      </c>
      <c r="Y15" s="381"/>
      <c r="Z15" s="168" t="s">
        <v>507</v>
      </c>
      <c r="AA15" s="169">
        <v>84527700</v>
      </c>
      <c r="AB15" s="65" t="s">
        <v>67</v>
      </c>
      <c r="AC15" s="166" t="s">
        <v>53</v>
      </c>
      <c r="AD15" s="166" t="s">
        <v>508</v>
      </c>
      <c r="AE15" s="372"/>
      <c r="AF15" s="372"/>
      <c r="AG15" s="383"/>
      <c r="AH15" s="370"/>
      <c r="AI15" s="349"/>
      <c r="AJ15" s="349"/>
      <c r="AK15" s="349"/>
      <c r="AL15" s="352"/>
      <c r="AM15" s="351"/>
      <c r="AU15" s="108" t="s">
        <v>210</v>
      </c>
    </row>
    <row r="16" spans="1:47" s="152" customFormat="1" ht="69" customHeight="1" thickBot="1">
      <c r="A16" s="143"/>
      <c r="B16" s="141"/>
      <c r="C16" s="170"/>
      <c r="D16" s="171"/>
      <c r="E16" s="323"/>
      <c r="F16" s="414" t="s">
        <v>606</v>
      </c>
      <c r="G16" s="414"/>
      <c r="H16" s="414"/>
      <c r="I16" s="414"/>
      <c r="J16" s="414"/>
      <c r="K16" s="414"/>
      <c r="L16" s="414"/>
      <c r="M16" s="414"/>
      <c r="N16" s="414"/>
      <c r="O16" s="414"/>
      <c r="P16" s="103">
        <f>AVERAGE(P13:P15)</f>
        <v>0.51513131313131311</v>
      </c>
      <c r="Q16" s="356"/>
      <c r="R16" s="357"/>
      <c r="S16" s="357"/>
      <c r="T16" s="357"/>
      <c r="U16" s="357"/>
      <c r="V16" s="357"/>
      <c r="W16" s="357"/>
      <c r="X16" s="357"/>
      <c r="Y16" s="357"/>
      <c r="Z16" s="357"/>
      <c r="AA16" s="357"/>
      <c r="AB16" s="357"/>
      <c r="AC16" s="357"/>
      <c r="AD16" s="358"/>
      <c r="AE16" s="359" t="s">
        <v>629</v>
      </c>
      <c r="AF16" s="360"/>
      <c r="AG16" s="360"/>
      <c r="AH16" s="361"/>
      <c r="AI16" s="227">
        <f>+AI13</f>
        <v>242000000</v>
      </c>
      <c r="AJ16" s="227">
        <f t="shared" ref="AJ16:AM16" si="2">+AJ13</f>
        <v>46180000</v>
      </c>
      <c r="AK16" s="227">
        <f t="shared" si="2"/>
        <v>0</v>
      </c>
      <c r="AL16" s="226">
        <f t="shared" si="2"/>
        <v>0.19082644628099174</v>
      </c>
      <c r="AM16" s="226">
        <f t="shared" si="2"/>
        <v>0</v>
      </c>
    </row>
    <row r="17" spans="1:47" ht="60" customHeight="1">
      <c r="A17" s="403" t="s">
        <v>239</v>
      </c>
      <c r="B17" s="408" t="s">
        <v>230</v>
      </c>
      <c r="C17" s="449" t="s">
        <v>382</v>
      </c>
      <c r="D17" s="153">
        <v>1500</v>
      </c>
      <c r="E17" s="322" t="s">
        <v>477</v>
      </c>
      <c r="F17" s="468">
        <v>2024130010188</v>
      </c>
      <c r="G17" s="384" t="s">
        <v>250</v>
      </c>
      <c r="H17" s="155" t="s">
        <v>251</v>
      </c>
      <c r="I17" s="155" t="s">
        <v>279</v>
      </c>
      <c r="J17" s="74">
        <v>0.2</v>
      </c>
      <c r="K17" s="155" t="s">
        <v>280</v>
      </c>
      <c r="L17" s="156" t="s">
        <v>215</v>
      </c>
      <c r="M17" s="75" t="s">
        <v>551</v>
      </c>
      <c r="N17" s="45">
        <v>1500</v>
      </c>
      <c r="O17" s="45">
        <v>402</v>
      </c>
      <c r="P17" s="157">
        <f t="shared" si="0"/>
        <v>0.26800000000000002</v>
      </c>
      <c r="Q17" s="158">
        <v>45658</v>
      </c>
      <c r="R17" s="158">
        <v>46022</v>
      </c>
      <c r="S17" s="156">
        <v>360</v>
      </c>
      <c r="T17" s="45">
        <v>1500</v>
      </c>
      <c r="U17" s="156" t="s">
        <v>313</v>
      </c>
      <c r="V17" s="66" t="s">
        <v>312</v>
      </c>
      <c r="W17" s="66" t="s">
        <v>330</v>
      </c>
      <c r="X17" s="156" t="s">
        <v>331</v>
      </c>
      <c r="Y17" s="381" t="s">
        <v>315</v>
      </c>
      <c r="Z17" s="383" t="s">
        <v>558</v>
      </c>
      <c r="AA17" s="372">
        <v>175684800</v>
      </c>
      <c r="AB17" s="370" t="s">
        <v>76</v>
      </c>
      <c r="AC17" s="370" t="s">
        <v>53</v>
      </c>
      <c r="AD17" s="370" t="s">
        <v>504</v>
      </c>
      <c r="AE17" s="372">
        <v>175684800</v>
      </c>
      <c r="AF17" s="372">
        <v>175684800</v>
      </c>
      <c r="AG17" s="370" t="s">
        <v>506</v>
      </c>
      <c r="AH17" s="370" t="s">
        <v>510</v>
      </c>
      <c r="AI17" s="347">
        <v>175684800</v>
      </c>
      <c r="AJ17" s="347">
        <v>41600000</v>
      </c>
      <c r="AK17" s="347">
        <v>0</v>
      </c>
      <c r="AL17" s="350">
        <f>+AJ17/AI17</f>
        <v>0.2367877016110671</v>
      </c>
      <c r="AM17" s="350">
        <f>+AK17/AI17</f>
        <v>0</v>
      </c>
      <c r="AU17" s="108" t="s">
        <v>213</v>
      </c>
    </row>
    <row r="18" spans="1:47" ht="150">
      <c r="A18" s="430"/>
      <c r="B18" s="383"/>
      <c r="C18" s="451"/>
      <c r="D18" s="162">
        <v>5000</v>
      </c>
      <c r="E18" s="515"/>
      <c r="F18" s="469"/>
      <c r="G18" s="430"/>
      <c r="H18" s="125" t="s">
        <v>327</v>
      </c>
      <c r="I18" s="125" t="s">
        <v>275</v>
      </c>
      <c r="J18" s="43">
        <v>0.3</v>
      </c>
      <c r="K18" s="128" t="s">
        <v>281</v>
      </c>
      <c r="L18" s="41" t="s">
        <v>215</v>
      </c>
      <c r="M18" s="36" t="s">
        <v>364</v>
      </c>
      <c r="N18" s="36">
        <v>40</v>
      </c>
      <c r="O18" s="36">
        <v>4</v>
      </c>
      <c r="P18" s="121">
        <f t="shared" si="0"/>
        <v>0.1</v>
      </c>
      <c r="Q18" s="126">
        <v>45658</v>
      </c>
      <c r="R18" s="126">
        <v>46022</v>
      </c>
      <c r="S18" s="41">
        <v>360</v>
      </c>
      <c r="T18" s="36">
        <v>5000</v>
      </c>
      <c r="U18" s="41" t="s">
        <v>313</v>
      </c>
      <c r="V18" s="38" t="s">
        <v>312</v>
      </c>
      <c r="W18" s="38" t="s">
        <v>332</v>
      </c>
      <c r="X18" s="38" t="s">
        <v>333</v>
      </c>
      <c r="Y18" s="381"/>
      <c r="Z18" s="383"/>
      <c r="AA18" s="372"/>
      <c r="AB18" s="370"/>
      <c r="AC18" s="370"/>
      <c r="AD18" s="370"/>
      <c r="AE18" s="372"/>
      <c r="AF18" s="372"/>
      <c r="AG18" s="370"/>
      <c r="AH18" s="370"/>
      <c r="AI18" s="348"/>
      <c r="AJ18" s="348"/>
      <c r="AK18" s="348"/>
      <c r="AL18" s="351"/>
      <c r="AM18" s="351"/>
      <c r="AU18" s="108" t="s">
        <v>214</v>
      </c>
    </row>
    <row r="19" spans="1:47" ht="85.5" customHeight="1">
      <c r="A19" s="430"/>
      <c r="B19" s="383"/>
      <c r="C19" s="451"/>
      <c r="D19" s="162">
        <v>8000</v>
      </c>
      <c r="E19" s="515"/>
      <c r="F19" s="469"/>
      <c r="G19" s="430"/>
      <c r="H19" s="125" t="s">
        <v>252</v>
      </c>
      <c r="I19" s="125" t="s">
        <v>278</v>
      </c>
      <c r="J19" s="43">
        <v>0.2</v>
      </c>
      <c r="K19" s="125" t="s">
        <v>326</v>
      </c>
      <c r="L19" s="41" t="s">
        <v>215</v>
      </c>
      <c r="M19" s="37" t="s">
        <v>542</v>
      </c>
      <c r="N19" s="36">
        <v>8000</v>
      </c>
      <c r="O19" s="36">
        <v>401</v>
      </c>
      <c r="P19" s="121">
        <f t="shared" si="0"/>
        <v>5.0125000000000003E-2</v>
      </c>
      <c r="Q19" s="126">
        <v>45658</v>
      </c>
      <c r="R19" s="126">
        <v>46022</v>
      </c>
      <c r="S19" s="41">
        <v>360</v>
      </c>
      <c r="T19" s="36">
        <v>8000</v>
      </c>
      <c r="U19" s="41" t="s">
        <v>313</v>
      </c>
      <c r="V19" s="38" t="s">
        <v>312</v>
      </c>
      <c r="W19" s="407" t="s">
        <v>328</v>
      </c>
      <c r="X19" s="407" t="s">
        <v>329</v>
      </c>
      <c r="Y19" s="381"/>
      <c r="Z19" s="383"/>
      <c r="AA19" s="372"/>
      <c r="AB19" s="370"/>
      <c r="AC19" s="370"/>
      <c r="AD19" s="370"/>
      <c r="AE19" s="372"/>
      <c r="AF19" s="372"/>
      <c r="AG19" s="370"/>
      <c r="AH19" s="370"/>
      <c r="AI19" s="348"/>
      <c r="AJ19" s="348"/>
      <c r="AK19" s="348"/>
      <c r="AL19" s="351"/>
      <c r="AM19" s="351"/>
      <c r="AU19" s="108" t="s">
        <v>215</v>
      </c>
    </row>
    <row r="20" spans="1:47" ht="62.25" customHeight="1" thickBot="1">
      <c r="A20" s="448"/>
      <c r="B20" s="409"/>
      <c r="C20" s="450"/>
      <c r="D20" s="164">
        <v>20</v>
      </c>
      <c r="E20" s="515"/>
      <c r="F20" s="471"/>
      <c r="G20" s="448"/>
      <c r="H20" s="132" t="s">
        <v>253</v>
      </c>
      <c r="I20" s="132" t="s">
        <v>274</v>
      </c>
      <c r="J20" s="133">
        <v>0.3</v>
      </c>
      <c r="K20" s="132" t="s">
        <v>282</v>
      </c>
      <c r="L20" s="134" t="s">
        <v>215</v>
      </c>
      <c r="M20" s="80" t="s">
        <v>365</v>
      </c>
      <c r="N20" s="130">
        <v>20</v>
      </c>
      <c r="O20" s="130">
        <v>0</v>
      </c>
      <c r="P20" s="135">
        <f t="shared" si="0"/>
        <v>0</v>
      </c>
      <c r="Q20" s="167">
        <v>45658</v>
      </c>
      <c r="R20" s="167">
        <v>46022</v>
      </c>
      <c r="S20" s="166">
        <v>360</v>
      </c>
      <c r="T20" s="68">
        <v>700</v>
      </c>
      <c r="U20" s="166" t="s">
        <v>313</v>
      </c>
      <c r="V20" s="65" t="s">
        <v>312</v>
      </c>
      <c r="W20" s="383"/>
      <c r="X20" s="383"/>
      <c r="Y20" s="381"/>
      <c r="Z20" s="383"/>
      <c r="AA20" s="372"/>
      <c r="AB20" s="370"/>
      <c r="AC20" s="370"/>
      <c r="AD20" s="370"/>
      <c r="AE20" s="372"/>
      <c r="AF20" s="372"/>
      <c r="AG20" s="370"/>
      <c r="AH20" s="370"/>
      <c r="AI20" s="349"/>
      <c r="AJ20" s="349"/>
      <c r="AK20" s="349"/>
      <c r="AL20" s="352"/>
      <c r="AM20" s="352"/>
    </row>
    <row r="21" spans="1:47" s="152" customFormat="1" ht="42" customHeight="1" thickBot="1">
      <c r="A21" s="172"/>
      <c r="B21" s="146"/>
      <c r="C21" s="173"/>
      <c r="D21" s="151"/>
      <c r="E21" s="323"/>
      <c r="F21" s="414" t="s">
        <v>607</v>
      </c>
      <c r="G21" s="414"/>
      <c r="H21" s="414"/>
      <c r="I21" s="414"/>
      <c r="J21" s="414"/>
      <c r="K21" s="414"/>
      <c r="L21" s="414"/>
      <c r="M21" s="414"/>
      <c r="N21" s="414"/>
      <c r="O21" s="414"/>
      <c r="P21" s="104">
        <f>AVERAGE(P17:P20)</f>
        <v>0.10453124999999999</v>
      </c>
      <c r="Q21" s="356"/>
      <c r="R21" s="357"/>
      <c r="S21" s="357"/>
      <c r="T21" s="357"/>
      <c r="U21" s="357"/>
      <c r="V21" s="357"/>
      <c r="W21" s="357"/>
      <c r="X21" s="357"/>
      <c r="Y21" s="357"/>
      <c r="Z21" s="357"/>
      <c r="AA21" s="357"/>
      <c r="AB21" s="357"/>
      <c r="AC21" s="357"/>
      <c r="AD21" s="358"/>
      <c r="AE21" s="359" t="s">
        <v>629</v>
      </c>
      <c r="AF21" s="360"/>
      <c r="AG21" s="360"/>
      <c r="AH21" s="361"/>
      <c r="AI21" s="227">
        <f>+AI17</f>
        <v>175684800</v>
      </c>
      <c r="AJ21" s="227">
        <f t="shared" ref="AJ21:AM21" si="3">+AJ17</f>
        <v>41600000</v>
      </c>
      <c r="AK21" s="227">
        <f t="shared" si="3"/>
        <v>0</v>
      </c>
      <c r="AL21" s="226">
        <f t="shared" si="3"/>
        <v>0.2367877016110671</v>
      </c>
      <c r="AM21" s="226">
        <f t="shared" si="3"/>
        <v>0</v>
      </c>
    </row>
    <row r="22" spans="1:47" ht="114.75" customHeight="1">
      <c r="A22" s="384" t="s">
        <v>239</v>
      </c>
      <c r="B22" s="384" t="s">
        <v>231</v>
      </c>
      <c r="C22" s="422" t="s">
        <v>383</v>
      </c>
      <c r="D22" s="425">
        <v>1650</v>
      </c>
      <c r="E22" s="322" t="s">
        <v>478</v>
      </c>
      <c r="F22" s="428">
        <v>2024130010185</v>
      </c>
      <c r="G22" s="383" t="s">
        <v>254</v>
      </c>
      <c r="H22" s="383" t="s">
        <v>255</v>
      </c>
      <c r="I22" s="383" t="s">
        <v>283</v>
      </c>
      <c r="J22" s="507">
        <v>1</v>
      </c>
      <c r="K22" s="155" t="s">
        <v>284</v>
      </c>
      <c r="L22" s="156" t="s">
        <v>213</v>
      </c>
      <c r="M22" s="45" t="s">
        <v>552</v>
      </c>
      <c r="N22" s="45">
        <v>1650</v>
      </c>
      <c r="O22" s="159">
        <v>17</v>
      </c>
      <c r="P22" s="157">
        <f t="shared" si="0"/>
        <v>1.0303030303030303E-2</v>
      </c>
      <c r="Q22" s="158">
        <v>45658</v>
      </c>
      <c r="R22" s="158">
        <v>46022</v>
      </c>
      <c r="S22" s="156">
        <v>360</v>
      </c>
      <c r="T22" s="45">
        <v>1650</v>
      </c>
      <c r="U22" s="156" t="s">
        <v>313</v>
      </c>
      <c r="V22" s="66" t="s">
        <v>312</v>
      </c>
      <c r="W22" s="66" t="s">
        <v>334</v>
      </c>
      <c r="X22" s="156" t="s">
        <v>335</v>
      </c>
      <c r="Y22" s="381" t="s">
        <v>315</v>
      </c>
      <c r="Z22" s="155" t="s">
        <v>559</v>
      </c>
      <c r="AA22" s="176">
        <v>130146000</v>
      </c>
      <c r="AB22" s="177" t="s">
        <v>76</v>
      </c>
      <c r="AC22" s="177" t="s">
        <v>53</v>
      </c>
      <c r="AD22" s="156" t="s">
        <v>504</v>
      </c>
      <c r="AE22" s="372">
        <v>3000000000</v>
      </c>
      <c r="AF22" s="372">
        <v>3000000000</v>
      </c>
      <c r="AG22" s="370" t="s">
        <v>506</v>
      </c>
      <c r="AH22" s="370" t="s">
        <v>515</v>
      </c>
      <c r="AI22" s="347">
        <v>3000000000</v>
      </c>
      <c r="AJ22" s="347">
        <v>37500000</v>
      </c>
      <c r="AK22" s="347">
        <v>0</v>
      </c>
      <c r="AL22" s="350">
        <f>+AJ22/AI22</f>
        <v>1.2500000000000001E-2</v>
      </c>
      <c r="AM22" s="350">
        <f>+AK22/AI22</f>
        <v>0</v>
      </c>
    </row>
    <row r="23" spans="1:47" ht="85.5" customHeight="1">
      <c r="A23" s="404"/>
      <c r="B23" s="404"/>
      <c r="C23" s="423"/>
      <c r="D23" s="426"/>
      <c r="E23" s="515"/>
      <c r="F23" s="428"/>
      <c r="G23" s="383"/>
      <c r="H23" s="383"/>
      <c r="I23" s="383"/>
      <c r="J23" s="507"/>
      <c r="K23" s="407" t="s">
        <v>285</v>
      </c>
      <c r="L23" s="393" t="s">
        <v>213</v>
      </c>
      <c r="M23" s="394" t="s">
        <v>366</v>
      </c>
      <c r="N23" s="427">
        <v>1650</v>
      </c>
      <c r="O23" s="421">
        <v>0</v>
      </c>
      <c r="P23" s="502">
        <f t="shared" si="0"/>
        <v>0</v>
      </c>
      <c r="Q23" s="405">
        <v>45658</v>
      </c>
      <c r="R23" s="392">
        <v>46022</v>
      </c>
      <c r="S23" s="393">
        <v>360</v>
      </c>
      <c r="T23" s="394">
        <v>8250</v>
      </c>
      <c r="U23" s="393" t="s">
        <v>313</v>
      </c>
      <c r="V23" s="407" t="s">
        <v>314</v>
      </c>
      <c r="W23" s="407" t="s">
        <v>336</v>
      </c>
      <c r="X23" s="407" t="s">
        <v>337</v>
      </c>
      <c r="Y23" s="381"/>
      <c r="Z23" s="178" t="s">
        <v>511</v>
      </c>
      <c r="AA23" s="127">
        <v>400000000</v>
      </c>
      <c r="AB23" s="41" t="s">
        <v>513</v>
      </c>
      <c r="AC23" s="128" t="s">
        <v>53</v>
      </c>
      <c r="AD23" s="41" t="s">
        <v>508</v>
      </c>
      <c r="AE23" s="372"/>
      <c r="AF23" s="372"/>
      <c r="AG23" s="370"/>
      <c r="AH23" s="370"/>
      <c r="AI23" s="348"/>
      <c r="AJ23" s="348"/>
      <c r="AK23" s="348"/>
      <c r="AL23" s="351"/>
      <c r="AM23" s="351"/>
    </row>
    <row r="24" spans="1:47" ht="85.5" customHeight="1" thickBot="1">
      <c r="A24" s="407"/>
      <c r="B24" s="407"/>
      <c r="C24" s="424"/>
      <c r="D24" s="427"/>
      <c r="E24" s="515"/>
      <c r="F24" s="428"/>
      <c r="G24" s="383"/>
      <c r="H24" s="383"/>
      <c r="I24" s="383"/>
      <c r="J24" s="507"/>
      <c r="K24" s="383"/>
      <c r="L24" s="370"/>
      <c r="M24" s="381"/>
      <c r="N24" s="437"/>
      <c r="O24" s="394"/>
      <c r="P24" s="517"/>
      <c r="Q24" s="406"/>
      <c r="R24" s="387"/>
      <c r="S24" s="370"/>
      <c r="T24" s="381"/>
      <c r="U24" s="370"/>
      <c r="V24" s="383"/>
      <c r="W24" s="383"/>
      <c r="X24" s="383"/>
      <c r="Y24" s="381"/>
      <c r="Z24" s="179" t="s">
        <v>512</v>
      </c>
      <c r="AA24" s="180">
        <v>2469854000</v>
      </c>
      <c r="AB24" s="160" t="s">
        <v>514</v>
      </c>
      <c r="AC24" s="181" t="s">
        <v>53</v>
      </c>
      <c r="AD24" s="160" t="s">
        <v>503</v>
      </c>
      <c r="AE24" s="372"/>
      <c r="AF24" s="372"/>
      <c r="AG24" s="370"/>
      <c r="AH24" s="370"/>
      <c r="AI24" s="349"/>
      <c r="AJ24" s="349"/>
      <c r="AK24" s="349"/>
      <c r="AL24" s="352"/>
      <c r="AM24" s="352"/>
    </row>
    <row r="25" spans="1:47" s="152" customFormat="1" ht="58.5" customHeight="1" thickBot="1">
      <c r="A25" s="182"/>
      <c r="B25" s="146"/>
      <c r="C25" s="173"/>
      <c r="D25" s="183"/>
      <c r="E25" s="323"/>
      <c r="F25" s="414" t="s">
        <v>609</v>
      </c>
      <c r="G25" s="414"/>
      <c r="H25" s="414"/>
      <c r="I25" s="414"/>
      <c r="J25" s="414"/>
      <c r="K25" s="414"/>
      <c r="L25" s="414"/>
      <c r="M25" s="414"/>
      <c r="N25" s="414"/>
      <c r="O25" s="414"/>
      <c r="P25" s="103">
        <f>AVERAGE(P22:P24)</f>
        <v>5.1515151515151517E-3</v>
      </c>
      <c r="Q25" s="356"/>
      <c r="R25" s="357"/>
      <c r="S25" s="357"/>
      <c r="T25" s="357"/>
      <c r="U25" s="357"/>
      <c r="V25" s="357"/>
      <c r="W25" s="357"/>
      <c r="X25" s="357"/>
      <c r="Y25" s="357"/>
      <c r="Z25" s="357"/>
      <c r="AA25" s="357"/>
      <c r="AB25" s="357"/>
      <c r="AC25" s="357"/>
      <c r="AD25" s="358"/>
      <c r="AE25" s="359" t="s">
        <v>629</v>
      </c>
      <c r="AF25" s="360"/>
      <c r="AG25" s="360"/>
      <c r="AH25" s="361"/>
      <c r="AI25" s="227">
        <f>+AI22</f>
        <v>3000000000</v>
      </c>
      <c r="AJ25" s="227">
        <f t="shared" ref="AJ25:AM25" si="4">+AJ22</f>
        <v>37500000</v>
      </c>
      <c r="AK25" s="227">
        <f t="shared" si="4"/>
        <v>0</v>
      </c>
      <c r="AL25" s="226">
        <f t="shared" si="4"/>
        <v>1.2500000000000001E-2</v>
      </c>
      <c r="AM25" s="226">
        <f t="shared" si="4"/>
        <v>0</v>
      </c>
    </row>
    <row r="26" spans="1:47" ht="132.75" customHeight="1">
      <c r="A26" s="459" t="s">
        <v>239</v>
      </c>
      <c r="B26" s="384" t="s">
        <v>232</v>
      </c>
      <c r="C26" s="422" t="s">
        <v>384</v>
      </c>
      <c r="D26" s="175">
        <v>2300</v>
      </c>
      <c r="E26" s="322" t="s">
        <v>479</v>
      </c>
      <c r="F26" s="468">
        <v>2024130010198</v>
      </c>
      <c r="G26" s="384" t="s">
        <v>256</v>
      </c>
      <c r="H26" s="384" t="s">
        <v>258</v>
      </c>
      <c r="I26" s="384" t="s">
        <v>286</v>
      </c>
      <c r="J26" s="429">
        <v>0.6</v>
      </c>
      <c r="K26" s="155" t="s">
        <v>610</v>
      </c>
      <c r="L26" s="156" t="s">
        <v>215</v>
      </c>
      <c r="M26" s="45" t="s">
        <v>363</v>
      </c>
      <c r="N26" s="45">
        <v>17</v>
      </c>
      <c r="O26" s="45">
        <v>1</v>
      </c>
      <c r="P26" s="157">
        <f t="shared" si="0"/>
        <v>5.8823529411764705E-2</v>
      </c>
      <c r="Q26" s="158">
        <v>45658</v>
      </c>
      <c r="R26" s="158">
        <v>46022</v>
      </c>
      <c r="S26" s="156">
        <v>360</v>
      </c>
      <c r="T26" s="45">
        <v>17</v>
      </c>
      <c r="U26" s="156" t="s">
        <v>313</v>
      </c>
      <c r="V26" s="66" t="s">
        <v>314</v>
      </c>
      <c r="W26" s="66" t="s">
        <v>338</v>
      </c>
      <c r="X26" s="156" t="s">
        <v>339</v>
      </c>
      <c r="Y26" s="45" t="s">
        <v>315</v>
      </c>
      <c r="Z26" s="155" t="s">
        <v>560</v>
      </c>
      <c r="AA26" s="176">
        <v>327000000</v>
      </c>
      <c r="AB26" s="155" t="s">
        <v>76</v>
      </c>
      <c r="AC26" s="156" t="s">
        <v>53</v>
      </c>
      <c r="AD26" s="158" t="s">
        <v>504</v>
      </c>
      <c r="AE26" s="385">
        <v>3600000000</v>
      </c>
      <c r="AF26" s="385">
        <v>3600000000</v>
      </c>
      <c r="AG26" s="370" t="s">
        <v>506</v>
      </c>
      <c r="AH26" s="389" t="s">
        <v>521</v>
      </c>
      <c r="AI26" s="373">
        <v>3600000000</v>
      </c>
      <c r="AJ26" s="373">
        <v>74575000</v>
      </c>
      <c r="AK26" s="373">
        <v>0</v>
      </c>
      <c r="AL26" s="376">
        <f>+AJ26/AI26</f>
        <v>2.0715277777777777E-2</v>
      </c>
      <c r="AM26" s="376">
        <f>+AK26/AI26</f>
        <v>0</v>
      </c>
    </row>
    <row r="27" spans="1:47" ht="105.75" customHeight="1">
      <c r="A27" s="457"/>
      <c r="B27" s="404"/>
      <c r="C27" s="423"/>
      <c r="D27" s="162">
        <v>1000</v>
      </c>
      <c r="E27" s="515"/>
      <c r="F27" s="469"/>
      <c r="G27" s="404"/>
      <c r="H27" s="404"/>
      <c r="I27" s="404"/>
      <c r="J27" s="430"/>
      <c r="K27" s="462" t="s">
        <v>287</v>
      </c>
      <c r="L27" s="393" t="s">
        <v>215</v>
      </c>
      <c r="M27" s="418" t="s">
        <v>367</v>
      </c>
      <c r="N27" s="394">
        <v>1000</v>
      </c>
      <c r="O27" s="394">
        <v>3</v>
      </c>
      <c r="P27" s="502">
        <f t="shared" si="0"/>
        <v>3.0000000000000001E-3</v>
      </c>
      <c r="Q27" s="392">
        <v>45658</v>
      </c>
      <c r="R27" s="392">
        <v>46022</v>
      </c>
      <c r="S27" s="393">
        <v>360</v>
      </c>
      <c r="T27" s="394">
        <v>5000</v>
      </c>
      <c r="U27" s="393" t="s">
        <v>313</v>
      </c>
      <c r="V27" s="407" t="s">
        <v>314</v>
      </c>
      <c r="W27" s="407" t="s">
        <v>340</v>
      </c>
      <c r="X27" s="407" t="s">
        <v>341</v>
      </c>
      <c r="Y27" s="394" t="s">
        <v>315</v>
      </c>
      <c r="Z27" s="185" t="s">
        <v>516</v>
      </c>
      <c r="AA27" s="127">
        <v>1273000000</v>
      </c>
      <c r="AB27" s="125" t="s">
        <v>513</v>
      </c>
      <c r="AC27" s="128" t="s">
        <v>53</v>
      </c>
      <c r="AD27" s="186" t="s">
        <v>504</v>
      </c>
      <c r="AE27" s="412"/>
      <c r="AF27" s="412"/>
      <c r="AG27" s="370"/>
      <c r="AH27" s="390"/>
      <c r="AI27" s="374"/>
      <c r="AJ27" s="374"/>
      <c r="AK27" s="374"/>
      <c r="AL27" s="377"/>
      <c r="AM27" s="377"/>
    </row>
    <row r="28" spans="1:47" ht="105.75" customHeight="1">
      <c r="A28" s="457"/>
      <c r="B28" s="404"/>
      <c r="C28" s="423"/>
      <c r="D28" s="162">
        <v>20</v>
      </c>
      <c r="E28" s="515"/>
      <c r="F28" s="469"/>
      <c r="G28" s="404"/>
      <c r="H28" s="404"/>
      <c r="I28" s="404"/>
      <c r="J28" s="430"/>
      <c r="K28" s="462"/>
      <c r="L28" s="370"/>
      <c r="M28" s="419"/>
      <c r="N28" s="381"/>
      <c r="O28" s="381"/>
      <c r="P28" s="503"/>
      <c r="Q28" s="387"/>
      <c r="R28" s="387"/>
      <c r="S28" s="370"/>
      <c r="T28" s="381"/>
      <c r="U28" s="370"/>
      <c r="V28" s="383"/>
      <c r="W28" s="383"/>
      <c r="X28" s="383"/>
      <c r="Y28" s="381"/>
      <c r="Z28" s="185" t="s">
        <v>517</v>
      </c>
      <c r="AA28" s="127">
        <v>300000000</v>
      </c>
      <c r="AB28" s="125" t="s">
        <v>513</v>
      </c>
      <c r="AC28" s="128" t="s">
        <v>53</v>
      </c>
      <c r="AD28" s="186" t="s">
        <v>503</v>
      </c>
      <c r="AE28" s="412"/>
      <c r="AF28" s="412"/>
      <c r="AG28" s="370"/>
      <c r="AH28" s="390"/>
      <c r="AI28" s="374"/>
      <c r="AJ28" s="374"/>
      <c r="AK28" s="374"/>
      <c r="AL28" s="377"/>
      <c r="AM28" s="377"/>
    </row>
    <row r="29" spans="1:47" ht="105.75" customHeight="1">
      <c r="A29" s="457"/>
      <c r="B29" s="404"/>
      <c r="C29" s="423"/>
      <c r="D29" s="427">
        <v>1</v>
      </c>
      <c r="E29" s="515"/>
      <c r="F29" s="469"/>
      <c r="G29" s="404"/>
      <c r="H29" s="404"/>
      <c r="I29" s="404"/>
      <c r="J29" s="430"/>
      <c r="K29" s="462"/>
      <c r="L29" s="370"/>
      <c r="M29" s="419"/>
      <c r="N29" s="381"/>
      <c r="O29" s="381"/>
      <c r="P29" s="503"/>
      <c r="Q29" s="387"/>
      <c r="R29" s="387"/>
      <c r="S29" s="370"/>
      <c r="T29" s="381"/>
      <c r="U29" s="370"/>
      <c r="V29" s="383"/>
      <c r="W29" s="383"/>
      <c r="X29" s="383"/>
      <c r="Y29" s="381"/>
      <c r="Z29" s="185" t="s">
        <v>518</v>
      </c>
      <c r="AA29" s="127">
        <v>800000000</v>
      </c>
      <c r="AB29" s="125" t="s">
        <v>520</v>
      </c>
      <c r="AC29" s="128" t="s">
        <v>53</v>
      </c>
      <c r="AD29" s="186" t="s">
        <v>503</v>
      </c>
      <c r="AE29" s="412"/>
      <c r="AF29" s="412"/>
      <c r="AG29" s="370"/>
      <c r="AH29" s="390"/>
      <c r="AI29" s="374"/>
      <c r="AJ29" s="374"/>
      <c r="AK29" s="374"/>
      <c r="AL29" s="377"/>
      <c r="AM29" s="377"/>
    </row>
    <row r="30" spans="1:47" ht="105.75" customHeight="1">
      <c r="A30" s="457"/>
      <c r="B30" s="404"/>
      <c r="C30" s="423"/>
      <c r="D30" s="425"/>
      <c r="E30" s="515"/>
      <c r="F30" s="469"/>
      <c r="G30" s="404"/>
      <c r="H30" s="404"/>
      <c r="I30" s="404"/>
      <c r="J30" s="430"/>
      <c r="K30" s="462"/>
      <c r="L30" s="370"/>
      <c r="M30" s="419"/>
      <c r="N30" s="381"/>
      <c r="O30" s="381"/>
      <c r="P30" s="503"/>
      <c r="Q30" s="387"/>
      <c r="R30" s="387"/>
      <c r="S30" s="370"/>
      <c r="T30" s="381"/>
      <c r="U30" s="370"/>
      <c r="V30" s="383"/>
      <c r="W30" s="383"/>
      <c r="X30" s="383"/>
      <c r="Y30" s="381"/>
      <c r="Z30" s="498" t="s">
        <v>519</v>
      </c>
      <c r="AA30" s="413">
        <v>900000000</v>
      </c>
      <c r="AB30" s="407" t="s">
        <v>520</v>
      </c>
      <c r="AC30" s="393" t="s">
        <v>53</v>
      </c>
      <c r="AD30" s="392" t="s">
        <v>508</v>
      </c>
      <c r="AE30" s="412"/>
      <c r="AF30" s="412"/>
      <c r="AG30" s="370"/>
      <c r="AH30" s="390"/>
      <c r="AI30" s="374"/>
      <c r="AJ30" s="374"/>
      <c r="AK30" s="374"/>
      <c r="AL30" s="377"/>
      <c r="AM30" s="377"/>
    </row>
    <row r="31" spans="1:47" ht="73.5" customHeight="1">
      <c r="A31" s="457"/>
      <c r="B31" s="404"/>
      <c r="C31" s="423"/>
      <c r="D31" s="427">
        <v>1000</v>
      </c>
      <c r="E31" s="515"/>
      <c r="F31" s="469"/>
      <c r="G31" s="404"/>
      <c r="H31" s="404"/>
      <c r="I31" s="404"/>
      <c r="J31" s="430"/>
      <c r="K31" s="462"/>
      <c r="L31" s="386"/>
      <c r="M31" s="420"/>
      <c r="N31" s="395"/>
      <c r="O31" s="395"/>
      <c r="P31" s="518"/>
      <c r="Q31" s="388"/>
      <c r="R31" s="388"/>
      <c r="S31" s="386"/>
      <c r="T31" s="395"/>
      <c r="U31" s="386"/>
      <c r="V31" s="384"/>
      <c r="W31" s="384"/>
      <c r="X31" s="384"/>
      <c r="Y31" s="395"/>
      <c r="Z31" s="499"/>
      <c r="AA31" s="385"/>
      <c r="AB31" s="384"/>
      <c r="AC31" s="386"/>
      <c r="AD31" s="388"/>
      <c r="AE31" s="412"/>
      <c r="AF31" s="412"/>
      <c r="AG31" s="370"/>
      <c r="AH31" s="390"/>
      <c r="AI31" s="374"/>
      <c r="AJ31" s="374"/>
      <c r="AK31" s="374"/>
      <c r="AL31" s="377"/>
      <c r="AM31" s="377"/>
    </row>
    <row r="32" spans="1:47" ht="113.25" customHeight="1">
      <c r="A32" s="457" t="s">
        <v>240</v>
      </c>
      <c r="B32" s="404"/>
      <c r="C32" s="423"/>
      <c r="D32" s="437"/>
      <c r="E32" s="515"/>
      <c r="F32" s="469"/>
      <c r="G32" s="404"/>
      <c r="H32" s="462" t="s">
        <v>257</v>
      </c>
      <c r="I32" s="404" t="s">
        <v>288</v>
      </c>
      <c r="J32" s="487">
        <v>0.3</v>
      </c>
      <c r="K32" s="462" t="s">
        <v>289</v>
      </c>
      <c r="L32" s="393" t="s">
        <v>215</v>
      </c>
      <c r="M32" s="418" t="s">
        <v>543</v>
      </c>
      <c r="N32" s="394">
        <v>14</v>
      </c>
      <c r="O32" s="394">
        <v>5</v>
      </c>
      <c r="P32" s="502">
        <f t="shared" si="0"/>
        <v>0.35714285714285715</v>
      </c>
      <c r="Q32" s="392">
        <v>45658</v>
      </c>
      <c r="R32" s="392">
        <v>46022</v>
      </c>
      <c r="S32" s="393">
        <v>360</v>
      </c>
      <c r="T32" s="394">
        <v>1000</v>
      </c>
      <c r="U32" s="393" t="s">
        <v>313</v>
      </c>
      <c r="V32" s="407" t="s">
        <v>314</v>
      </c>
      <c r="W32" s="396"/>
      <c r="X32" s="393"/>
      <c r="Y32" s="421" t="s">
        <v>315</v>
      </c>
      <c r="Z32" s="404" t="s">
        <v>560</v>
      </c>
      <c r="AA32" s="412"/>
      <c r="AB32" s="404"/>
      <c r="AC32" s="430"/>
      <c r="AD32" s="398"/>
      <c r="AE32" s="412"/>
      <c r="AF32" s="412"/>
      <c r="AG32" s="370"/>
      <c r="AH32" s="390"/>
      <c r="AI32" s="374"/>
      <c r="AJ32" s="374"/>
      <c r="AK32" s="374"/>
      <c r="AL32" s="377"/>
      <c r="AM32" s="377"/>
    </row>
    <row r="33" spans="1:39" ht="19.5" thickBot="1">
      <c r="A33" s="461"/>
      <c r="B33" s="466"/>
      <c r="C33" s="494"/>
      <c r="D33" s="510"/>
      <c r="E33" s="515"/>
      <c r="F33" s="470"/>
      <c r="G33" s="407"/>
      <c r="H33" s="463"/>
      <c r="I33" s="407"/>
      <c r="J33" s="393"/>
      <c r="K33" s="488"/>
      <c r="L33" s="370"/>
      <c r="M33" s="419"/>
      <c r="N33" s="381"/>
      <c r="O33" s="381"/>
      <c r="P33" s="503"/>
      <c r="Q33" s="387"/>
      <c r="R33" s="387"/>
      <c r="S33" s="370"/>
      <c r="T33" s="381"/>
      <c r="U33" s="370"/>
      <c r="V33" s="383"/>
      <c r="W33" s="397"/>
      <c r="X33" s="370"/>
      <c r="Y33" s="394"/>
      <c r="Z33" s="407"/>
      <c r="AA33" s="413"/>
      <c r="AB33" s="407"/>
      <c r="AC33" s="393"/>
      <c r="AD33" s="392"/>
      <c r="AE33" s="413"/>
      <c r="AF33" s="413"/>
      <c r="AG33" s="370"/>
      <c r="AH33" s="391"/>
      <c r="AI33" s="375"/>
      <c r="AJ33" s="375"/>
      <c r="AK33" s="375"/>
      <c r="AL33" s="378"/>
      <c r="AM33" s="378"/>
    </row>
    <row r="34" spans="1:39" s="152" customFormat="1" ht="47.25" customHeight="1" thickBot="1">
      <c r="A34" s="188"/>
      <c r="B34" s="141"/>
      <c r="C34" s="170"/>
      <c r="D34" s="171"/>
      <c r="E34" s="323"/>
      <c r="F34" s="504" t="s">
        <v>611</v>
      </c>
      <c r="G34" s="414"/>
      <c r="H34" s="414"/>
      <c r="I34" s="414"/>
      <c r="J34" s="414"/>
      <c r="K34" s="414"/>
      <c r="L34" s="414"/>
      <c r="M34" s="414"/>
      <c r="N34" s="414"/>
      <c r="O34" s="414"/>
      <c r="P34" s="103">
        <f>AVERAGE(P26:P33)</f>
        <v>0.13965546218487396</v>
      </c>
      <c r="Q34" s="356"/>
      <c r="R34" s="357"/>
      <c r="S34" s="357"/>
      <c r="T34" s="357"/>
      <c r="U34" s="357"/>
      <c r="V34" s="357"/>
      <c r="W34" s="357"/>
      <c r="X34" s="357"/>
      <c r="Y34" s="357"/>
      <c r="Z34" s="357"/>
      <c r="AA34" s="357"/>
      <c r="AB34" s="357"/>
      <c r="AC34" s="357"/>
      <c r="AD34" s="358"/>
      <c r="AE34" s="359" t="s">
        <v>629</v>
      </c>
      <c r="AF34" s="360"/>
      <c r="AG34" s="360"/>
      <c r="AH34" s="361"/>
      <c r="AI34" s="227">
        <f>+AI26</f>
        <v>3600000000</v>
      </c>
      <c r="AJ34" s="227">
        <f t="shared" ref="AJ34:AM34" si="5">+AJ26</f>
        <v>74575000</v>
      </c>
      <c r="AK34" s="227">
        <f t="shared" si="5"/>
        <v>0</v>
      </c>
      <c r="AL34" s="226">
        <f t="shared" si="5"/>
        <v>2.0715277777777777E-2</v>
      </c>
      <c r="AM34" s="226">
        <f t="shared" si="5"/>
        <v>0</v>
      </c>
    </row>
    <row r="35" spans="1:39" ht="117" customHeight="1">
      <c r="A35" s="438" t="s">
        <v>240</v>
      </c>
      <c r="B35" s="408" t="s">
        <v>233</v>
      </c>
      <c r="C35" s="449" t="s">
        <v>385</v>
      </c>
      <c r="D35" s="120">
        <v>5000</v>
      </c>
      <c r="E35" s="495" t="s">
        <v>480</v>
      </c>
      <c r="F35" s="489">
        <v>2024130010184</v>
      </c>
      <c r="G35" s="384" t="s">
        <v>259</v>
      </c>
      <c r="H35" s="155" t="s">
        <v>260</v>
      </c>
      <c r="I35" s="155" t="s">
        <v>290</v>
      </c>
      <c r="J35" s="74">
        <v>0.3</v>
      </c>
      <c r="K35" s="155" t="s">
        <v>291</v>
      </c>
      <c r="L35" s="156" t="s">
        <v>215</v>
      </c>
      <c r="M35" s="75" t="s">
        <v>544</v>
      </c>
      <c r="N35" s="45">
        <v>6000</v>
      </c>
      <c r="O35" s="45">
        <v>219</v>
      </c>
      <c r="P35" s="157">
        <f t="shared" si="0"/>
        <v>3.6499999999999998E-2</v>
      </c>
      <c r="Q35" s="158">
        <v>45658</v>
      </c>
      <c r="R35" s="158">
        <v>46022</v>
      </c>
      <c r="S35" s="156">
        <v>360</v>
      </c>
      <c r="T35" s="45">
        <v>5000</v>
      </c>
      <c r="U35" s="156" t="s">
        <v>313</v>
      </c>
      <c r="V35" s="66" t="s">
        <v>314</v>
      </c>
      <c r="W35" s="66" t="s">
        <v>342</v>
      </c>
      <c r="X35" s="66" t="s">
        <v>343</v>
      </c>
      <c r="Y35" s="381" t="s">
        <v>315</v>
      </c>
      <c r="Z35" s="155" t="s">
        <v>561</v>
      </c>
      <c r="AA35" s="176">
        <v>150000000</v>
      </c>
      <c r="AB35" s="177" t="s">
        <v>76</v>
      </c>
      <c r="AC35" s="177" t="s">
        <v>53</v>
      </c>
      <c r="AD35" s="156" t="s">
        <v>504</v>
      </c>
      <c r="AE35" s="372">
        <v>307000000</v>
      </c>
      <c r="AF35" s="372">
        <v>307000000</v>
      </c>
      <c r="AG35" s="370" t="s">
        <v>506</v>
      </c>
      <c r="AH35" s="379" t="s">
        <v>523</v>
      </c>
      <c r="AI35" s="373">
        <v>307000000</v>
      </c>
      <c r="AJ35" s="373">
        <v>22050000</v>
      </c>
      <c r="AK35" s="373">
        <v>0</v>
      </c>
      <c r="AL35" s="376">
        <f>+AJ35/AI35</f>
        <v>7.1824104234527689E-2</v>
      </c>
      <c r="AM35" s="376">
        <f>+AK35/AI35</f>
        <v>0</v>
      </c>
    </row>
    <row r="36" spans="1:39" ht="113.25" customHeight="1" thickBot="1">
      <c r="A36" s="439"/>
      <c r="B36" s="383"/>
      <c r="C36" s="451"/>
      <c r="D36" s="68">
        <v>738</v>
      </c>
      <c r="E36" s="496"/>
      <c r="F36" s="490"/>
      <c r="G36" s="407"/>
      <c r="H36" s="165" t="s">
        <v>261</v>
      </c>
      <c r="I36" s="165" t="s">
        <v>275</v>
      </c>
      <c r="J36" s="69">
        <v>0.7</v>
      </c>
      <c r="K36" s="165" t="s">
        <v>292</v>
      </c>
      <c r="L36" s="166" t="s">
        <v>215</v>
      </c>
      <c r="M36" s="84" t="s">
        <v>372</v>
      </c>
      <c r="N36" s="68">
        <v>1</v>
      </c>
      <c r="O36" s="68">
        <v>0</v>
      </c>
      <c r="P36" s="135">
        <f t="shared" si="0"/>
        <v>0</v>
      </c>
      <c r="Q36" s="167">
        <v>45658</v>
      </c>
      <c r="R36" s="167">
        <v>46022</v>
      </c>
      <c r="S36" s="166">
        <v>360</v>
      </c>
      <c r="T36" s="68">
        <v>738</v>
      </c>
      <c r="U36" s="166" t="s">
        <v>313</v>
      </c>
      <c r="V36" s="65" t="s">
        <v>314</v>
      </c>
      <c r="W36" s="65" t="s">
        <v>344</v>
      </c>
      <c r="X36" s="166" t="s">
        <v>341</v>
      </c>
      <c r="Y36" s="381"/>
      <c r="Z36" s="165" t="s">
        <v>522</v>
      </c>
      <c r="AA36" s="190">
        <v>220000000</v>
      </c>
      <c r="AB36" s="191" t="s">
        <v>502</v>
      </c>
      <c r="AC36" s="166" t="s">
        <v>53</v>
      </c>
      <c r="AD36" s="166" t="s">
        <v>503</v>
      </c>
      <c r="AE36" s="372"/>
      <c r="AF36" s="372"/>
      <c r="AG36" s="370"/>
      <c r="AH36" s="379"/>
      <c r="AI36" s="375"/>
      <c r="AJ36" s="375"/>
      <c r="AK36" s="375"/>
      <c r="AL36" s="378"/>
      <c r="AM36" s="378"/>
    </row>
    <row r="37" spans="1:39" s="152" customFormat="1" ht="72" customHeight="1" thickBot="1">
      <c r="A37" s="182"/>
      <c r="B37" s="146"/>
      <c r="C37" s="173"/>
      <c r="D37" s="145"/>
      <c r="E37" s="497"/>
      <c r="F37" s="504" t="s">
        <v>612</v>
      </c>
      <c r="G37" s="414"/>
      <c r="H37" s="414"/>
      <c r="I37" s="414"/>
      <c r="J37" s="414"/>
      <c r="K37" s="414"/>
      <c r="L37" s="414"/>
      <c r="M37" s="414"/>
      <c r="N37" s="414"/>
      <c r="O37" s="415"/>
      <c r="P37" s="104">
        <f>AVERAGE(P35:P36)</f>
        <v>1.8249999999999999E-2</v>
      </c>
      <c r="Q37" s="356"/>
      <c r="R37" s="357"/>
      <c r="S37" s="357"/>
      <c r="T37" s="357"/>
      <c r="U37" s="357"/>
      <c r="V37" s="357"/>
      <c r="W37" s="357"/>
      <c r="X37" s="357"/>
      <c r="Y37" s="357"/>
      <c r="Z37" s="357"/>
      <c r="AA37" s="357"/>
      <c r="AB37" s="357"/>
      <c r="AC37" s="357"/>
      <c r="AD37" s="358"/>
      <c r="AE37" s="359" t="s">
        <v>629</v>
      </c>
      <c r="AF37" s="360"/>
      <c r="AG37" s="360"/>
      <c r="AH37" s="361"/>
      <c r="AI37" s="227">
        <f>+AI35</f>
        <v>307000000</v>
      </c>
      <c r="AJ37" s="227">
        <f t="shared" ref="AJ37:AM37" si="6">+AJ35</f>
        <v>22050000</v>
      </c>
      <c r="AK37" s="227">
        <f t="shared" si="6"/>
        <v>0</v>
      </c>
      <c r="AL37" s="226">
        <f t="shared" si="6"/>
        <v>7.1824104234527689E-2</v>
      </c>
      <c r="AM37" s="226">
        <f t="shared" si="6"/>
        <v>0</v>
      </c>
    </row>
    <row r="38" spans="1:39" ht="90" customHeight="1">
      <c r="A38" s="459" t="s">
        <v>239</v>
      </c>
      <c r="B38" s="383" t="s">
        <v>234</v>
      </c>
      <c r="C38" s="451" t="s">
        <v>386</v>
      </c>
      <c r="D38" s="381">
        <v>346</v>
      </c>
      <c r="E38" s="495" t="s">
        <v>481</v>
      </c>
      <c r="F38" s="489">
        <v>2024130010182</v>
      </c>
      <c r="G38" s="384" t="s">
        <v>262</v>
      </c>
      <c r="H38" s="383" t="s">
        <v>263</v>
      </c>
      <c r="I38" s="383" t="s">
        <v>293</v>
      </c>
      <c r="J38" s="507">
        <v>0.25</v>
      </c>
      <c r="K38" s="155" t="s">
        <v>294</v>
      </c>
      <c r="L38" s="156" t="s">
        <v>215</v>
      </c>
      <c r="M38" s="75" t="s">
        <v>368</v>
      </c>
      <c r="N38" s="45">
        <v>346</v>
      </c>
      <c r="O38" s="45">
        <v>125</v>
      </c>
      <c r="P38" s="157">
        <f t="shared" si="0"/>
        <v>0.36127167630057805</v>
      </c>
      <c r="Q38" s="158">
        <v>45658</v>
      </c>
      <c r="R38" s="158">
        <v>46022</v>
      </c>
      <c r="S38" s="156">
        <v>360</v>
      </c>
      <c r="T38" s="45">
        <v>346</v>
      </c>
      <c r="U38" s="156" t="s">
        <v>313</v>
      </c>
      <c r="V38" s="66" t="s">
        <v>314</v>
      </c>
      <c r="W38" s="156" t="s">
        <v>345</v>
      </c>
      <c r="X38" s="66" t="s">
        <v>346</v>
      </c>
      <c r="Y38" s="381" t="s">
        <v>315</v>
      </c>
      <c r="Z38" s="383" t="s">
        <v>562</v>
      </c>
      <c r="AA38" s="372">
        <v>150000000</v>
      </c>
      <c r="AB38" s="370" t="s">
        <v>76</v>
      </c>
      <c r="AC38" s="370" t="s">
        <v>53</v>
      </c>
      <c r="AD38" s="387" t="s">
        <v>504</v>
      </c>
      <c r="AE38" s="372">
        <v>250000000</v>
      </c>
      <c r="AF38" s="372">
        <v>250000000</v>
      </c>
      <c r="AG38" s="370" t="s">
        <v>506</v>
      </c>
      <c r="AH38" s="379" t="s">
        <v>525</v>
      </c>
      <c r="AI38" s="373">
        <v>250000000</v>
      </c>
      <c r="AJ38" s="373">
        <v>29400000</v>
      </c>
      <c r="AK38" s="373">
        <v>0</v>
      </c>
      <c r="AL38" s="376">
        <f>+AJ38/AI38</f>
        <v>0.1176</v>
      </c>
      <c r="AM38" s="376">
        <f>+AK38/AI38</f>
        <v>0</v>
      </c>
    </row>
    <row r="39" spans="1:39" ht="57" customHeight="1">
      <c r="A39" s="457"/>
      <c r="B39" s="383"/>
      <c r="C39" s="451"/>
      <c r="D39" s="395"/>
      <c r="E39" s="496"/>
      <c r="F39" s="467"/>
      <c r="G39" s="404"/>
      <c r="H39" s="384"/>
      <c r="I39" s="384"/>
      <c r="J39" s="386"/>
      <c r="K39" s="125" t="s">
        <v>613</v>
      </c>
      <c r="L39" s="41" t="s">
        <v>215</v>
      </c>
      <c r="M39" s="37" t="s">
        <v>553</v>
      </c>
      <c r="N39" s="36">
        <v>2</v>
      </c>
      <c r="O39" s="36">
        <v>1</v>
      </c>
      <c r="P39" s="121">
        <f t="shared" si="0"/>
        <v>0.5</v>
      </c>
      <c r="Q39" s="126">
        <v>45658</v>
      </c>
      <c r="R39" s="126">
        <v>46022</v>
      </c>
      <c r="S39" s="41">
        <v>360</v>
      </c>
      <c r="T39" s="36">
        <v>200</v>
      </c>
      <c r="U39" s="41" t="s">
        <v>313</v>
      </c>
      <c r="V39" s="38" t="s">
        <v>314</v>
      </c>
      <c r="W39" s="41" t="s">
        <v>347</v>
      </c>
      <c r="X39" s="38" t="s">
        <v>348</v>
      </c>
      <c r="Y39" s="381"/>
      <c r="Z39" s="384"/>
      <c r="AA39" s="385"/>
      <c r="AB39" s="386"/>
      <c r="AC39" s="386"/>
      <c r="AD39" s="388"/>
      <c r="AE39" s="372"/>
      <c r="AF39" s="372"/>
      <c r="AG39" s="370"/>
      <c r="AH39" s="379"/>
      <c r="AI39" s="374"/>
      <c r="AJ39" s="374"/>
      <c r="AK39" s="374"/>
      <c r="AL39" s="377"/>
      <c r="AM39" s="377"/>
    </row>
    <row r="40" spans="1:39" ht="107.25" customHeight="1">
      <c r="A40" s="464"/>
      <c r="B40" s="383"/>
      <c r="C40" s="451"/>
      <c r="D40" s="36">
        <v>1</v>
      </c>
      <c r="E40" s="496"/>
      <c r="F40" s="467"/>
      <c r="G40" s="404"/>
      <c r="H40" s="125" t="s">
        <v>264</v>
      </c>
      <c r="I40" s="125" t="s">
        <v>274</v>
      </c>
      <c r="J40" s="43">
        <v>0.35</v>
      </c>
      <c r="K40" s="125" t="s">
        <v>295</v>
      </c>
      <c r="L40" s="41" t="s">
        <v>215</v>
      </c>
      <c r="M40" s="36" t="s">
        <v>361</v>
      </c>
      <c r="N40" s="36">
        <v>1</v>
      </c>
      <c r="O40" s="36">
        <v>1</v>
      </c>
      <c r="P40" s="121">
        <f t="shared" si="0"/>
        <v>1</v>
      </c>
      <c r="Q40" s="126">
        <v>45658</v>
      </c>
      <c r="R40" s="126">
        <v>46022</v>
      </c>
      <c r="S40" s="41">
        <v>360</v>
      </c>
      <c r="T40" s="36">
        <v>250</v>
      </c>
      <c r="U40" s="41" t="s">
        <v>313</v>
      </c>
      <c r="V40" s="38" t="s">
        <v>314</v>
      </c>
      <c r="W40" s="41" t="s">
        <v>349</v>
      </c>
      <c r="X40" s="38" t="s">
        <v>350</v>
      </c>
      <c r="Y40" s="381"/>
      <c r="Z40" s="125" t="s">
        <v>524</v>
      </c>
      <c r="AA40" s="127">
        <v>100000000</v>
      </c>
      <c r="AB40" s="41" t="s">
        <v>520</v>
      </c>
      <c r="AC40" s="41" t="s">
        <v>53</v>
      </c>
      <c r="AD40" s="41" t="s">
        <v>528</v>
      </c>
      <c r="AE40" s="372"/>
      <c r="AF40" s="372"/>
      <c r="AG40" s="370"/>
      <c r="AH40" s="379"/>
      <c r="AI40" s="374"/>
      <c r="AJ40" s="374"/>
      <c r="AK40" s="374"/>
      <c r="AL40" s="377"/>
      <c r="AM40" s="377"/>
    </row>
    <row r="41" spans="1:39" ht="117.75" customHeight="1" thickBot="1">
      <c r="A41" s="465"/>
      <c r="B41" s="383"/>
      <c r="C41" s="451"/>
      <c r="D41" s="68">
        <v>45</v>
      </c>
      <c r="E41" s="496"/>
      <c r="F41" s="490"/>
      <c r="G41" s="407"/>
      <c r="H41" s="165" t="s">
        <v>265</v>
      </c>
      <c r="I41" s="165" t="s">
        <v>275</v>
      </c>
      <c r="J41" s="69">
        <v>0.4</v>
      </c>
      <c r="K41" s="165" t="s">
        <v>296</v>
      </c>
      <c r="L41" s="166" t="s">
        <v>215</v>
      </c>
      <c r="M41" s="68" t="s">
        <v>364</v>
      </c>
      <c r="N41" s="130">
        <v>45</v>
      </c>
      <c r="O41" s="130">
        <v>0</v>
      </c>
      <c r="P41" s="135">
        <f t="shared" si="0"/>
        <v>0</v>
      </c>
      <c r="Q41" s="167">
        <v>45658</v>
      </c>
      <c r="R41" s="167">
        <v>46022</v>
      </c>
      <c r="S41" s="166">
        <v>360</v>
      </c>
      <c r="T41" s="68">
        <v>1125</v>
      </c>
      <c r="U41" s="166" t="s">
        <v>313</v>
      </c>
      <c r="V41" s="65" t="s">
        <v>314</v>
      </c>
      <c r="W41" s="187"/>
      <c r="X41" s="166"/>
      <c r="Y41" s="381"/>
      <c r="Z41" s="165" t="s">
        <v>562</v>
      </c>
      <c r="AA41" s="190"/>
      <c r="AB41" s="191"/>
      <c r="AC41" s="191"/>
      <c r="AD41" s="191"/>
      <c r="AE41" s="372"/>
      <c r="AF41" s="372"/>
      <c r="AG41" s="370"/>
      <c r="AH41" s="379"/>
      <c r="AI41" s="375"/>
      <c r="AJ41" s="375"/>
      <c r="AK41" s="375"/>
      <c r="AL41" s="378"/>
      <c r="AM41" s="378"/>
    </row>
    <row r="42" spans="1:39" s="152" customFormat="1" ht="86.25" customHeight="1" thickBot="1">
      <c r="A42" s="172"/>
      <c r="B42" s="146"/>
      <c r="C42" s="173"/>
      <c r="D42" s="151"/>
      <c r="E42" s="519"/>
      <c r="F42" s="504" t="s">
        <v>615</v>
      </c>
      <c r="G42" s="414"/>
      <c r="H42" s="414"/>
      <c r="I42" s="414"/>
      <c r="J42" s="414"/>
      <c r="K42" s="414"/>
      <c r="L42" s="414"/>
      <c r="M42" s="414"/>
      <c r="N42" s="414"/>
      <c r="O42" s="415"/>
      <c r="P42" s="104">
        <f>AVERAGE(P38:P41)</f>
        <v>0.46531791907514453</v>
      </c>
      <c r="Q42" s="356"/>
      <c r="R42" s="357"/>
      <c r="S42" s="357"/>
      <c r="T42" s="357"/>
      <c r="U42" s="357"/>
      <c r="V42" s="357"/>
      <c r="W42" s="357"/>
      <c r="X42" s="357"/>
      <c r="Y42" s="357"/>
      <c r="Z42" s="357"/>
      <c r="AA42" s="357"/>
      <c r="AB42" s="357"/>
      <c r="AC42" s="357"/>
      <c r="AD42" s="358"/>
      <c r="AE42" s="359" t="s">
        <v>629</v>
      </c>
      <c r="AF42" s="360"/>
      <c r="AG42" s="360"/>
      <c r="AH42" s="361"/>
      <c r="AI42" s="228">
        <f>+AI38</f>
        <v>250000000</v>
      </c>
      <c r="AJ42" s="228">
        <f t="shared" ref="AJ42:AM42" si="7">+AJ38</f>
        <v>29400000</v>
      </c>
      <c r="AK42" s="228">
        <f t="shared" si="7"/>
        <v>0</v>
      </c>
      <c r="AL42" s="226">
        <f t="shared" si="7"/>
        <v>0.1176</v>
      </c>
      <c r="AM42" s="226">
        <f t="shared" si="7"/>
        <v>0</v>
      </c>
    </row>
    <row r="43" spans="1:39" ht="129.75" customHeight="1">
      <c r="A43" s="438" t="s">
        <v>241</v>
      </c>
      <c r="B43" s="453" t="s">
        <v>235</v>
      </c>
      <c r="C43" s="449" t="s">
        <v>387</v>
      </c>
      <c r="D43" s="452">
        <v>4000</v>
      </c>
      <c r="E43" s="444" t="s">
        <v>482</v>
      </c>
      <c r="F43" s="441">
        <v>2024130010196</v>
      </c>
      <c r="G43" s="408" t="s">
        <v>268</v>
      </c>
      <c r="H43" s="408" t="s">
        <v>269</v>
      </c>
      <c r="I43" s="408" t="s">
        <v>297</v>
      </c>
      <c r="J43" s="460">
        <v>1</v>
      </c>
      <c r="K43" s="118" t="s">
        <v>298</v>
      </c>
      <c r="L43" s="119" t="s">
        <v>215</v>
      </c>
      <c r="M43" s="77" t="s">
        <v>545</v>
      </c>
      <c r="N43" s="45">
        <v>20</v>
      </c>
      <c r="O43" s="45">
        <v>0</v>
      </c>
      <c r="P43" s="157">
        <f t="shared" si="0"/>
        <v>0</v>
      </c>
      <c r="Q43" s="158">
        <v>45658</v>
      </c>
      <c r="R43" s="158">
        <v>46022</v>
      </c>
      <c r="S43" s="156">
        <v>360</v>
      </c>
      <c r="T43" s="45">
        <v>20</v>
      </c>
      <c r="U43" s="156" t="s">
        <v>313</v>
      </c>
      <c r="V43" s="66" t="s">
        <v>314</v>
      </c>
      <c r="W43" s="66" t="s">
        <v>351</v>
      </c>
      <c r="X43" s="156" t="s">
        <v>352</v>
      </c>
      <c r="Y43" s="381" t="s">
        <v>315</v>
      </c>
      <c r="Z43" s="383" t="s">
        <v>563</v>
      </c>
      <c r="AA43" s="372">
        <v>318280000</v>
      </c>
      <c r="AB43" s="383" t="s">
        <v>76</v>
      </c>
      <c r="AC43" s="370" t="s">
        <v>53</v>
      </c>
      <c r="AD43" s="387" t="s">
        <v>504</v>
      </c>
      <c r="AE43" s="372">
        <v>3205000000</v>
      </c>
      <c r="AF43" s="372">
        <v>3205000000</v>
      </c>
      <c r="AG43" s="370" t="s">
        <v>506</v>
      </c>
      <c r="AH43" s="379" t="s">
        <v>529</v>
      </c>
      <c r="AI43" s="373">
        <v>3205000000</v>
      </c>
      <c r="AJ43" s="373">
        <v>100180000</v>
      </c>
      <c r="AK43" s="373">
        <v>0</v>
      </c>
      <c r="AL43" s="376">
        <f>+AJ43/AI43</f>
        <v>3.125741029641186E-2</v>
      </c>
      <c r="AM43" s="376">
        <f>+AK43/AI43</f>
        <v>0</v>
      </c>
    </row>
    <row r="44" spans="1:39" ht="62.25" customHeight="1">
      <c r="A44" s="439"/>
      <c r="B44" s="454"/>
      <c r="C44" s="451"/>
      <c r="D44" s="381"/>
      <c r="E44" s="419"/>
      <c r="F44" s="442"/>
      <c r="G44" s="383"/>
      <c r="H44" s="383"/>
      <c r="I44" s="383"/>
      <c r="J44" s="370"/>
      <c r="K44" s="128" t="s">
        <v>299</v>
      </c>
      <c r="L44" s="41" t="s">
        <v>215</v>
      </c>
      <c r="M44" s="37" t="s">
        <v>546</v>
      </c>
      <c r="N44" s="36">
        <v>20</v>
      </c>
      <c r="O44" s="36">
        <v>0</v>
      </c>
      <c r="P44" s="121">
        <f t="shared" si="0"/>
        <v>0</v>
      </c>
      <c r="Q44" s="126">
        <v>45658</v>
      </c>
      <c r="R44" s="126">
        <v>46022</v>
      </c>
      <c r="S44" s="41">
        <v>360</v>
      </c>
      <c r="T44" s="36">
        <v>20</v>
      </c>
      <c r="U44" s="41" t="s">
        <v>313</v>
      </c>
      <c r="V44" s="38" t="s">
        <v>314</v>
      </c>
      <c r="W44" s="38" t="s">
        <v>353</v>
      </c>
      <c r="X44" s="38" t="s">
        <v>354</v>
      </c>
      <c r="Y44" s="381"/>
      <c r="Z44" s="383"/>
      <c r="AA44" s="372"/>
      <c r="AB44" s="383"/>
      <c r="AC44" s="370"/>
      <c r="AD44" s="387"/>
      <c r="AE44" s="372"/>
      <c r="AF44" s="372"/>
      <c r="AG44" s="370"/>
      <c r="AH44" s="379"/>
      <c r="AI44" s="374"/>
      <c r="AJ44" s="374"/>
      <c r="AK44" s="374"/>
      <c r="AL44" s="377"/>
      <c r="AM44" s="377"/>
    </row>
    <row r="45" spans="1:39" ht="57" customHeight="1">
      <c r="A45" s="439"/>
      <c r="B45" s="454"/>
      <c r="C45" s="451"/>
      <c r="D45" s="381"/>
      <c r="E45" s="419"/>
      <c r="F45" s="442"/>
      <c r="G45" s="383"/>
      <c r="H45" s="383"/>
      <c r="I45" s="383"/>
      <c r="J45" s="370"/>
      <c r="K45" s="192" t="s">
        <v>300</v>
      </c>
      <c r="L45" s="41" t="s">
        <v>215</v>
      </c>
      <c r="M45" s="36" t="s">
        <v>369</v>
      </c>
      <c r="N45" s="36" t="s">
        <v>568</v>
      </c>
      <c r="O45" s="36" t="s">
        <v>572</v>
      </c>
      <c r="P45" s="121" t="s">
        <v>572</v>
      </c>
      <c r="Q45" s="126">
        <v>45658</v>
      </c>
      <c r="R45" s="126">
        <v>46022</v>
      </c>
      <c r="S45" s="41">
        <v>360</v>
      </c>
      <c r="T45" s="36">
        <v>0</v>
      </c>
      <c r="U45" s="41" t="s">
        <v>313</v>
      </c>
      <c r="V45" s="38" t="s">
        <v>314</v>
      </c>
      <c r="W45" s="38" t="s">
        <v>355</v>
      </c>
      <c r="X45" s="38" t="s">
        <v>356</v>
      </c>
      <c r="Y45" s="381"/>
      <c r="Z45" s="384"/>
      <c r="AA45" s="385"/>
      <c r="AB45" s="384"/>
      <c r="AC45" s="386"/>
      <c r="AD45" s="388"/>
      <c r="AE45" s="372"/>
      <c r="AF45" s="372"/>
      <c r="AG45" s="370"/>
      <c r="AH45" s="379"/>
      <c r="AI45" s="374"/>
      <c r="AJ45" s="374"/>
      <c r="AK45" s="374"/>
      <c r="AL45" s="377"/>
      <c r="AM45" s="377"/>
    </row>
    <row r="46" spans="1:39" ht="87" customHeight="1">
      <c r="A46" s="439"/>
      <c r="B46" s="454"/>
      <c r="C46" s="451"/>
      <c r="D46" s="381"/>
      <c r="E46" s="419"/>
      <c r="F46" s="442"/>
      <c r="G46" s="383"/>
      <c r="H46" s="383"/>
      <c r="I46" s="383"/>
      <c r="J46" s="370"/>
      <c r="K46" s="393" t="s">
        <v>301</v>
      </c>
      <c r="L46" s="393" t="s">
        <v>215</v>
      </c>
      <c r="M46" s="418" t="s">
        <v>547</v>
      </c>
      <c r="N46" s="394">
        <v>4000</v>
      </c>
      <c r="O46" s="394">
        <v>0</v>
      </c>
      <c r="P46" s="502">
        <f t="shared" si="0"/>
        <v>0</v>
      </c>
      <c r="Q46" s="392">
        <v>45658</v>
      </c>
      <c r="R46" s="392">
        <v>46022</v>
      </c>
      <c r="S46" s="393">
        <v>360</v>
      </c>
      <c r="T46" s="394">
        <v>4000</v>
      </c>
      <c r="U46" s="393" t="s">
        <v>313</v>
      </c>
      <c r="V46" s="407" t="s">
        <v>314</v>
      </c>
      <c r="W46" s="407" t="s">
        <v>493</v>
      </c>
      <c r="X46" s="407" t="s">
        <v>496</v>
      </c>
      <c r="Y46" s="381"/>
      <c r="Z46" s="165" t="s">
        <v>526</v>
      </c>
      <c r="AA46" s="193">
        <v>300000000</v>
      </c>
      <c r="AB46" s="165" t="s">
        <v>513</v>
      </c>
      <c r="AC46" s="191" t="s">
        <v>53</v>
      </c>
      <c r="AD46" s="166" t="s">
        <v>504</v>
      </c>
      <c r="AE46" s="416"/>
      <c r="AF46" s="372"/>
      <c r="AG46" s="370"/>
      <c r="AH46" s="379"/>
      <c r="AI46" s="374"/>
      <c r="AJ46" s="374"/>
      <c r="AK46" s="374"/>
      <c r="AL46" s="377"/>
      <c r="AM46" s="377"/>
    </row>
    <row r="47" spans="1:39" ht="87" customHeight="1" thickBot="1">
      <c r="A47" s="440"/>
      <c r="B47" s="454"/>
      <c r="C47" s="450"/>
      <c r="D47" s="382"/>
      <c r="E47" s="445"/>
      <c r="F47" s="443"/>
      <c r="G47" s="409"/>
      <c r="H47" s="409"/>
      <c r="I47" s="409"/>
      <c r="J47" s="410"/>
      <c r="K47" s="410"/>
      <c r="L47" s="410"/>
      <c r="M47" s="445"/>
      <c r="N47" s="382"/>
      <c r="O47" s="382"/>
      <c r="P47" s="503"/>
      <c r="Q47" s="508"/>
      <c r="R47" s="508"/>
      <c r="S47" s="410"/>
      <c r="T47" s="382"/>
      <c r="U47" s="410"/>
      <c r="V47" s="409"/>
      <c r="W47" s="409"/>
      <c r="X47" s="409"/>
      <c r="Y47" s="382"/>
      <c r="Z47" s="132" t="s">
        <v>527</v>
      </c>
      <c r="AA47" s="195">
        <v>2486720000</v>
      </c>
      <c r="AB47" s="132" t="s">
        <v>514</v>
      </c>
      <c r="AC47" s="138" t="s">
        <v>53</v>
      </c>
      <c r="AD47" s="134" t="s">
        <v>503</v>
      </c>
      <c r="AE47" s="417"/>
      <c r="AF47" s="411"/>
      <c r="AG47" s="410"/>
      <c r="AH47" s="380"/>
      <c r="AI47" s="375"/>
      <c r="AJ47" s="375"/>
      <c r="AK47" s="375"/>
      <c r="AL47" s="378"/>
      <c r="AM47" s="378"/>
    </row>
    <row r="48" spans="1:39" s="152" customFormat="1" ht="54" customHeight="1" thickBot="1">
      <c r="A48" s="196"/>
      <c r="B48" s="454"/>
      <c r="C48" s="170"/>
      <c r="D48" s="143"/>
      <c r="E48" s="141"/>
      <c r="F48" s="504" t="s">
        <v>614</v>
      </c>
      <c r="G48" s="414"/>
      <c r="H48" s="414"/>
      <c r="I48" s="414"/>
      <c r="J48" s="414"/>
      <c r="K48" s="414"/>
      <c r="L48" s="414"/>
      <c r="M48" s="414"/>
      <c r="N48" s="414"/>
      <c r="O48" s="415"/>
      <c r="P48" s="102">
        <v>0</v>
      </c>
      <c r="Q48" s="356"/>
      <c r="R48" s="357"/>
      <c r="S48" s="357"/>
      <c r="T48" s="357"/>
      <c r="U48" s="357"/>
      <c r="V48" s="357"/>
      <c r="W48" s="357"/>
      <c r="X48" s="357"/>
      <c r="Y48" s="357"/>
      <c r="Z48" s="357"/>
      <c r="AA48" s="357"/>
      <c r="AB48" s="357"/>
      <c r="AC48" s="357"/>
      <c r="AD48" s="358"/>
      <c r="AE48" s="359" t="s">
        <v>629</v>
      </c>
      <c r="AF48" s="360"/>
      <c r="AG48" s="360"/>
      <c r="AH48" s="361"/>
      <c r="AI48" s="229">
        <f>+AI43</f>
        <v>3205000000</v>
      </c>
      <c r="AJ48" s="229">
        <f t="shared" ref="AJ48:AM48" si="8">+AJ43</f>
        <v>100180000</v>
      </c>
      <c r="AK48" s="229">
        <f t="shared" si="8"/>
        <v>0</v>
      </c>
      <c r="AL48" s="230">
        <f t="shared" si="8"/>
        <v>3.125741029641186E-2</v>
      </c>
      <c r="AM48" s="230">
        <f t="shared" si="8"/>
        <v>0</v>
      </c>
    </row>
    <row r="49" spans="1:39" ht="63" customHeight="1">
      <c r="A49" s="408" t="s">
        <v>241</v>
      </c>
      <c r="B49" s="454"/>
      <c r="C49" s="449" t="s">
        <v>387</v>
      </c>
      <c r="D49" s="436">
        <v>15</v>
      </c>
      <c r="E49" s="322" t="s">
        <v>483</v>
      </c>
      <c r="F49" s="434">
        <v>202500000006669</v>
      </c>
      <c r="G49" s="408" t="s">
        <v>484</v>
      </c>
      <c r="H49" s="408" t="s">
        <v>485</v>
      </c>
      <c r="I49" s="408"/>
      <c r="J49" s="460">
        <v>0.7</v>
      </c>
      <c r="K49" s="197" t="s">
        <v>618</v>
      </c>
      <c r="L49" s="119" t="s">
        <v>215</v>
      </c>
      <c r="M49" s="77" t="s">
        <v>548</v>
      </c>
      <c r="N49" s="45">
        <v>15</v>
      </c>
      <c r="O49" s="45">
        <v>0</v>
      </c>
      <c r="P49" s="157">
        <f t="shared" si="0"/>
        <v>0</v>
      </c>
      <c r="Q49" s="122">
        <v>45658</v>
      </c>
      <c r="R49" s="122">
        <v>46022</v>
      </c>
      <c r="S49" s="119">
        <v>360</v>
      </c>
      <c r="T49" s="45">
        <v>75</v>
      </c>
      <c r="U49" s="119" t="s">
        <v>473</v>
      </c>
      <c r="V49" s="117" t="s">
        <v>314</v>
      </c>
      <c r="W49" s="198"/>
      <c r="X49" s="199"/>
      <c r="Y49" s="452" t="s">
        <v>315</v>
      </c>
      <c r="Z49" s="408" t="s">
        <v>564</v>
      </c>
      <c r="AA49" s="371">
        <v>20000000</v>
      </c>
      <c r="AB49" s="408" t="s">
        <v>557</v>
      </c>
      <c r="AC49" s="369" t="s">
        <v>53</v>
      </c>
      <c r="AD49" s="369" t="s">
        <v>504</v>
      </c>
      <c r="AE49" s="371">
        <v>20000000</v>
      </c>
      <c r="AF49" s="371">
        <v>20000000</v>
      </c>
      <c r="AG49" s="408" t="s">
        <v>506</v>
      </c>
      <c r="AH49" s="369" t="s">
        <v>530</v>
      </c>
      <c r="AI49" s="347">
        <v>20000000</v>
      </c>
      <c r="AJ49" s="347">
        <v>0</v>
      </c>
      <c r="AK49" s="347">
        <v>0</v>
      </c>
      <c r="AL49" s="350">
        <v>0</v>
      </c>
      <c r="AM49" s="350">
        <v>0</v>
      </c>
    </row>
    <row r="50" spans="1:39" ht="54.75" customHeight="1">
      <c r="A50" s="383"/>
      <c r="B50" s="454"/>
      <c r="C50" s="451"/>
      <c r="D50" s="437"/>
      <c r="E50" s="515"/>
      <c r="F50" s="428"/>
      <c r="G50" s="383"/>
      <c r="H50" s="383"/>
      <c r="I50" s="383"/>
      <c r="J50" s="370"/>
      <c r="K50" s="184" t="s">
        <v>487</v>
      </c>
      <c r="L50" s="41" t="s">
        <v>215</v>
      </c>
      <c r="M50" s="37" t="s">
        <v>549</v>
      </c>
      <c r="N50" s="45">
        <v>15</v>
      </c>
      <c r="O50" s="45">
        <v>0</v>
      </c>
      <c r="P50" s="121">
        <f t="shared" si="0"/>
        <v>0</v>
      </c>
      <c r="Q50" s="126">
        <v>45658</v>
      </c>
      <c r="R50" s="126">
        <v>46022</v>
      </c>
      <c r="S50" s="41">
        <v>360</v>
      </c>
      <c r="T50" s="45">
        <v>15</v>
      </c>
      <c r="U50" s="41" t="s">
        <v>488</v>
      </c>
      <c r="V50" s="38" t="s">
        <v>314</v>
      </c>
      <c r="W50" s="155"/>
      <c r="X50" s="177"/>
      <c r="Y50" s="381"/>
      <c r="Z50" s="383"/>
      <c r="AA50" s="372"/>
      <c r="AB50" s="383"/>
      <c r="AC50" s="370"/>
      <c r="AD50" s="370"/>
      <c r="AE50" s="372"/>
      <c r="AF50" s="372"/>
      <c r="AG50" s="383"/>
      <c r="AH50" s="370"/>
      <c r="AI50" s="348"/>
      <c r="AJ50" s="348"/>
      <c r="AK50" s="348"/>
      <c r="AL50" s="351"/>
      <c r="AM50" s="351"/>
    </row>
    <row r="51" spans="1:39" ht="71.25" customHeight="1">
      <c r="A51" s="383"/>
      <c r="B51" s="454"/>
      <c r="C51" s="451"/>
      <c r="D51" s="425"/>
      <c r="E51" s="515"/>
      <c r="F51" s="428"/>
      <c r="G51" s="383"/>
      <c r="H51" s="384"/>
      <c r="I51" s="384"/>
      <c r="J51" s="386"/>
      <c r="K51" s="184" t="s">
        <v>619</v>
      </c>
      <c r="L51" s="41" t="s">
        <v>215</v>
      </c>
      <c r="M51" s="37" t="s">
        <v>554</v>
      </c>
      <c r="N51" s="45">
        <v>40</v>
      </c>
      <c r="O51" s="45">
        <v>0</v>
      </c>
      <c r="P51" s="121">
        <f t="shared" si="0"/>
        <v>0</v>
      </c>
      <c r="Q51" s="126">
        <v>45658</v>
      </c>
      <c r="R51" s="126">
        <v>46022</v>
      </c>
      <c r="S51" s="41">
        <v>360</v>
      </c>
      <c r="T51" s="45">
        <v>200</v>
      </c>
      <c r="U51" s="41" t="s">
        <v>489</v>
      </c>
      <c r="V51" s="38" t="s">
        <v>314</v>
      </c>
      <c r="W51" s="407" t="s">
        <v>494</v>
      </c>
      <c r="X51" s="407" t="s">
        <v>497</v>
      </c>
      <c r="Y51" s="381"/>
      <c r="Z51" s="383"/>
      <c r="AA51" s="372"/>
      <c r="AB51" s="383"/>
      <c r="AC51" s="370"/>
      <c r="AD51" s="370"/>
      <c r="AE51" s="372"/>
      <c r="AF51" s="372"/>
      <c r="AG51" s="383"/>
      <c r="AH51" s="370"/>
      <c r="AI51" s="348"/>
      <c r="AJ51" s="348"/>
      <c r="AK51" s="348"/>
      <c r="AL51" s="351"/>
      <c r="AM51" s="351"/>
    </row>
    <row r="52" spans="1:39" ht="90" customHeight="1">
      <c r="A52" s="383"/>
      <c r="B52" s="454"/>
      <c r="C52" s="451"/>
      <c r="D52" s="427">
        <v>0</v>
      </c>
      <c r="E52" s="515"/>
      <c r="F52" s="428"/>
      <c r="G52" s="383"/>
      <c r="H52" s="407" t="s">
        <v>486</v>
      </c>
      <c r="I52" s="407"/>
      <c r="J52" s="511">
        <v>0.3</v>
      </c>
      <c r="K52" s="184" t="s">
        <v>620</v>
      </c>
      <c r="L52" s="41" t="s">
        <v>215</v>
      </c>
      <c r="M52" s="37" t="s">
        <v>541</v>
      </c>
      <c r="N52" s="45" t="s">
        <v>568</v>
      </c>
      <c r="O52" s="45" t="s">
        <v>572</v>
      </c>
      <c r="P52" s="121" t="s">
        <v>572</v>
      </c>
      <c r="Q52" s="126">
        <v>45658</v>
      </c>
      <c r="R52" s="126">
        <v>46022</v>
      </c>
      <c r="S52" s="41">
        <v>360</v>
      </c>
      <c r="T52" s="45">
        <v>0</v>
      </c>
      <c r="U52" s="41" t="s">
        <v>490</v>
      </c>
      <c r="V52" s="38" t="s">
        <v>314</v>
      </c>
      <c r="W52" s="386"/>
      <c r="X52" s="386"/>
      <c r="Y52" s="381"/>
      <c r="Z52" s="383"/>
      <c r="AA52" s="372"/>
      <c r="AB52" s="383"/>
      <c r="AC52" s="370"/>
      <c r="AD52" s="370"/>
      <c r="AE52" s="372"/>
      <c r="AF52" s="372"/>
      <c r="AG52" s="383"/>
      <c r="AH52" s="370"/>
      <c r="AI52" s="348"/>
      <c r="AJ52" s="348"/>
      <c r="AK52" s="348"/>
      <c r="AL52" s="351"/>
      <c r="AM52" s="351"/>
    </row>
    <row r="53" spans="1:39" ht="90" customHeight="1">
      <c r="A53" s="383"/>
      <c r="B53" s="454"/>
      <c r="C53" s="451"/>
      <c r="D53" s="437"/>
      <c r="E53" s="515"/>
      <c r="F53" s="428"/>
      <c r="G53" s="383"/>
      <c r="H53" s="383"/>
      <c r="I53" s="383"/>
      <c r="J53" s="370"/>
      <c r="K53" s="184" t="s">
        <v>621</v>
      </c>
      <c r="L53" s="41" t="s">
        <v>215</v>
      </c>
      <c r="M53" s="37" t="s">
        <v>541</v>
      </c>
      <c r="N53" s="45" t="s">
        <v>568</v>
      </c>
      <c r="O53" s="45" t="s">
        <v>572</v>
      </c>
      <c r="P53" s="121" t="s">
        <v>572</v>
      </c>
      <c r="Q53" s="126">
        <v>45658</v>
      </c>
      <c r="R53" s="126">
        <v>46022</v>
      </c>
      <c r="S53" s="41">
        <v>360</v>
      </c>
      <c r="T53" s="45">
        <v>0</v>
      </c>
      <c r="U53" s="41" t="s">
        <v>491</v>
      </c>
      <c r="V53" s="38" t="s">
        <v>314</v>
      </c>
      <c r="W53" s="407" t="s">
        <v>495</v>
      </c>
      <c r="X53" s="407" t="s">
        <v>498</v>
      </c>
      <c r="Y53" s="381"/>
      <c r="Z53" s="383"/>
      <c r="AA53" s="372"/>
      <c r="AB53" s="383"/>
      <c r="AC53" s="370"/>
      <c r="AD53" s="370"/>
      <c r="AE53" s="372"/>
      <c r="AF53" s="372"/>
      <c r="AG53" s="383"/>
      <c r="AH53" s="370"/>
      <c r="AI53" s="348"/>
      <c r="AJ53" s="348"/>
      <c r="AK53" s="348"/>
      <c r="AL53" s="351"/>
      <c r="AM53" s="351"/>
    </row>
    <row r="54" spans="1:39" ht="90" customHeight="1" thickBot="1">
      <c r="A54" s="409"/>
      <c r="B54" s="454"/>
      <c r="C54" s="450"/>
      <c r="D54" s="510"/>
      <c r="E54" s="515"/>
      <c r="F54" s="435"/>
      <c r="G54" s="409"/>
      <c r="H54" s="409"/>
      <c r="I54" s="409"/>
      <c r="J54" s="410"/>
      <c r="K54" s="200" t="s">
        <v>622</v>
      </c>
      <c r="L54" s="134" t="s">
        <v>215</v>
      </c>
      <c r="M54" s="80" t="s">
        <v>550</v>
      </c>
      <c r="N54" s="194" t="s">
        <v>568</v>
      </c>
      <c r="O54" s="45" t="s">
        <v>572</v>
      </c>
      <c r="P54" s="135" t="s">
        <v>572</v>
      </c>
      <c r="Q54" s="167">
        <v>45658</v>
      </c>
      <c r="R54" s="167">
        <v>46022</v>
      </c>
      <c r="S54" s="166">
        <v>360</v>
      </c>
      <c r="T54" s="159">
        <v>0</v>
      </c>
      <c r="U54" s="166" t="s">
        <v>492</v>
      </c>
      <c r="V54" s="65" t="s">
        <v>314</v>
      </c>
      <c r="W54" s="370"/>
      <c r="X54" s="370"/>
      <c r="Y54" s="381"/>
      <c r="Z54" s="383"/>
      <c r="AA54" s="372"/>
      <c r="AB54" s="383"/>
      <c r="AC54" s="370"/>
      <c r="AD54" s="370"/>
      <c r="AE54" s="372"/>
      <c r="AF54" s="372"/>
      <c r="AG54" s="383"/>
      <c r="AH54" s="370"/>
      <c r="AI54" s="349"/>
      <c r="AJ54" s="349"/>
      <c r="AK54" s="349"/>
      <c r="AL54" s="352"/>
      <c r="AM54" s="352"/>
    </row>
    <row r="55" spans="1:39" s="152" customFormat="1" ht="60" customHeight="1" thickBot="1">
      <c r="A55" s="182"/>
      <c r="B55" s="454"/>
      <c r="C55" s="173"/>
      <c r="D55" s="151"/>
      <c r="E55" s="323"/>
      <c r="F55" s="414" t="s">
        <v>616</v>
      </c>
      <c r="G55" s="414"/>
      <c r="H55" s="414"/>
      <c r="I55" s="414"/>
      <c r="J55" s="414"/>
      <c r="K55" s="414"/>
      <c r="L55" s="414"/>
      <c r="M55" s="414"/>
      <c r="N55" s="414"/>
      <c r="O55" s="415"/>
      <c r="P55" s="104">
        <v>0</v>
      </c>
      <c r="Q55" s="356"/>
      <c r="R55" s="357"/>
      <c r="S55" s="357"/>
      <c r="T55" s="357"/>
      <c r="U55" s="357"/>
      <c r="V55" s="357"/>
      <c r="W55" s="357"/>
      <c r="X55" s="357"/>
      <c r="Y55" s="357"/>
      <c r="Z55" s="357"/>
      <c r="AA55" s="357"/>
      <c r="AB55" s="357"/>
      <c r="AC55" s="357"/>
      <c r="AD55" s="358"/>
      <c r="AE55" s="359" t="s">
        <v>629</v>
      </c>
      <c r="AF55" s="360"/>
      <c r="AG55" s="360"/>
      <c r="AH55" s="361"/>
      <c r="AI55" s="227">
        <f>+AI49</f>
        <v>20000000</v>
      </c>
      <c r="AJ55" s="227">
        <f t="shared" ref="AJ55:AM55" si="9">+AJ49</f>
        <v>0</v>
      </c>
      <c r="AK55" s="227">
        <f t="shared" si="9"/>
        <v>0</v>
      </c>
      <c r="AL55" s="226">
        <f t="shared" si="9"/>
        <v>0</v>
      </c>
      <c r="AM55" s="226">
        <f t="shared" si="9"/>
        <v>0</v>
      </c>
    </row>
    <row r="56" spans="1:39" ht="90" customHeight="1" thickBot="1">
      <c r="A56" s="124"/>
      <c r="B56" s="455"/>
      <c r="C56" s="512" t="s">
        <v>617</v>
      </c>
      <c r="D56" s="513"/>
      <c r="E56" s="513"/>
      <c r="F56" s="513"/>
      <c r="G56" s="513"/>
      <c r="H56" s="513"/>
      <c r="I56" s="513"/>
      <c r="J56" s="513"/>
      <c r="K56" s="513"/>
      <c r="L56" s="513"/>
      <c r="M56" s="513"/>
      <c r="N56" s="513"/>
      <c r="O56" s="514"/>
      <c r="P56" s="105">
        <v>0</v>
      </c>
      <c r="Q56" s="356"/>
      <c r="R56" s="357"/>
      <c r="S56" s="357"/>
      <c r="T56" s="357"/>
      <c r="U56" s="357"/>
      <c r="V56" s="357"/>
      <c r="W56" s="357"/>
      <c r="X56" s="357"/>
      <c r="Y56" s="357"/>
      <c r="Z56" s="357"/>
      <c r="AA56" s="357"/>
      <c r="AB56" s="357"/>
      <c r="AC56" s="357"/>
      <c r="AD56" s="358"/>
      <c r="AE56" s="362" t="s">
        <v>630</v>
      </c>
      <c r="AF56" s="363"/>
      <c r="AG56" s="363"/>
      <c r="AH56" s="364"/>
      <c r="AI56" s="231">
        <f>+AI48+AI55</f>
        <v>3225000000</v>
      </c>
      <c r="AJ56" s="231">
        <f t="shared" ref="AJ56:AM56" si="10">+AJ48+AJ55</f>
        <v>100180000</v>
      </c>
      <c r="AK56" s="231">
        <f t="shared" si="10"/>
        <v>0</v>
      </c>
      <c r="AL56" s="232">
        <f t="shared" si="10"/>
        <v>3.125741029641186E-2</v>
      </c>
      <c r="AM56" s="232">
        <f t="shared" si="10"/>
        <v>0</v>
      </c>
    </row>
    <row r="57" spans="1:39" ht="81" customHeight="1">
      <c r="A57" s="403" t="s">
        <v>239</v>
      </c>
      <c r="B57" s="431" t="s">
        <v>236</v>
      </c>
      <c r="C57" s="449" t="s">
        <v>388</v>
      </c>
      <c r="D57" s="120">
        <v>7</v>
      </c>
      <c r="E57" s="444" t="s">
        <v>499</v>
      </c>
      <c r="F57" s="446">
        <v>2024130010183</v>
      </c>
      <c r="G57" s="403" t="s">
        <v>266</v>
      </c>
      <c r="H57" s="118" t="s">
        <v>267</v>
      </c>
      <c r="I57" s="118" t="s">
        <v>302</v>
      </c>
      <c r="J57" s="201">
        <v>0.65</v>
      </c>
      <c r="K57" s="118" t="s">
        <v>303</v>
      </c>
      <c r="L57" s="119" t="s">
        <v>213</v>
      </c>
      <c r="M57" s="120" t="s">
        <v>361</v>
      </c>
      <c r="N57" s="120">
        <v>7</v>
      </c>
      <c r="O57" s="120">
        <v>3</v>
      </c>
      <c r="P57" s="121">
        <f t="shared" si="0"/>
        <v>0.42857142857142855</v>
      </c>
      <c r="Q57" s="122">
        <v>45658</v>
      </c>
      <c r="R57" s="122">
        <v>46022</v>
      </c>
      <c r="S57" s="119">
        <v>360</v>
      </c>
      <c r="T57" s="120">
        <v>1800</v>
      </c>
      <c r="U57" s="119" t="s">
        <v>313</v>
      </c>
      <c r="V57" s="117" t="s">
        <v>314</v>
      </c>
      <c r="W57" s="117" t="s">
        <v>357</v>
      </c>
      <c r="X57" s="117" t="s">
        <v>358</v>
      </c>
      <c r="Y57" s="509" t="s">
        <v>315</v>
      </c>
      <c r="Z57" s="155" t="s">
        <v>531</v>
      </c>
      <c r="AA57" s="202">
        <v>100000000</v>
      </c>
      <c r="AB57" s="155" t="s">
        <v>520</v>
      </c>
      <c r="AC57" s="118" t="s">
        <v>53</v>
      </c>
      <c r="AD57" s="117" t="s">
        <v>503</v>
      </c>
      <c r="AE57" s="371">
        <v>225000000</v>
      </c>
      <c r="AF57" s="371">
        <v>225000000</v>
      </c>
      <c r="AG57" s="369" t="s">
        <v>506</v>
      </c>
      <c r="AH57" s="369" t="s">
        <v>532</v>
      </c>
      <c r="AI57" s="365">
        <v>225000000</v>
      </c>
      <c r="AJ57" s="365">
        <v>16500000</v>
      </c>
      <c r="AK57" s="365">
        <v>0</v>
      </c>
      <c r="AL57" s="367">
        <f>+AJ57/AI57</f>
        <v>7.3333333333333334E-2</v>
      </c>
      <c r="AM57" s="367">
        <f>+AK57/AI57</f>
        <v>0</v>
      </c>
    </row>
    <row r="58" spans="1:39" ht="109.5" customHeight="1" thickBot="1">
      <c r="A58" s="448"/>
      <c r="B58" s="432"/>
      <c r="C58" s="450"/>
      <c r="D58" s="130">
        <v>1</v>
      </c>
      <c r="E58" s="419"/>
      <c r="F58" s="447"/>
      <c r="G58" s="466"/>
      <c r="H58" s="132" t="s">
        <v>270</v>
      </c>
      <c r="I58" s="132" t="s">
        <v>304</v>
      </c>
      <c r="J58" s="133">
        <v>0.35</v>
      </c>
      <c r="K58" s="132" t="s">
        <v>305</v>
      </c>
      <c r="L58" s="134" t="s">
        <v>213</v>
      </c>
      <c r="M58" s="80" t="s">
        <v>541</v>
      </c>
      <c r="N58" s="130">
        <v>1</v>
      </c>
      <c r="O58" s="130">
        <v>0</v>
      </c>
      <c r="P58" s="135">
        <f t="shared" si="0"/>
        <v>0</v>
      </c>
      <c r="Q58" s="167">
        <v>45658</v>
      </c>
      <c r="R58" s="167">
        <v>46022</v>
      </c>
      <c r="S58" s="166">
        <v>360</v>
      </c>
      <c r="T58" s="68">
        <v>900</v>
      </c>
      <c r="U58" s="166" t="s">
        <v>313</v>
      </c>
      <c r="V58" s="65" t="s">
        <v>314</v>
      </c>
      <c r="W58" s="203" t="s">
        <v>359</v>
      </c>
      <c r="X58" s="65" t="s">
        <v>360</v>
      </c>
      <c r="Y58" s="418"/>
      <c r="Z58" s="165" t="s">
        <v>565</v>
      </c>
      <c r="AA58" s="204">
        <v>125000000</v>
      </c>
      <c r="AB58" s="191" t="s">
        <v>566</v>
      </c>
      <c r="AC58" s="165" t="s">
        <v>53</v>
      </c>
      <c r="AD58" s="165" t="s">
        <v>504</v>
      </c>
      <c r="AE58" s="372"/>
      <c r="AF58" s="372"/>
      <c r="AG58" s="370"/>
      <c r="AH58" s="370"/>
      <c r="AI58" s="366"/>
      <c r="AJ58" s="366"/>
      <c r="AK58" s="366"/>
      <c r="AL58" s="368"/>
      <c r="AM58" s="368"/>
    </row>
    <row r="59" spans="1:39" s="152" customFormat="1" ht="109.5" customHeight="1" thickBot="1">
      <c r="A59" s="143"/>
      <c r="B59" s="205"/>
      <c r="C59" s="170"/>
      <c r="D59" s="143"/>
      <c r="E59" s="445"/>
      <c r="F59" s="414" t="s">
        <v>644</v>
      </c>
      <c r="G59" s="414"/>
      <c r="H59" s="414"/>
      <c r="I59" s="414"/>
      <c r="J59" s="414"/>
      <c r="K59" s="414"/>
      <c r="L59" s="414"/>
      <c r="M59" s="414"/>
      <c r="N59" s="414"/>
      <c r="O59" s="415"/>
      <c r="P59" s="104">
        <f>AVERAGE(P57:P58)</f>
        <v>0.21428571428571427</v>
      </c>
      <c r="Q59" s="356"/>
      <c r="R59" s="357"/>
      <c r="S59" s="357"/>
      <c r="T59" s="357"/>
      <c r="U59" s="357"/>
      <c r="V59" s="357"/>
      <c r="W59" s="357"/>
      <c r="X59" s="357"/>
      <c r="Y59" s="357"/>
      <c r="Z59" s="357"/>
      <c r="AA59" s="357"/>
      <c r="AB59" s="357"/>
      <c r="AC59" s="357"/>
      <c r="AD59" s="358"/>
      <c r="AE59" s="359" t="s">
        <v>629</v>
      </c>
      <c r="AF59" s="360"/>
      <c r="AG59" s="360"/>
      <c r="AH59" s="361"/>
      <c r="AI59" s="233">
        <f>+AI57</f>
        <v>225000000</v>
      </c>
      <c r="AJ59" s="233">
        <f t="shared" ref="AJ59:AM59" si="11">+AJ57</f>
        <v>16500000</v>
      </c>
      <c r="AK59" s="233">
        <f t="shared" si="11"/>
        <v>0</v>
      </c>
      <c r="AL59" s="234">
        <f t="shared" si="11"/>
        <v>7.3333333333333334E-2</v>
      </c>
      <c r="AM59" s="234">
        <f t="shared" si="11"/>
        <v>0</v>
      </c>
    </row>
    <row r="60" spans="1:39" ht="131.25" customHeight="1">
      <c r="A60" s="438" t="s">
        <v>239</v>
      </c>
      <c r="B60" s="431" t="s">
        <v>237</v>
      </c>
      <c r="C60" s="449" t="s">
        <v>389</v>
      </c>
      <c r="D60" s="436">
        <v>18</v>
      </c>
      <c r="E60" s="322" t="s">
        <v>623</v>
      </c>
      <c r="F60" s="434">
        <v>2024130010192</v>
      </c>
      <c r="G60" s="408" t="s">
        <v>271</v>
      </c>
      <c r="H60" s="408" t="s">
        <v>272</v>
      </c>
      <c r="I60" s="408" t="s">
        <v>306</v>
      </c>
      <c r="J60" s="460">
        <v>0.6</v>
      </c>
      <c r="K60" s="206" t="s">
        <v>307</v>
      </c>
      <c r="L60" s="119" t="s">
        <v>213</v>
      </c>
      <c r="M60" s="120" t="s">
        <v>361</v>
      </c>
      <c r="N60" s="45">
        <v>18</v>
      </c>
      <c r="O60" s="45">
        <v>4</v>
      </c>
      <c r="P60" s="157">
        <f t="shared" si="0"/>
        <v>0.22222222222222221</v>
      </c>
      <c r="Q60" s="158">
        <v>45658</v>
      </c>
      <c r="R60" s="158">
        <v>46022</v>
      </c>
      <c r="S60" s="156">
        <v>360</v>
      </c>
      <c r="T60" s="45">
        <v>500</v>
      </c>
      <c r="U60" s="156" t="s">
        <v>313</v>
      </c>
      <c r="V60" s="66" t="s">
        <v>314</v>
      </c>
      <c r="W60" s="207" t="s">
        <v>373</v>
      </c>
      <c r="X60" s="66" t="s">
        <v>374</v>
      </c>
      <c r="Y60" s="381" t="s">
        <v>315</v>
      </c>
      <c r="Z60" s="155" t="s">
        <v>538</v>
      </c>
      <c r="AA60" s="176">
        <v>107841854</v>
      </c>
      <c r="AB60" s="163" t="s">
        <v>539</v>
      </c>
      <c r="AC60" s="177" t="s">
        <v>53</v>
      </c>
      <c r="AD60" s="158" t="s">
        <v>504</v>
      </c>
      <c r="AE60" s="372"/>
      <c r="AF60" s="372"/>
      <c r="AG60" s="370"/>
      <c r="AH60" s="370"/>
      <c r="AI60" s="347">
        <v>1987841854</v>
      </c>
      <c r="AJ60" s="347">
        <v>358785000</v>
      </c>
      <c r="AK60" s="347">
        <v>22925000</v>
      </c>
      <c r="AL60" s="350">
        <f>+AJ60/AI60</f>
        <v>0.18048971012359014</v>
      </c>
      <c r="AM60" s="350">
        <f>+AK60/AI60</f>
        <v>1.1532607563257394E-2</v>
      </c>
    </row>
    <row r="61" spans="1:39" ht="150" customHeight="1">
      <c r="A61" s="439"/>
      <c r="B61" s="433"/>
      <c r="C61" s="451"/>
      <c r="D61" s="437"/>
      <c r="E61" s="515"/>
      <c r="F61" s="428"/>
      <c r="G61" s="383"/>
      <c r="H61" s="383"/>
      <c r="I61" s="383"/>
      <c r="J61" s="507"/>
      <c r="K61" s="407" t="s">
        <v>308</v>
      </c>
      <c r="L61" s="393" t="s">
        <v>213</v>
      </c>
      <c r="M61" s="394" t="s">
        <v>370</v>
      </c>
      <c r="N61" s="421">
        <v>18</v>
      </c>
      <c r="O61" s="394">
        <v>4</v>
      </c>
      <c r="P61" s="502">
        <f t="shared" si="0"/>
        <v>0.22222222222222221</v>
      </c>
      <c r="Q61" s="392">
        <v>45658</v>
      </c>
      <c r="R61" s="392">
        <v>46022</v>
      </c>
      <c r="S61" s="393">
        <v>360</v>
      </c>
      <c r="T61" s="394">
        <v>180</v>
      </c>
      <c r="U61" s="393" t="s">
        <v>313</v>
      </c>
      <c r="V61" s="407" t="s">
        <v>314</v>
      </c>
      <c r="W61" s="407" t="s">
        <v>376</v>
      </c>
      <c r="X61" s="393" t="s">
        <v>375</v>
      </c>
      <c r="Y61" s="381"/>
      <c r="Z61" s="208" t="s">
        <v>536</v>
      </c>
      <c r="AA61" s="180">
        <v>200000000</v>
      </c>
      <c r="AB61" s="209" t="s">
        <v>537</v>
      </c>
      <c r="AC61" s="181" t="s">
        <v>53</v>
      </c>
      <c r="AD61" s="161" t="s">
        <v>503</v>
      </c>
      <c r="AE61" s="372"/>
      <c r="AF61" s="372"/>
      <c r="AG61" s="370"/>
      <c r="AH61" s="370"/>
      <c r="AI61" s="348"/>
      <c r="AJ61" s="348"/>
      <c r="AK61" s="348"/>
      <c r="AL61" s="351"/>
      <c r="AM61" s="351"/>
    </row>
    <row r="62" spans="1:39" ht="144" customHeight="1">
      <c r="A62" s="439"/>
      <c r="B62" s="433"/>
      <c r="C62" s="451"/>
      <c r="D62" s="425"/>
      <c r="E62" s="515"/>
      <c r="F62" s="428"/>
      <c r="G62" s="383"/>
      <c r="H62" s="384"/>
      <c r="I62" s="384"/>
      <c r="J62" s="386"/>
      <c r="K62" s="384"/>
      <c r="L62" s="386"/>
      <c r="M62" s="395"/>
      <c r="N62" s="421"/>
      <c r="O62" s="395"/>
      <c r="P62" s="518"/>
      <c r="Q62" s="388"/>
      <c r="R62" s="388"/>
      <c r="S62" s="386"/>
      <c r="T62" s="395"/>
      <c r="U62" s="386"/>
      <c r="V62" s="384"/>
      <c r="W62" s="384"/>
      <c r="X62" s="386"/>
      <c r="Y62" s="437"/>
      <c r="Z62" s="210" t="s">
        <v>567</v>
      </c>
      <c r="AA62" s="127">
        <v>1000000000</v>
      </c>
      <c r="AB62" s="128" t="s">
        <v>76</v>
      </c>
      <c r="AC62" s="128" t="s">
        <v>53</v>
      </c>
      <c r="AD62" s="126" t="s">
        <v>504</v>
      </c>
      <c r="AE62" s="416"/>
      <c r="AF62" s="372"/>
      <c r="AG62" s="370"/>
      <c r="AH62" s="370"/>
      <c r="AI62" s="348"/>
      <c r="AJ62" s="348"/>
      <c r="AK62" s="348"/>
      <c r="AL62" s="351"/>
      <c r="AM62" s="351"/>
    </row>
    <row r="63" spans="1:39" ht="127.5" customHeight="1">
      <c r="A63" s="439"/>
      <c r="B63" s="433"/>
      <c r="C63" s="451"/>
      <c r="D63" s="427">
        <v>30</v>
      </c>
      <c r="E63" s="515"/>
      <c r="F63" s="428"/>
      <c r="G63" s="383"/>
      <c r="H63" s="407" t="s">
        <v>273</v>
      </c>
      <c r="I63" s="407" t="s">
        <v>309</v>
      </c>
      <c r="J63" s="511">
        <v>0.4</v>
      </c>
      <c r="K63" s="393" t="s">
        <v>310</v>
      </c>
      <c r="L63" s="393" t="s">
        <v>213</v>
      </c>
      <c r="M63" s="394" t="s">
        <v>361</v>
      </c>
      <c r="N63" s="394">
        <v>30</v>
      </c>
      <c r="O63" s="394">
        <v>8</v>
      </c>
      <c r="P63" s="502">
        <f t="shared" si="0"/>
        <v>0.26666666666666666</v>
      </c>
      <c r="Q63" s="392">
        <v>45658</v>
      </c>
      <c r="R63" s="392">
        <v>46022</v>
      </c>
      <c r="S63" s="393">
        <v>360</v>
      </c>
      <c r="T63" s="394">
        <v>14000</v>
      </c>
      <c r="U63" s="393" t="s">
        <v>313</v>
      </c>
      <c r="V63" s="407" t="s">
        <v>314</v>
      </c>
      <c r="W63" s="407" t="s">
        <v>377</v>
      </c>
      <c r="X63" s="393" t="s">
        <v>378</v>
      </c>
      <c r="Y63" s="381"/>
      <c r="Z63" s="211" t="s">
        <v>534</v>
      </c>
      <c r="AA63" s="176">
        <v>600000000</v>
      </c>
      <c r="AB63" s="163" t="s">
        <v>537</v>
      </c>
      <c r="AC63" s="177" t="s">
        <v>53</v>
      </c>
      <c r="AD63" s="158" t="s">
        <v>504</v>
      </c>
      <c r="AE63" s="372"/>
      <c r="AF63" s="372"/>
      <c r="AG63" s="370"/>
      <c r="AH63" s="370"/>
      <c r="AI63" s="348"/>
      <c r="AJ63" s="348"/>
      <c r="AK63" s="348"/>
      <c r="AL63" s="351"/>
      <c r="AM63" s="351"/>
    </row>
    <row r="64" spans="1:39" ht="111" customHeight="1">
      <c r="A64" s="439"/>
      <c r="B64" s="433"/>
      <c r="C64" s="451"/>
      <c r="D64" s="437"/>
      <c r="E64" s="515"/>
      <c r="F64" s="428"/>
      <c r="G64" s="383"/>
      <c r="H64" s="383"/>
      <c r="I64" s="383"/>
      <c r="J64" s="507"/>
      <c r="K64" s="386"/>
      <c r="L64" s="386"/>
      <c r="M64" s="395"/>
      <c r="N64" s="395"/>
      <c r="O64" s="395"/>
      <c r="P64" s="518"/>
      <c r="Q64" s="388"/>
      <c r="R64" s="388"/>
      <c r="S64" s="386"/>
      <c r="T64" s="395"/>
      <c r="U64" s="386"/>
      <c r="V64" s="384"/>
      <c r="W64" s="384"/>
      <c r="X64" s="386"/>
      <c r="Y64" s="381"/>
      <c r="Z64" s="125" t="s">
        <v>533</v>
      </c>
      <c r="AA64" s="127">
        <v>80000000</v>
      </c>
      <c r="AB64" s="212" t="s">
        <v>535</v>
      </c>
      <c r="AC64" s="41" t="s">
        <v>53</v>
      </c>
      <c r="AD64" s="126" t="s">
        <v>504</v>
      </c>
      <c r="AE64" s="372"/>
      <c r="AF64" s="372"/>
      <c r="AG64" s="370"/>
      <c r="AH64" s="370"/>
      <c r="AI64" s="348"/>
      <c r="AJ64" s="348"/>
      <c r="AK64" s="348"/>
      <c r="AL64" s="351"/>
      <c r="AM64" s="351"/>
    </row>
    <row r="65" spans="1:39" ht="81" customHeight="1" thickBot="1">
      <c r="A65" s="440"/>
      <c r="B65" s="432"/>
      <c r="C65" s="450"/>
      <c r="D65" s="510"/>
      <c r="E65" s="515"/>
      <c r="F65" s="435"/>
      <c r="G65" s="409"/>
      <c r="H65" s="409"/>
      <c r="I65" s="409"/>
      <c r="J65" s="516"/>
      <c r="K65" s="138" t="s">
        <v>311</v>
      </c>
      <c r="L65" s="134" t="s">
        <v>213</v>
      </c>
      <c r="M65" s="130" t="s">
        <v>371</v>
      </c>
      <c r="N65" s="130">
        <v>10</v>
      </c>
      <c r="O65" s="130">
        <v>0</v>
      </c>
      <c r="P65" s="135">
        <f t="shared" si="0"/>
        <v>0</v>
      </c>
      <c r="Q65" s="167">
        <v>45658</v>
      </c>
      <c r="R65" s="167">
        <v>46022</v>
      </c>
      <c r="S65" s="166">
        <v>360</v>
      </c>
      <c r="T65" s="68">
        <v>10</v>
      </c>
      <c r="U65" s="166" t="s">
        <v>313</v>
      </c>
      <c r="V65" s="65" t="s">
        <v>314</v>
      </c>
      <c r="W65" s="187"/>
      <c r="X65" s="166"/>
      <c r="Y65" s="381"/>
      <c r="Z65" s="165"/>
      <c r="AA65" s="190"/>
      <c r="AB65" s="191"/>
      <c r="AC65" s="191"/>
      <c r="AD65" s="213"/>
      <c r="AE65" s="372"/>
      <c r="AF65" s="372"/>
      <c r="AG65" s="370"/>
      <c r="AH65" s="370"/>
      <c r="AI65" s="349"/>
      <c r="AJ65" s="349"/>
      <c r="AK65" s="349"/>
      <c r="AL65" s="352"/>
      <c r="AM65" s="352"/>
    </row>
    <row r="66" spans="1:39" s="152" customFormat="1" ht="81" customHeight="1" thickBot="1">
      <c r="A66" s="214"/>
      <c r="B66" s="215"/>
      <c r="C66" s="216"/>
      <c r="D66" s="217"/>
      <c r="E66" s="323"/>
      <c r="F66" s="414" t="s">
        <v>645</v>
      </c>
      <c r="G66" s="414"/>
      <c r="H66" s="414"/>
      <c r="I66" s="414"/>
      <c r="J66" s="414"/>
      <c r="K66" s="414"/>
      <c r="L66" s="414"/>
      <c r="M66" s="414"/>
      <c r="N66" s="414"/>
      <c r="O66" s="415"/>
      <c r="P66" s="104">
        <f>AVERAGE(P61:P65)</f>
        <v>0.16296296296296295</v>
      </c>
      <c r="Q66" s="144"/>
      <c r="R66" s="144"/>
      <c r="S66" s="145"/>
      <c r="T66" s="145"/>
      <c r="U66" s="145"/>
      <c r="V66" s="146"/>
      <c r="W66" s="189"/>
      <c r="X66" s="145"/>
      <c r="Y66" s="145"/>
      <c r="Z66" s="147"/>
      <c r="AA66" s="148"/>
      <c r="AB66" s="149"/>
      <c r="AC66" s="149"/>
      <c r="AD66" s="218"/>
      <c r="AE66" s="150"/>
      <c r="AF66" s="150"/>
      <c r="AG66" s="145"/>
      <c r="AH66" s="151"/>
      <c r="AI66" s="228">
        <f>+AI60</f>
        <v>1987841854</v>
      </c>
      <c r="AJ66" s="228">
        <f t="shared" ref="AJ66:AM66" si="12">+AJ60</f>
        <v>358785000</v>
      </c>
      <c r="AK66" s="228">
        <f t="shared" si="12"/>
        <v>22925000</v>
      </c>
      <c r="AL66" s="226">
        <f t="shared" si="12"/>
        <v>0.18048971012359014</v>
      </c>
      <c r="AM66" s="226">
        <f t="shared" si="12"/>
        <v>1.1532607563257394E-2</v>
      </c>
    </row>
    <row r="67" spans="1:39" ht="338.25" thickBot="1">
      <c r="A67" s="207" t="s">
        <v>242</v>
      </c>
      <c r="B67" s="219" t="s">
        <v>238</v>
      </c>
      <c r="C67" s="174" t="s">
        <v>384</v>
      </c>
      <c r="D67" s="175">
        <v>75</v>
      </c>
      <c r="E67" s="322" t="s">
        <v>479</v>
      </c>
      <c r="F67" s="154">
        <v>2024130010198</v>
      </c>
      <c r="G67" s="155" t="s">
        <v>256</v>
      </c>
      <c r="H67" s="155" t="s">
        <v>258</v>
      </c>
      <c r="I67" s="155" t="s">
        <v>286</v>
      </c>
      <c r="J67" s="74">
        <v>0.1</v>
      </c>
      <c r="K67" s="155" t="s">
        <v>287</v>
      </c>
      <c r="L67" s="134" t="s">
        <v>213</v>
      </c>
      <c r="M67" s="75" t="s">
        <v>367</v>
      </c>
      <c r="N67" s="45">
        <v>75</v>
      </c>
      <c r="O67" s="45">
        <v>0</v>
      </c>
      <c r="P67" s="157">
        <f t="shared" si="0"/>
        <v>0</v>
      </c>
      <c r="Q67" s="158">
        <v>45658</v>
      </c>
      <c r="R67" s="158">
        <v>46022</v>
      </c>
      <c r="S67" s="156">
        <v>360</v>
      </c>
      <c r="T67" s="45">
        <v>735</v>
      </c>
      <c r="U67" s="156" t="s">
        <v>313</v>
      </c>
      <c r="V67" s="66" t="s">
        <v>314</v>
      </c>
      <c r="W67" s="156" t="s">
        <v>379</v>
      </c>
      <c r="X67" s="156" t="s">
        <v>379</v>
      </c>
      <c r="Y67" s="45" t="s">
        <v>315</v>
      </c>
      <c r="Z67" s="220"/>
      <c r="AA67" s="220"/>
      <c r="AB67" s="221"/>
      <c r="AC67" s="221"/>
      <c r="AD67" s="220"/>
      <c r="AE67" s="220"/>
      <c r="AF67" s="221"/>
      <c r="AG67" s="221"/>
      <c r="AH67" s="221"/>
      <c r="AI67" s="220"/>
      <c r="AJ67" s="220"/>
      <c r="AK67" s="220"/>
      <c r="AL67" s="220"/>
      <c r="AM67" s="221"/>
    </row>
    <row r="68" spans="1:39" s="152" customFormat="1" ht="81" customHeight="1" thickBot="1">
      <c r="A68" s="214"/>
      <c r="B68" s="215"/>
      <c r="C68" s="216"/>
      <c r="D68" s="217"/>
      <c r="E68" s="323"/>
      <c r="F68" s="414" t="s">
        <v>611</v>
      </c>
      <c r="G68" s="414"/>
      <c r="H68" s="414"/>
      <c r="I68" s="414"/>
      <c r="J68" s="414"/>
      <c r="K68" s="414"/>
      <c r="L68" s="414"/>
      <c r="M68" s="414"/>
      <c r="N68" s="414"/>
      <c r="O68" s="415"/>
      <c r="P68" s="104">
        <v>0</v>
      </c>
      <c r="Q68" s="144"/>
      <c r="R68" s="144"/>
      <c r="S68" s="145"/>
      <c r="T68" s="145"/>
      <c r="U68" s="145"/>
      <c r="V68" s="146"/>
      <c r="W68" s="189"/>
      <c r="X68" s="145"/>
      <c r="Y68" s="145"/>
      <c r="Z68" s="147"/>
      <c r="AA68" s="148"/>
      <c r="AB68" s="149"/>
      <c r="AC68" s="149"/>
      <c r="AD68" s="218"/>
      <c r="AE68" s="150"/>
      <c r="AF68" s="150"/>
      <c r="AG68" s="145"/>
      <c r="AH68" s="151"/>
      <c r="AI68" s="218"/>
      <c r="AJ68" s="218"/>
      <c r="AK68" s="218"/>
      <c r="AL68" s="218"/>
      <c r="AM68" s="151"/>
    </row>
    <row r="69" spans="1:39">
      <c r="U69" s="223"/>
    </row>
    <row r="70" spans="1:39" ht="19.5" thickBot="1"/>
    <row r="71" spans="1:39" ht="90.75" customHeight="1" thickBot="1">
      <c r="M71" s="353" t="s">
        <v>631</v>
      </c>
      <c r="N71" s="354"/>
      <c r="O71" s="355"/>
      <c r="P71" s="244">
        <f>AVERAGE(P12,P16,P21,P25,P34,P37,P42,P48,P55,P59,P66,P68)</f>
        <v>0.14033469129347356</v>
      </c>
      <c r="AF71" s="353" t="s">
        <v>632</v>
      </c>
      <c r="AG71" s="354"/>
      <c r="AH71" s="355"/>
      <c r="AI71" s="245">
        <f>+AI12+AI16+AI21+AI25+AI34+AI37+AI42+AI48+AI55+AI59+AI66</f>
        <v>13242526654</v>
      </c>
      <c r="AJ71" s="248">
        <f t="shared" ref="AJ71:AK71" si="13">+AJ12+AJ16+AJ21+AJ25+AJ34+AJ37+AJ42+AJ48+AJ55+AJ59+AJ66</f>
        <v>767570000</v>
      </c>
      <c r="AK71" s="246">
        <f t="shared" si="13"/>
        <v>22925000</v>
      </c>
      <c r="AL71" s="249">
        <f>+AJ71/AI71</f>
        <v>5.7962503686420745E-2</v>
      </c>
      <c r="AM71" s="247">
        <f>+AK71/AI71</f>
        <v>1.7311651015688414E-3</v>
      </c>
    </row>
  </sheetData>
  <mergeCells count="391">
    <mergeCell ref="V61:V62"/>
    <mergeCell ref="U61:U62"/>
    <mergeCell ref="S61:S62"/>
    <mergeCell ref="C38:C41"/>
    <mergeCell ref="C43:C47"/>
    <mergeCell ref="P61:P62"/>
    <mergeCell ref="F66:O66"/>
    <mergeCell ref="E60:E66"/>
    <mergeCell ref="P63:P64"/>
    <mergeCell ref="F42:O42"/>
    <mergeCell ref="E38:E42"/>
    <mergeCell ref="F48:O48"/>
    <mergeCell ref="P46:P47"/>
    <mergeCell ref="F55:O55"/>
    <mergeCell ref="E49:E55"/>
    <mergeCell ref="I63:I65"/>
    <mergeCell ref="H63:H65"/>
    <mergeCell ref="L46:L47"/>
    <mergeCell ref="K46:K47"/>
    <mergeCell ref="M46:M47"/>
    <mergeCell ref="N46:N47"/>
    <mergeCell ref="G60:G65"/>
    <mergeCell ref="I60:I62"/>
    <mergeCell ref="J60:J62"/>
    <mergeCell ref="X63:X64"/>
    <mergeCell ref="W63:W64"/>
    <mergeCell ref="V63:V64"/>
    <mergeCell ref="U63:U64"/>
    <mergeCell ref="M63:M64"/>
    <mergeCell ref="L63:L64"/>
    <mergeCell ref="N63:N64"/>
    <mergeCell ref="J63:J65"/>
    <mergeCell ref="S63:S64"/>
    <mergeCell ref="R63:R64"/>
    <mergeCell ref="O63:O64"/>
    <mergeCell ref="Q63:Q64"/>
    <mergeCell ref="T63:T64"/>
    <mergeCell ref="D63:D65"/>
    <mergeCell ref="L61:L62"/>
    <mergeCell ref="K61:K62"/>
    <mergeCell ref="K63:K64"/>
    <mergeCell ref="J22:J24"/>
    <mergeCell ref="K23:K24"/>
    <mergeCell ref="L23:L24"/>
    <mergeCell ref="J49:J51"/>
    <mergeCell ref="J52:J54"/>
    <mergeCell ref="D52:D54"/>
    <mergeCell ref="C56:O56"/>
    <mergeCell ref="E22:E25"/>
    <mergeCell ref="F25:O25"/>
    <mergeCell ref="N23:N24"/>
    <mergeCell ref="N32:N33"/>
    <mergeCell ref="E26:E34"/>
    <mergeCell ref="O61:O62"/>
    <mergeCell ref="H60:H62"/>
    <mergeCell ref="I43:I47"/>
    <mergeCell ref="H43:H47"/>
    <mergeCell ref="Y57:Y58"/>
    <mergeCell ref="N61:N62"/>
    <mergeCell ref="Q61:Q62"/>
    <mergeCell ref="X51:X52"/>
    <mergeCell ref="R61:R62"/>
    <mergeCell ref="W51:W52"/>
    <mergeCell ref="W53:W54"/>
    <mergeCell ref="D9:D10"/>
    <mergeCell ref="D31:D33"/>
    <mergeCell ref="D29:D30"/>
    <mergeCell ref="E9:E12"/>
    <mergeCell ref="F12:O12"/>
    <mergeCell ref="F16:O16"/>
    <mergeCell ref="E13:E16"/>
    <mergeCell ref="E17:E21"/>
    <mergeCell ref="F21:O21"/>
    <mergeCell ref="P23:P24"/>
    <mergeCell ref="P27:P31"/>
    <mergeCell ref="Q32:Q33"/>
    <mergeCell ref="Q27:Q31"/>
    <mergeCell ref="T61:T62"/>
    <mergeCell ref="Y60:Y65"/>
    <mergeCell ref="X61:X62"/>
    <mergeCell ref="W61:W62"/>
    <mergeCell ref="I38:I39"/>
    <mergeCell ref="H38:H39"/>
    <mergeCell ref="J43:J47"/>
    <mergeCell ref="U32:U33"/>
    <mergeCell ref="V32:V33"/>
    <mergeCell ref="X53:X54"/>
    <mergeCell ref="W46:W47"/>
    <mergeCell ref="V46:V47"/>
    <mergeCell ref="U46:U47"/>
    <mergeCell ref="S46:S47"/>
    <mergeCell ref="R46:R47"/>
    <mergeCell ref="Q46:Q47"/>
    <mergeCell ref="T46:T47"/>
    <mergeCell ref="X46:X47"/>
    <mergeCell ref="Q34:AD34"/>
    <mergeCell ref="Y49:Y54"/>
    <mergeCell ref="Z49:Z54"/>
    <mergeCell ref="AA49:AA54"/>
    <mergeCell ref="AB49:AB54"/>
    <mergeCell ref="AC49:AC54"/>
    <mergeCell ref="AD49:AD54"/>
    <mergeCell ref="Z38:Z39"/>
    <mergeCell ref="AA38:AA39"/>
    <mergeCell ref="AB38:AB39"/>
    <mergeCell ref="AM17:AM20"/>
    <mergeCell ref="AM9:AM11"/>
    <mergeCell ref="AM13:AM15"/>
    <mergeCell ref="AM22:AM24"/>
    <mergeCell ref="AM35:AM36"/>
    <mergeCell ref="AM38:AM41"/>
    <mergeCell ref="AM26:AM33"/>
    <mergeCell ref="AB13:AB14"/>
    <mergeCell ref="AC13:AC14"/>
    <mergeCell ref="AD13:AD14"/>
    <mergeCell ref="AC38:AC39"/>
    <mergeCell ref="AD38:AD39"/>
    <mergeCell ref="AD17:AD20"/>
    <mergeCell ref="AD30:AD31"/>
    <mergeCell ref="AC17:AC20"/>
    <mergeCell ref="Y22:Y24"/>
    <mergeCell ref="Y27:Y31"/>
    <mergeCell ref="Z30:Z31"/>
    <mergeCell ref="AA30:AA31"/>
    <mergeCell ref="AB30:AB31"/>
    <mergeCell ref="AC30:AC31"/>
    <mergeCell ref="Z13:Z14"/>
    <mergeCell ref="AA13:AA14"/>
    <mergeCell ref="I52:I54"/>
    <mergeCell ref="H52:H54"/>
    <mergeCell ref="G49:G54"/>
    <mergeCell ref="F49:F54"/>
    <mergeCell ref="I32:I33"/>
    <mergeCell ref="AM57:AM58"/>
    <mergeCell ref="AM60:AM65"/>
    <mergeCell ref="AM43:AM47"/>
    <mergeCell ref="AM49:AM54"/>
    <mergeCell ref="Y32:Y33"/>
    <mergeCell ref="Z32:Z33"/>
    <mergeCell ref="AA32:AA33"/>
    <mergeCell ref="AB32:AB33"/>
    <mergeCell ref="AC32:AC33"/>
    <mergeCell ref="O32:O33"/>
    <mergeCell ref="O46:O47"/>
    <mergeCell ref="P32:P33"/>
    <mergeCell ref="F34:O34"/>
    <mergeCell ref="F37:O37"/>
    <mergeCell ref="R32:R33"/>
    <mergeCell ref="S32:S33"/>
    <mergeCell ref="L32:L33"/>
    <mergeCell ref="F35:F36"/>
    <mergeCell ref="J38:J39"/>
    <mergeCell ref="F38:F41"/>
    <mergeCell ref="B9:B11"/>
    <mergeCell ref="C9:C11"/>
    <mergeCell ref="C13:C15"/>
    <mergeCell ref="B13:B15"/>
    <mergeCell ref="B26:B33"/>
    <mergeCell ref="B17:B20"/>
    <mergeCell ref="C17:C20"/>
    <mergeCell ref="C26:C33"/>
    <mergeCell ref="C35:C36"/>
    <mergeCell ref="E35:E37"/>
    <mergeCell ref="C3:AL3"/>
    <mergeCell ref="C4:AL4"/>
    <mergeCell ref="C5:AM5"/>
    <mergeCell ref="A6:X7"/>
    <mergeCell ref="A5:B5"/>
    <mergeCell ref="A1:B4"/>
    <mergeCell ref="Y6:AD7"/>
    <mergeCell ref="AM6:AM7"/>
    <mergeCell ref="C1:AL1"/>
    <mergeCell ref="C2:AL2"/>
    <mergeCell ref="A9:A11"/>
    <mergeCell ref="A26:A31"/>
    <mergeCell ref="D38:D39"/>
    <mergeCell ref="H9:H10"/>
    <mergeCell ref="I9:I10"/>
    <mergeCell ref="J9:J10"/>
    <mergeCell ref="B35:B36"/>
    <mergeCell ref="A32:A33"/>
    <mergeCell ref="A35:A36"/>
    <mergeCell ref="B38:B41"/>
    <mergeCell ref="H32:H33"/>
    <mergeCell ref="H26:H31"/>
    <mergeCell ref="G35:G36"/>
    <mergeCell ref="G38:G41"/>
    <mergeCell ref="A38:A41"/>
    <mergeCell ref="G9:G11"/>
    <mergeCell ref="G13:G15"/>
    <mergeCell ref="G17:G20"/>
    <mergeCell ref="A13:A15"/>
    <mergeCell ref="A17:A20"/>
    <mergeCell ref="F9:F11"/>
    <mergeCell ref="F13:F15"/>
    <mergeCell ref="F17:F20"/>
    <mergeCell ref="F26:F33"/>
    <mergeCell ref="B57:B58"/>
    <mergeCell ref="B60:B65"/>
    <mergeCell ref="F60:F65"/>
    <mergeCell ref="D60:D62"/>
    <mergeCell ref="A60:A65"/>
    <mergeCell ref="F43:F47"/>
    <mergeCell ref="E43:E47"/>
    <mergeCell ref="F57:F58"/>
    <mergeCell ref="A49:A54"/>
    <mergeCell ref="A43:A47"/>
    <mergeCell ref="A57:A58"/>
    <mergeCell ref="E57:E59"/>
    <mergeCell ref="F59:O59"/>
    <mergeCell ref="C57:C58"/>
    <mergeCell ref="C60:C65"/>
    <mergeCell ref="C49:C54"/>
    <mergeCell ref="D49:D51"/>
    <mergeCell ref="D43:D47"/>
    <mergeCell ref="M61:M62"/>
    <mergeCell ref="B43:B56"/>
    <mergeCell ref="G43:G47"/>
    <mergeCell ref="G57:G58"/>
    <mergeCell ref="H49:H51"/>
    <mergeCell ref="I49:I51"/>
    <mergeCell ref="O23:O24"/>
    <mergeCell ref="O27:O31"/>
    <mergeCell ref="A22:A24"/>
    <mergeCell ref="B22:B24"/>
    <mergeCell ref="C22:C24"/>
    <mergeCell ref="D22:D24"/>
    <mergeCell ref="F22:F24"/>
    <mergeCell ref="G22:G24"/>
    <mergeCell ref="H22:H24"/>
    <mergeCell ref="I22:I24"/>
    <mergeCell ref="G26:G33"/>
    <mergeCell ref="L27:L31"/>
    <mergeCell ref="J26:J31"/>
    <mergeCell ref="M32:M33"/>
    <mergeCell ref="M23:M24"/>
    <mergeCell ref="J32:J33"/>
    <mergeCell ref="K32:K33"/>
    <mergeCell ref="I26:I31"/>
    <mergeCell ref="K27:K31"/>
    <mergeCell ref="F68:O68"/>
    <mergeCell ref="E67:E68"/>
    <mergeCell ref="AE9:AE11"/>
    <mergeCell ref="AE13:AE15"/>
    <mergeCell ref="AE17:AE20"/>
    <mergeCell ref="AE22:AE24"/>
    <mergeCell ref="AE26:AE33"/>
    <mergeCell ref="AE35:AE36"/>
    <mergeCell ref="AE38:AE41"/>
    <mergeCell ref="AE43:AE47"/>
    <mergeCell ref="AE49:AE54"/>
    <mergeCell ref="AE57:AE58"/>
    <mergeCell ref="AE60:AE65"/>
    <mergeCell ref="Q42:AD42"/>
    <mergeCell ref="V23:V24"/>
    <mergeCell ref="W23:W24"/>
    <mergeCell ref="X23:X24"/>
    <mergeCell ref="M27:M31"/>
    <mergeCell ref="N27:N31"/>
    <mergeCell ref="U27:U31"/>
    <mergeCell ref="V27:V31"/>
    <mergeCell ref="W27:W31"/>
    <mergeCell ref="X27:X31"/>
    <mergeCell ref="T23:T24"/>
    <mergeCell ref="AF60:AF65"/>
    <mergeCell ref="AG9:AG11"/>
    <mergeCell ref="AG13:AG15"/>
    <mergeCell ref="AG17:AG20"/>
    <mergeCell ref="AG22:AG24"/>
    <mergeCell ref="AG26:AG33"/>
    <mergeCell ref="AG35:AG36"/>
    <mergeCell ref="AG38:AG41"/>
    <mergeCell ref="AG43:AG47"/>
    <mergeCell ref="AG49:AG54"/>
    <mergeCell ref="AG57:AG58"/>
    <mergeCell ref="AG60:AG65"/>
    <mergeCell ref="AF9:AF11"/>
    <mergeCell ref="AF13:AF15"/>
    <mergeCell ref="AF17:AF20"/>
    <mergeCell ref="AF22:AF24"/>
    <mergeCell ref="AF26:AF33"/>
    <mergeCell ref="AF35:AF36"/>
    <mergeCell ref="AF38:AF41"/>
    <mergeCell ref="AF43:AF47"/>
    <mergeCell ref="AF49:AF54"/>
    <mergeCell ref="AE34:AH34"/>
    <mergeCell ref="Q21:AD21"/>
    <mergeCell ref="AE21:AH21"/>
    <mergeCell ref="AI17:AI20"/>
    <mergeCell ref="AJ17:AJ20"/>
    <mergeCell ref="AK17:AK20"/>
    <mergeCell ref="AL17:AL20"/>
    <mergeCell ref="Q25:AD25"/>
    <mergeCell ref="AE25:AH25"/>
    <mergeCell ref="AI22:AI24"/>
    <mergeCell ref="AJ22:AJ24"/>
    <mergeCell ref="AH17:AH20"/>
    <mergeCell ref="AH22:AH24"/>
    <mergeCell ref="Q23:Q24"/>
    <mergeCell ref="W19:W20"/>
    <mergeCell ref="X19:X20"/>
    <mergeCell ref="R23:R24"/>
    <mergeCell ref="S23:S24"/>
    <mergeCell ref="U23:U24"/>
    <mergeCell ref="AK22:AK24"/>
    <mergeCell ref="AL22:AL24"/>
    <mergeCell ref="Y17:Y20"/>
    <mergeCell ref="Z17:Z20"/>
    <mergeCell ref="AA17:AA20"/>
    <mergeCell ref="AB17:AB20"/>
    <mergeCell ref="AL9:AL11"/>
    <mergeCell ref="AK9:AK11"/>
    <mergeCell ref="AI9:AI11"/>
    <mergeCell ref="AJ9:AJ11"/>
    <mergeCell ref="Q12:AD12"/>
    <mergeCell ref="AE12:AH12"/>
    <mergeCell ref="AE16:AH16"/>
    <mergeCell ref="Q16:AD16"/>
    <mergeCell ref="AL13:AL15"/>
    <mergeCell ref="AK13:AK15"/>
    <mergeCell ref="AI13:AI15"/>
    <mergeCell ref="AJ13:AJ15"/>
    <mergeCell ref="AH9:AH11"/>
    <mergeCell ref="AH13:AH15"/>
    <mergeCell ref="W9:W10"/>
    <mergeCell ref="X9:X10"/>
    <mergeCell ref="Y13:Y15"/>
    <mergeCell ref="AI26:AI33"/>
    <mergeCell ref="AJ26:AJ33"/>
    <mergeCell ref="AK26:AK33"/>
    <mergeCell ref="AL26:AL33"/>
    <mergeCell ref="Q37:AD37"/>
    <mergeCell ref="AE37:AH37"/>
    <mergeCell ref="AI35:AI36"/>
    <mergeCell ref="AJ35:AJ36"/>
    <mergeCell ref="AK35:AK36"/>
    <mergeCell ref="AL35:AL36"/>
    <mergeCell ref="AH26:AH33"/>
    <mergeCell ref="AH35:AH36"/>
    <mergeCell ref="R27:R31"/>
    <mergeCell ref="S27:S31"/>
    <mergeCell ref="T27:T31"/>
    <mergeCell ref="W32:W33"/>
    <mergeCell ref="X32:X33"/>
    <mergeCell ref="AD32:AD33"/>
    <mergeCell ref="Y35:Y36"/>
    <mergeCell ref="T32:T33"/>
    <mergeCell ref="AI38:AI41"/>
    <mergeCell ref="AJ38:AJ41"/>
    <mergeCell ref="AK38:AK41"/>
    <mergeCell ref="AL38:AL41"/>
    <mergeCell ref="AI43:AI47"/>
    <mergeCell ref="AJ43:AJ47"/>
    <mergeCell ref="AK43:AK47"/>
    <mergeCell ref="AL43:AL47"/>
    <mergeCell ref="Q48:AD48"/>
    <mergeCell ref="AE48:AH48"/>
    <mergeCell ref="AH38:AH41"/>
    <mergeCell ref="AH43:AH47"/>
    <mergeCell ref="AE42:AH42"/>
    <mergeCell ref="Y38:Y41"/>
    <mergeCell ref="Y43:Y47"/>
    <mergeCell ref="Z43:Z45"/>
    <mergeCell ref="AA43:AA45"/>
    <mergeCell ref="AB43:AB45"/>
    <mergeCell ref="AC43:AC45"/>
    <mergeCell ref="AD43:AD45"/>
    <mergeCell ref="AI60:AI65"/>
    <mergeCell ref="AJ60:AJ65"/>
    <mergeCell ref="AK60:AK65"/>
    <mergeCell ref="AL60:AL65"/>
    <mergeCell ref="M71:O71"/>
    <mergeCell ref="AF71:AH71"/>
    <mergeCell ref="AI49:AI54"/>
    <mergeCell ref="AJ49:AJ54"/>
    <mergeCell ref="AK49:AK54"/>
    <mergeCell ref="AL49:AL54"/>
    <mergeCell ref="Q55:AD55"/>
    <mergeCell ref="Q56:AD56"/>
    <mergeCell ref="AE55:AH55"/>
    <mergeCell ref="AE56:AH56"/>
    <mergeCell ref="Q59:AD59"/>
    <mergeCell ref="AE59:AH59"/>
    <mergeCell ref="AI57:AI58"/>
    <mergeCell ref="AJ57:AJ58"/>
    <mergeCell ref="AK57:AK58"/>
    <mergeCell ref="AL57:AL58"/>
    <mergeCell ref="AH57:AH58"/>
    <mergeCell ref="AH60:AH65"/>
    <mergeCell ref="AH49:AH54"/>
    <mergeCell ref="AF57:AF58"/>
  </mergeCells>
  <phoneticPr fontId="13" type="noConversion"/>
  <dataValidations count="1">
    <dataValidation type="list" allowBlank="1" showInputMessage="1" showErrorMessage="1" sqref="L60:L61 L69:L151 L67 L65 L57:L58 L49:L54 L38:L41 L35:L36 L17:L20 L13:L15 L9:L11 L63 L43:L46 L22:L23 L32 L26:L27" xr:uid="{00000000-0002-0000-0300-000000000000}">
      <formula1>$AU$9:$AU$19</formula1>
    </dataValidation>
  </dataValidations>
  <pageMargins left="0.7" right="0.7" top="0.75" bottom="0.75" header="0.3" footer="0.3"/>
  <pageSetup paperSize="9" orientation="portrait" horizontalDpi="300" verticalDpi="300" r:id="rId1"/>
  <ignoredErrors>
    <ignoredError sqref="C9 C13 C17 C22 C26 C35 C38 C57 C60 C67 C43 C49" twoDigitTextYear="1"/>
    <ignoredError sqref="P12 P37" 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ANEXO1!$A$2:$A$21</xm:f>
          </x14:formula1>
          <xm:sqref>AB32 AB22 AB69:AB106 AB35 AB38 AB43 AB26 AB62 AB10 AB13 AB67 AB15 AB17</xm:sqref>
        </x14:dataValidation>
        <x14:dataValidation type="list" allowBlank="1" showInputMessage="1" showErrorMessage="1" xr:uid="{00000000-0002-0000-0300-000002000000}">
          <x14:formula1>
            <xm:f>ANEXO1!$F$2:$F$7</xm:f>
          </x14:formula1>
          <xm:sqref>AC32 AC13 AC22 AC60:AC64 AC35 AC38 AC43 AC57 AC69:AC115 AC26:AC30 AC67 AC10:AC11 AC15 AC17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5546875" defaultRowHeight="15"/>
  <cols>
    <col min="1" max="1" width="20.7109375" customWidth="1"/>
    <col min="2" max="2" width="25" customWidth="1"/>
    <col min="3" max="3" width="19.7109375" customWidth="1"/>
    <col min="4" max="4" width="20.42578125" customWidth="1"/>
    <col min="5" max="6" width="22.85546875" customWidth="1"/>
    <col min="7" max="7" width="25.28515625" customWidth="1"/>
  </cols>
  <sheetData>
    <row r="2" spans="1:7">
      <c r="A2" s="527" t="s">
        <v>36</v>
      </c>
      <c r="B2" s="528"/>
      <c r="C2" s="528"/>
      <c r="D2" s="528"/>
      <c r="E2" s="528"/>
      <c r="F2" s="528"/>
      <c r="G2" s="529"/>
    </row>
    <row r="3" spans="1:7" s="4" customFormat="1">
      <c r="A3" s="24" t="s">
        <v>37</v>
      </c>
      <c r="B3" s="524" t="s">
        <v>38</v>
      </c>
      <c r="C3" s="524"/>
      <c r="D3" s="524"/>
      <c r="E3" s="524"/>
      <c r="F3" s="524"/>
      <c r="G3" s="25" t="s">
        <v>39</v>
      </c>
    </row>
    <row r="4" spans="1:7" ht="12.75" customHeight="1">
      <c r="A4" s="26">
        <v>45489</v>
      </c>
      <c r="B4" s="525" t="s">
        <v>225</v>
      </c>
      <c r="C4" s="525"/>
      <c r="D4" s="525"/>
      <c r="E4" s="525"/>
      <c r="F4" s="525"/>
      <c r="G4" s="27" t="s">
        <v>226</v>
      </c>
    </row>
    <row r="5" spans="1:7" ht="12.75" customHeight="1">
      <c r="A5" s="28"/>
      <c r="B5" s="525"/>
      <c r="C5" s="525"/>
      <c r="D5" s="525"/>
      <c r="E5" s="525"/>
      <c r="F5" s="525"/>
      <c r="G5" s="27"/>
    </row>
    <row r="6" spans="1:7">
      <c r="A6" s="28"/>
      <c r="B6" s="526"/>
      <c r="C6" s="526"/>
      <c r="D6" s="526"/>
      <c r="E6" s="526"/>
      <c r="F6" s="526"/>
      <c r="G6" s="29"/>
    </row>
    <row r="7" spans="1:7">
      <c r="A7" s="28"/>
      <c r="B7" s="526"/>
      <c r="C7" s="526"/>
      <c r="D7" s="526"/>
      <c r="E7" s="526"/>
      <c r="F7" s="526"/>
      <c r="G7" s="29"/>
    </row>
    <row r="8" spans="1:7">
      <c r="A8" s="28"/>
      <c r="B8" s="30"/>
      <c r="C8" s="30"/>
      <c r="D8" s="30"/>
      <c r="E8" s="30"/>
      <c r="F8" s="30"/>
      <c r="G8" s="29"/>
    </row>
    <row r="9" spans="1:7">
      <c r="A9" s="520" t="s">
        <v>227</v>
      </c>
      <c r="B9" s="521"/>
      <c r="C9" s="521"/>
      <c r="D9" s="521"/>
      <c r="E9" s="521"/>
      <c r="F9" s="521"/>
      <c r="G9" s="522"/>
    </row>
    <row r="10" spans="1:7" s="4" customFormat="1">
      <c r="A10" s="31"/>
      <c r="B10" s="524" t="s">
        <v>40</v>
      </c>
      <c r="C10" s="524"/>
      <c r="D10" s="524" t="s">
        <v>41</v>
      </c>
      <c r="E10" s="524"/>
      <c r="F10" s="31" t="s">
        <v>37</v>
      </c>
      <c r="G10" s="31" t="s">
        <v>42</v>
      </c>
    </row>
    <row r="11" spans="1:7">
      <c r="A11" s="32" t="s">
        <v>43</v>
      </c>
      <c r="B11" s="525" t="s">
        <v>44</v>
      </c>
      <c r="C11" s="525"/>
      <c r="D11" s="523" t="s">
        <v>45</v>
      </c>
      <c r="E11" s="523"/>
      <c r="F11" s="28" t="s">
        <v>78</v>
      </c>
      <c r="G11" s="29"/>
    </row>
    <row r="12" spans="1:7">
      <c r="A12" s="32" t="s">
        <v>46</v>
      </c>
      <c r="B12" s="523" t="s">
        <v>47</v>
      </c>
      <c r="C12" s="523"/>
      <c r="D12" s="523" t="s">
        <v>79</v>
      </c>
      <c r="E12" s="523"/>
      <c r="F12" s="28" t="s">
        <v>78</v>
      </c>
      <c r="G12" s="29"/>
    </row>
    <row r="13" spans="1:7">
      <c r="A13" s="32" t="s">
        <v>48</v>
      </c>
      <c r="B13" s="523" t="s">
        <v>47</v>
      </c>
      <c r="C13" s="523"/>
      <c r="D13" s="523" t="s">
        <v>79</v>
      </c>
      <c r="E13" s="523"/>
      <c r="F13" s="28" t="s">
        <v>78</v>
      </c>
      <c r="G13" s="29"/>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5546875" defaultRowHeight="15"/>
  <cols>
    <col min="1" max="1" width="55.42578125" customWidth="1"/>
    <col min="5" max="5" width="20.140625" customWidth="1"/>
    <col min="6" max="6" width="34.7109375" customWidth="1"/>
  </cols>
  <sheetData>
    <row r="1" spans="1:6" ht="52.5" customHeight="1">
      <c r="A1" s="22" t="s">
        <v>49</v>
      </c>
      <c r="E1" s="5" t="s">
        <v>50</v>
      </c>
      <c r="F1" s="5" t="s">
        <v>51</v>
      </c>
    </row>
    <row r="2" spans="1:6" ht="25.5" customHeight="1">
      <c r="A2" s="21" t="s">
        <v>52</v>
      </c>
      <c r="E2" s="6">
        <v>0</v>
      </c>
      <c r="F2" s="7" t="s">
        <v>53</v>
      </c>
    </row>
    <row r="3" spans="1:6" ht="45" customHeight="1">
      <c r="A3" s="21" t="s">
        <v>54</v>
      </c>
      <c r="E3" s="6">
        <v>1</v>
      </c>
      <c r="F3" s="7" t="s">
        <v>55</v>
      </c>
    </row>
    <row r="4" spans="1:6" ht="45" customHeight="1">
      <c r="A4" s="21" t="s">
        <v>56</v>
      </c>
      <c r="E4" s="6">
        <v>2</v>
      </c>
      <c r="F4" s="7" t="s">
        <v>57</v>
      </c>
    </row>
    <row r="5" spans="1:6" ht="45" customHeight="1">
      <c r="A5" s="21" t="s">
        <v>58</v>
      </c>
      <c r="E5" s="6">
        <v>3</v>
      </c>
      <c r="F5" s="7" t="s">
        <v>59</v>
      </c>
    </row>
    <row r="6" spans="1:6" ht="45" customHeight="1">
      <c r="A6" s="21" t="s">
        <v>60</v>
      </c>
      <c r="E6" s="6">
        <v>4</v>
      </c>
      <c r="F6" s="7" t="s">
        <v>61</v>
      </c>
    </row>
    <row r="7" spans="1:6" ht="45" customHeight="1">
      <c r="A7" s="21" t="s">
        <v>62</v>
      </c>
      <c r="E7" s="6">
        <v>5</v>
      </c>
      <c r="F7" s="7" t="s">
        <v>63</v>
      </c>
    </row>
    <row r="8" spans="1:6" ht="45" customHeight="1">
      <c r="A8" s="21" t="s">
        <v>64</v>
      </c>
    </row>
    <row r="9" spans="1:6" ht="45" customHeight="1">
      <c r="A9" s="21" t="s">
        <v>65</v>
      </c>
    </row>
    <row r="10" spans="1:6" ht="45" customHeight="1">
      <c r="A10" s="21" t="s">
        <v>66</v>
      </c>
    </row>
    <row r="11" spans="1:6" ht="45" customHeight="1">
      <c r="A11" s="21" t="s">
        <v>67</v>
      </c>
    </row>
    <row r="12" spans="1:6" ht="45" customHeight="1">
      <c r="A12" s="21" t="s">
        <v>68</v>
      </c>
    </row>
    <row r="13" spans="1:6" ht="45" customHeight="1">
      <c r="A13" s="21" t="s">
        <v>69</v>
      </c>
    </row>
    <row r="14" spans="1:6" ht="45" customHeight="1">
      <c r="A14" s="21" t="s">
        <v>70</v>
      </c>
    </row>
    <row r="15" spans="1:6" ht="45" customHeight="1">
      <c r="A15" s="21" t="s">
        <v>71</v>
      </c>
    </row>
    <row r="16" spans="1:6" ht="45" customHeight="1">
      <c r="A16" s="21" t="s">
        <v>72</v>
      </c>
    </row>
    <row r="17" spans="1:1" ht="45" customHeight="1">
      <c r="A17" s="21" t="s">
        <v>73</v>
      </c>
    </row>
    <row r="18" spans="1:1" ht="45" customHeight="1">
      <c r="A18" s="21" t="s">
        <v>74</v>
      </c>
    </row>
    <row r="19" spans="1:1" ht="45" customHeight="1">
      <c r="A19" s="21" t="s">
        <v>75</v>
      </c>
    </row>
    <row r="20" spans="1:1" ht="45" customHeight="1">
      <c r="A20" s="21" t="s">
        <v>76</v>
      </c>
    </row>
    <row r="21" spans="1:1" ht="45" customHeight="1">
      <c r="A21" s="21" t="s">
        <v>77</v>
      </c>
    </row>
    <row r="22" spans="1:1" ht="45" customHeight="1"/>
    <row r="23" spans="1:1" ht="45" customHeight="1"/>
    <row r="24" spans="1:1" ht="45" customHeight="1"/>
    <row r="25" spans="1:1" ht="45" customHeight="1"/>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41CA3-66D5-4687-8004-76F6CD0D837E}">
  <dimension ref="A1:N16"/>
  <sheetViews>
    <sheetView tabSelected="1" workbookViewId="0">
      <selection activeCell="E3" sqref="E3"/>
    </sheetView>
  </sheetViews>
  <sheetFormatPr baseColWidth="10" defaultRowHeight="15"/>
  <cols>
    <col min="1" max="1" width="10.28515625" customWidth="1"/>
    <col min="2" max="2" width="22.140625" customWidth="1"/>
    <col min="3" max="4" width="22.140625" style="254" customWidth="1"/>
    <col min="5" max="9" width="22.140625" customWidth="1"/>
    <col min="10" max="10" width="19.140625" customWidth="1"/>
    <col min="11" max="11" width="18.28515625" customWidth="1"/>
    <col min="12" max="12" width="23.42578125" customWidth="1"/>
    <col min="13" max="13" width="17.28515625" customWidth="1"/>
    <col min="14" max="14" width="19.140625" customWidth="1"/>
  </cols>
  <sheetData>
    <row r="1" spans="1:14" ht="45">
      <c r="A1" s="250" t="s">
        <v>634</v>
      </c>
      <c r="B1" s="251" t="s">
        <v>32</v>
      </c>
      <c r="C1" s="251" t="s">
        <v>635</v>
      </c>
      <c r="D1" s="251" t="s">
        <v>636</v>
      </c>
      <c r="E1" s="251"/>
      <c r="F1" s="251" t="s">
        <v>637</v>
      </c>
      <c r="G1" s="251" t="s">
        <v>635</v>
      </c>
      <c r="H1" s="251"/>
      <c r="I1" s="251"/>
      <c r="J1" s="251" t="s">
        <v>624</v>
      </c>
      <c r="K1" s="251" t="s">
        <v>625</v>
      </c>
      <c r="L1" s="251" t="s">
        <v>626</v>
      </c>
      <c r="M1" s="251" t="s">
        <v>638</v>
      </c>
      <c r="N1" s="252" t="s">
        <v>639</v>
      </c>
    </row>
    <row r="2" spans="1:14" ht="60">
      <c r="A2" s="255">
        <v>1</v>
      </c>
      <c r="B2" s="253" t="s">
        <v>228</v>
      </c>
      <c r="C2" s="256">
        <v>9.1792207792207786E-2</v>
      </c>
      <c r="D2" s="256">
        <v>0.11188920454545455</v>
      </c>
      <c r="F2" s="257" t="s">
        <v>475</v>
      </c>
      <c r="G2" s="256">
        <v>5.8730158730158723E-2</v>
      </c>
      <c r="J2" s="259">
        <f>+'3. INVERSIÓN'!AI12</f>
        <v>230000000</v>
      </c>
      <c r="K2" s="259">
        <f>+'3. INVERSIÓN'!AJ12</f>
        <v>40800000</v>
      </c>
      <c r="L2" s="259">
        <f>+'3. INVERSIÓN'!AK12</f>
        <v>0</v>
      </c>
      <c r="M2" s="260">
        <f>+'3. INVERSIÓN'!AL12</f>
        <v>0.17739130434782607</v>
      </c>
      <c r="N2" s="260">
        <f>+'3. INVERSIÓN'!AM12</f>
        <v>0</v>
      </c>
    </row>
    <row r="3" spans="1:14" ht="60">
      <c r="A3" s="255">
        <v>2</v>
      </c>
      <c r="B3" s="253" t="s">
        <v>229</v>
      </c>
      <c r="C3" s="256">
        <v>0.57470056638347489</v>
      </c>
      <c r="D3" s="256">
        <v>0.31397222222222226</v>
      </c>
      <c r="F3" s="258" t="s">
        <v>476</v>
      </c>
      <c r="G3" s="256">
        <v>0.51513131313131311</v>
      </c>
      <c r="J3" s="259">
        <f>+'3. INVERSIÓN'!AI16</f>
        <v>242000000</v>
      </c>
      <c r="K3" s="259">
        <f>+'3. INVERSIÓN'!AJ16</f>
        <v>46180000</v>
      </c>
      <c r="L3" s="259">
        <f>+'3. INVERSIÓN'!AK16</f>
        <v>0</v>
      </c>
      <c r="M3" s="260">
        <f>+'3. INVERSIÓN'!AL16</f>
        <v>0.19082644628099174</v>
      </c>
      <c r="N3" s="260">
        <f>+'3. INVERSIÓN'!AM16</f>
        <v>0</v>
      </c>
    </row>
    <row r="4" spans="1:14" ht="60">
      <c r="A4" s="255">
        <v>3</v>
      </c>
      <c r="B4" s="253" t="s">
        <v>230</v>
      </c>
      <c r="C4" s="256">
        <v>8.6781250000000004E-2</v>
      </c>
      <c r="D4" s="256">
        <v>0.13305328807981076</v>
      </c>
      <c r="F4" s="258" t="s">
        <v>641</v>
      </c>
      <c r="G4" s="256">
        <v>0.10453124999999999</v>
      </c>
      <c r="J4" s="259">
        <f>+'3. INVERSIÓN'!AI21</f>
        <v>175684800</v>
      </c>
      <c r="K4" s="259">
        <f>+'3. INVERSIÓN'!AJ21</f>
        <v>41600000</v>
      </c>
      <c r="L4" s="259">
        <f>+'3. INVERSIÓN'!AK21</f>
        <v>0</v>
      </c>
      <c r="M4" s="260">
        <f>+'3. INVERSIÓN'!AL21</f>
        <v>0.2367877016110671</v>
      </c>
      <c r="N4" s="260">
        <f>+'3. INVERSIÓN'!AM21</f>
        <v>0</v>
      </c>
    </row>
    <row r="5" spans="1:14" ht="75">
      <c r="A5" s="255">
        <v>4</v>
      </c>
      <c r="B5" s="253" t="s">
        <v>231</v>
      </c>
      <c r="C5" s="256">
        <v>0</v>
      </c>
      <c r="D5" s="256">
        <v>0</v>
      </c>
      <c r="F5" s="258" t="s">
        <v>478</v>
      </c>
      <c r="G5" s="256">
        <v>5.1515151515151517E-3</v>
      </c>
      <c r="J5" s="259">
        <f>+'3. INVERSIÓN'!AI25</f>
        <v>3000000000</v>
      </c>
      <c r="K5" s="259">
        <f>+'3. INVERSIÓN'!AJ25</f>
        <v>37500000</v>
      </c>
      <c r="L5" s="259">
        <f>+'3. INVERSIÓN'!AK25</f>
        <v>0</v>
      </c>
      <c r="M5" s="260">
        <f>+'3. INVERSIÓN'!AL25</f>
        <v>1.2500000000000001E-2</v>
      </c>
      <c r="N5" s="260">
        <f>+'3. INVERSIÓN'!AM25</f>
        <v>0</v>
      </c>
    </row>
    <row r="6" spans="1:14" ht="75">
      <c r="A6" s="255">
        <v>5</v>
      </c>
      <c r="B6" s="253" t="s">
        <v>633</v>
      </c>
      <c r="C6" s="256">
        <v>5.210980392156863E-2</v>
      </c>
      <c r="D6" s="256">
        <v>0.16012960526315789</v>
      </c>
      <c r="F6" s="258" t="s">
        <v>642</v>
      </c>
      <c r="G6" s="256">
        <v>0.13965546218487396</v>
      </c>
      <c r="J6" s="259">
        <f>+'3. INVERSIÓN'!AI34</f>
        <v>3600000000</v>
      </c>
      <c r="K6" s="259">
        <f>+'3. INVERSIÓN'!AJ34</f>
        <v>74575000</v>
      </c>
      <c r="L6" s="259">
        <f>+'3. INVERSIÓN'!AK34</f>
        <v>0</v>
      </c>
      <c r="M6" s="260">
        <f>+'3. INVERSIÓN'!AL34</f>
        <v>2.0715277777777777E-2</v>
      </c>
      <c r="N6" s="260">
        <f>+'3. INVERSIÓN'!AM34</f>
        <v>0</v>
      </c>
    </row>
    <row r="7" spans="1:14" ht="60">
      <c r="A7" s="255">
        <v>6</v>
      </c>
      <c r="B7" s="253" t="s">
        <v>233</v>
      </c>
      <c r="C7" s="256">
        <v>1.8249999999999999E-2</v>
      </c>
      <c r="D7" s="256">
        <v>1.1724999999999999E-2</v>
      </c>
      <c r="F7" s="258" t="s">
        <v>643</v>
      </c>
      <c r="G7" s="256">
        <v>1.8249999999999999E-2</v>
      </c>
      <c r="J7" s="259">
        <f>+'3. INVERSIÓN'!AI37</f>
        <v>307000000</v>
      </c>
      <c r="K7" s="259">
        <f>+'3. INVERSIÓN'!AJ37</f>
        <v>22050000</v>
      </c>
      <c r="L7" s="259">
        <f>+'3. INVERSIÓN'!AK37</f>
        <v>0</v>
      </c>
      <c r="M7" s="260">
        <f>+'3. INVERSIÓN'!AL37</f>
        <v>7.1824104234527689E-2</v>
      </c>
      <c r="N7" s="260">
        <f>+'3. INVERSIÓN'!AM37</f>
        <v>0</v>
      </c>
    </row>
    <row r="8" spans="1:14" ht="60">
      <c r="A8" s="255">
        <v>7</v>
      </c>
      <c r="B8" s="253" t="s">
        <v>234</v>
      </c>
      <c r="C8" s="256">
        <v>0.45375722543352603</v>
      </c>
      <c r="D8" s="256">
        <v>0.32221001221001222</v>
      </c>
      <c r="F8" s="258" t="s">
        <v>481</v>
      </c>
      <c r="G8" s="256">
        <v>0.46531791907514453</v>
      </c>
      <c r="J8" s="259">
        <f>+'3. INVERSIÓN'!AI42</f>
        <v>250000000</v>
      </c>
      <c r="K8" s="259">
        <f>+'3. INVERSIÓN'!AJ42</f>
        <v>29400000</v>
      </c>
      <c r="L8" s="259">
        <f>+'3. INVERSIÓN'!AK42</f>
        <v>0</v>
      </c>
      <c r="M8" s="260">
        <f>+'3. INVERSIÓN'!AL42</f>
        <v>0.1176</v>
      </c>
      <c r="N8" s="260">
        <f>+'3. INVERSIÓN'!AM42</f>
        <v>0</v>
      </c>
    </row>
    <row r="9" spans="1:14" ht="60">
      <c r="A9" s="534">
        <v>8</v>
      </c>
      <c r="B9" s="530" t="s">
        <v>235</v>
      </c>
      <c r="C9" s="532">
        <v>0</v>
      </c>
      <c r="D9" s="532">
        <v>0.17161111111111113</v>
      </c>
      <c r="F9" s="258" t="s">
        <v>482</v>
      </c>
      <c r="G9" s="256">
        <v>0</v>
      </c>
      <c r="J9" s="259">
        <f>+'3. INVERSIÓN'!AI48</f>
        <v>3205000000</v>
      </c>
      <c r="K9" s="259">
        <f>+'3. INVERSIÓN'!AJ48</f>
        <v>100180000</v>
      </c>
      <c r="L9" s="259">
        <f>+'3. INVERSIÓN'!AK48</f>
        <v>0</v>
      </c>
      <c r="M9" s="260">
        <f>+'3. INVERSIÓN'!AL48</f>
        <v>3.125741029641186E-2</v>
      </c>
      <c r="N9" s="260">
        <f>+'3. INVERSIÓN'!AM48</f>
        <v>0</v>
      </c>
    </row>
    <row r="10" spans="1:14" ht="45">
      <c r="A10" s="535"/>
      <c r="B10" s="531"/>
      <c r="C10" s="533"/>
      <c r="D10" s="533"/>
      <c r="F10" s="258" t="s">
        <v>483</v>
      </c>
      <c r="G10" s="256">
        <v>0</v>
      </c>
      <c r="J10" s="259">
        <f>+'3. INVERSIÓN'!AI55</f>
        <v>20000000</v>
      </c>
      <c r="K10" s="259">
        <f>+'3. INVERSIÓN'!AJ55</f>
        <v>0</v>
      </c>
      <c r="L10" s="259">
        <f>+'3. INVERSIÓN'!AK55</f>
        <v>0</v>
      </c>
      <c r="M10" s="260">
        <f>+'3. INVERSIÓN'!AL55</f>
        <v>0</v>
      </c>
      <c r="N10" s="260">
        <f>+'3. INVERSIÓN'!AM55</f>
        <v>0</v>
      </c>
    </row>
    <row r="11" spans="1:14" ht="75">
      <c r="A11" s="255">
        <v>9</v>
      </c>
      <c r="B11" s="253" t="s">
        <v>236</v>
      </c>
      <c r="C11" s="256">
        <v>0.25</v>
      </c>
      <c r="D11" s="256">
        <v>0.33088235294117646</v>
      </c>
      <c r="F11" s="258" t="s">
        <v>499</v>
      </c>
      <c r="G11" s="256">
        <v>0.21428571428571427</v>
      </c>
      <c r="J11" s="259">
        <f>+'3. INVERSIÓN'!AI59</f>
        <v>225000000</v>
      </c>
      <c r="K11" s="259">
        <f>+'3. INVERSIÓN'!AJ59</f>
        <v>16500000</v>
      </c>
      <c r="L11" s="259">
        <f>+'3. INVERSIÓN'!AK59</f>
        <v>0</v>
      </c>
      <c r="M11" s="260">
        <f>+'3. INVERSIÓN'!AL59</f>
        <v>7.3333333333333334E-2</v>
      </c>
      <c r="N11" s="260">
        <f>+'3. INVERSIÓN'!AM59</f>
        <v>0</v>
      </c>
    </row>
    <row r="12" spans="1:14" ht="75">
      <c r="A12" s="255">
        <v>10</v>
      </c>
      <c r="B12" s="253" t="s">
        <v>237</v>
      </c>
      <c r="C12" s="256">
        <v>0.2583333333333333</v>
      </c>
      <c r="D12" s="256">
        <v>0.27916666666666667</v>
      </c>
      <c r="F12" s="258" t="s">
        <v>623</v>
      </c>
      <c r="G12" s="256">
        <v>0.16296296296296295</v>
      </c>
      <c r="J12" s="259">
        <f>+'3. INVERSIÓN'!AI66</f>
        <v>1987841854</v>
      </c>
      <c r="K12" s="259">
        <f>+'3. INVERSIÓN'!AJ66</f>
        <v>358785000</v>
      </c>
      <c r="L12" s="259">
        <f>+'3. INVERSIÓN'!AK66</f>
        <v>22925000</v>
      </c>
      <c r="M12" s="260">
        <f>+'3. INVERSIÓN'!AL66</f>
        <v>0.18048971012359014</v>
      </c>
      <c r="N12" s="260">
        <f>+'3. INVERSIÓN'!AM66</f>
        <v>1.1532607563257394E-2</v>
      </c>
    </row>
    <row r="13" spans="1:14" ht="75">
      <c r="A13" s="255">
        <v>11</v>
      </c>
      <c r="B13" s="253" t="s">
        <v>640</v>
      </c>
      <c r="C13" s="256">
        <v>0</v>
      </c>
      <c r="D13" s="256">
        <v>0</v>
      </c>
      <c r="F13" s="258" t="s">
        <v>479</v>
      </c>
      <c r="G13" s="256">
        <v>0</v>
      </c>
      <c r="J13" s="259">
        <v>0</v>
      </c>
      <c r="K13" s="259"/>
      <c r="L13" s="259"/>
      <c r="M13" s="260"/>
      <c r="N13" s="260"/>
    </row>
    <row r="15" spans="1:14" ht="15.75" thickBot="1"/>
    <row r="16" spans="1:14" ht="105.75" thickBot="1">
      <c r="B16" s="261" t="s">
        <v>646</v>
      </c>
      <c r="C16" s="264">
        <f>AVERAGE(C2:C15)</f>
        <v>0.16233858062401005</v>
      </c>
      <c r="D16" s="263">
        <f>AVERAGE(D2:D15)</f>
        <v>0.16678540573087383</v>
      </c>
      <c r="F16" s="262" t="s">
        <v>647</v>
      </c>
      <c r="G16" s="263">
        <f>AVERAGE(G2:G15)</f>
        <v>0.14033469129347356</v>
      </c>
      <c r="I16" s="261" t="s">
        <v>648</v>
      </c>
      <c r="J16" s="265">
        <f>SUM(J2:J15)</f>
        <v>13242526654</v>
      </c>
      <c r="K16" s="266">
        <f t="shared" ref="K16:L16" si="0">SUM(K2:K15)</f>
        <v>767570000</v>
      </c>
      <c r="L16" s="265">
        <f t="shared" si="0"/>
        <v>22925000</v>
      </c>
      <c r="M16" s="267">
        <f>+K16/J16</f>
        <v>5.7962503686420745E-2</v>
      </c>
      <c r="N16" s="268">
        <f>+L16/J16</f>
        <v>1.7311651015688414E-3</v>
      </c>
    </row>
  </sheetData>
  <mergeCells count="4">
    <mergeCell ref="B9:B10"/>
    <mergeCell ref="C9:C10"/>
    <mergeCell ref="D9:D10"/>
    <mergeCell ref="A9:A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INSTRUCTIVO</vt:lpstr>
      <vt:lpstr>1. ESTRATÉGICO</vt:lpstr>
      <vt:lpstr>2. GESTIÓN-MIPG</vt:lpstr>
      <vt:lpstr>3. INVERSIÓN</vt:lpstr>
      <vt:lpstr>CONTROL DE CAMBIOS </vt:lpstr>
      <vt:lpstr>ANEXO1</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Luz Marlene Andrade Hong</cp:lastModifiedBy>
  <dcterms:created xsi:type="dcterms:W3CDTF">2024-07-04T17:50:33Z</dcterms:created>
  <dcterms:modified xsi:type="dcterms:W3CDTF">2025-05-05T23:25:51Z</dcterms:modified>
</cp:coreProperties>
</file>