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firstSheet="6" activeTab="7"/>
  </bookViews>
  <sheets>
    <sheet name="Seguridad Humana" sheetId="1" r:id="rId1"/>
    <sheet name="Vida Digna" sheetId="2" r:id="rId2"/>
    <sheet name="Desarrollo Economico" sheetId="3" r:id="rId3"/>
    <sheet name="Ciudad Conectada" sheetId="4" r:id="rId4"/>
    <sheet name="Innovación Pública" sheetId="5" r:id="rId5"/>
    <sheet name="Capitulo Etnico" sheetId="6" r:id="rId6"/>
    <sheet name="CRITERIOS DE EVALUACIÓN" sheetId="9" r:id="rId7"/>
    <sheet name="PLAN DE DESARROLLO 2024 - 2027" sheetId="8" r:id="rId8"/>
    <sheet name="SEGUIMIENTO DEL PLAN DE DESARRO" sheetId="7" r:id="rId9"/>
  </sheets>
  <definedNames>
    <definedName name="_xlnm._FilterDatabase" localSheetId="5" hidden="1">'Capitulo Etnico'!$A$2:$U$53</definedName>
    <definedName name="_xlnm._FilterDatabase" localSheetId="3" hidden="1">'Ciudad Conectada'!$A$2:$V$171</definedName>
    <definedName name="_xlnm._FilterDatabase" localSheetId="2" hidden="1">'Desarrollo Economico'!$A$2:$U$132</definedName>
    <definedName name="_xlnm._FilterDatabase" localSheetId="4" hidden="1">'Innovación Pública'!$A$2:$V$141</definedName>
    <definedName name="_xlnm._FilterDatabase" localSheetId="0" hidden="1">'Seguridad Humana'!$A$2:$AH$211</definedName>
    <definedName name="_xlnm._FilterDatabase" localSheetId="1" hidden="1">'Vida Digna'!$A$2:$Z$205</definedName>
  </definedNames>
  <calcPr calcId="162913"/>
</workbook>
</file>

<file path=xl/calcChain.xml><?xml version="1.0" encoding="utf-8"?>
<calcChain xmlns="http://schemas.openxmlformats.org/spreadsheetml/2006/main">
  <c r="F100" i="2" l="1"/>
  <c r="M97" i="2"/>
  <c r="N97" i="2" s="1"/>
  <c r="L97" i="2"/>
  <c r="I97" i="2"/>
  <c r="H97" i="2"/>
  <c r="L96" i="2"/>
  <c r="M93" i="2"/>
  <c r="H50" i="4" l="1"/>
  <c r="H37" i="4" s="1"/>
  <c r="M50" i="4"/>
  <c r="G130" i="8"/>
  <c r="F130" i="8"/>
  <c r="E130" i="8"/>
  <c r="M37" i="4"/>
  <c r="K37" i="4"/>
  <c r="N50" i="4"/>
  <c r="N37" i="4" s="1"/>
  <c r="K50" i="4"/>
  <c r="M52" i="4"/>
  <c r="N52" i="4" s="1"/>
  <c r="K52" i="4"/>
  <c r="L52" i="4" s="1"/>
  <c r="L50" i="4" s="1"/>
  <c r="L37" i="4" s="1"/>
  <c r="I52" i="4"/>
  <c r="I50" i="4" s="1"/>
  <c r="I37" i="4" s="1"/>
  <c r="H52" i="4"/>
  <c r="H26" i="4" l="1"/>
  <c r="H127" i="8"/>
  <c r="F127" i="8"/>
  <c r="E127" i="8"/>
  <c r="N26" i="4"/>
  <c r="M26" i="4"/>
  <c r="L26" i="4"/>
  <c r="K26" i="4"/>
  <c r="I26" i="4"/>
  <c r="H27" i="4"/>
  <c r="M27" i="4"/>
  <c r="N27" i="4"/>
  <c r="K27" i="4"/>
  <c r="L27" i="4"/>
  <c r="I27" i="4"/>
  <c r="M125" i="3"/>
  <c r="K97" i="3"/>
  <c r="M96" i="3"/>
  <c r="M54" i="3"/>
  <c r="M40" i="3"/>
  <c r="M28" i="3"/>
  <c r="M89" i="2" l="1"/>
  <c r="I130" i="1"/>
  <c r="M32" i="1"/>
  <c r="K32" i="1"/>
  <c r="K49" i="4" l="1"/>
  <c r="H142" i="4" l="1"/>
  <c r="L31" i="4"/>
  <c r="M31" i="4"/>
  <c r="N31" i="4" s="1"/>
  <c r="I31" i="4"/>
  <c r="H31" i="4"/>
  <c r="M78" i="5" l="1"/>
  <c r="K78" i="5"/>
  <c r="M38" i="4" l="1"/>
  <c r="F155" i="2" l="1"/>
  <c r="M170" i="2"/>
  <c r="M169" i="2"/>
  <c r="K171" i="2"/>
  <c r="F17" i="1" l="1"/>
  <c r="M102" i="1" l="1"/>
  <c r="K105" i="1"/>
  <c r="M105" i="1"/>
  <c r="M109" i="1"/>
  <c r="M99" i="1"/>
  <c r="M103" i="1"/>
  <c r="K103" i="1"/>
  <c r="H101" i="1"/>
  <c r="M100" i="1"/>
  <c r="M131" i="1" l="1"/>
  <c r="M36" i="1"/>
  <c r="M57" i="1" l="1"/>
  <c r="M173" i="2" l="1"/>
  <c r="L173" i="2"/>
  <c r="K173" i="2"/>
  <c r="M5" i="1" l="1"/>
  <c r="N11" i="1"/>
  <c r="M11" i="1"/>
  <c r="L11" i="1"/>
  <c r="K11" i="1"/>
  <c r="I11" i="1"/>
  <c r="H11" i="1"/>
  <c r="K46" i="3" l="1"/>
  <c r="H46" i="3"/>
  <c r="H45" i="3"/>
  <c r="M47" i="3"/>
  <c r="N47" i="3" s="1"/>
  <c r="L47" i="3"/>
  <c r="I47" i="3"/>
  <c r="H47" i="3"/>
  <c r="H93" i="8"/>
  <c r="F93" i="8"/>
  <c r="E93" i="8"/>
  <c r="D93" i="8"/>
  <c r="K4" i="3"/>
  <c r="L4" i="3"/>
  <c r="M4" i="3"/>
  <c r="N4" i="3"/>
  <c r="M100" i="3"/>
  <c r="M33" i="3"/>
  <c r="L11" i="3"/>
  <c r="N11" i="3"/>
  <c r="M11" i="3"/>
  <c r="K11" i="3"/>
  <c r="I4" i="3"/>
  <c r="H4" i="3"/>
  <c r="I11" i="3"/>
  <c r="H11" i="3"/>
  <c r="I9" i="3"/>
  <c r="M14" i="3"/>
  <c r="N14" i="3" s="1"/>
  <c r="K14" i="3"/>
  <c r="L14" i="3" s="1"/>
  <c r="I14" i="3"/>
  <c r="H14" i="3"/>
  <c r="M13" i="3"/>
  <c r="N13" i="3" s="1"/>
  <c r="K13" i="3"/>
  <c r="L13" i="3" s="1"/>
  <c r="I13" i="3"/>
  <c r="H13" i="3"/>
  <c r="M12" i="3"/>
  <c r="N12" i="3" s="1"/>
  <c r="K12" i="3"/>
  <c r="L12" i="3" s="1"/>
  <c r="I12" i="3"/>
  <c r="H12" i="3"/>
  <c r="N10" i="3"/>
  <c r="K10" i="3"/>
  <c r="L15" i="3"/>
  <c r="N48" i="5"/>
  <c r="N57" i="5"/>
  <c r="N109" i="5"/>
  <c r="I191" i="8"/>
  <c r="G191" i="8"/>
  <c r="F191" i="8"/>
  <c r="E191" i="8"/>
  <c r="D191" i="8"/>
  <c r="H109" i="5"/>
  <c r="L109" i="5"/>
  <c r="K109" i="5"/>
  <c r="I109" i="5"/>
  <c r="N139" i="5"/>
  <c r="M139" i="5"/>
  <c r="L139" i="5"/>
  <c r="K139" i="5"/>
  <c r="I139" i="5"/>
  <c r="H139" i="5"/>
  <c r="M141" i="5"/>
  <c r="N141" i="5" s="1"/>
  <c r="K141" i="5"/>
  <c r="L141" i="5" s="1"/>
  <c r="I141" i="5"/>
  <c r="H141" i="5"/>
  <c r="M140" i="5"/>
  <c r="N140" i="5" s="1"/>
  <c r="K140" i="5"/>
  <c r="L140" i="5" s="1"/>
  <c r="I140" i="5"/>
  <c r="H140" i="5"/>
  <c r="I138" i="5"/>
  <c r="I50" i="5"/>
  <c r="I43" i="5"/>
  <c r="I58" i="5"/>
  <c r="I51" i="5"/>
  <c r="H176" i="1" l="1"/>
  <c r="L132" i="2" l="1"/>
  <c r="M65" i="4" l="1"/>
  <c r="N65" i="4" s="1"/>
  <c r="H110" i="5"/>
  <c r="M24" i="3"/>
  <c r="M15" i="3" s="1"/>
  <c r="M49" i="4"/>
  <c r="N49" i="4" s="1"/>
  <c r="L49" i="4"/>
  <c r="I49" i="4"/>
  <c r="H49" i="4"/>
  <c r="H4" i="5" l="1"/>
  <c r="M88" i="2"/>
  <c r="K130" i="3"/>
  <c r="M200" i="2" l="1"/>
  <c r="L200" i="2"/>
  <c r="K35" i="2" l="1"/>
  <c r="M38" i="2"/>
  <c r="M30" i="2"/>
  <c r="M15" i="2"/>
  <c r="K15" i="2"/>
  <c r="L56" i="3" l="1"/>
  <c r="L54" i="3"/>
  <c r="L95" i="5" l="1"/>
  <c r="M87" i="5"/>
  <c r="N87" i="5" s="1"/>
  <c r="K87" i="5"/>
  <c r="L87" i="5" s="1"/>
  <c r="I87" i="5"/>
  <c r="H87" i="5"/>
  <c r="L63" i="2" l="1"/>
  <c r="M63" i="2"/>
  <c r="N63" i="2" s="1"/>
  <c r="M53" i="2"/>
  <c r="N53" i="2" s="1"/>
  <c r="L54" i="2"/>
  <c r="M54" i="2"/>
  <c r="N54" i="2" s="1"/>
  <c r="M55" i="2"/>
  <c r="N55" i="2" s="1"/>
  <c r="L53" i="2"/>
  <c r="M48" i="2"/>
  <c r="M42" i="2"/>
  <c r="K42" i="2"/>
  <c r="L42" i="2" s="1"/>
  <c r="N42" i="2"/>
  <c r="N38" i="2"/>
  <c r="K38" i="2"/>
  <c r="L38" i="2" s="1"/>
  <c r="M37" i="2"/>
  <c r="N37" i="2" s="1"/>
  <c r="K37" i="2"/>
  <c r="L37" i="2" s="1"/>
  <c r="H37" i="2"/>
  <c r="I37" i="2"/>
  <c r="H38" i="2"/>
  <c r="I38" i="2"/>
  <c r="K23" i="6" l="1"/>
  <c r="K22" i="6" s="1"/>
  <c r="M23" i="6"/>
  <c r="N23" i="6" s="1"/>
  <c r="N22" i="6" s="1"/>
  <c r="I23" i="6"/>
  <c r="I22" i="6" s="1"/>
  <c r="H23" i="6"/>
  <c r="H22" i="6" s="1"/>
  <c r="L23" i="6" l="1"/>
  <c r="L22" i="6" s="1"/>
  <c r="M22" i="6"/>
  <c r="M111" i="1" l="1"/>
  <c r="N111" i="1" s="1"/>
  <c r="K111" i="1"/>
  <c r="L111" i="1" s="1"/>
  <c r="N100" i="1"/>
  <c r="L101" i="1"/>
  <c r="L100" i="1"/>
  <c r="M93" i="1"/>
  <c r="L99" i="1" l="1"/>
  <c r="I90" i="3" l="1"/>
  <c r="I87" i="3"/>
  <c r="M97" i="3"/>
  <c r="L97" i="3"/>
  <c r="L96" i="3" s="1"/>
  <c r="I97" i="3"/>
  <c r="I96" i="3" s="1"/>
  <c r="H97" i="3"/>
  <c r="H96" i="3" s="1"/>
  <c r="N97" i="3" l="1"/>
  <c r="N96" i="3" s="1"/>
  <c r="K96" i="3"/>
  <c r="M199" i="2"/>
  <c r="K79" i="5" l="1"/>
  <c r="K111" i="4" l="1"/>
  <c r="K120" i="4"/>
  <c r="M114" i="5" l="1"/>
  <c r="N114" i="5" s="1"/>
  <c r="L114" i="5"/>
  <c r="M17" i="4"/>
  <c r="M6" i="4"/>
  <c r="K6" i="4"/>
  <c r="L6" i="4" s="1"/>
  <c r="N6" i="4" l="1"/>
  <c r="L210" i="1"/>
  <c r="K136" i="2" l="1"/>
  <c r="L136" i="2" s="1"/>
  <c r="K135" i="2"/>
  <c r="L135" i="2" s="1"/>
  <c r="M135" i="2"/>
  <c r="N135" i="2" s="1"/>
  <c r="H135" i="2"/>
  <c r="I135" i="2"/>
  <c r="M136" i="2"/>
  <c r="N136" i="2" s="1"/>
  <c r="L74" i="2" l="1"/>
  <c r="K72" i="2"/>
  <c r="M59" i="2"/>
  <c r="N59" i="2" s="1"/>
  <c r="K59" i="2"/>
  <c r="L59" i="2" s="1"/>
  <c r="M31" i="2"/>
  <c r="N30" i="2"/>
  <c r="L30" i="2"/>
  <c r="M33" i="2"/>
  <c r="N33" i="2" s="1"/>
  <c r="K33" i="2"/>
  <c r="L33" i="2" s="1"/>
  <c r="M32" i="2"/>
  <c r="N32" i="2" s="1"/>
  <c r="L32" i="2"/>
  <c r="I24" i="2"/>
  <c r="M51" i="3" l="1"/>
  <c r="N51" i="3" s="1"/>
  <c r="L51" i="3"/>
  <c r="I51" i="3"/>
  <c r="H51" i="3"/>
  <c r="M49" i="3"/>
  <c r="N49" i="3" s="1"/>
  <c r="L49" i="3"/>
  <c r="H49" i="3"/>
  <c r="I49" i="3"/>
  <c r="M48" i="3"/>
  <c r="N48" i="3" s="1"/>
  <c r="L48" i="3"/>
  <c r="I48" i="3"/>
  <c r="H48" i="3"/>
  <c r="K31" i="3"/>
  <c r="L31" i="3" s="1"/>
  <c r="L28" i="3" s="1"/>
  <c r="I31" i="3"/>
  <c r="I28" i="3" s="1"/>
  <c r="H31" i="3"/>
  <c r="H28" i="3" s="1"/>
  <c r="N19" i="3"/>
  <c r="L19" i="3"/>
  <c r="I19" i="3"/>
  <c r="H19" i="3"/>
  <c r="M10" i="3"/>
  <c r="L10" i="3"/>
  <c r="I10" i="3"/>
  <c r="H10" i="3"/>
  <c r="M8" i="3"/>
  <c r="N8" i="3" s="1"/>
  <c r="K8" i="3"/>
  <c r="L8" i="3" s="1"/>
  <c r="I8" i="3"/>
  <c r="H8" i="3"/>
  <c r="K28" i="3" l="1"/>
  <c r="M72" i="4"/>
  <c r="N72" i="4" s="1"/>
  <c r="K72" i="4"/>
  <c r="L72" i="4" s="1"/>
  <c r="I72" i="4"/>
  <c r="H72" i="4"/>
  <c r="G70" i="4"/>
  <c r="M153" i="4" l="1"/>
  <c r="N153" i="4" s="1"/>
  <c r="K153" i="4"/>
  <c r="L153" i="4" s="1"/>
  <c r="I153" i="4"/>
  <c r="H153" i="4"/>
  <c r="M21" i="5"/>
  <c r="N21" i="5" s="1"/>
  <c r="K21" i="5"/>
  <c r="L21" i="5" s="1"/>
  <c r="I21" i="5"/>
  <c r="H21" i="5"/>
  <c r="L55" i="4"/>
  <c r="K56" i="4"/>
  <c r="L56" i="4" s="1"/>
  <c r="M56" i="4"/>
  <c r="N56" i="4" s="1"/>
  <c r="I56" i="4"/>
  <c r="H56" i="4"/>
  <c r="H55" i="4"/>
  <c r="M55" i="4"/>
  <c r="N55" i="4" s="1"/>
  <c r="I55" i="4"/>
  <c r="M46" i="5" l="1"/>
  <c r="H116" i="4"/>
  <c r="H113" i="4"/>
  <c r="H114" i="4"/>
  <c r="H115" i="4"/>
  <c r="H118" i="4"/>
  <c r="M61" i="2" l="1"/>
  <c r="M64" i="2"/>
  <c r="N64" i="2" s="1"/>
  <c r="K64" i="2"/>
  <c r="L64" i="2" s="1"/>
  <c r="N48" i="2"/>
  <c r="K48" i="2"/>
  <c r="L48" i="2" s="1"/>
  <c r="I48" i="2"/>
  <c r="H48" i="2"/>
  <c r="I13" i="2"/>
  <c r="I112" i="1" l="1"/>
  <c r="I108" i="1"/>
  <c r="K108" i="1"/>
  <c r="M108" i="1"/>
  <c r="M89" i="3" l="1"/>
  <c r="M43" i="1" l="1"/>
  <c r="I62" i="1" l="1"/>
  <c r="F62" i="1"/>
  <c r="L123" i="2" l="1"/>
  <c r="M34" i="4" l="1"/>
  <c r="N34" i="4" s="1"/>
  <c r="L34" i="4"/>
  <c r="F76" i="4" l="1"/>
  <c r="H104" i="4" l="1"/>
  <c r="I171" i="8" l="1"/>
  <c r="L169" i="2" l="1"/>
  <c r="N169" i="2"/>
  <c r="H169" i="2"/>
  <c r="I169" i="2"/>
  <c r="H90" i="1" l="1"/>
  <c r="I90" i="1"/>
  <c r="K90" i="1"/>
  <c r="L90" i="1" s="1"/>
  <c r="M90" i="1"/>
  <c r="N90" i="1" s="1"/>
  <c r="F51" i="1"/>
  <c r="H7" i="2" l="1"/>
  <c r="L6" i="1"/>
  <c r="M8" i="1"/>
  <c r="K8" i="1"/>
  <c r="L8" i="1" s="1"/>
  <c r="M6" i="1"/>
  <c r="K10" i="5"/>
  <c r="K11" i="5"/>
  <c r="I13" i="5"/>
  <c r="M131" i="4"/>
  <c r="N131" i="4" s="1"/>
  <c r="K131" i="4"/>
  <c r="L131" i="4" s="1"/>
  <c r="G143" i="4"/>
  <c r="L142" i="4"/>
  <c r="M142" i="4"/>
  <c r="N142" i="4" s="1"/>
  <c r="M102" i="4"/>
  <c r="N6" i="1" l="1"/>
  <c r="K87" i="3"/>
  <c r="L87" i="3" s="1"/>
  <c r="M87" i="3"/>
  <c r="N87" i="3" l="1"/>
  <c r="F39" i="4"/>
  <c r="F200" i="2"/>
  <c r="I200" i="2" s="1"/>
  <c r="M7" i="1" l="1"/>
  <c r="K147" i="1"/>
  <c r="L147" i="1" s="1"/>
  <c r="M147" i="1"/>
  <c r="N147" i="1" s="1"/>
  <c r="H147" i="1"/>
  <c r="I147" i="1"/>
  <c r="K132" i="1"/>
  <c r="F134" i="1"/>
  <c r="M173" i="1"/>
  <c r="I173" i="1"/>
  <c r="H173" i="1"/>
  <c r="I180" i="1"/>
  <c r="H183" i="1"/>
  <c r="G61" i="1" l="1"/>
  <c r="G60" i="1"/>
  <c r="F79" i="1"/>
  <c r="M79" i="1"/>
  <c r="K79" i="1"/>
  <c r="L79" i="1" s="1"/>
  <c r="K68" i="1"/>
  <c r="L68" i="1" s="1"/>
  <c r="M68" i="1"/>
  <c r="N68" i="1" s="1"/>
  <c r="K67" i="1"/>
  <c r="L67" i="1" s="1"/>
  <c r="M67" i="1"/>
  <c r="N67" i="1" s="1"/>
  <c r="M66" i="1"/>
  <c r="N66" i="1" s="1"/>
  <c r="K66" i="1"/>
  <c r="L66" i="1" s="1"/>
  <c r="N79" i="1" l="1"/>
  <c r="L39" i="3"/>
  <c r="M31" i="3"/>
  <c r="N31" i="3" l="1"/>
  <c r="F178" i="2"/>
  <c r="K178" i="2"/>
  <c r="M171" i="2"/>
  <c r="N171" i="2" s="1"/>
  <c r="M188" i="2"/>
  <c r="N188" i="2" s="1"/>
  <c r="L188" i="2"/>
  <c r="L95" i="2" l="1"/>
  <c r="M95" i="2"/>
  <c r="N95" i="2" s="1"/>
  <c r="H30" i="2" l="1"/>
  <c r="F17" i="2"/>
  <c r="I17" i="2" s="1"/>
  <c r="M25" i="4"/>
  <c r="M23" i="4"/>
  <c r="H17" i="2" l="1"/>
  <c r="K7" i="6"/>
  <c r="D81" i="8"/>
  <c r="Q4" i="7"/>
  <c r="N53" i="6"/>
  <c r="H137" i="5"/>
  <c r="I137" i="5"/>
  <c r="H138" i="5"/>
  <c r="M126" i="5"/>
  <c r="N126" i="5" s="1"/>
  <c r="L126" i="5"/>
  <c r="I158" i="8"/>
  <c r="I128" i="8"/>
  <c r="N119" i="4" l="1"/>
  <c r="M17" i="3"/>
  <c r="N17" i="3" s="1"/>
  <c r="I79" i="8" l="1"/>
  <c r="M96" i="2"/>
  <c r="N96" i="2" s="1"/>
  <c r="I56" i="8"/>
  <c r="M27" i="1" l="1"/>
  <c r="N27" i="1" s="1"/>
  <c r="M24" i="1"/>
  <c r="N24" i="1" s="1"/>
  <c r="H6" i="1"/>
  <c r="H27" i="1"/>
  <c r="I27" i="1" l="1"/>
  <c r="H34" i="4" l="1"/>
  <c r="I6" i="4"/>
  <c r="F121" i="1" l="1"/>
  <c r="M120" i="1"/>
  <c r="N120" i="1" s="1"/>
  <c r="K119" i="1"/>
  <c r="F107" i="1"/>
  <c r="I106" i="1"/>
  <c r="I95" i="1"/>
  <c r="K7" i="1" l="1"/>
  <c r="I7" i="1"/>
  <c r="H7" i="1"/>
  <c r="L7" i="1" l="1"/>
  <c r="N7" i="1"/>
  <c r="I7" i="2"/>
  <c r="B4" i="8" l="1"/>
  <c r="M132" i="3" l="1"/>
  <c r="N132" i="3" s="1"/>
  <c r="K132" i="3"/>
  <c r="L132" i="3" s="1"/>
  <c r="I132" i="3"/>
  <c r="H132" i="3"/>
  <c r="M131" i="3"/>
  <c r="N131" i="3" s="1"/>
  <c r="K131" i="3"/>
  <c r="L131" i="3" s="1"/>
  <c r="I131" i="3"/>
  <c r="H131" i="3"/>
  <c r="M130" i="3"/>
  <c r="N130" i="3" s="1"/>
  <c r="I130" i="3"/>
  <c r="H130" i="3"/>
  <c r="M126" i="3"/>
  <c r="N126" i="3" s="1"/>
  <c r="N125" i="3" s="1"/>
  <c r="K126" i="3"/>
  <c r="I126" i="3"/>
  <c r="H126" i="3"/>
  <c r="M119" i="3"/>
  <c r="N119" i="3" s="1"/>
  <c r="K119" i="3"/>
  <c r="L119" i="3" s="1"/>
  <c r="I119" i="3"/>
  <c r="H119" i="3"/>
  <c r="M114" i="3"/>
  <c r="N114" i="3" s="1"/>
  <c r="K114" i="3"/>
  <c r="L114" i="3" s="1"/>
  <c r="I114" i="3"/>
  <c r="H114" i="3"/>
  <c r="M111" i="3"/>
  <c r="N111" i="3" s="1"/>
  <c r="K111" i="3"/>
  <c r="L111" i="3" s="1"/>
  <c r="I111" i="3"/>
  <c r="H111" i="3"/>
  <c r="M109" i="3"/>
  <c r="N109" i="3" s="1"/>
  <c r="L109" i="3"/>
  <c r="I109" i="3"/>
  <c r="H109" i="3"/>
  <c r="M106" i="3"/>
  <c r="N106" i="3" s="1"/>
  <c r="K106" i="3"/>
  <c r="L106" i="3" s="1"/>
  <c r="I106" i="3"/>
  <c r="H106" i="3"/>
  <c r="M105" i="3"/>
  <c r="N105" i="3" s="1"/>
  <c r="K105" i="3"/>
  <c r="L105" i="3" s="1"/>
  <c r="I105" i="3"/>
  <c r="H105" i="3"/>
  <c r="M104" i="3"/>
  <c r="N104" i="3" s="1"/>
  <c r="K104" i="3"/>
  <c r="L104" i="3" s="1"/>
  <c r="I104" i="3"/>
  <c r="H104" i="3"/>
  <c r="M103" i="3"/>
  <c r="N103" i="3" s="1"/>
  <c r="I103" i="3"/>
  <c r="H103" i="3"/>
  <c r="M102" i="3"/>
  <c r="N102" i="3" s="1"/>
  <c r="K102" i="3"/>
  <c r="I102" i="3"/>
  <c r="H102" i="3"/>
  <c r="M90" i="3"/>
  <c r="N90" i="3" s="1"/>
  <c r="L90" i="3"/>
  <c r="H90" i="3"/>
  <c r="N89" i="3"/>
  <c r="L89" i="3"/>
  <c r="I89" i="3"/>
  <c r="H89" i="3"/>
  <c r="M88" i="3"/>
  <c r="K88" i="3"/>
  <c r="L88" i="3" s="1"/>
  <c r="I88" i="3"/>
  <c r="H88" i="3"/>
  <c r="H87" i="3"/>
  <c r="M62" i="3"/>
  <c r="N62" i="3" s="1"/>
  <c r="L62" i="3"/>
  <c r="I62" i="3"/>
  <c r="H62" i="3"/>
  <c r="M60" i="3"/>
  <c r="N60" i="3" s="1"/>
  <c r="L60" i="3"/>
  <c r="I60" i="3"/>
  <c r="H60" i="3"/>
  <c r="M56" i="3"/>
  <c r="N56" i="3" s="1"/>
  <c r="I56" i="3"/>
  <c r="H56" i="3"/>
  <c r="M52" i="3"/>
  <c r="N52" i="3" s="1"/>
  <c r="K52" i="3"/>
  <c r="L52" i="3" s="1"/>
  <c r="I52" i="3"/>
  <c r="H52" i="3"/>
  <c r="M44" i="3"/>
  <c r="K43" i="3"/>
  <c r="F104" i="8" s="1"/>
  <c r="I44" i="3"/>
  <c r="I43" i="3" s="1"/>
  <c r="E104" i="8" s="1"/>
  <c r="H44" i="3"/>
  <c r="H43" i="3" s="1"/>
  <c r="D104" i="8" s="1"/>
  <c r="M41" i="3"/>
  <c r="N41" i="3" s="1"/>
  <c r="L41" i="3"/>
  <c r="I41" i="3"/>
  <c r="H41" i="3"/>
  <c r="M39" i="3"/>
  <c r="N39" i="3" s="1"/>
  <c r="I39" i="3"/>
  <c r="H39" i="3"/>
  <c r="M38" i="3"/>
  <c r="N38" i="3" s="1"/>
  <c r="K38" i="3"/>
  <c r="L38" i="3" s="1"/>
  <c r="I38" i="3"/>
  <c r="H38" i="3"/>
  <c r="M37" i="3"/>
  <c r="N37" i="3" s="1"/>
  <c r="K37" i="3"/>
  <c r="L37" i="3" s="1"/>
  <c r="I37" i="3"/>
  <c r="H37" i="3"/>
  <c r="M25" i="3"/>
  <c r="N25" i="3" s="1"/>
  <c r="N24" i="3" s="1"/>
  <c r="I99" i="8" s="1"/>
  <c r="I25" i="3"/>
  <c r="H25" i="3"/>
  <c r="M23" i="3"/>
  <c r="N23" i="3" s="1"/>
  <c r="L23" i="3"/>
  <c r="I23" i="3"/>
  <c r="H23" i="3"/>
  <c r="M22" i="3"/>
  <c r="N22" i="3" s="1"/>
  <c r="I22" i="3"/>
  <c r="H22" i="3"/>
  <c r="M20" i="3"/>
  <c r="N20" i="3" s="1"/>
  <c r="K20" i="3"/>
  <c r="L20" i="3" s="1"/>
  <c r="I20" i="3"/>
  <c r="H20" i="3"/>
  <c r="M18" i="3"/>
  <c r="N18" i="3" s="1"/>
  <c r="K18" i="3"/>
  <c r="L18" i="3" s="1"/>
  <c r="I18" i="3"/>
  <c r="H18" i="3"/>
  <c r="K17" i="3"/>
  <c r="I17" i="3"/>
  <c r="H17" i="3"/>
  <c r="M9" i="3"/>
  <c r="N9" i="3" s="1"/>
  <c r="K9" i="3"/>
  <c r="L9" i="3" s="1"/>
  <c r="H9" i="3"/>
  <c r="M7" i="3"/>
  <c r="N7" i="3" s="1"/>
  <c r="K7" i="3"/>
  <c r="L7" i="3" s="1"/>
  <c r="I7" i="3"/>
  <c r="H7" i="3"/>
  <c r="M6" i="3"/>
  <c r="N6" i="3" s="1"/>
  <c r="I6" i="3"/>
  <c r="H6" i="3"/>
  <c r="M157" i="4"/>
  <c r="N157" i="4" s="1"/>
  <c r="K157" i="4"/>
  <c r="L157" i="4" s="1"/>
  <c r="I157" i="4"/>
  <c r="H157" i="4"/>
  <c r="M156" i="4"/>
  <c r="N156" i="4" s="1"/>
  <c r="K156" i="4"/>
  <c r="L156" i="4" s="1"/>
  <c r="I156" i="4"/>
  <c r="H156" i="4"/>
  <c r="M154" i="4"/>
  <c r="N154" i="4" s="1"/>
  <c r="K154" i="4"/>
  <c r="L154" i="4" s="1"/>
  <c r="I154" i="4"/>
  <c r="H154" i="4"/>
  <c r="M152" i="4"/>
  <c r="N152" i="4" s="1"/>
  <c r="K152" i="4"/>
  <c r="L152" i="4" s="1"/>
  <c r="I152" i="4"/>
  <c r="H152" i="4"/>
  <c r="M151" i="4"/>
  <c r="N151" i="4" s="1"/>
  <c r="K151" i="4"/>
  <c r="I151" i="4"/>
  <c r="H151" i="4"/>
  <c r="M148" i="4"/>
  <c r="N148" i="4" s="1"/>
  <c r="K148" i="4"/>
  <c r="L148" i="4" s="1"/>
  <c r="I148" i="4"/>
  <c r="H148" i="4"/>
  <c r="M147" i="4"/>
  <c r="N147" i="4" s="1"/>
  <c r="K147" i="4"/>
  <c r="L147" i="4" s="1"/>
  <c r="I147" i="4"/>
  <c r="H147" i="4"/>
  <c r="M146" i="4"/>
  <c r="K146" i="4"/>
  <c r="L146" i="4" s="1"/>
  <c r="I146" i="4"/>
  <c r="H146" i="4"/>
  <c r="M143" i="4"/>
  <c r="K143" i="4"/>
  <c r="L143" i="4" s="1"/>
  <c r="I143" i="4"/>
  <c r="H143" i="4"/>
  <c r="I142" i="4"/>
  <c r="M141" i="4"/>
  <c r="N141" i="4" s="1"/>
  <c r="K141" i="4"/>
  <c r="I141" i="4"/>
  <c r="H141" i="4"/>
  <c r="M137" i="4"/>
  <c r="N137" i="4" s="1"/>
  <c r="I137" i="4"/>
  <c r="H137" i="4"/>
  <c r="M134" i="4"/>
  <c r="N134" i="4" s="1"/>
  <c r="K134" i="4"/>
  <c r="L134" i="4" s="1"/>
  <c r="I134" i="4"/>
  <c r="H134" i="4"/>
  <c r="M133" i="4"/>
  <c r="N133" i="4" s="1"/>
  <c r="K133" i="4"/>
  <c r="L133" i="4" s="1"/>
  <c r="I133" i="4"/>
  <c r="H133" i="4"/>
  <c r="I131" i="4"/>
  <c r="H131" i="4"/>
  <c r="M128" i="4"/>
  <c r="N128" i="4" s="1"/>
  <c r="L128" i="4"/>
  <c r="I128" i="4"/>
  <c r="H128" i="4"/>
  <c r="M127" i="4"/>
  <c r="N127" i="4" s="1"/>
  <c r="L127" i="4"/>
  <c r="I127" i="4"/>
  <c r="H127" i="4"/>
  <c r="M125" i="4"/>
  <c r="N125" i="4" s="1"/>
  <c r="K125" i="4"/>
  <c r="L125" i="4" s="1"/>
  <c r="I125" i="4"/>
  <c r="H125" i="4"/>
  <c r="M122" i="4"/>
  <c r="N122" i="4" s="1"/>
  <c r="K122" i="4"/>
  <c r="I122" i="4"/>
  <c r="H122" i="4"/>
  <c r="M120" i="4"/>
  <c r="N120" i="4" s="1"/>
  <c r="L120" i="4"/>
  <c r="I120" i="4"/>
  <c r="H120" i="4"/>
  <c r="M118" i="4"/>
  <c r="N118" i="4" s="1"/>
  <c r="K118" i="4"/>
  <c r="L118" i="4" s="1"/>
  <c r="I118" i="4"/>
  <c r="M116" i="4"/>
  <c r="N116" i="4" s="1"/>
  <c r="K116" i="4"/>
  <c r="L116" i="4" s="1"/>
  <c r="I116" i="4"/>
  <c r="M115" i="4"/>
  <c r="N115" i="4" s="1"/>
  <c r="L115" i="4"/>
  <c r="I115" i="4"/>
  <c r="M114" i="4"/>
  <c r="N114" i="4" s="1"/>
  <c r="K114" i="4"/>
  <c r="L114" i="4" s="1"/>
  <c r="I114" i="4"/>
  <c r="M113" i="4"/>
  <c r="N113" i="4" s="1"/>
  <c r="K113" i="4"/>
  <c r="L113" i="4" s="1"/>
  <c r="I113" i="4"/>
  <c r="M111" i="4"/>
  <c r="N111" i="4" s="1"/>
  <c r="L111" i="4"/>
  <c r="I111" i="4"/>
  <c r="H111" i="4"/>
  <c r="M110" i="4"/>
  <c r="L110" i="4"/>
  <c r="I110" i="4"/>
  <c r="H110" i="4"/>
  <c r="M108" i="4"/>
  <c r="N108" i="4" s="1"/>
  <c r="K108" i="4"/>
  <c r="L108" i="4" s="1"/>
  <c r="I108" i="4"/>
  <c r="H108" i="4"/>
  <c r="M107" i="4"/>
  <c r="N107" i="4" s="1"/>
  <c r="K107" i="4"/>
  <c r="L107" i="4" s="1"/>
  <c r="I107" i="4"/>
  <c r="H107" i="4"/>
  <c r="M106" i="4"/>
  <c r="N106" i="4" s="1"/>
  <c r="K106" i="4"/>
  <c r="L106" i="4" s="1"/>
  <c r="I106" i="4"/>
  <c r="H106" i="4"/>
  <c r="M104" i="4"/>
  <c r="N104" i="4" s="1"/>
  <c r="L104" i="4"/>
  <c r="I104" i="4"/>
  <c r="N102" i="4"/>
  <c r="L102" i="4"/>
  <c r="I102" i="4"/>
  <c r="H102" i="4"/>
  <c r="M101" i="4"/>
  <c r="N101" i="4" s="1"/>
  <c r="I101" i="4"/>
  <c r="H101" i="4"/>
  <c r="G148" i="8"/>
  <c r="E148" i="8"/>
  <c r="D148" i="8"/>
  <c r="F148" i="8"/>
  <c r="M96" i="4"/>
  <c r="L96" i="4"/>
  <c r="L95" i="4" s="1"/>
  <c r="G146" i="8" s="1"/>
  <c r="I96" i="4"/>
  <c r="I95" i="4" s="1"/>
  <c r="E146" i="8" s="1"/>
  <c r="H96" i="4"/>
  <c r="H95" i="4" s="1"/>
  <c r="D146" i="8" s="1"/>
  <c r="M94" i="4"/>
  <c r="N94" i="4" s="1"/>
  <c r="K94" i="4"/>
  <c r="L94" i="4" s="1"/>
  <c r="I94" i="4"/>
  <c r="H94" i="4"/>
  <c r="M92" i="4"/>
  <c r="N92" i="4" s="1"/>
  <c r="K92" i="4"/>
  <c r="L92" i="4" s="1"/>
  <c r="I92" i="4"/>
  <c r="H92" i="4"/>
  <c r="M90" i="4"/>
  <c r="N90" i="4" s="1"/>
  <c r="K90" i="4"/>
  <c r="L90" i="4" s="1"/>
  <c r="I90" i="4"/>
  <c r="H90" i="4"/>
  <c r="M86" i="4"/>
  <c r="N86" i="4" s="1"/>
  <c r="K86" i="4"/>
  <c r="L86" i="4" s="1"/>
  <c r="I86" i="4"/>
  <c r="H86" i="4"/>
  <c r="M85" i="4"/>
  <c r="N85" i="4" s="1"/>
  <c r="K85" i="4"/>
  <c r="L85" i="4" s="1"/>
  <c r="I85" i="4"/>
  <c r="H85" i="4"/>
  <c r="M81" i="4"/>
  <c r="I81" i="4"/>
  <c r="H81" i="4"/>
  <c r="M80" i="4"/>
  <c r="N80" i="4" s="1"/>
  <c r="K80" i="4"/>
  <c r="I80" i="4"/>
  <c r="H80" i="4"/>
  <c r="M78" i="4"/>
  <c r="K78" i="4"/>
  <c r="K77" i="4" s="1"/>
  <c r="F141" i="8" s="1"/>
  <c r="I78" i="4"/>
  <c r="I77" i="4" s="1"/>
  <c r="E141" i="8" s="1"/>
  <c r="H78" i="4"/>
  <c r="H77" i="4" s="1"/>
  <c r="D141" i="8" s="1"/>
  <c r="M76" i="4"/>
  <c r="N76" i="4" s="1"/>
  <c r="K76" i="4"/>
  <c r="L76" i="4" s="1"/>
  <c r="I76" i="4"/>
  <c r="H76" i="4"/>
  <c r="M75" i="4"/>
  <c r="N75" i="4" s="1"/>
  <c r="K75" i="4"/>
  <c r="L75" i="4" s="1"/>
  <c r="I75" i="4"/>
  <c r="H75" i="4"/>
  <c r="M74" i="4"/>
  <c r="N74" i="4" s="1"/>
  <c r="I74" i="4"/>
  <c r="H74" i="4"/>
  <c r="M71" i="4"/>
  <c r="N71" i="4" s="1"/>
  <c r="L71" i="4"/>
  <c r="I71" i="4"/>
  <c r="H71" i="4"/>
  <c r="M70" i="4"/>
  <c r="N70" i="4" s="1"/>
  <c r="K69" i="4"/>
  <c r="I70" i="4"/>
  <c r="H70" i="4"/>
  <c r="I68" i="4"/>
  <c r="H68" i="4"/>
  <c r="M68" i="4" s="1"/>
  <c r="N68" i="4" s="1"/>
  <c r="M67" i="4"/>
  <c r="N67" i="4" s="1"/>
  <c r="K67" i="4"/>
  <c r="I67" i="4"/>
  <c r="H67" i="4"/>
  <c r="M66" i="4"/>
  <c r="N66" i="4" s="1"/>
  <c r="K66" i="4"/>
  <c r="L66" i="4" s="1"/>
  <c r="I66" i="4"/>
  <c r="H66" i="4"/>
  <c r="L65" i="4"/>
  <c r="I65" i="4"/>
  <c r="H65" i="4"/>
  <c r="M62" i="4"/>
  <c r="K62" i="4"/>
  <c r="K61" i="4" s="1"/>
  <c r="I62" i="4"/>
  <c r="I61" i="4" s="1"/>
  <c r="H62" i="4"/>
  <c r="H61" i="4" s="1"/>
  <c r="D137" i="8" s="1"/>
  <c r="M59" i="4"/>
  <c r="N59" i="4" s="1"/>
  <c r="K59" i="4"/>
  <c r="K57" i="4" s="1"/>
  <c r="I59" i="4"/>
  <c r="H59" i="4"/>
  <c r="M54" i="4"/>
  <c r="N54" i="4" s="1"/>
  <c r="N53" i="4" s="1"/>
  <c r="I134" i="8" s="1"/>
  <c r="K54" i="4"/>
  <c r="I54" i="4"/>
  <c r="H54" i="4"/>
  <c r="M48" i="4"/>
  <c r="N48" i="4" s="1"/>
  <c r="K48" i="4"/>
  <c r="I48" i="4"/>
  <c r="H48" i="4"/>
  <c r="M47" i="4"/>
  <c r="N47" i="4" s="1"/>
  <c r="K47" i="4"/>
  <c r="L47" i="4" s="1"/>
  <c r="I47" i="4"/>
  <c r="H47" i="4"/>
  <c r="M45" i="4"/>
  <c r="N45" i="4" s="1"/>
  <c r="K45" i="4"/>
  <c r="L45" i="4" s="1"/>
  <c r="I45" i="4"/>
  <c r="H45" i="4"/>
  <c r="M40" i="4"/>
  <c r="N40" i="4" s="1"/>
  <c r="K40" i="4"/>
  <c r="L40" i="4" s="1"/>
  <c r="I40" i="4"/>
  <c r="H40" i="4"/>
  <c r="M39" i="4"/>
  <c r="N39" i="4" s="1"/>
  <c r="K39" i="4"/>
  <c r="I39" i="4"/>
  <c r="H39" i="4"/>
  <c r="M36" i="4"/>
  <c r="N36" i="4" s="1"/>
  <c r="N33" i="4" s="1"/>
  <c r="L36" i="4"/>
  <c r="I36" i="4"/>
  <c r="H36" i="4"/>
  <c r="H33" i="4" s="1"/>
  <c r="I34" i="4"/>
  <c r="F128" i="8"/>
  <c r="N25" i="4"/>
  <c r="L25" i="4"/>
  <c r="I25" i="4"/>
  <c r="H25" i="4"/>
  <c r="N23" i="4"/>
  <c r="I23" i="4"/>
  <c r="H23" i="4"/>
  <c r="M18" i="4"/>
  <c r="N18" i="4" s="1"/>
  <c r="K18" i="4"/>
  <c r="L18" i="4" s="1"/>
  <c r="I18" i="4"/>
  <c r="H18" i="4"/>
  <c r="N17" i="4"/>
  <c r="K17" i="4"/>
  <c r="L17" i="4" s="1"/>
  <c r="I17" i="4"/>
  <c r="H17" i="4"/>
  <c r="M16" i="4"/>
  <c r="N16" i="4" s="1"/>
  <c r="K16" i="4"/>
  <c r="L16" i="4" s="1"/>
  <c r="I16" i="4"/>
  <c r="H16" i="4"/>
  <c r="M15" i="4"/>
  <c r="N15" i="4" s="1"/>
  <c r="K15" i="4"/>
  <c r="L15" i="4" s="1"/>
  <c r="I15" i="4"/>
  <c r="H15" i="4"/>
  <c r="M14" i="4"/>
  <c r="N14" i="4" s="1"/>
  <c r="K14" i="4"/>
  <c r="L14" i="4" s="1"/>
  <c r="I14" i="4"/>
  <c r="H14" i="4"/>
  <c r="M13" i="4"/>
  <c r="N13" i="4" s="1"/>
  <c r="K13" i="4"/>
  <c r="I13" i="4"/>
  <c r="H13" i="4"/>
  <c r="M7" i="4"/>
  <c r="K7" i="4"/>
  <c r="I7" i="4"/>
  <c r="H7" i="4"/>
  <c r="H6" i="4"/>
  <c r="M138" i="5"/>
  <c r="N138" i="5" s="1"/>
  <c r="K138" i="5"/>
  <c r="L138" i="5" s="1"/>
  <c r="M137" i="5"/>
  <c r="N137" i="5" s="1"/>
  <c r="K137" i="5"/>
  <c r="L137" i="5" s="1"/>
  <c r="M133" i="5"/>
  <c r="N133" i="5" s="1"/>
  <c r="L133" i="5"/>
  <c r="I133" i="5"/>
  <c r="H133" i="5"/>
  <c r="M132" i="5"/>
  <c r="N132" i="5" s="1"/>
  <c r="K132" i="5"/>
  <c r="I132" i="5"/>
  <c r="H132" i="5"/>
  <c r="K129" i="5"/>
  <c r="L129" i="5" s="1"/>
  <c r="F129" i="5"/>
  <c r="H129" i="5" s="1"/>
  <c r="M127" i="5"/>
  <c r="N127" i="5" s="1"/>
  <c r="K127" i="5"/>
  <c r="L127" i="5" s="1"/>
  <c r="I127" i="5"/>
  <c r="H127" i="5"/>
  <c r="I126" i="5"/>
  <c r="H126" i="5"/>
  <c r="M125" i="5"/>
  <c r="N125" i="5" s="1"/>
  <c r="K125" i="5"/>
  <c r="L125" i="5" s="1"/>
  <c r="I125" i="5"/>
  <c r="H125" i="5"/>
  <c r="M124" i="5"/>
  <c r="N124" i="5" s="1"/>
  <c r="I124" i="5"/>
  <c r="H124" i="5"/>
  <c r="M122" i="5"/>
  <c r="N122" i="5" s="1"/>
  <c r="K122" i="5"/>
  <c r="L122" i="5" s="1"/>
  <c r="I122" i="5"/>
  <c r="H122" i="5"/>
  <c r="M121" i="5"/>
  <c r="N121" i="5" s="1"/>
  <c r="K121" i="5"/>
  <c r="L121" i="5" s="1"/>
  <c r="I121" i="5"/>
  <c r="H121" i="5"/>
  <c r="M120" i="5"/>
  <c r="N120" i="5" s="1"/>
  <c r="K120" i="5"/>
  <c r="L120" i="5" s="1"/>
  <c r="I120" i="5"/>
  <c r="H120" i="5"/>
  <c r="M119" i="5"/>
  <c r="N119" i="5" s="1"/>
  <c r="K119" i="5"/>
  <c r="L119" i="5" s="1"/>
  <c r="I119" i="5"/>
  <c r="H119" i="5"/>
  <c r="M118" i="5"/>
  <c r="N118" i="5" s="1"/>
  <c r="K118" i="5"/>
  <c r="L118" i="5" s="1"/>
  <c r="I118" i="5"/>
  <c r="H118" i="5"/>
  <c r="M117" i="5"/>
  <c r="N117" i="5" s="1"/>
  <c r="K117" i="5"/>
  <c r="I117" i="5"/>
  <c r="H117" i="5"/>
  <c r="I114" i="5"/>
  <c r="H114" i="5"/>
  <c r="M113" i="5"/>
  <c r="N113" i="5" s="1"/>
  <c r="N110" i="5" s="1"/>
  <c r="L113" i="5"/>
  <c r="L110" i="5" s="1"/>
  <c r="I113" i="5"/>
  <c r="H113" i="5"/>
  <c r="M108" i="5"/>
  <c r="N108" i="5" s="1"/>
  <c r="K108" i="5"/>
  <c r="L108" i="5" s="1"/>
  <c r="I108" i="5"/>
  <c r="H108" i="5"/>
  <c r="M107" i="5"/>
  <c r="N107" i="5" s="1"/>
  <c r="K107" i="5"/>
  <c r="L107" i="5" s="1"/>
  <c r="I107" i="5"/>
  <c r="H107" i="5"/>
  <c r="M106" i="5"/>
  <c r="K106" i="5"/>
  <c r="L106" i="5" s="1"/>
  <c r="I106" i="5"/>
  <c r="H106" i="5"/>
  <c r="M104" i="5"/>
  <c r="N104" i="5" s="1"/>
  <c r="K104" i="5"/>
  <c r="L104" i="5" s="1"/>
  <c r="I104" i="5"/>
  <c r="H104" i="5"/>
  <c r="M103" i="5"/>
  <c r="N103" i="5" s="1"/>
  <c r="K103" i="5"/>
  <c r="L103" i="5" s="1"/>
  <c r="I103" i="5"/>
  <c r="H103" i="5"/>
  <c r="M102" i="5"/>
  <c r="N102" i="5" s="1"/>
  <c r="L102" i="5"/>
  <c r="I102" i="5"/>
  <c r="H102" i="5"/>
  <c r="M97" i="5"/>
  <c r="N97" i="5" s="1"/>
  <c r="K97" i="5"/>
  <c r="L97" i="5" s="1"/>
  <c r="I97" i="5"/>
  <c r="H97" i="5"/>
  <c r="M96" i="5"/>
  <c r="N96" i="5" s="1"/>
  <c r="K96" i="5"/>
  <c r="L96" i="5" s="1"/>
  <c r="I96" i="5"/>
  <c r="H96" i="5"/>
  <c r="M95" i="5"/>
  <c r="N95" i="5" s="1"/>
  <c r="I95" i="5"/>
  <c r="H95" i="5"/>
  <c r="G187" i="8"/>
  <c r="E187" i="8"/>
  <c r="D187" i="8"/>
  <c r="M90" i="5"/>
  <c r="L90" i="5"/>
  <c r="L85" i="5" s="1"/>
  <c r="I90" i="5"/>
  <c r="H90" i="5"/>
  <c r="H85" i="5" s="1"/>
  <c r="M84" i="5"/>
  <c r="N84" i="5" s="1"/>
  <c r="K84" i="5"/>
  <c r="L84" i="5" s="1"/>
  <c r="I84" i="5"/>
  <c r="H84" i="5"/>
  <c r="M83" i="5"/>
  <c r="N83" i="5" s="1"/>
  <c r="K83" i="5"/>
  <c r="I83" i="5"/>
  <c r="H83" i="5"/>
  <c r="M82" i="5"/>
  <c r="N82" i="5" s="1"/>
  <c r="L82" i="5"/>
  <c r="I82" i="5"/>
  <c r="H82" i="5"/>
  <c r="M81" i="5"/>
  <c r="N81" i="5" s="1"/>
  <c r="K81" i="5"/>
  <c r="I81" i="5"/>
  <c r="H81" i="5"/>
  <c r="M80" i="5"/>
  <c r="N80" i="5" s="1"/>
  <c r="L80" i="5"/>
  <c r="I80" i="5"/>
  <c r="H80" i="5"/>
  <c r="M79" i="5"/>
  <c r="N79" i="5" s="1"/>
  <c r="L79" i="5"/>
  <c r="I79" i="5"/>
  <c r="H79" i="5"/>
  <c r="M76" i="5"/>
  <c r="N76" i="5" s="1"/>
  <c r="K76" i="5"/>
  <c r="L76" i="5" s="1"/>
  <c r="I76" i="5"/>
  <c r="H76" i="5"/>
  <c r="M75" i="5"/>
  <c r="N75" i="5" s="1"/>
  <c r="K75" i="5"/>
  <c r="I75" i="5"/>
  <c r="H75" i="5"/>
  <c r="M73" i="5"/>
  <c r="N73" i="5" s="1"/>
  <c r="K73" i="5"/>
  <c r="L73" i="5" s="1"/>
  <c r="I73" i="5"/>
  <c r="H73" i="5"/>
  <c r="M70" i="5"/>
  <c r="N70" i="5" s="1"/>
  <c r="K70" i="5"/>
  <c r="L70" i="5" s="1"/>
  <c r="I70" i="5"/>
  <c r="H70" i="5"/>
  <c r="M69" i="5"/>
  <c r="K69" i="5"/>
  <c r="L69" i="5" s="1"/>
  <c r="I69" i="5"/>
  <c r="H69" i="5"/>
  <c r="M67" i="5"/>
  <c r="K67" i="5"/>
  <c r="K66" i="5" s="1"/>
  <c r="F181" i="8" s="1"/>
  <c r="I67" i="5"/>
  <c r="I66" i="5" s="1"/>
  <c r="E181" i="8" s="1"/>
  <c r="H67" i="5"/>
  <c r="H66" i="5" s="1"/>
  <c r="D181" i="8" s="1"/>
  <c r="M65" i="5"/>
  <c r="N65" i="5" s="1"/>
  <c r="K65" i="5"/>
  <c r="L65" i="5" s="1"/>
  <c r="I65" i="5"/>
  <c r="H65" i="5"/>
  <c r="M64" i="5"/>
  <c r="N64" i="5" s="1"/>
  <c r="K64" i="5"/>
  <c r="L64" i="5" s="1"/>
  <c r="I64" i="5"/>
  <c r="H64" i="5"/>
  <c r="M63" i="5"/>
  <c r="N63" i="5" s="1"/>
  <c r="L63" i="5"/>
  <c r="I63" i="5"/>
  <c r="H63" i="5"/>
  <c r="M62" i="5"/>
  <c r="N62" i="5" s="1"/>
  <c r="I62" i="5"/>
  <c r="H62" i="5"/>
  <c r="M60" i="5"/>
  <c r="N60" i="5" s="1"/>
  <c r="K60" i="5"/>
  <c r="L60" i="5" s="1"/>
  <c r="I60" i="5"/>
  <c r="H60" i="5"/>
  <c r="M59" i="5"/>
  <c r="N59" i="5" s="1"/>
  <c r="I59" i="5"/>
  <c r="H59" i="5"/>
  <c r="G177" i="8"/>
  <c r="E177" i="8"/>
  <c r="D177" i="8"/>
  <c r="M54" i="5"/>
  <c r="N54" i="5" s="1"/>
  <c r="K54" i="5"/>
  <c r="L54" i="5" s="1"/>
  <c r="I54" i="5"/>
  <c r="H54" i="5"/>
  <c r="M53" i="5"/>
  <c r="N53" i="5" s="1"/>
  <c r="L53" i="5"/>
  <c r="I53" i="5"/>
  <c r="H53" i="5"/>
  <c r="M52" i="5"/>
  <c r="N52" i="5" s="1"/>
  <c r="L52" i="5"/>
  <c r="I52" i="5"/>
  <c r="H52" i="5"/>
  <c r="M51" i="5"/>
  <c r="N51" i="5" s="1"/>
  <c r="K51" i="5"/>
  <c r="L51" i="5" s="1"/>
  <c r="H51" i="5"/>
  <c r="M50" i="5"/>
  <c r="N50" i="5" s="1"/>
  <c r="L50" i="5"/>
  <c r="H50" i="5"/>
  <c r="N46" i="5"/>
  <c r="L46" i="5"/>
  <c r="I46" i="5"/>
  <c r="H46" i="5"/>
  <c r="M45" i="5"/>
  <c r="N45" i="5" s="1"/>
  <c r="K45" i="5"/>
  <c r="L45" i="5" s="1"/>
  <c r="I45" i="5"/>
  <c r="H45" i="5"/>
  <c r="M38" i="5"/>
  <c r="N38" i="5" s="1"/>
  <c r="K38" i="5"/>
  <c r="L38" i="5" s="1"/>
  <c r="I38" i="5"/>
  <c r="H38" i="5"/>
  <c r="M37" i="5"/>
  <c r="N37" i="5" s="1"/>
  <c r="K37" i="5"/>
  <c r="L37" i="5" s="1"/>
  <c r="I37" i="5"/>
  <c r="H37" i="5"/>
  <c r="M31" i="5"/>
  <c r="K30" i="5"/>
  <c r="F170" i="8" s="1"/>
  <c r="I31" i="5"/>
  <c r="I30" i="5" s="1"/>
  <c r="E170" i="8" s="1"/>
  <c r="H31" i="5"/>
  <c r="H30" i="5" s="1"/>
  <c r="D170" i="8" s="1"/>
  <c r="M28" i="5"/>
  <c r="N28" i="5" s="1"/>
  <c r="K28" i="5"/>
  <c r="L28" i="5" s="1"/>
  <c r="I28" i="5"/>
  <c r="H28" i="5"/>
  <c r="M27" i="5"/>
  <c r="N27" i="5" s="1"/>
  <c r="K27" i="5"/>
  <c r="L27" i="5" s="1"/>
  <c r="I27" i="5"/>
  <c r="H27" i="5"/>
  <c r="M25" i="5"/>
  <c r="N25" i="5" s="1"/>
  <c r="K25" i="5"/>
  <c r="L25" i="5" s="1"/>
  <c r="I25" i="5"/>
  <c r="H25" i="5"/>
  <c r="M24" i="5"/>
  <c r="N24" i="5" s="1"/>
  <c r="K24" i="5"/>
  <c r="I24" i="5"/>
  <c r="H24" i="5"/>
  <c r="M22" i="5"/>
  <c r="N22" i="5" s="1"/>
  <c r="K22" i="5"/>
  <c r="L22" i="5" s="1"/>
  <c r="I22" i="5"/>
  <c r="H22" i="5"/>
  <c r="M19" i="5"/>
  <c r="N19" i="5" s="1"/>
  <c r="L19" i="5"/>
  <c r="I19" i="5"/>
  <c r="H19" i="5"/>
  <c r="M16" i="5"/>
  <c r="N16" i="5" s="1"/>
  <c r="K16" i="5"/>
  <c r="L16" i="5" s="1"/>
  <c r="I16" i="5"/>
  <c r="H16" i="5"/>
  <c r="M15" i="5"/>
  <c r="N15" i="5" s="1"/>
  <c r="K15" i="5"/>
  <c r="L15" i="5" s="1"/>
  <c r="I15" i="5"/>
  <c r="H15" i="5"/>
  <c r="M14" i="5"/>
  <c r="N14" i="5" s="1"/>
  <c r="K14" i="5"/>
  <c r="L14" i="5" s="1"/>
  <c r="I14" i="5"/>
  <c r="H14" i="5"/>
  <c r="M13" i="5"/>
  <c r="N13" i="5" s="1"/>
  <c r="K13" i="5"/>
  <c r="H13" i="5"/>
  <c r="M11" i="5"/>
  <c r="N11" i="5" s="1"/>
  <c r="L11" i="5"/>
  <c r="I11" i="5"/>
  <c r="H11" i="5"/>
  <c r="M10" i="5"/>
  <c r="N10" i="5" s="1"/>
  <c r="K9" i="5"/>
  <c r="I10" i="5"/>
  <c r="H10" i="5"/>
  <c r="M5" i="4" l="1"/>
  <c r="H125" i="8" s="1"/>
  <c r="H121" i="4"/>
  <c r="D152" i="8" s="1"/>
  <c r="N146" i="4"/>
  <c r="N144" i="4" s="1"/>
  <c r="I156" i="8" s="1"/>
  <c r="M144" i="4"/>
  <c r="H156" i="8" s="1"/>
  <c r="H144" i="4"/>
  <c r="D156" i="8" s="1"/>
  <c r="L81" i="4"/>
  <c r="K79" i="4"/>
  <c r="N81" i="4"/>
  <c r="N79" i="4" s="1"/>
  <c r="I142" i="8" s="1"/>
  <c r="M79" i="4"/>
  <c r="H18" i="5"/>
  <c r="N90" i="5"/>
  <c r="N85" i="5" s="1"/>
  <c r="M85" i="5"/>
  <c r="H186" i="8" s="1"/>
  <c r="N110" i="4"/>
  <c r="N109" i="4" s="1"/>
  <c r="I151" i="8" s="1"/>
  <c r="M109" i="4"/>
  <c r="H151" i="8" s="1"/>
  <c r="N88" i="3"/>
  <c r="N86" i="3" s="1"/>
  <c r="N67" i="3" s="1"/>
  <c r="M86" i="3"/>
  <c r="M67" i="3" s="1"/>
  <c r="L86" i="3"/>
  <c r="L67" i="3" s="1"/>
  <c r="L83" i="5"/>
  <c r="L102" i="3"/>
  <c r="K101" i="3"/>
  <c r="F117" i="8" s="1"/>
  <c r="K109" i="4"/>
  <c r="F151" i="8" s="1"/>
  <c r="L17" i="3"/>
  <c r="L16" i="3" s="1"/>
  <c r="K16" i="3"/>
  <c r="L68" i="4"/>
  <c r="H69" i="4"/>
  <c r="D139" i="8" s="1"/>
  <c r="N23" i="5"/>
  <c r="I168" i="8" s="1"/>
  <c r="D129" i="8"/>
  <c r="K136" i="4"/>
  <c r="F154" i="8" s="1"/>
  <c r="L49" i="5"/>
  <c r="L48" i="5" s="1"/>
  <c r="F48" i="5" s="1"/>
  <c r="H9" i="5"/>
  <c r="D160" i="8"/>
  <c r="D159" i="8" s="1"/>
  <c r="N136" i="4"/>
  <c r="I154" i="8" s="1"/>
  <c r="L6" i="3"/>
  <c r="L5" i="3" s="1"/>
  <c r="K5" i="3"/>
  <c r="N49" i="5"/>
  <c r="I176" i="8" s="1"/>
  <c r="N143" i="4"/>
  <c r="N140" i="4" s="1"/>
  <c r="M140" i="4"/>
  <c r="N150" i="4"/>
  <c r="I157" i="8" s="1"/>
  <c r="N105" i="4"/>
  <c r="I150" i="8" s="1"/>
  <c r="N100" i="4"/>
  <c r="I149" i="8" s="1"/>
  <c r="I133" i="8"/>
  <c r="N121" i="4"/>
  <c r="I152" i="8" s="1"/>
  <c r="N7" i="4"/>
  <c r="N5" i="4" s="1"/>
  <c r="H148" i="8"/>
  <c r="I148" i="8"/>
  <c r="N46" i="4"/>
  <c r="I132" i="8" s="1"/>
  <c r="M61" i="4"/>
  <c r="H137" i="8" s="1"/>
  <c r="N62" i="4"/>
  <c r="N61" i="4" s="1"/>
  <c r="N69" i="4"/>
  <c r="N91" i="4"/>
  <c r="I145" i="8" s="1"/>
  <c r="M77" i="4"/>
  <c r="H141" i="8" s="1"/>
  <c r="N78" i="4"/>
  <c r="N77" i="4" s="1"/>
  <c r="I141" i="8" s="1"/>
  <c r="N38" i="4"/>
  <c r="I131" i="8" s="1"/>
  <c r="I129" i="8"/>
  <c r="N73" i="4"/>
  <c r="I140" i="8" s="1"/>
  <c r="N64" i="4"/>
  <c r="I138" i="8" s="1"/>
  <c r="N134" i="5"/>
  <c r="I196" i="8" s="1"/>
  <c r="N12" i="5"/>
  <c r="N18" i="5"/>
  <c r="I167" i="8" s="1"/>
  <c r="M95" i="4"/>
  <c r="H146" i="8" s="1"/>
  <c r="N96" i="4"/>
  <c r="N95" i="4" s="1"/>
  <c r="I146" i="8" s="1"/>
  <c r="H12" i="5"/>
  <c r="D165" i="8" s="1"/>
  <c r="N58" i="5"/>
  <c r="N94" i="5"/>
  <c r="I188" i="8" s="1"/>
  <c r="N99" i="5"/>
  <c r="I189" i="8" s="1"/>
  <c r="I197" i="8"/>
  <c r="I192" i="8"/>
  <c r="I26" i="5"/>
  <c r="E169" i="8" s="1"/>
  <c r="M30" i="5"/>
  <c r="H170" i="8" s="1"/>
  <c r="N31" i="5"/>
  <c r="N30" i="5" s="1"/>
  <c r="I170" i="8" s="1"/>
  <c r="N74" i="5"/>
  <c r="I183" i="8" s="1"/>
  <c r="N78" i="5"/>
  <c r="H187" i="8"/>
  <c r="I187" i="8"/>
  <c r="M105" i="5"/>
  <c r="H190" i="8" s="1"/>
  <c r="N106" i="5"/>
  <c r="N105" i="5" s="1"/>
  <c r="I190" i="8" s="1"/>
  <c r="N131" i="5"/>
  <c r="I195" i="8" s="1"/>
  <c r="I173" i="8"/>
  <c r="N43" i="5"/>
  <c r="I174" i="8" s="1"/>
  <c r="H177" i="8"/>
  <c r="I177" i="8"/>
  <c r="H94" i="5"/>
  <c r="D188" i="8" s="1"/>
  <c r="I5" i="3"/>
  <c r="H86" i="3"/>
  <c r="H67" i="3" s="1"/>
  <c r="D114" i="8"/>
  <c r="N21" i="3"/>
  <c r="E111" i="8"/>
  <c r="N117" i="3"/>
  <c r="I119" i="8" s="1"/>
  <c r="N5" i="3"/>
  <c r="N28" i="3"/>
  <c r="I100" i="8" s="1"/>
  <c r="N34" i="3"/>
  <c r="I102" i="8" s="1"/>
  <c r="I111" i="8"/>
  <c r="I112" i="8"/>
  <c r="N101" i="3"/>
  <c r="I117" i="8" s="1"/>
  <c r="I114" i="8"/>
  <c r="I115" i="8"/>
  <c r="N107" i="3"/>
  <c r="I118" i="8" s="1"/>
  <c r="N16" i="3"/>
  <c r="I46" i="3"/>
  <c r="N40" i="3"/>
  <c r="I103" i="8" s="1"/>
  <c r="M43" i="3"/>
  <c r="H104" i="8" s="1"/>
  <c r="N44" i="3"/>
  <c r="N43" i="3" s="1"/>
  <c r="I104" i="8" s="1"/>
  <c r="N46" i="3"/>
  <c r="I106" i="8" s="1"/>
  <c r="N54" i="3"/>
  <c r="I107" i="8" s="1"/>
  <c r="N59" i="3"/>
  <c r="I108" i="8" s="1"/>
  <c r="N36" i="5"/>
  <c r="I172" i="8" s="1"/>
  <c r="N9" i="5"/>
  <c r="I164" i="8" s="1"/>
  <c r="N129" i="3"/>
  <c r="I122" i="8" s="1"/>
  <c r="I121" i="8"/>
  <c r="N26" i="5"/>
  <c r="I169" i="8" s="1"/>
  <c r="M68" i="5"/>
  <c r="H182" i="8" s="1"/>
  <c r="N69" i="5"/>
  <c r="N68" i="5" s="1"/>
  <c r="I182" i="8" s="1"/>
  <c r="M66" i="5"/>
  <c r="H181" i="8" s="1"/>
  <c r="N67" i="5"/>
  <c r="N66" i="5" s="1"/>
  <c r="I181" i="8" s="1"/>
  <c r="N61" i="5"/>
  <c r="I180" i="8" s="1"/>
  <c r="M58" i="5"/>
  <c r="L124" i="5"/>
  <c r="L123" i="5" s="1"/>
  <c r="G194" i="8" s="1"/>
  <c r="K123" i="5"/>
  <c r="F194" i="8" s="1"/>
  <c r="N83" i="4"/>
  <c r="I144" i="8" s="1"/>
  <c r="N57" i="4"/>
  <c r="I135" i="8" s="1"/>
  <c r="N22" i="4"/>
  <c r="I126" i="8" s="1"/>
  <c r="I109" i="8"/>
  <c r="N116" i="5"/>
  <c r="I193" i="8" s="1"/>
  <c r="K94" i="5"/>
  <c r="F188" i="8" s="1"/>
  <c r="F164" i="8"/>
  <c r="I18" i="5"/>
  <c r="I23" i="5"/>
  <c r="E168" i="8" s="1"/>
  <c r="D173" i="8"/>
  <c r="M61" i="5"/>
  <c r="H180" i="8" s="1"/>
  <c r="I9" i="5"/>
  <c r="H23" i="5"/>
  <c r="D168" i="8" s="1"/>
  <c r="K26" i="5"/>
  <c r="F169" i="8" s="1"/>
  <c r="K23" i="5"/>
  <c r="F168" i="8" s="1"/>
  <c r="M74" i="5"/>
  <c r="H183" i="8" s="1"/>
  <c r="I105" i="5"/>
  <c r="E190" i="8" s="1"/>
  <c r="I78" i="5"/>
  <c r="L94" i="5"/>
  <c r="G188" i="8" s="1"/>
  <c r="D163" i="8"/>
  <c r="M18" i="5"/>
  <c r="E173" i="8"/>
  <c r="F177" i="8"/>
  <c r="H58" i="5"/>
  <c r="F173" i="8"/>
  <c r="D197" i="8"/>
  <c r="I12" i="5"/>
  <c r="E165" i="8" s="1"/>
  <c r="H171" i="8"/>
  <c r="H173" i="8"/>
  <c r="M43" i="5"/>
  <c r="H174" i="8" s="1"/>
  <c r="I61" i="5"/>
  <c r="E180" i="8" s="1"/>
  <c r="I94" i="5"/>
  <c r="E188" i="8" s="1"/>
  <c r="E197" i="8"/>
  <c r="D186" i="8"/>
  <c r="F187" i="8"/>
  <c r="H105" i="5"/>
  <c r="D190" i="8" s="1"/>
  <c r="M33" i="4"/>
  <c r="H140" i="4"/>
  <c r="D155" i="8" s="1"/>
  <c r="I5" i="4"/>
  <c r="L23" i="4"/>
  <c r="L22" i="4" s="1"/>
  <c r="K22" i="4"/>
  <c r="L39" i="4"/>
  <c r="L38" i="4" s="1"/>
  <c r="G131" i="8" s="1"/>
  <c r="K38" i="4"/>
  <c r="L7" i="4"/>
  <c r="K5" i="4"/>
  <c r="F125" i="8" s="1"/>
  <c r="H5" i="4"/>
  <c r="K134" i="5"/>
  <c r="F196" i="8" s="1"/>
  <c r="I134" i="5"/>
  <c r="E196" i="8" s="1"/>
  <c r="H134" i="5"/>
  <c r="D196" i="8" s="1"/>
  <c r="I131" i="5"/>
  <c r="E195" i="8" s="1"/>
  <c r="H131" i="5"/>
  <c r="D195" i="8" s="1"/>
  <c r="M116" i="5"/>
  <c r="M110" i="5"/>
  <c r="L33" i="4"/>
  <c r="K33" i="4"/>
  <c r="L13" i="4"/>
  <c r="K36" i="5"/>
  <c r="F172" i="8" s="1"/>
  <c r="K49" i="5"/>
  <c r="K48" i="5" s="1"/>
  <c r="L134" i="5"/>
  <c r="G196" i="8" s="1"/>
  <c r="M9" i="5"/>
  <c r="H164" i="8" s="1"/>
  <c r="L24" i="5"/>
  <c r="L23" i="5" s="1"/>
  <c r="H36" i="5"/>
  <c r="D172" i="8" s="1"/>
  <c r="H49" i="5"/>
  <c r="H48" i="5" s="1"/>
  <c r="L68" i="5"/>
  <c r="G182" i="8" s="1"/>
  <c r="H99" i="5"/>
  <c r="D189" i="8" s="1"/>
  <c r="I129" i="5"/>
  <c r="I123" i="5" s="1"/>
  <c r="M23" i="5"/>
  <c r="H168" i="8" s="1"/>
  <c r="I36" i="5"/>
  <c r="E172" i="8" s="1"/>
  <c r="I49" i="5"/>
  <c r="I48" i="5" s="1"/>
  <c r="I99" i="5"/>
  <c r="E189" i="8" s="1"/>
  <c r="L105" i="5"/>
  <c r="G190" i="8" s="1"/>
  <c r="H116" i="5"/>
  <c r="D193" i="8" s="1"/>
  <c r="F197" i="8"/>
  <c r="I110" i="5"/>
  <c r="L26" i="5"/>
  <c r="D171" i="8"/>
  <c r="L36" i="5"/>
  <c r="K99" i="5"/>
  <c r="F189" i="8" s="1"/>
  <c r="I116" i="5"/>
  <c r="E193" i="8" s="1"/>
  <c r="M129" i="5"/>
  <c r="N129" i="5" s="1"/>
  <c r="N123" i="5" s="1"/>
  <c r="I194" i="8" s="1"/>
  <c r="H197" i="8"/>
  <c r="H163" i="8"/>
  <c r="M26" i="5"/>
  <c r="H169" i="8" s="1"/>
  <c r="E171" i="8"/>
  <c r="M36" i="5"/>
  <c r="H172" i="8" s="1"/>
  <c r="I68" i="5"/>
  <c r="E182" i="8" s="1"/>
  <c r="H74" i="5"/>
  <c r="D183" i="8" s="1"/>
  <c r="K110" i="5"/>
  <c r="K116" i="5"/>
  <c r="F193" i="8" s="1"/>
  <c r="H123" i="5"/>
  <c r="K131" i="5"/>
  <c r="F195" i="8" s="1"/>
  <c r="K18" i="5"/>
  <c r="F171" i="8"/>
  <c r="K68" i="5"/>
  <c r="F182" i="8" s="1"/>
  <c r="H78" i="5"/>
  <c r="M131" i="5"/>
  <c r="H195" i="8" s="1"/>
  <c r="M57" i="4"/>
  <c r="H135" i="8" s="1"/>
  <c r="I22" i="4"/>
  <c r="H105" i="4"/>
  <c r="D150" i="8" s="1"/>
  <c r="I38" i="4"/>
  <c r="K95" i="4"/>
  <c r="F146" i="8" s="1"/>
  <c r="E133" i="8"/>
  <c r="E137" i="8"/>
  <c r="K91" i="4"/>
  <c r="F145" i="8" s="1"/>
  <c r="H64" i="4"/>
  <c r="H79" i="4"/>
  <c r="I46" i="4"/>
  <c r="E132" i="8" s="1"/>
  <c r="H136" i="4"/>
  <c r="I33" i="4"/>
  <c r="K53" i="4"/>
  <c r="H73" i="4"/>
  <c r="D140" i="8" s="1"/>
  <c r="H133" i="8"/>
  <c r="I69" i="4"/>
  <c r="E139" i="8" s="1"/>
  <c r="M91" i="4"/>
  <c r="H145" i="8" s="1"/>
  <c r="I100" i="4"/>
  <c r="D133" i="8"/>
  <c r="D130" i="8" s="1"/>
  <c r="K100" i="4"/>
  <c r="I64" i="4"/>
  <c r="E138" i="8" s="1"/>
  <c r="I109" i="4"/>
  <c r="K140" i="4"/>
  <c r="F155" i="8" s="1"/>
  <c r="H128" i="8"/>
  <c r="K46" i="4"/>
  <c r="F132" i="8" s="1"/>
  <c r="H57" i="4"/>
  <c r="M73" i="4"/>
  <c r="H140" i="8" s="1"/>
  <c r="H91" i="4"/>
  <c r="D145" i="8" s="1"/>
  <c r="L109" i="4"/>
  <c r="G151" i="8" s="1"/>
  <c r="L141" i="4"/>
  <c r="L140" i="4" s="1"/>
  <c r="H46" i="4"/>
  <c r="F139" i="8"/>
  <c r="I79" i="4"/>
  <c r="K150" i="4"/>
  <c r="F157" i="8" s="1"/>
  <c r="H150" i="4"/>
  <c r="D157" i="8" s="1"/>
  <c r="L70" i="4"/>
  <c r="L69" i="4" s="1"/>
  <c r="G139" i="8" s="1"/>
  <c r="I105" i="4"/>
  <c r="E150" i="8" s="1"/>
  <c r="L151" i="4"/>
  <c r="L150" i="4" s="1"/>
  <c r="M83" i="4"/>
  <c r="H100" i="4"/>
  <c r="M46" i="4"/>
  <c r="H132" i="8" s="1"/>
  <c r="G128" i="8"/>
  <c r="M64" i="4"/>
  <c r="H138" i="8" s="1"/>
  <c r="I140" i="4"/>
  <c r="E155" i="8" s="1"/>
  <c r="H22" i="4"/>
  <c r="I53" i="4"/>
  <c r="E134" i="8" s="1"/>
  <c r="H53" i="4"/>
  <c r="D134" i="8" s="1"/>
  <c r="M69" i="4"/>
  <c r="H139" i="8" s="1"/>
  <c r="M105" i="4"/>
  <c r="H150" i="8" s="1"/>
  <c r="M136" i="4"/>
  <c r="M150" i="4"/>
  <c r="H157" i="8" s="1"/>
  <c r="F109" i="8"/>
  <c r="H40" i="3"/>
  <c r="D103" i="8" s="1"/>
  <c r="K34" i="3"/>
  <c r="F102" i="8" s="1"/>
  <c r="H54" i="3"/>
  <c r="D107" i="8" s="1"/>
  <c r="F115" i="8"/>
  <c r="H125" i="3"/>
  <c r="H21" i="3"/>
  <c r="D98" i="8" s="1"/>
  <c r="I54" i="3"/>
  <c r="E107" i="8" s="1"/>
  <c r="K40" i="3"/>
  <c r="F103" i="8" s="1"/>
  <c r="K24" i="3"/>
  <c r="E114" i="8"/>
  <c r="M129" i="3"/>
  <c r="H122" i="8" s="1"/>
  <c r="M59" i="3"/>
  <c r="H108" i="8" s="1"/>
  <c r="H109" i="8"/>
  <c r="M16" i="3"/>
  <c r="E112" i="8"/>
  <c r="M107" i="3"/>
  <c r="H118" i="8" s="1"/>
  <c r="I21" i="3"/>
  <c r="E98" i="8" s="1"/>
  <c r="D100" i="8"/>
  <c r="F95" i="8"/>
  <c r="L40" i="3"/>
  <c r="G103" i="8" s="1"/>
  <c r="K125" i="3"/>
  <c r="F121" i="8" s="1"/>
  <c r="H121" i="8"/>
  <c r="H112" i="8"/>
  <c r="D115" i="8"/>
  <c r="H115" i="8"/>
  <c r="I125" i="3"/>
  <c r="I129" i="3"/>
  <c r="E122" i="8" s="1"/>
  <c r="I86" i="3"/>
  <c r="I67" i="3" s="1"/>
  <c r="K117" i="3"/>
  <c r="F119" i="8" s="1"/>
  <c r="K129" i="3"/>
  <c r="F122" i="8" s="1"/>
  <c r="I101" i="3"/>
  <c r="I100" i="3" s="1"/>
  <c r="L103" i="3"/>
  <c r="L101" i="3" s="1"/>
  <c r="H107" i="3"/>
  <c r="D118" i="8" s="1"/>
  <c r="H16" i="3"/>
  <c r="I16" i="3"/>
  <c r="M34" i="3"/>
  <c r="H102" i="8" s="1"/>
  <c r="F106" i="8"/>
  <c r="I59" i="3"/>
  <c r="E108" i="8" s="1"/>
  <c r="E115" i="8"/>
  <c r="H129" i="3"/>
  <c r="D122" i="8" s="1"/>
  <c r="L46" i="3"/>
  <c r="G106" i="8" s="1"/>
  <c r="G113" i="8"/>
  <c r="K59" i="3"/>
  <c r="F108" i="8" s="1"/>
  <c r="G115" i="8"/>
  <c r="I40" i="3"/>
  <c r="E103" i="8" s="1"/>
  <c r="D95" i="8"/>
  <c r="M21" i="3"/>
  <c r="H34" i="3"/>
  <c r="L59" i="3"/>
  <c r="G108" i="8" s="1"/>
  <c r="H114" i="8"/>
  <c r="M117" i="3"/>
  <c r="H119" i="8" s="1"/>
  <c r="G100" i="8"/>
  <c r="H5" i="3"/>
  <c r="H24" i="3"/>
  <c r="D99" i="8" s="1"/>
  <c r="I34" i="3"/>
  <c r="H103" i="8"/>
  <c r="M46" i="3"/>
  <c r="H111" i="8"/>
  <c r="H101" i="3"/>
  <c r="I107" i="3"/>
  <c r="E118" i="8" s="1"/>
  <c r="H117" i="3"/>
  <c r="D119" i="8" s="1"/>
  <c r="M5" i="3"/>
  <c r="I24" i="3"/>
  <c r="E99" i="8" s="1"/>
  <c r="H59" i="3"/>
  <c r="D108" i="8" s="1"/>
  <c r="D112" i="8"/>
  <c r="M101" i="3"/>
  <c r="H117" i="8" s="1"/>
  <c r="I117" i="3"/>
  <c r="E119" i="8" s="1"/>
  <c r="L126" i="3"/>
  <c r="L125" i="3" s="1"/>
  <c r="G121" i="8" s="1"/>
  <c r="L107" i="3"/>
  <c r="G118" i="8" s="1"/>
  <c r="L117" i="3"/>
  <c r="G119" i="8" s="1"/>
  <c r="G112" i="8"/>
  <c r="G114" i="8"/>
  <c r="F112" i="8"/>
  <c r="K86" i="3"/>
  <c r="K67" i="3" s="1"/>
  <c r="K107" i="3"/>
  <c r="F118" i="8" s="1"/>
  <c r="F100" i="8"/>
  <c r="L44" i="3"/>
  <c r="L43" i="3" s="1"/>
  <c r="G104" i="8" s="1"/>
  <c r="K54" i="3"/>
  <c r="G109" i="8"/>
  <c r="F114" i="8"/>
  <c r="G95" i="8"/>
  <c r="L130" i="3"/>
  <c r="L129" i="3" s="1"/>
  <c r="G122" i="8" s="1"/>
  <c r="L22" i="3"/>
  <c r="L21" i="3" s="1"/>
  <c r="L34" i="3"/>
  <c r="L25" i="3"/>
  <c r="L24" i="3" s="1"/>
  <c r="L83" i="4"/>
  <c r="G144" i="8" s="1"/>
  <c r="L59" i="4"/>
  <c r="L57" i="4" s="1"/>
  <c r="L80" i="4"/>
  <c r="L91" i="4"/>
  <c r="G145" i="8" s="1"/>
  <c r="L101" i="4"/>
  <c r="L100" i="4" s="1"/>
  <c r="G149" i="8" s="1"/>
  <c r="L48" i="4"/>
  <c r="L46" i="4" s="1"/>
  <c r="G132" i="8" s="1"/>
  <c r="L67" i="4"/>
  <c r="L78" i="4"/>
  <c r="L77" i="4" s="1"/>
  <c r="G141" i="8" s="1"/>
  <c r="L54" i="4"/>
  <c r="L53" i="4" s="1"/>
  <c r="G134" i="8" s="1"/>
  <c r="I57" i="4"/>
  <c r="L62" i="4"/>
  <c r="L61" i="4" s="1"/>
  <c r="K83" i="4"/>
  <c r="F144" i="8" s="1"/>
  <c r="I91" i="4"/>
  <c r="E145" i="8" s="1"/>
  <c r="I121" i="4"/>
  <c r="E152" i="8" s="1"/>
  <c r="M53" i="4"/>
  <c r="H134" i="8" s="1"/>
  <c r="K121" i="4"/>
  <c r="F152" i="8" s="1"/>
  <c r="F158" i="8"/>
  <c r="H38" i="4"/>
  <c r="L122" i="4"/>
  <c r="L121" i="4" s="1"/>
  <c r="G152" i="8" s="1"/>
  <c r="I136" i="4"/>
  <c r="M22" i="4"/>
  <c r="G133" i="8"/>
  <c r="I73" i="4"/>
  <c r="E140" i="8" s="1"/>
  <c r="H83" i="4"/>
  <c r="K105" i="4"/>
  <c r="F150" i="8" s="1"/>
  <c r="H109" i="4"/>
  <c r="M121" i="4"/>
  <c r="H152" i="8" s="1"/>
  <c r="I144" i="4"/>
  <c r="E156" i="8" s="1"/>
  <c r="I150" i="4"/>
  <c r="E157" i="8" s="1"/>
  <c r="M100" i="4"/>
  <c r="K73" i="4"/>
  <c r="F140" i="8" s="1"/>
  <c r="L74" i="4"/>
  <c r="L73" i="4" s="1"/>
  <c r="G140" i="8" s="1"/>
  <c r="I83" i="4"/>
  <c r="L105" i="4"/>
  <c r="G150" i="8" s="1"/>
  <c r="K144" i="4"/>
  <c r="F156" i="8" s="1"/>
  <c r="L137" i="4"/>
  <c r="L136" i="4" s="1"/>
  <c r="L144" i="4"/>
  <c r="L10" i="5"/>
  <c r="L9" i="5" s="1"/>
  <c r="L62" i="5"/>
  <c r="L61" i="5" s="1"/>
  <c r="G180" i="8" s="1"/>
  <c r="K61" i="5"/>
  <c r="F180" i="8" s="1"/>
  <c r="L99" i="5"/>
  <c r="G189" i="8" s="1"/>
  <c r="L132" i="5"/>
  <c r="L131" i="5" s="1"/>
  <c r="G195" i="8" s="1"/>
  <c r="G197" i="8"/>
  <c r="H26" i="5"/>
  <c r="H43" i="5"/>
  <c r="D174" i="8" s="1"/>
  <c r="H68" i="5"/>
  <c r="D182" i="8" s="1"/>
  <c r="M99" i="5"/>
  <c r="H189" i="8" s="1"/>
  <c r="K12" i="5"/>
  <c r="L18" i="5"/>
  <c r="E174" i="8"/>
  <c r="I74" i="5"/>
  <c r="E183" i="8" s="1"/>
  <c r="M77" i="5"/>
  <c r="L81" i="5"/>
  <c r="L13" i="5"/>
  <c r="L12" i="5" s="1"/>
  <c r="L4" i="5" s="1"/>
  <c r="L31" i="5"/>
  <c r="L30" i="5" s="1"/>
  <c r="G170" i="8" s="1"/>
  <c r="K43" i="5"/>
  <c r="F174" i="8" s="1"/>
  <c r="L43" i="5"/>
  <c r="M49" i="5"/>
  <c r="M48" i="5" s="1"/>
  <c r="K74" i="5"/>
  <c r="F183" i="8" s="1"/>
  <c r="I85" i="5"/>
  <c r="E186" i="8" s="1"/>
  <c r="M12" i="5"/>
  <c r="K85" i="5"/>
  <c r="F186" i="8" s="1"/>
  <c r="M94" i="5"/>
  <c r="H188" i="8" s="1"/>
  <c r="K58" i="5"/>
  <c r="H61" i="5"/>
  <c r="D180" i="8" s="1"/>
  <c r="G186" i="8"/>
  <c r="K105" i="5"/>
  <c r="F190" i="8" s="1"/>
  <c r="M134" i="5"/>
  <c r="H196" i="8" s="1"/>
  <c r="L59" i="5"/>
  <c r="L58" i="5" s="1"/>
  <c r="L75" i="5"/>
  <c r="L74" i="5" s="1"/>
  <c r="G183" i="8" s="1"/>
  <c r="L117" i="5"/>
  <c r="L116" i="5" s="1"/>
  <c r="G193" i="8" s="1"/>
  <c r="L67" i="5"/>
  <c r="L66" i="5" s="1"/>
  <c r="G181" i="8" s="1"/>
  <c r="H130" i="8" l="1"/>
  <c r="I186" i="8"/>
  <c r="N77" i="5"/>
  <c r="H82" i="4"/>
  <c r="D125" i="8"/>
  <c r="H4" i="4"/>
  <c r="L79" i="4"/>
  <c r="H106" i="8"/>
  <c r="M45" i="3"/>
  <c r="H97" i="4"/>
  <c r="H135" i="4"/>
  <c r="D132" i="8"/>
  <c r="I113" i="8"/>
  <c r="D138" i="8"/>
  <c r="H60" i="4"/>
  <c r="D164" i="8"/>
  <c r="D162" i="8"/>
  <c r="I4" i="5"/>
  <c r="H17" i="5"/>
  <c r="K77" i="5"/>
  <c r="L78" i="5"/>
  <c r="G185" i="8" s="1"/>
  <c r="M4" i="4"/>
  <c r="I33" i="3"/>
  <c r="I45" i="3"/>
  <c r="I15" i="3"/>
  <c r="I94" i="8"/>
  <c r="H15" i="3"/>
  <c r="H94" i="8"/>
  <c r="H144" i="8"/>
  <c r="M82" i="4"/>
  <c r="H165" i="8"/>
  <c r="M4" i="5"/>
  <c r="I165" i="8"/>
  <c r="N4" i="5"/>
  <c r="F165" i="8"/>
  <c r="K4" i="5"/>
  <c r="I98" i="8"/>
  <c r="N15" i="3"/>
  <c r="G98" i="8"/>
  <c r="F15" i="3"/>
  <c r="K64" i="4"/>
  <c r="F138" i="8" s="1"/>
  <c r="E97" i="8"/>
  <c r="D97" i="8"/>
  <c r="F97" i="8"/>
  <c r="D106" i="8"/>
  <c r="E106" i="8"/>
  <c r="H97" i="8"/>
  <c r="E94" i="8"/>
  <c r="F107" i="8"/>
  <c r="F105" i="8" s="1"/>
  <c r="K45" i="3"/>
  <c r="G107" i="8"/>
  <c r="L45" i="3"/>
  <c r="F45" i="3" s="1"/>
  <c r="H107" i="8"/>
  <c r="E113" i="8"/>
  <c r="E110" i="8" s="1"/>
  <c r="D113" i="8"/>
  <c r="F113" i="8"/>
  <c r="H113" i="8"/>
  <c r="H77" i="5"/>
  <c r="E167" i="8"/>
  <c r="E166" i="8" s="1"/>
  <c r="I17" i="5"/>
  <c r="D167" i="8"/>
  <c r="E192" i="8"/>
  <c r="F167" i="8"/>
  <c r="K17" i="5"/>
  <c r="I77" i="5"/>
  <c r="D192" i="8"/>
  <c r="H192" i="8"/>
  <c r="H167" i="8"/>
  <c r="M17" i="5"/>
  <c r="F109" i="5"/>
  <c r="D149" i="8"/>
  <c r="F153" i="8"/>
  <c r="F149" i="8"/>
  <c r="F147" i="8" s="1"/>
  <c r="K97" i="4"/>
  <c r="K135" i="4"/>
  <c r="E125" i="8"/>
  <c r="I4" i="4"/>
  <c r="E129" i="8"/>
  <c r="E131" i="8"/>
  <c r="H154" i="8"/>
  <c r="M135" i="4"/>
  <c r="I135" i="4"/>
  <c r="E149" i="8"/>
  <c r="I97" i="4"/>
  <c r="D131" i="8"/>
  <c r="F131" i="8"/>
  <c r="H131" i="8"/>
  <c r="I127" i="8"/>
  <c r="H149" i="8"/>
  <c r="M97" i="4"/>
  <c r="H101" i="8"/>
  <c r="D158" i="8"/>
  <c r="E163" i="8"/>
  <c r="L57" i="5"/>
  <c r="F57" i="5" s="1"/>
  <c r="F4" i="5"/>
  <c r="H160" i="8"/>
  <c r="I137" i="8"/>
  <c r="N60" i="4"/>
  <c r="N4" i="4"/>
  <c r="L33" i="3"/>
  <c r="F33" i="3" s="1"/>
  <c r="F163" i="8"/>
  <c r="I179" i="8"/>
  <c r="I163" i="8"/>
  <c r="I139" i="8"/>
  <c r="N135" i="4"/>
  <c r="L5" i="4"/>
  <c r="L4" i="4" s="1"/>
  <c r="F4" i="4" s="1"/>
  <c r="N124" i="3"/>
  <c r="E128" i="8"/>
  <c r="N97" i="4"/>
  <c r="D128" i="8"/>
  <c r="D127" i="8" s="1"/>
  <c r="I155" i="8"/>
  <c r="I125" i="8"/>
  <c r="I160" i="8"/>
  <c r="I159" i="8" s="1"/>
  <c r="I147" i="8"/>
  <c r="E160" i="8"/>
  <c r="E158" i="8"/>
  <c r="I130" i="8"/>
  <c r="H155" i="8"/>
  <c r="D154" i="8"/>
  <c r="E154" i="8"/>
  <c r="N82" i="4"/>
  <c r="I95" i="8"/>
  <c r="G137" i="8"/>
  <c r="I143" i="8"/>
  <c r="L64" i="4"/>
  <c r="G138" i="8" s="1"/>
  <c r="M123" i="5"/>
  <c r="F185" i="8"/>
  <c r="I166" i="8"/>
  <c r="I175" i="8"/>
  <c r="E185" i="8"/>
  <c r="E184" i="8" s="1"/>
  <c r="D185" i="8"/>
  <c r="D184" i="8" s="1"/>
  <c r="D176" i="8"/>
  <c r="D175" i="8" s="1"/>
  <c r="E176" i="8"/>
  <c r="E175" i="8" s="1"/>
  <c r="N17" i="5"/>
  <c r="I185" i="8"/>
  <c r="I101" i="8"/>
  <c r="G117" i="8"/>
  <c r="L100" i="3"/>
  <c r="F100" i="3" s="1"/>
  <c r="G111" i="8"/>
  <c r="F67" i="3"/>
  <c r="D111" i="8"/>
  <c r="E109" i="8"/>
  <c r="E117" i="8"/>
  <c r="E102" i="8"/>
  <c r="I97" i="8"/>
  <c r="G94" i="8"/>
  <c r="F4" i="3"/>
  <c r="N45" i="3"/>
  <c r="E95" i="8"/>
  <c r="D102" i="8"/>
  <c r="D101" i="8" s="1"/>
  <c r="H33" i="3"/>
  <c r="I105" i="8"/>
  <c r="N100" i="3"/>
  <c r="D94" i="8"/>
  <c r="F111" i="8"/>
  <c r="I110" i="8"/>
  <c r="I116" i="8"/>
  <c r="D117" i="8"/>
  <c r="D116" i="8" s="1"/>
  <c r="H100" i="3"/>
  <c r="N33" i="3"/>
  <c r="E164" i="8"/>
  <c r="I120" i="8"/>
  <c r="H99" i="8"/>
  <c r="G99" i="8"/>
  <c r="D169" i="8"/>
  <c r="K57" i="5"/>
  <c r="M57" i="5"/>
  <c r="H179" i="8"/>
  <c r="D179" i="8"/>
  <c r="D178" i="8" s="1"/>
  <c r="H57" i="5"/>
  <c r="G179" i="8"/>
  <c r="E179" i="8"/>
  <c r="I57" i="5"/>
  <c r="D194" i="8"/>
  <c r="E194" i="8"/>
  <c r="G147" i="8"/>
  <c r="E151" i="8"/>
  <c r="D151" i="8"/>
  <c r="D144" i="8"/>
  <c r="D143" i="8" s="1"/>
  <c r="E144" i="8"/>
  <c r="I82" i="4"/>
  <c r="H142" i="8"/>
  <c r="M60" i="4"/>
  <c r="E142" i="8"/>
  <c r="I60" i="4"/>
  <c r="D142" i="8"/>
  <c r="D136" i="8" s="1"/>
  <c r="D135" i="8"/>
  <c r="E135" i="8"/>
  <c r="G135" i="8"/>
  <c r="F37" i="4"/>
  <c r="D126" i="8"/>
  <c r="D124" i="8" s="1"/>
  <c r="F126" i="8"/>
  <c r="F124" i="8" s="1"/>
  <c r="K4" i="4"/>
  <c r="E126" i="8"/>
  <c r="G126" i="8"/>
  <c r="D121" i="8"/>
  <c r="D120" i="8" s="1"/>
  <c r="H124" i="3"/>
  <c r="E121" i="8"/>
  <c r="I124" i="3"/>
  <c r="D109" i="8"/>
  <c r="H120" i="8"/>
  <c r="H193" i="8"/>
  <c r="F192" i="8"/>
  <c r="G192" i="8"/>
  <c r="F179" i="8"/>
  <c r="F178" i="8" s="1"/>
  <c r="G176" i="8"/>
  <c r="H176" i="8"/>
  <c r="F176" i="8"/>
  <c r="F175" i="8" s="1"/>
  <c r="H185" i="8"/>
  <c r="E100" i="8"/>
  <c r="H129" i="8"/>
  <c r="F129" i="8"/>
  <c r="G129" i="8"/>
  <c r="F26" i="4"/>
  <c r="F143" i="8"/>
  <c r="F133" i="8"/>
  <c r="F134" i="8"/>
  <c r="K33" i="3"/>
  <c r="F116" i="8"/>
  <c r="F120" i="8"/>
  <c r="K21" i="3"/>
  <c r="K15" i="3" s="1"/>
  <c r="F99" i="8"/>
  <c r="F94" i="8"/>
  <c r="F101" i="8"/>
  <c r="F160" i="8"/>
  <c r="F159" i="8" s="1"/>
  <c r="F167" i="4"/>
  <c r="G160" i="8"/>
  <c r="K82" i="4"/>
  <c r="H126" i="8"/>
  <c r="L82" i="4"/>
  <c r="F82" i="4" s="1"/>
  <c r="L97" i="4"/>
  <c r="F97" i="4" s="1"/>
  <c r="K124" i="3"/>
  <c r="H100" i="8"/>
  <c r="K100" i="3"/>
  <c r="M124" i="3"/>
  <c r="G97" i="8"/>
  <c r="H98" i="8"/>
  <c r="G102" i="8"/>
  <c r="L124" i="3"/>
  <c r="F124" i="3" s="1"/>
  <c r="L135" i="4"/>
  <c r="F135" i="4" s="1"/>
  <c r="L17" i="5"/>
  <c r="F17" i="5" s="1"/>
  <c r="P3" i="8"/>
  <c r="B203" i="8"/>
  <c r="B199" i="8"/>
  <c r="B198" i="8"/>
  <c r="B191" i="8"/>
  <c r="B184" i="8"/>
  <c r="B178" i="8"/>
  <c r="B175" i="8"/>
  <c r="B166" i="8"/>
  <c r="B162" i="8"/>
  <c r="B161" i="8"/>
  <c r="B159" i="8"/>
  <c r="B153" i="8"/>
  <c r="B147" i="8"/>
  <c r="B143" i="8"/>
  <c r="B136" i="8"/>
  <c r="B130" i="8"/>
  <c r="B127" i="8"/>
  <c r="B124" i="8"/>
  <c r="B123" i="8"/>
  <c r="B120" i="8"/>
  <c r="B116" i="8"/>
  <c r="B110" i="8"/>
  <c r="B105" i="8"/>
  <c r="B101" i="8"/>
  <c r="B96" i="8"/>
  <c r="B93" i="8"/>
  <c r="B92" i="8"/>
  <c r="B88" i="8"/>
  <c r="B80" i="8"/>
  <c r="B73" i="8"/>
  <c r="B68" i="8"/>
  <c r="B64" i="8"/>
  <c r="B47" i="8"/>
  <c r="B46" i="8"/>
  <c r="I6" i="1"/>
  <c r="K9" i="1"/>
  <c r="B34" i="8"/>
  <c r="B26" i="8"/>
  <c r="B21" i="8"/>
  <c r="B20" i="8"/>
  <c r="B19" i="8"/>
  <c r="B18" i="8"/>
  <c r="B17" i="8"/>
  <c r="B16" i="8"/>
  <c r="B15" i="8"/>
  <c r="B14" i="8"/>
  <c r="B13" i="8"/>
  <c r="B12" i="8"/>
  <c r="B11" i="8"/>
  <c r="B10" i="8"/>
  <c r="B9" i="8"/>
  <c r="B8" i="8"/>
  <c r="B7" i="8"/>
  <c r="B6" i="8"/>
  <c r="B5" i="8"/>
  <c r="H3" i="4" l="1"/>
  <c r="D123" i="8" s="1"/>
  <c r="D7" i="7" s="1"/>
  <c r="L3" i="3"/>
  <c r="H194" i="8"/>
  <c r="M109" i="5"/>
  <c r="M3" i="5" s="1"/>
  <c r="H161" i="8" s="1"/>
  <c r="E162" i="8"/>
  <c r="F166" i="8"/>
  <c r="F162" i="8"/>
  <c r="L77" i="5"/>
  <c r="F77" i="5" s="1"/>
  <c r="L3" i="5" s="1"/>
  <c r="M3" i="4"/>
  <c r="H123" i="8" s="1"/>
  <c r="I96" i="8"/>
  <c r="E96" i="8"/>
  <c r="H110" i="8"/>
  <c r="F110" i="8"/>
  <c r="F184" i="8"/>
  <c r="H96" i="8"/>
  <c r="D96" i="8"/>
  <c r="D110" i="8"/>
  <c r="I162" i="8"/>
  <c r="H162" i="8"/>
  <c r="D105" i="8"/>
  <c r="E105" i="8"/>
  <c r="H105" i="8"/>
  <c r="D166" i="8"/>
  <c r="I184" i="8"/>
  <c r="I178" i="8"/>
  <c r="H166" i="8"/>
  <c r="H175" i="8"/>
  <c r="H147" i="8"/>
  <c r="E153" i="8"/>
  <c r="D153" i="8"/>
  <c r="N3" i="4"/>
  <c r="I123" i="8" s="1"/>
  <c r="H153" i="8"/>
  <c r="I124" i="8"/>
  <c r="E147" i="8"/>
  <c r="D147" i="8"/>
  <c r="I153" i="8"/>
  <c r="I3" i="4"/>
  <c r="E123" i="8" s="1"/>
  <c r="I7" i="7" s="1"/>
  <c r="I136" i="8"/>
  <c r="H3" i="5"/>
  <c r="D161" i="8" s="1"/>
  <c r="I3" i="5"/>
  <c r="E161" i="8" s="1"/>
  <c r="I8" i="7" s="1"/>
  <c r="I93" i="8"/>
  <c r="N3" i="3"/>
  <c r="I92" i="8" s="1"/>
  <c r="K3" i="5"/>
  <c r="F161" i="8" s="1"/>
  <c r="N3" i="5"/>
  <c r="I161" i="8" s="1"/>
  <c r="F98" i="8"/>
  <c r="K3" i="3"/>
  <c r="F92" i="8" s="1"/>
  <c r="L60" i="4"/>
  <c r="F60" i="4" s="1"/>
  <c r="L3" i="4" s="1"/>
  <c r="H95" i="8"/>
  <c r="M3" i="3"/>
  <c r="H92" i="8" s="1"/>
  <c r="I3" i="3"/>
  <c r="E92" i="8" s="1"/>
  <c r="I6" i="7" s="1"/>
  <c r="G142" i="8"/>
  <c r="H3" i="3"/>
  <c r="G125" i="8"/>
  <c r="B9" i="7"/>
  <c r="B8" i="7"/>
  <c r="B7" i="7"/>
  <c r="B6" i="7"/>
  <c r="B5" i="7"/>
  <c r="B4" i="7"/>
  <c r="M49" i="6"/>
  <c r="N49" i="6" s="1"/>
  <c r="K49" i="6"/>
  <c r="L49" i="6" s="1"/>
  <c r="I49" i="6"/>
  <c r="H49" i="6"/>
  <c r="M44" i="6"/>
  <c r="N44" i="6" s="1"/>
  <c r="K44" i="6"/>
  <c r="L44" i="6" s="1"/>
  <c r="I44" i="6"/>
  <c r="H44" i="6"/>
  <c r="M39" i="6"/>
  <c r="N39" i="6" s="1"/>
  <c r="K39" i="6"/>
  <c r="L39" i="6" s="1"/>
  <c r="I39" i="6"/>
  <c r="H39" i="6"/>
  <c r="M35" i="6"/>
  <c r="N35" i="6" s="1"/>
  <c r="K35" i="6"/>
  <c r="L35" i="6" s="1"/>
  <c r="I35" i="6"/>
  <c r="H35" i="6"/>
  <c r="M33" i="6"/>
  <c r="N33" i="6" s="1"/>
  <c r="K33" i="6"/>
  <c r="L33" i="6" s="1"/>
  <c r="I33" i="6"/>
  <c r="H33" i="6"/>
  <c r="M18" i="6"/>
  <c r="N18" i="6" s="1"/>
  <c r="K18" i="6"/>
  <c r="I18" i="6"/>
  <c r="H18" i="6"/>
  <c r="M17" i="6"/>
  <c r="N17" i="6" s="1"/>
  <c r="K17" i="6"/>
  <c r="L17" i="6" s="1"/>
  <c r="I17" i="6"/>
  <c r="H17" i="6"/>
  <c r="M13" i="6"/>
  <c r="N13" i="6" s="1"/>
  <c r="K13" i="6"/>
  <c r="L13" i="6" s="1"/>
  <c r="I13" i="6"/>
  <c r="H13" i="6"/>
  <c r="M11" i="6"/>
  <c r="N11" i="6" s="1"/>
  <c r="K11" i="6"/>
  <c r="L11" i="6" s="1"/>
  <c r="I11" i="6"/>
  <c r="H11" i="6"/>
  <c r="M8" i="6"/>
  <c r="N8" i="6" s="1"/>
  <c r="K8" i="6"/>
  <c r="L8" i="6" s="1"/>
  <c r="I8" i="6"/>
  <c r="H8" i="6"/>
  <c r="M7" i="6"/>
  <c r="L7" i="6"/>
  <c r="I7" i="6"/>
  <c r="H7" i="6"/>
  <c r="M205" i="2"/>
  <c r="N205" i="2" s="1"/>
  <c r="L205" i="2"/>
  <c r="I205" i="2"/>
  <c r="H205" i="2"/>
  <c r="M204" i="2"/>
  <c r="N204" i="2" s="1"/>
  <c r="L204" i="2"/>
  <c r="I204" i="2"/>
  <c r="H204" i="2"/>
  <c r="M202" i="2"/>
  <c r="N202" i="2" s="1"/>
  <c r="L202" i="2"/>
  <c r="I202" i="2"/>
  <c r="H202" i="2"/>
  <c r="M201" i="2"/>
  <c r="N201" i="2" s="1"/>
  <c r="K201" i="2"/>
  <c r="L201" i="2" s="1"/>
  <c r="I201" i="2"/>
  <c r="H201" i="2"/>
  <c r="N200" i="2"/>
  <c r="K200" i="2"/>
  <c r="H200" i="2"/>
  <c r="N199" i="2"/>
  <c r="L199" i="2"/>
  <c r="I199" i="2"/>
  <c r="H199" i="2"/>
  <c r="M197" i="2"/>
  <c r="N197" i="2" s="1"/>
  <c r="K197" i="2"/>
  <c r="L197" i="2" s="1"/>
  <c r="I197" i="2"/>
  <c r="H197" i="2"/>
  <c r="M195" i="2"/>
  <c r="N195" i="2" s="1"/>
  <c r="L195" i="2"/>
  <c r="I195" i="2"/>
  <c r="H195" i="2"/>
  <c r="M194" i="2"/>
  <c r="N194" i="2" s="1"/>
  <c r="M191" i="2"/>
  <c r="N191" i="2" s="1"/>
  <c r="L191" i="2"/>
  <c r="I191" i="2"/>
  <c r="H191" i="2"/>
  <c r="M190" i="2"/>
  <c r="N190" i="2" s="1"/>
  <c r="L190" i="2"/>
  <c r="I190" i="2"/>
  <c r="H190" i="2"/>
  <c r="M189" i="2"/>
  <c r="N189" i="2" s="1"/>
  <c r="L189" i="2"/>
  <c r="I189" i="2"/>
  <c r="H189" i="2"/>
  <c r="I188" i="2"/>
  <c r="H188" i="2"/>
  <c r="M186" i="2"/>
  <c r="N186" i="2" s="1"/>
  <c r="I186" i="2"/>
  <c r="H186" i="2"/>
  <c r="M185" i="2"/>
  <c r="L185" i="2"/>
  <c r="I185" i="2"/>
  <c r="H185" i="2"/>
  <c r="M183" i="2"/>
  <c r="I183" i="2"/>
  <c r="I182" i="2" s="1"/>
  <c r="E85" i="8" s="1"/>
  <c r="H183" i="2"/>
  <c r="H182" i="2" s="1"/>
  <c r="D85" i="8" s="1"/>
  <c r="M181" i="2"/>
  <c r="N181" i="2" s="1"/>
  <c r="K181" i="2"/>
  <c r="L181" i="2" s="1"/>
  <c r="I181" i="2"/>
  <c r="H181" i="2"/>
  <c r="M180" i="2"/>
  <c r="N180" i="2" s="1"/>
  <c r="L180" i="2"/>
  <c r="I180" i="2"/>
  <c r="H180" i="2"/>
  <c r="M178" i="2"/>
  <c r="N178" i="2" s="1"/>
  <c r="L178" i="2"/>
  <c r="I178" i="2"/>
  <c r="H178" i="2"/>
  <c r="M177" i="2"/>
  <c r="N177" i="2" s="1"/>
  <c r="L177" i="2"/>
  <c r="I177" i="2"/>
  <c r="H177" i="2"/>
  <c r="M175" i="2"/>
  <c r="N175" i="2" s="1"/>
  <c r="L175" i="2"/>
  <c r="I175" i="2"/>
  <c r="H175" i="2"/>
  <c r="M174" i="2"/>
  <c r="N174" i="2" s="1"/>
  <c r="L174" i="2"/>
  <c r="I174" i="2"/>
  <c r="H174" i="2"/>
  <c r="M172" i="2"/>
  <c r="L172" i="2"/>
  <c r="I172" i="2"/>
  <c r="H172" i="2"/>
  <c r="I171" i="2"/>
  <c r="H171" i="2"/>
  <c r="M168" i="2"/>
  <c r="N168" i="2" s="1"/>
  <c r="K168" i="2"/>
  <c r="L168" i="2" s="1"/>
  <c r="I168" i="2"/>
  <c r="H168" i="2"/>
  <c r="M167" i="2"/>
  <c r="N167" i="2" s="1"/>
  <c r="K167" i="2"/>
  <c r="L167" i="2" s="1"/>
  <c r="I167" i="2"/>
  <c r="H167" i="2"/>
  <c r="M166" i="2"/>
  <c r="K166" i="2"/>
  <c r="I166" i="2"/>
  <c r="H166" i="2"/>
  <c r="M158" i="2"/>
  <c r="N158" i="2" s="1"/>
  <c r="K158" i="2"/>
  <c r="L158" i="2" s="1"/>
  <c r="I158" i="2"/>
  <c r="H158" i="2"/>
  <c r="M157" i="2"/>
  <c r="N157" i="2" s="1"/>
  <c r="K157" i="2"/>
  <c r="L157" i="2" s="1"/>
  <c r="I157" i="2"/>
  <c r="H157" i="2"/>
  <c r="M156" i="2"/>
  <c r="N156" i="2" s="1"/>
  <c r="K156" i="2"/>
  <c r="L156" i="2" s="1"/>
  <c r="I156" i="2"/>
  <c r="H156" i="2"/>
  <c r="M155" i="2"/>
  <c r="N155" i="2" s="1"/>
  <c r="L155" i="2"/>
  <c r="I155" i="2"/>
  <c r="H155" i="2"/>
  <c r="M151" i="2"/>
  <c r="N151" i="2" s="1"/>
  <c r="K151" i="2"/>
  <c r="L151" i="2" s="1"/>
  <c r="I151" i="2"/>
  <c r="H151" i="2"/>
  <c r="M150" i="2"/>
  <c r="N150" i="2" s="1"/>
  <c r="K150" i="2"/>
  <c r="L150" i="2" s="1"/>
  <c r="I150" i="2"/>
  <c r="H150" i="2"/>
  <c r="M149" i="2"/>
  <c r="N149" i="2" s="1"/>
  <c r="L149" i="2"/>
  <c r="I149" i="2"/>
  <c r="H149" i="2"/>
  <c r="M147" i="2"/>
  <c r="N147" i="2" s="1"/>
  <c r="L147" i="2"/>
  <c r="I147" i="2"/>
  <c r="H147" i="2"/>
  <c r="M146" i="2"/>
  <c r="L146" i="2"/>
  <c r="I146" i="2"/>
  <c r="H146" i="2"/>
  <c r="M144" i="2"/>
  <c r="N144" i="2" s="1"/>
  <c r="K144" i="2"/>
  <c r="L144" i="2" s="1"/>
  <c r="I144" i="2"/>
  <c r="H144" i="2"/>
  <c r="M143" i="2"/>
  <c r="N143" i="2" s="1"/>
  <c r="L143" i="2"/>
  <c r="I143" i="2"/>
  <c r="H143" i="2"/>
  <c r="M142" i="2"/>
  <c r="N142" i="2" s="1"/>
  <c r="L142" i="2"/>
  <c r="I142" i="2"/>
  <c r="H142" i="2"/>
  <c r="M141" i="2"/>
  <c r="N141" i="2" s="1"/>
  <c r="L141" i="2"/>
  <c r="I141" i="2"/>
  <c r="H141" i="2"/>
  <c r="M139" i="2"/>
  <c r="N139" i="2" s="1"/>
  <c r="L139" i="2"/>
  <c r="I139" i="2"/>
  <c r="H139" i="2"/>
  <c r="M137" i="2"/>
  <c r="N137" i="2" s="1"/>
  <c r="K137" i="2"/>
  <c r="L137" i="2" s="1"/>
  <c r="I137" i="2"/>
  <c r="H137" i="2"/>
  <c r="I136" i="2"/>
  <c r="H136" i="2"/>
  <c r="M134" i="2"/>
  <c r="N134" i="2" s="1"/>
  <c r="L134" i="2"/>
  <c r="I134" i="2"/>
  <c r="H134" i="2"/>
  <c r="M133" i="2"/>
  <c r="N133" i="2" s="1"/>
  <c r="K133" i="2"/>
  <c r="L133" i="2" s="1"/>
  <c r="I133" i="2"/>
  <c r="H133" i="2"/>
  <c r="M132" i="2"/>
  <c r="N132" i="2" s="1"/>
  <c r="I132" i="2"/>
  <c r="H132" i="2"/>
  <c r="M129" i="2"/>
  <c r="N129" i="2" s="1"/>
  <c r="K129" i="2"/>
  <c r="L129" i="2" s="1"/>
  <c r="I129" i="2"/>
  <c r="H129" i="2"/>
  <c r="M127" i="2"/>
  <c r="N127" i="2" s="1"/>
  <c r="K127" i="2"/>
  <c r="I127" i="2"/>
  <c r="H127" i="2"/>
  <c r="M125" i="2"/>
  <c r="N125" i="2" s="1"/>
  <c r="N124" i="2" s="1"/>
  <c r="I71" i="8" s="1"/>
  <c r="K125" i="2"/>
  <c r="K124" i="2" s="1"/>
  <c r="F71" i="8" s="1"/>
  <c r="I125" i="2"/>
  <c r="I124" i="2" s="1"/>
  <c r="E71" i="8" s="1"/>
  <c r="H125" i="2"/>
  <c r="H124" i="2" s="1"/>
  <c r="D71" i="8" s="1"/>
  <c r="M123" i="2"/>
  <c r="I123" i="2"/>
  <c r="I122" i="2" s="1"/>
  <c r="E70" i="8" s="1"/>
  <c r="H123" i="2"/>
  <c r="H122" i="2" s="1"/>
  <c r="D70" i="8" s="1"/>
  <c r="M121" i="2"/>
  <c r="K121" i="2"/>
  <c r="K120" i="2" s="1"/>
  <c r="F69" i="8" s="1"/>
  <c r="I121" i="2"/>
  <c r="I120" i="2" s="1"/>
  <c r="H121" i="2"/>
  <c r="H120" i="2" s="1"/>
  <c r="M108" i="2"/>
  <c r="N108" i="2" s="1"/>
  <c r="K108" i="2"/>
  <c r="L108" i="2" s="1"/>
  <c r="I108" i="2"/>
  <c r="H108" i="2"/>
  <c r="M107" i="2"/>
  <c r="K107" i="2"/>
  <c r="L107" i="2" s="1"/>
  <c r="I107" i="2"/>
  <c r="H107" i="2"/>
  <c r="M104" i="2"/>
  <c r="N104" i="2" s="1"/>
  <c r="K104" i="2"/>
  <c r="L104" i="2" s="1"/>
  <c r="I104" i="2"/>
  <c r="H104" i="2"/>
  <c r="M103" i="2"/>
  <c r="N103" i="2" s="1"/>
  <c r="K103" i="2"/>
  <c r="L103" i="2" s="1"/>
  <c r="I103" i="2"/>
  <c r="H103" i="2"/>
  <c r="M102" i="2"/>
  <c r="N102" i="2" s="1"/>
  <c r="L102" i="2"/>
  <c r="I102" i="2"/>
  <c r="H102" i="2"/>
  <c r="J100" i="2"/>
  <c r="G100" i="2"/>
  <c r="I100" i="2" s="1"/>
  <c r="I96" i="2"/>
  <c r="H96" i="2"/>
  <c r="I95" i="2"/>
  <c r="H95" i="2"/>
  <c r="N93" i="2"/>
  <c r="M90" i="2"/>
  <c r="N90" i="2" s="1"/>
  <c r="K90" i="2"/>
  <c r="L90" i="2" s="1"/>
  <c r="I90" i="2"/>
  <c r="H90" i="2"/>
  <c r="N89" i="2"/>
  <c r="L89" i="2"/>
  <c r="I89" i="2"/>
  <c r="H89" i="2"/>
  <c r="N88" i="2"/>
  <c r="L88" i="2"/>
  <c r="I88" i="2"/>
  <c r="H88" i="2"/>
  <c r="M87" i="2"/>
  <c r="N87" i="2" s="1"/>
  <c r="K87" i="2"/>
  <c r="L87" i="2" s="1"/>
  <c r="I87" i="2"/>
  <c r="H87" i="2"/>
  <c r="M86" i="2"/>
  <c r="N86" i="2" s="1"/>
  <c r="K86" i="2"/>
  <c r="L86" i="2" s="1"/>
  <c r="I86" i="2"/>
  <c r="H86" i="2"/>
  <c r="M81" i="2"/>
  <c r="N81" i="2" s="1"/>
  <c r="K81" i="2"/>
  <c r="L81" i="2" s="1"/>
  <c r="I81" i="2"/>
  <c r="H81" i="2"/>
  <c r="M79" i="2"/>
  <c r="N79" i="2" s="1"/>
  <c r="K79" i="2"/>
  <c r="L79" i="2" s="1"/>
  <c r="I79" i="2"/>
  <c r="H79" i="2"/>
  <c r="M76" i="2"/>
  <c r="N76" i="2" s="1"/>
  <c r="K76" i="2"/>
  <c r="L76" i="2" s="1"/>
  <c r="I76" i="2"/>
  <c r="H76" i="2"/>
  <c r="M75" i="2"/>
  <c r="N75" i="2" s="1"/>
  <c r="K75" i="2"/>
  <c r="L75" i="2" s="1"/>
  <c r="I75" i="2"/>
  <c r="H75" i="2"/>
  <c r="M74" i="2"/>
  <c r="I74" i="2"/>
  <c r="H74" i="2"/>
  <c r="M72" i="2"/>
  <c r="N72" i="2" s="1"/>
  <c r="L72" i="2"/>
  <c r="I72" i="2"/>
  <c r="H72" i="2"/>
  <c r="M71" i="2"/>
  <c r="N71" i="2" s="1"/>
  <c r="L71" i="2"/>
  <c r="I71" i="2"/>
  <c r="H71" i="2"/>
  <c r="M70" i="2"/>
  <c r="N70" i="2" s="1"/>
  <c r="K70" i="2"/>
  <c r="L70" i="2" s="1"/>
  <c r="I70" i="2"/>
  <c r="H70" i="2"/>
  <c r="M69" i="2"/>
  <c r="N69" i="2" s="1"/>
  <c r="K69" i="2"/>
  <c r="L69" i="2" s="1"/>
  <c r="I69" i="2"/>
  <c r="H69" i="2"/>
  <c r="M66" i="2"/>
  <c r="N66" i="2" s="1"/>
  <c r="K66" i="2"/>
  <c r="L66" i="2" s="1"/>
  <c r="I66" i="2"/>
  <c r="H66" i="2"/>
  <c r="I64" i="2"/>
  <c r="H64" i="2"/>
  <c r="I63" i="2"/>
  <c r="H63" i="2"/>
  <c r="M62" i="2"/>
  <c r="N62" i="2" s="1"/>
  <c r="K62" i="2"/>
  <c r="L62" i="2" s="1"/>
  <c r="I62" i="2"/>
  <c r="H62" i="2"/>
  <c r="N61" i="2"/>
  <c r="K61" i="2"/>
  <c r="L61" i="2" s="1"/>
  <c r="I61" i="2"/>
  <c r="H61" i="2"/>
  <c r="I59" i="2"/>
  <c r="H59" i="2"/>
  <c r="M58" i="2"/>
  <c r="N58" i="2" s="1"/>
  <c r="K58" i="2"/>
  <c r="L58" i="2" s="1"/>
  <c r="I58" i="2"/>
  <c r="H58" i="2"/>
  <c r="M57" i="2"/>
  <c r="K57" i="2"/>
  <c r="I57" i="2"/>
  <c r="H57" i="2"/>
  <c r="K55" i="2"/>
  <c r="L55" i="2" s="1"/>
  <c r="I55" i="2"/>
  <c r="H55" i="2"/>
  <c r="I54" i="2"/>
  <c r="H54" i="2"/>
  <c r="I53" i="2"/>
  <c r="H53" i="2"/>
  <c r="H56" i="8"/>
  <c r="M47" i="2"/>
  <c r="N47" i="2" s="1"/>
  <c r="K47" i="2"/>
  <c r="L47" i="2" s="1"/>
  <c r="I47" i="2"/>
  <c r="H47" i="2"/>
  <c r="M46" i="2"/>
  <c r="N46" i="2" s="1"/>
  <c r="K46" i="2"/>
  <c r="L46" i="2" s="1"/>
  <c r="I46" i="2"/>
  <c r="H46" i="2"/>
  <c r="M45" i="2"/>
  <c r="N45" i="2" s="1"/>
  <c r="K45" i="2"/>
  <c r="L45" i="2" s="1"/>
  <c r="I45" i="2"/>
  <c r="H45" i="2"/>
  <c r="M44" i="2"/>
  <c r="N44" i="2" s="1"/>
  <c r="I44" i="2"/>
  <c r="H44" i="2"/>
  <c r="I42" i="2"/>
  <c r="H42" i="2"/>
  <c r="M41" i="2"/>
  <c r="N41" i="2" s="1"/>
  <c r="K41" i="2"/>
  <c r="L41" i="2" s="1"/>
  <c r="I41" i="2"/>
  <c r="H41" i="2"/>
  <c r="M40" i="2"/>
  <c r="L40" i="2"/>
  <c r="I40" i="2"/>
  <c r="H40" i="2"/>
  <c r="M36" i="2"/>
  <c r="N36" i="2" s="1"/>
  <c r="K36" i="2"/>
  <c r="L36" i="2" s="1"/>
  <c r="I36" i="2"/>
  <c r="H36" i="2"/>
  <c r="M35" i="2"/>
  <c r="L35" i="2"/>
  <c r="I35" i="2"/>
  <c r="H35" i="2"/>
  <c r="I33" i="2"/>
  <c r="H33" i="2"/>
  <c r="I32" i="2"/>
  <c r="H32" i="2"/>
  <c r="L31" i="2"/>
  <c r="I31" i="2"/>
  <c r="H31" i="2"/>
  <c r="I30" i="2"/>
  <c r="M28" i="2"/>
  <c r="N28" i="2" s="1"/>
  <c r="L28" i="2"/>
  <c r="I28" i="2"/>
  <c r="H28" i="2"/>
  <c r="M27" i="2"/>
  <c r="N27" i="2" s="1"/>
  <c r="L27" i="2"/>
  <c r="I27" i="2"/>
  <c r="H27" i="2"/>
  <c r="M26" i="2"/>
  <c r="N26" i="2" s="1"/>
  <c r="L26" i="2"/>
  <c r="I26" i="2"/>
  <c r="H26" i="2"/>
  <c r="M25" i="2"/>
  <c r="N25" i="2" s="1"/>
  <c r="K25" i="2"/>
  <c r="L25" i="2" s="1"/>
  <c r="I25" i="2"/>
  <c r="H25" i="2"/>
  <c r="M24" i="2"/>
  <c r="N24" i="2" s="1"/>
  <c r="L24" i="2"/>
  <c r="H24" i="2"/>
  <c r="M23" i="2"/>
  <c r="N23" i="2" s="1"/>
  <c r="L23" i="2"/>
  <c r="I23" i="2"/>
  <c r="H23" i="2"/>
  <c r="N22" i="2"/>
  <c r="L22" i="2"/>
  <c r="I22" i="2"/>
  <c r="H22" i="2"/>
  <c r="M20" i="2"/>
  <c r="N20" i="2" s="1"/>
  <c r="L20" i="2"/>
  <c r="I20" i="2"/>
  <c r="H20" i="2"/>
  <c r="M19" i="2"/>
  <c r="N19" i="2" s="1"/>
  <c r="L19" i="2"/>
  <c r="I19" i="2"/>
  <c r="H19" i="2"/>
  <c r="M18" i="2"/>
  <c r="N18" i="2" s="1"/>
  <c r="K18" i="2"/>
  <c r="L18" i="2" s="1"/>
  <c r="I18" i="2"/>
  <c r="H18" i="2"/>
  <c r="M17" i="2"/>
  <c r="N17" i="2" s="1"/>
  <c r="K17" i="2"/>
  <c r="L17" i="2" s="1"/>
  <c r="M14" i="2"/>
  <c r="N14" i="2" s="1"/>
  <c r="K14" i="2"/>
  <c r="L14" i="2" s="1"/>
  <c r="I14" i="2"/>
  <c r="H14" i="2"/>
  <c r="M13" i="2"/>
  <c r="L13" i="2"/>
  <c r="H13" i="2"/>
  <c r="M11" i="2"/>
  <c r="N11" i="2" s="1"/>
  <c r="K11" i="2"/>
  <c r="L11" i="2" s="1"/>
  <c r="I11" i="2"/>
  <c r="H11" i="2"/>
  <c r="M10" i="2"/>
  <c r="N10" i="2" s="1"/>
  <c r="L10" i="2"/>
  <c r="I10" i="2"/>
  <c r="H10" i="2"/>
  <c r="M9" i="2"/>
  <c r="N9" i="2" s="1"/>
  <c r="K9" i="2"/>
  <c r="L9" i="2" s="1"/>
  <c r="I9" i="2"/>
  <c r="H9" i="2"/>
  <c r="M8" i="2"/>
  <c r="N8" i="2" s="1"/>
  <c r="K8" i="2"/>
  <c r="L8" i="2" s="1"/>
  <c r="I8" i="2"/>
  <c r="H8" i="2"/>
  <c r="M7" i="2"/>
  <c r="K7" i="2"/>
  <c r="L7" i="2" s="1"/>
  <c r="M211" i="1"/>
  <c r="N211" i="1" s="1"/>
  <c r="L211" i="1"/>
  <c r="L209" i="1" s="1"/>
  <c r="I211" i="1"/>
  <c r="H211" i="1"/>
  <c r="M210" i="1"/>
  <c r="I210" i="1"/>
  <c r="H210" i="1"/>
  <c r="M208" i="1"/>
  <c r="N208" i="1" s="1"/>
  <c r="K208" i="1"/>
  <c r="I208" i="1"/>
  <c r="H208" i="1"/>
  <c r="M207" i="1"/>
  <c r="K207" i="1"/>
  <c r="L207" i="1" s="1"/>
  <c r="I207" i="1"/>
  <c r="H207" i="1"/>
  <c r="M205" i="1"/>
  <c r="N205" i="1" s="1"/>
  <c r="K205" i="1"/>
  <c r="L205" i="1" s="1"/>
  <c r="I205" i="1"/>
  <c r="H205" i="1"/>
  <c r="M204" i="1"/>
  <c r="N204" i="1" s="1"/>
  <c r="K204" i="1"/>
  <c r="L204" i="1" s="1"/>
  <c r="I204" i="1"/>
  <c r="H204" i="1"/>
  <c r="M201" i="1"/>
  <c r="N201" i="1" s="1"/>
  <c r="K201" i="1"/>
  <c r="L201" i="1" s="1"/>
  <c r="I201" i="1"/>
  <c r="H201" i="1"/>
  <c r="M200" i="1"/>
  <c r="N200" i="1" s="1"/>
  <c r="I200" i="1"/>
  <c r="H200" i="1"/>
  <c r="M198" i="1"/>
  <c r="N198" i="1" s="1"/>
  <c r="I198" i="1"/>
  <c r="H198" i="1"/>
  <c r="M197" i="1"/>
  <c r="N197" i="1" s="1"/>
  <c r="K197" i="1"/>
  <c r="L197" i="1" s="1"/>
  <c r="I197" i="1"/>
  <c r="H197" i="1"/>
  <c r="M196" i="1"/>
  <c r="N196" i="1" s="1"/>
  <c r="K196" i="1"/>
  <c r="L196" i="1" s="1"/>
  <c r="I196" i="1"/>
  <c r="H196" i="1"/>
  <c r="M193" i="1"/>
  <c r="K193" i="1"/>
  <c r="I193" i="1"/>
  <c r="H193" i="1"/>
  <c r="M191" i="1"/>
  <c r="N191" i="1" s="1"/>
  <c r="L191" i="1"/>
  <c r="I191" i="1"/>
  <c r="H191" i="1"/>
  <c r="M190" i="1"/>
  <c r="N190" i="1" s="1"/>
  <c r="L190" i="1"/>
  <c r="I190" i="1"/>
  <c r="H190" i="1"/>
  <c r="M189" i="1"/>
  <c r="N189" i="1" s="1"/>
  <c r="L189" i="1"/>
  <c r="I189" i="1"/>
  <c r="H189" i="1"/>
  <c r="M187" i="1"/>
  <c r="N187" i="1" s="1"/>
  <c r="I187" i="1"/>
  <c r="H187" i="1"/>
  <c r="M185" i="1"/>
  <c r="K185" i="1"/>
  <c r="K184" i="1" s="1"/>
  <c r="F38" i="8" s="1"/>
  <c r="I185" i="1"/>
  <c r="I184" i="1" s="1"/>
  <c r="E38" i="8" s="1"/>
  <c r="H185" i="1"/>
  <c r="H184" i="1" s="1"/>
  <c r="D38" i="8" s="1"/>
  <c r="M183" i="1"/>
  <c r="N183" i="1" s="1"/>
  <c r="K183" i="1"/>
  <c r="L183" i="1" s="1"/>
  <c r="I183" i="1"/>
  <c r="M182" i="1"/>
  <c r="N182" i="1" s="1"/>
  <c r="K182" i="1"/>
  <c r="L182" i="1" s="1"/>
  <c r="I182" i="1"/>
  <c r="H182" i="1"/>
  <c r="M181" i="1"/>
  <c r="N181" i="1" s="1"/>
  <c r="K181" i="1"/>
  <c r="L181" i="1" s="1"/>
  <c r="I181" i="1"/>
  <c r="H181" i="1"/>
  <c r="M180" i="1"/>
  <c r="K180" i="1"/>
  <c r="L180" i="1" s="1"/>
  <c r="H180" i="1"/>
  <c r="M177" i="1"/>
  <c r="L177" i="1"/>
  <c r="I177" i="1"/>
  <c r="H177" i="1"/>
  <c r="M176" i="1"/>
  <c r="N176" i="1" s="1"/>
  <c r="I176" i="1"/>
  <c r="I172" i="1"/>
  <c r="N173" i="1"/>
  <c r="M165" i="1"/>
  <c r="N165" i="1" s="1"/>
  <c r="K165" i="1"/>
  <c r="L165" i="1" s="1"/>
  <c r="I165" i="1"/>
  <c r="H165" i="1"/>
  <c r="M164" i="1"/>
  <c r="N164" i="1" s="1"/>
  <c r="K164" i="1"/>
  <c r="L164" i="1" s="1"/>
  <c r="I164" i="1"/>
  <c r="H164" i="1"/>
  <c r="M163" i="1"/>
  <c r="N163" i="1" s="1"/>
  <c r="K163" i="1"/>
  <c r="L163" i="1" s="1"/>
  <c r="I163" i="1"/>
  <c r="H163" i="1"/>
  <c r="M162" i="1"/>
  <c r="N162" i="1" s="1"/>
  <c r="L162" i="1"/>
  <c r="I162" i="1"/>
  <c r="H162" i="1"/>
  <c r="M161" i="1"/>
  <c r="N161" i="1" s="1"/>
  <c r="I161" i="1"/>
  <c r="H161" i="1"/>
  <c r="M158" i="1"/>
  <c r="N158" i="1" s="1"/>
  <c r="K158" i="1"/>
  <c r="L158" i="1" s="1"/>
  <c r="I158" i="1"/>
  <c r="H158" i="1"/>
  <c r="M155" i="1"/>
  <c r="N155" i="1" s="1"/>
  <c r="L155" i="1"/>
  <c r="I155" i="1"/>
  <c r="H155" i="1"/>
  <c r="K151" i="1"/>
  <c r="L151" i="1" s="1"/>
  <c r="F151" i="1"/>
  <c r="M150" i="1"/>
  <c r="N150" i="1" s="1"/>
  <c r="L150" i="1"/>
  <c r="I150" i="1"/>
  <c r="H150" i="1"/>
  <c r="M149" i="1"/>
  <c r="K149" i="1"/>
  <c r="L149" i="1" s="1"/>
  <c r="I149" i="1"/>
  <c r="H149" i="1"/>
  <c r="M146" i="1"/>
  <c r="N146" i="1" s="1"/>
  <c r="K146" i="1"/>
  <c r="L146" i="1" s="1"/>
  <c r="I146" i="1"/>
  <c r="H146" i="1"/>
  <c r="M145" i="1"/>
  <c r="N145" i="1" s="1"/>
  <c r="K145" i="1"/>
  <c r="L145" i="1" s="1"/>
  <c r="I145" i="1"/>
  <c r="H145" i="1"/>
  <c r="M144" i="1"/>
  <c r="K144" i="1"/>
  <c r="I144" i="1"/>
  <c r="H144" i="1"/>
  <c r="M142" i="1"/>
  <c r="N142" i="1" s="1"/>
  <c r="K142" i="1"/>
  <c r="L142" i="1" s="1"/>
  <c r="I142" i="1"/>
  <c r="H142" i="1"/>
  <c r="M141" i="1"/>
  <c r="N141" i="1" s="1"/>
  <c r="N140" i="1" s="1"/>
  <c r="L141" i="1"/>
  <c r="I141" i="1"/>
  <c r="H141" i="1"/>
  <c r="M139" i="1"/>
  <c r="N139" i="1" s="1"/>
  <c r="K139" i="1"/>
  <c r="L139" i="1" s="1"/>
  <c r="I139" i="1"/>
  <c r="H139" i="1"/>
  <c r="M137" i="1"/>
  <c r="N137" i="1" s="1"/>
  <c r="L137" i="1"/>
  <c r="I137" i="1"/>
  <c r="H137" i="1"/>
  <c r="M135" i="1"/>
  <c r="N135" i="1" s="1"/>
  <c r="K135" i="1"/>
  <c r="L135" i="1" s="1"/>
  <c r="I135" i="1"/>
  <c r="H135" i="1"/>
  <c r="M134" i="1"/>
  <c r="N134" i="1" s="1"/>
  <c r="K134" i="1"/>
  <c r="L134" i="1" s="1"/>
  <c r="I134" i="1"/>
  <c r="H134" i="1"/>
  <c r="M133" i="1"/>
  <c r="N133" i="1" s="1"/>
  <c r="K133" i="1"/>
  <c r="L133" i="1" s="1"/>
  <c r="I133" i="1"/>
  <c r="H133" i="1"/>
  <c r="M132" i="1"/>
  <c r="N132" i="1" s="1"/>
  <c r="L132" i="1"/>
  <c r="I132" i="1"/>
  <c r="H132" i="1"/>
  <c r="M127" i="1"/>
  <c r="N127" i="1" s="1"/>
  <c r="N125" i="1" s="1"/>
  <c r="K127" i="1"/>
  <c r="I127" i="1"/>
  <c r="H127" i="1"/>
  <c r="L124" i="1"/>
  <c r="I124" i="1"/>
  <c r="H124" i="1"/>
  <c r="K123" i="1"/>
  <c r="L123" i="1" s="1"/>
  <c r="M123" i="1"/>
  <c r="N123" i="1" s="1"/>
  <c r="I123" i="1"/>
  <c r="H123" i="1"/>
  <c r="M122" i="1"/>
  <c r="N122" i="1" s="1"/>
  <c r="K122" i="1"/>
  <c r="L122" i="1" s="1"/>
  <c r="I122" i="1"/>
  <c r="H122" i="1"/>
  <c r="M121" i="1"/>
  <c r="N121" i="1" s="1"/>
  <c r="K121" i="1"/>
  <c r="L121" i="1" s="1"/>
  <c r="I121" i="1"/>
  <c r="H121" i="1"/>
  <c r="L120" i="1"/>
  <c r="I120" i="1"/>
  <c r="H120" i="1"/>
  <c r="I119" i="1"/>
  <c r="H119" i="1"/>
  <c r="M118" i="1"/>
  <c r="N118" i="1" s="1"/>
  <c r="K118" i="1"/>
  <c r="L118" i="1" s="1"/>
  <c r="I118" i="1"/>
  <c r="H118" i="1"/>
  <c r="M117" i="1"/>
  <c r="N117" i="1" s="1"/>
  <c r="K117" i="1"/>
  <c r="L117" i="1" s="1"/>
  <c r="I117" i="1"/>
  <c r="H117" i="1"/>
  <c r="K116" i="1"/>
  <c r="L116" i="1" s="1"/>
  <c r="I116" i="1"/>
  <c r="H116" i="1"/>
  <c r="I115" i="1"/>
  <c r="H115" i="1"/>
  <c r="L114" i="1"/>
  <c r="I114" i="1"/>
  <c r="H114" i="1"/>
  <c r="M113" i="1"/>
  <c r="N113" i="1" s="1"/>
  <c r="K113" i="1"/>
  <c r="L113" i="1" s="1"/>
  <c r="I113" i="1"/>
  <c r="H113" i="1"/>
  <c r="K112" i="1"/>
  <c r="L112" i="1" s="1"/>
  <c r="F112" i="1"/>
  <c r="H112" i="1" s="1"/>
  <c r="F111" i="1"/>
  <c r="H111" i="1" s="1"/>
  <c r="L110" i="1"/>
  <c r="M110" i="1"/>
  <c r="N110" i="1" s="1"/>
  <c r="F110" i="1"/>
  <c r="I110" i="1" s="1"/>
  <c r="F109" i="1"/>
  <c r="I109" i="1" s="1"/>
  <c r="L108" i="1"/>
  <c r="F108" i="1"/>
  <c r="M107" i="1"/>
  <c r="N107" i="1" s="1"/>
  <c r="K107" i="1"/>
  <c r="L107" i="1" s="1"/>
  <c r="I107" i="1"/>
  <c r="H107" i="1"/>
  <c r="M106" i="1"/>
  <c r="N106" i="1" s="1"/>
  <c r="K106" i="1"/>
  <c r="L106" i="1" s="1"/>
  <c r="H106" i="1"/>
  <c r="N103" i="1"/>
  <c r="I103" i="1"/>
  <c r="I102" i="1" s="1"/>
  <c r="H103" i="1"/>
  <c r="H102" i="1" s="1"/>
  <c r="D23" i="8" s="1"/>
  <c r="M101" i="1"/>
  <c r="I101" i="1"/>
  <c r="I100" i="1"/>
  <c r="I99" i="1" s="1"/>
  <c r="H100" i="1"/>
  <c r="M97" i="1"/>
  <c r="N97" i="1" s="1"/>
  <c r="K97" i="1"/>
  <c r="L97" i="1" s="1"/>
  <c r="I97" i="1"/>
  <c r="H97" i="1"/>
  <c r="M96" i="1"/>
  <c r="N96" i="1" s="1"/>
  <c r="K96" i="1"/>
  <c r="L96" i="1" s="1"/>
  <c r="I96" i="1"/>
  <c r="H96" i="1"/>
  <c r="M95" i="1"/>
  <c r="N95" i="1" s="1"/>
  <c r="K95" i="1"/>
  <c r="L95" i="1" s="1"/>
  <c r="H95" i="1"/>
  <c r="M94" i="1"/>
  <c r="N94" i="1" s="1"/>
  <c r="L94" i="1"/>
  <c r="I94" i="1"/>
  <c r="H94" i="1"/>
  <c r="N93" i="1"/>
  <c r="L93" i="1"/>
  <c r="I93" i="1"/>
  <c r="H93" i="1"/>
  <c r="M89" i="1"/>
  <c r="N89" i="1" s="1"/>
  <c r="K89" i="1"/>
  <c r="L89" i="1" s="1"/>
  <c r="I89" i="1"/>
  <c r="H89" i="1"/>
  <c r="M86" i="1"/>
  <c r="N86" i="1" s="1"/>
  <c r="K86" i="1"/>
  <c r="L86" i="1" s="1"/>
  <c r="I86" i="1"/>
  <c r="H86" i="1"/>
  <c r="M84" i="1"/>
  <c r="N84" i="1" s="1"/>
  <c r="K84" i="1"/>
  <c r="L84" i="1" s="1"/>
  <c r="I84" i="1"/>
  <c r="H84" i="1"/>
  <c r="M83" i="1"/>
  <c r="N83" i="1" s="1"/>
  <c r="K83" i="1"/>
  <c r="L83" i="1" s="1"/>
  <c r="I83" i="1"/>
  <c r="H83" i="1"/>
  <c r="M82" i="1"/>
  <c r="K82" i="1"/>
  <c r="L82" i="1" s="1"/>
  <c r="I82" i="1"/>
  <c r="H82" i="1"/>
  <c r="I79" i="1"/>
  <c r="H79" i="1"/>
  <c r="M73" i="1"/>
  <c r="N73" i="1" s="1"/>
  <c r="K73" i="1"/>
  <c r="L73" i="1" s="1"/>
  <c r="I73" i="1"/>
  <c r="H73" i="1"/>
  <c r="M71" i="1"/>
  <c r="N71" i="1" s="1"/>
  <c r="K71" i="1"/>
  <c r="L71" i="1" s="1"/>
  <c r="I71" i="1"/>
  <c r="H71" i="1"/>
  <c r="M70" i="1"/>
  <c r="N70" i="1" s="1"/>
  <c r="K70" i="1"/>
  <c r="L70" i="1" s="1"/>
  <c r="I70" i="1"/>
  <c r="H70" i="1"/>
  <c r="M69" i="1"/>
  <c r="N69" i="1" s="1"/>
  <c r="K69" i="1"/>
  <c r="L69" i="1" s="1"/>
  <c r="I69" i="1"/>
  <c r="H69" i="1"/>
  <c r="I68" i="1"/>
  <c r="H68" i="1"/>
  <c r="I67" i="1"/>
  <c r="H67" i="1"/>
  <c r="I66" i="1"/>
  <c r="H66" i="1"/>
  <c r="M62" i="1"/>
  <c r="N62" i="1" s="1"/>
  <c r="K62" i="1"/>
  <c r="L62" i="1" s="1"/>
  <c r="H62" i="1"/>
  <c r="M61" i="1"/>
  <c r="N61" i="1" s="1"/>
  <c r="K61" i="1"/>
  <c r="L61" i="1" s="1"/>
  <c r="I61" i="1"/>
  <c r="H61" i="1"/>
  <c r="M60" i="1"/>
  <c r="N60" i="1" s="1"/>
  <c r="K60" i="1"/>
  <c r="L60" i="1" s="1"/>
  <c r="I60" i="1"/>
  <c r="H60" i="1"/>
  <c r="M59" i="1"/>
  <c r="N59" i="1" s="1"/>
  <c r="K59" i="1"/>
  <c r="L59" i="1" s="1"/>
  <c r="I59" i="1"/>
  <c r="H59" i="1"/>
  <c r="M56" i="1"/>
  <c r="N56" i="1" s="1"/>
  <c r="K56" i="1"/>
  <c r="L56" i="1" s="1"/>
  <c r="I56" i="1"/>
  <c r="H56" i="1"/>
  <c r="M55" i="1"/>
  <c r="M52" i="1" s="1"/>
  <c r="L55" i="1"/>
  <c r="I55" i="1"/>
  <c r="H55" i="1"/>
  <c r="M51" i="1"/>
  <c r="N51" i="1" s="1"/>
  <c r="K51" i="1"/>
  <c r="L51" i="1" s="1"/>
  <c r="I51" i="1"/>
  <c r="H51" i="1"/>
  <c r="M47" i="1"/>
  <c r="N47" i="1" s="1"/>
  <c r="K47" i="1"/>
  <c r="L47" i="1" s="1"/>
  <c r="I47" i="1"/>
  <c r="H47" i="1"/>
  <c r="M45" i="1"/>
  <c r="N45" i="1" s="1"/>
  <c r="K45" i="1"/>
  <c r="L45" i="1" s="1"/>
  <c r="I45" i="1"/>
  <c r="H45" i="1"/>
  <c r="N43" i="1"/>
  <c r="L43" i="1"/>
  <c r="I43" i="1"/>
  <c r="H43" i="1"/>
  <c r="M42" i="1"/>
  <c r="N42" i="1" s="1"/>
  <c r="K42" i="1"/>
  <c r="L42" i="1" s="1"/>
  <c r="I42" i="1"/>
  <c r="H42" i="1"/>
  <c r="M41" i="1"/>
  <c r="N41" i="1" s="1"/>
  <c r="L41" i="1"/>
  <c r="I41" i="1"/>
  <c r="H41" i="1"/>
  <c r="M40" i="1"/>
  <c r="K40" i="1"/>
  <c r="I40" i="1"/>
  <c r="H40" i="1"/>
  <c r="M38" i="1"/>
  <c r="N38" i="1" s="1"/>
  <c r="K38" i="1"/>
  <c r="I38" i="1"/>
  <c r="H38" i="1"/>
  <c r="M37" i="1"/>
  <c r="L37" i="1"/>
  <c r="I37" i="1"/>
  <c r="H37" i="1"/>
  <c r="M35" i="1"/>
  <c r="N35" i="1" s="1"/>
  <c r="K35" i="1"/>
  <c r="L35" i="1" s="1"/>
  <c r="I35" i="1"/>
  <c r="H35" i="1"/>
  <c r="M34" i="1"/>
  <c r="N34" i="1" s="1"/>
  <c r="L34" i="1"/>
  <c r="I34" i="1"/>
  <c r="H34" i="1"/>
  <c r="M33" i="1"/>
  <c r="I33" i="1"/>
  <c r="H33" i="1"/>
  <c r="M30" i="1"/>
  <c r="N30" i="1" s="1"/>
  <c r="K30" i="1"/>
  <c r="L30" i="1" s="1"/>
  <c r="I30" i="1"/>
  <c r="H30" i="1"/>
  <c r="M29" i="1"/>
  <c r="N29" i="1" s="1"/>
  <c r="K29" i="1"/>
  <c r="L29" i="1" s="1"/>
  <c r="I29" i="1"/>
  <c r="H29" i="1"/>
  <c r="M28" i="1"/>
  <c r="L28" i="1"/>
  <c r="I28" i="1"/>
  <c r="H28" i="1"/>
  <c r="N25" i="1"/>
  <c r="N23" i="1" s="1"/>
  <c r="I9" i="8" s="1"/>
  <c r="I25" i="1"/>
  <c r="H25" i="1"/>
  <c r="K24" i="1"/>
  <c r="L24" i="1" s="1"/>
  <c r="I24" i="1"/>
  <c r="H24" i="1"/>
  <c r="M22" i="1"/>
  <c r="N22" i="1" s="1"/>
  <c r="L22" i="1"/>
  <c r="I22" i="1"/>
  <c r="H22" i="1"/>
  <c r="M21" i="1"/>
  <c r="N21" i="1" s="1"/>
  <c r="K21" i="1"/>
  <c r="L21" i="1" s="1"/>
  <c r="I21" i="1"/>
  <c r="H21" i="1"/>
  <c r="M20" i="1"/>
  <c r="N20" i="1" s="1"/>
  <c r="K20" i="1"/>
  <c r="L20" i="1" s="1"/>
  <c r="I20" i="1"/>
  <c r="H20" i="1"/>
  <c r="M19" i="1"/>
  <c r="N19" i="1" s="1"/>
  <c r="L19" i="1"/>
  <c r="I19" i="1"/>
  <c r="H19" i="1"/>
  <c r="M18" i="1"/>
  <c r="N18" i="1" s="1"/>
  <c r="K18" i="1"/>
  <c r="L18" i="1" s="1"/>
  <c r="I18" i="1"/>
  <c r="H18" i="1"/>
  <c r="M17" i="1"/>
  <c r="N17" i="1" s="1"/>
  <c r="I17" i="1"/>
  <c r="H17" i="1"/>
  <c r="M15" i="1"/>
  <c r="K15" i="1"/>
  <c r="L15" i="1" s="1"/>
  <c r="I15" i="1"/>
  <c r="H15" i="1"/>
  <c r="M14" i="1"/>
  <c r="N14" i="1" s="1"/>
  <c r="K14" i="1"/>
  <c r="L14" i="1" s="1"/>
  <c r="I14" i="1"/>
  <c r="H14" i="1"/>
  <c r="M9" i="1"/>
  <c r="L9" i="1"/>
  <c r="I9" i="1"/>
  <c r="H9" i="1"/>
  <c r="N8" i="1"/>
  <c r="I8" i="1"/>
  <c r="H8" i="1"/>
  <c r="N35" i="2" l="1"/>
  <c r="M34" i="2"/>
  <c r="H131" i="1"/>
  <c r="H191" i="8"/>
  <c r="F137" i="8"/>
  <c r="K60" i="4"/>
  <c r="L92" i="1"/>
  <c r="G21" i="8" s="1"/>
  <c r="N92" i="1"/>
  <c r="I21" i="8" s="1"/>
  <c r="H22" i="8"/>
  <c r="N101" i="1"/>
  <c r="N99" i="1" s="1"/>
  <c r="I22" i="8" s="1"/>
  <c r="N102" i="1"/>
  <c r="I23" i="8" s="1"/>
  <c r="N149" i="1"/>
  <c r="H148" i="2"/>
  <c r="H21" i="2"/>
  <c r="D92" i="8"/>
  <c r="F96" i="8"/>
  <c r="N107" i="2"/>
  <c r="N106" i="2" s="1"/>
  <c r="I67" i="8" s="1"/>
  <c r="H100" i="2"/>
  <c r="H92" i="2" s="1"/>
  <c r="M12" i="2"/>
  <c r="H49" i="8" s="1"/>
  <c r="L186" i="2"/>
  <c r="L184" i="2" s="1"/>
  <c r="G86" i="8" s="1"/>
  <c r="H198" i="2"/>
  <c r="D90" i="8" s="1"/>
  <c r="H43" i="2"/>
  <c r="D55" i="8" s="1"/>
  <c r="L166" i="2"/>
  <c r="L165" i="2" s="1"/>
  <c r="G81" i="8" s="1"/>
  <c r="K165" i="2"/>
  <c r="E6" i="7"/>
  <c r="G6" i="7"/>
  <c r="J8" i="7"/>
  <c r="E8" i="7"/>
  <c r="G8" i="7"/>
  <c r="D8" i="7"/>
  <c r="G7" i="7"/>
  <c r="J7" i="7"/>
  <c r="H140" i="1"/>
  <c r="D28" i="8" s="1"/>
  <c r="I203" i="1"/>
  <c r="E43" i="8" s="1"/>
  <c r="N55" i="1"/>
  <c r="N52" i="1" s="1"/>
  <c r="I16" i="8" s="1"/>
  <c r="H16" i="8"/>
  <c r="I184" i="2"/>
  <c r="E86" i="8" s="1"/>
  <c r="J6" i="7"/>
  <c r="N101" i="2"/>
  <c r="I66" i="8" s="1"/>
  <c r="D56" i="8"/>
  <c r="N131" i="2"/>
  <c r="I74" i="8" s="1"/>
  <c r="M140" i="2"/>
  <c r="H75" i="8" s="1"/>
  <c r="I5" i="2"/>
  <c r="H140" i="2"/>
  <c r="D75" i="8" s="1"/>
  <c r="M154" i="2"/>
  <c r="H78" i="8" s="1"/>
  <c r="D51" i="8"/>
  <c r="N166" i="2"/>
  <c r="M165" i="2"/>
  <c r="H81" i="8" s="1"/>
  <c r="K52" i="2"/>
  <c r="M52" i="2"/>
  <c r="H57" i="8" s="1"/>
  <c r="H67" i="8"/>
  <c r="N172" i="2"/>
  <c r="N170" i="2" s="1"/>
  <c r="I82" i="8" s="1"/>
  <c r="H82" i="8"/>
  <c r="H173" i="2"/>
  <c r="D83" i="8" s="1"/>
  <c r="L5" i="2"/>
  <c r="K56" i="2"/>
  <c r="H170" i="2"/>
  <c r="D82" i="8" s="1"/>
  <c r="I173" i="2"/>
  <c r="E83" i="8" s="1"/>
  <c r="N57" i="2"/>
  <c r="N56" i="2" s="1"/>
  <c r="I58" i="8" s="1"/>
  <c r="M56" i="2"/>
  <c r="I170" i="2"/>
  <c r="E82" i="8" s="1"/>
  <c r="H73" i="2"/>
  <c r="D61" i="8" s="1"/>
  <c r="N173" i="2"/>
  <c r="I83" i="8" s="1"/>
  <c r="H154" i="2"/>
  <c r="D78" i="8" s="1"/>
  <c r="N154" i="2"/>
  <c r="I78" i="8" s="1"/>
  <c r="L154" i="2"/>
  <c r="G78" i="8" s="1"/>
  <c r="N148" i="2"/>
  <c r="I77" i="8" s="1"/>
  <c r="H145" i="2"/>
  <c r="D76" i="8" s="1"/>
  <c r="M145" i="2"/>
  <c r="H76" i="8" s="1"/>
  <c r="N146" i="2"/>
  <c r="N145" i="2" s="1"/>
  <c r="I76" i="8" s="1"/>
  <c r="I145" i="2"/>
  <c r="E76" i="8" s="1"/>
  <c r="N140" i="2"/>
  <c r="I75" i="8" s="1"/>
  <c r="I5" i="6"/>
  <c r="M124" i="2"/>
  <c r="H71" i="8" s="1"/>
  <c r="N203" i="2"/>
  <c r="I91" i="8" s="1"/>
  <c r="H203" i="2"/>
  <c r="D91" i="8" s="1"/>
  <c r="I203" i="2"/>
  <c r="E91" i="8" s="1"/>
  <c r="N198" i="2"/>
  <c r="I90" i="8" s="1"/>
  <c r="N193" i="2"/>
  <c r="K193" i="2"/>
  <c r="F89" i="8" s="1"/>
  <c r="N40" i="1"/>
  <c r="N39" i="1" s="1"/>
  <c r="M39" i="1"/>
  <c r="G22" i="8"/>
  <c r="N82" i="1"/>
  <c r="N77" i="1" s="1"/>
  <c r="I18" i="8" s="1"/>
  <c r="M77" i="1"/>
  <c r="H18" i="8" s="1"/>
  <c r="I143" i="1"/>
  <c r="E29" i="8" s="1"/>
  <c r="L161" i="1"/>
  <c r="L160" i="1" s="1"/>
  <c r="G32" i="8" s="1"/>
  <c r="K160" i="1"/>
  <c r="F32" i="8" s="1"/>
  <c r="M23" i="1"/>
  <c r="H9" i="8" s="1"/>
  <c r="D7" i="8"/>
  <c r="I26" i="1"/>
  <c r="E10" i="8" s="1"/>
  <c r="N144" i="1"/>
  <c r="N143" i="1" s="1"/>
  <c r="I29" i="8" s="1"/>
  <c r="M143" i="1"/>
  <c r="H29" i="8" s="1"/>
  <c r="L144" i="1"/>
  <c r="K143" i="1"/>
  <c r="F29" i="8" s="1"/>
  <c r="H143" i="1"/>
  <c r="D29" i="8" s="1"/>
  <c r="H36" i="1"/>
  <c r="D13" i="8" s="1"/>
  <c r="L173" i="1"/>
  <c r="L172" i="1" s="1"/>
  <c r="G35" i="8" s="1"/>
  <c r="K172" i="1"/>
  <c r="F35" i="8" s="1"/>
  <c r="H206" i="1"/>
  <c r="D44" i="8" s="1"/>
  <c r="I206" i="1"/>
  <c r="E44" i="8" s="1"/>
  <c r="N203" i="1"/>
  <c r="I43" i="8" s="1"/>
  <c r="N195" i="1"/>
  <c r="I41" i="8" s="1"/>
  <c r="I195" i="1"/>
  <c r="E41" i="8" s="1"/>
  <c r="H192" i="1"/>
  <c r="D40" i="8" s="1"/>
  <c r="I87" i="1"/>
  <c r="E19" i="8" s="1"/>
  <c r="I33" i="8"/>
  <c r="H77" i="1"/>
  <c r="D18" i="8" s="1"/>
  <c r="N87" i="1"/>
  <c r="I19" i="8" s="1"/>
  <c r="H99" i="1"/>
  <c r="D22" i="8" s="1"/>
  <c r="D33" i="8"/>
  <c r="F12" i="8"/>
  <c r="I36" i="1"/>
  <c r="E13" i="8" s="1"/>
  <c r="I140" i="1"/>
  <c r="E28" i="8" s="1"/>
  <c r="K186" i="1"/>
  <c r="F39" i="8" s="1"/>
  <c r="H52" i="1"/>
  <c r="D16" i="8" s="1"/>
  <c r="K36" i="1"/>
  <c r="F13" i="8" s="1"/>
  <c r="H110" i="1"/>
  <c r="N186" i="1"/>
  <c r="I39" i="8" s="1"/>
  <c r="I16" i="1"/>
  <c r="E8" i="8" s="1"/>
  <c r="H26" i="1"/>
  <c r="D10" i="8" s="1"/>
  <c r="I125" i="1"/>
  <c r="E25" i="8" s="1"/>
  <c r="N131" i="1"/>
  <c r="I27" i="8" s="1"/>
  <c r="I28" i="8"/>
  <c r="N160" i="1"/>
  <c r="I32" i="8" s="1"/>
  <c r="H195" i="1"/>
  <c r="D41" i="8" s="1"/>
  <c r="H12" i="8"/>
  <c r="N33" i="1"/>
  <c r="N32" i="1" s="1"/>
  <c r="I12" i="8" s="1"/>
  <c r="I186" i="1"/>
  <c r="E39" i="8" s="1"/>
  <c r="H92" i="1"/>
  <c r="D21" i="8" s="1"/>
  <c r="H109" i="1"/>
  <c r="I111" i="1"/>
  <c r="M172" i="1"/>
  <c r="H35" i="8" s="1"/>
  <c r="M175" i="1"/>
  <c r="H36" i="8" s="1"/>
  <c r="N177" i="1"/>
  <c r="N175" i="1" s="1"/>
  <c r="I36" i="8" s="1"/>
  <c r="H203" i="1"/>
  <c r="D43" i="8" s="1"/>
  <c r="N28" i="1"/>
  <c r="N26" i="1" s="1"/>
  <c r="I10" i="8" s="1"/>
  <c r="M26" i="1"/>
  <c r="H10" i="8" s="1"/>
  <c r="M153" i="1"/>
  <c r="H31" i="8" s="1"/>
  <c r="N153" i="1"/>
  <c r="I31" i="8" s="1"/>
  <c r="H175" i="1"/>
  <c r="D36" i="8" s="1"/>
  <c r="K199" i="1"/>
  <c r="F42" i="8" s="1"/>
  <c r="M206" i="1"/>
  <c r="H44" i="8" s="1"/>
  <c r="N207" i="1"/>
  <c r="N206" i="1" s="1"/>
  <c r="I44" i="8" s="1"/>
  <c r="H13" i="8"/>
  <c r="N37" i="1"/>
  <c r="N36" i="1" s="1"/>
  <c r="I13" i="8" s="1"/>
  <c r="H186" i="1"/>
  <c r="D39" i="8" s="1"/>
  <c r="I179" i="1"/>
  <c r="E37" i="8" s="1"/>
  <c r="H199" i="1"/>
  <c r="D42" i="8" s="1"/>
  <c r="H160" i="1"/>
  <c r="D32" i="8" s="1"/>
  <c r="M179" i="1"/>
  <c r="H37" i="8" s="1"/>
  <c r="N180" i="1"/>
  <c r="N179" i="1" s="1"/>
  <c r="I37" i="8" s="1"/>
  <c r="H32" i="1"/>
  <c r="D12" i="8" s="1"/>
  <c r="M87" i="1"/>
  <c r="I175" i="1"/>
  <c r="E36" i="8" s="1"/>
  <c r="I192" i="1"/>
  <c r="E40" i="8" s="1"/>
  <c r="N199" i="1"/>
  <c r="I42" i="8" s="1"/>
  <c r="L27" i="1"/>
  <c r="L26" i="1" s="1"/>
  <c r="G10" i="8" s="1"/>
  <c r="K26" i="1"/>
  <c r="F10" i="8" s="1"/>
  <c r="M192" i="1"/>
  <c r="H40" i="8" s="1"/>
  <c r="N193" i="1"/>
  <c r="N192" i="1" s="1"/>
  <c r="I40" i="8" s="1"/>
  <c r="I5" i="1"/>
  <c r="K125" i="1"/>
  <c r="L127" i="1"/>
  <c r="L125" i="1" s="1"/>
  <c r="N109" i="1"/>
  <c r="H5" i="1"/>
  <c r="H23" i="1"/>
  <c r="D9" i="8" s="1"/>
  <c r="I32" i="1"/>
  <c r="E12" i="8" s="1"/>
  <c r="E22" i="8"/>
  <c r="F33" i="8"/>
  <c r="M184" i="1"/>
  <c r="H38" i="8" s="1"/>
  <c r="N185" i="1"/>
  <c r="N184" i="1" s="1"/>
  <c r="I38" i="8" s="1"/>
  <c r="K192" i="1"/>
  <c r="F40" i="8" s="1"/>
  <c r="N57" i="1"/>
  <c r="I17" i="8" s="1"/>
  <c r="K5" i="1"/>
  <c r="F6" i="8" s="1"/>
  <c r="H57" i="1"/>
  <c r="D17" i="8" s="1"/>
  <c r="I57" i="1"/>
  <c r="E17" i="8" s="1"/>
  <c r="K52" i="1"/>
  <c r="F16" i="8" s="1"/>
  <c r="N44" i="1"/>
  <c r="I15" i="8" s="1"/>
  <c r="I44" i="1"/>
  <c r="E15" i="8" s="1"/>
  <c r="H7" i="8"/>
  <c r="N15" i="1"/>
  <c r="N12" i="1" s="1"/>
  <c r="I7" i="8" s="1"/>
  <c r="L183" i="2"/>
  <c r="L182" i="2" s="1"/>
  <c r="G85" i="8" s="1"/>
  <c r="N47" i="6"/>
  <c r="I206" i="8" s="1"/>
  <c r="N31" i="6"/>
  <c r="I204" i="8" s="1"/>
  <c r="N40" i="6"/>
  <c r="I205" i="8" s="1"/>
  <c r="N14" i="6"/>
  <c r="M5" i="6"/>
  <c r="N7" i="6"/>
  <c r="N5" i="6" s="1"/>
  <c r="I202" i="8"/>
  <c r="L187" i="2"/>
  <c r="G87" i="8" s="1"/>
  <c r="I187" i="2"/>
  <c r="E87" i="8" s="1"/>
  <c r="M187" i="2"/>
  <c r="H87" i="8" s="1"/>
  <c r="N187" i="2"/>
  <c r="I87" i="8" s="1"/>
  <c r="H184" i="2"/>
  <c r="D86" i="8" s="1"/>
  <c r="M184" i="2"/>
  <c r="H86" i="8" s="1"/>
  <c r="N185" i="2"/>
  <c r="N184" i="2" s="1"/>
  <c r="I86" i="8" s="1"/>
  <c r="M182" i="2"/>
  <c r="H85" i="8" s="1"/>
  <c r="N183" i="2"/>
  <c r="N182" i="2" s="1"/>
  <c r="I85" i="8" s="1"/>
  <c r="K182" i="2"/>
  <c r="F85" i="8" s="1"/>
  <c r="N176" i="2"/>
  <c r="H176" i="2"/>
  <c r="D84" i="8" s="1"/>
  <c r="I176" i="2"/>
  <c r="E84" i="8" s="1"/>
  <c r="L176" i="2"/>
  <c r="G84" i="8" s="1"/>
  <c r="G83" i="8"/>
  <c r="I39" i="1"/>
  <c r="K23" i="1"/>
  <c r="F9" i="8" s="1"/>
  <c r="N9" i="1"/>
  <c r="N5" i="1" s="1"/>
  <c r="H6" i="8"/>
  <c r="N16" i="1"/>
  <c r="I8" i="8" s="1"/>
  <c r="M16" i="1"/>
  <c r="H8" i="8" s="1"/>
  <c r="H16" i="1"/>
  <c r="D8" i="8" s="1"/>
  <c r="N77" i="2"/>
  <c r="I62" i="8" s="1"/>
  <c r="I77" i="2"/>
  <c r="E62" i="8" s="1"/>
  <c r="H77" i="2"/>
  <c r="D62" i="8" s="1"/>
  <c r="I209" i="1"/>
  <c r="E45" i="8" s="1"/>
  <c r="M209" i="1"/>
  <c r="H45" i="8" s="1"/>
  <c r="N210" i="1"/>
  <c r="N209" i="1" s="1"/>
  <c r="D79" i="8"/>
  <c r="H153" i="1"/>
  <c r="D31" i="8" s="1"/>
  <c r="I153" i="1"/>
  <c r="E31" i="8" s="1"/>
  <c r="H85" i="2"/>
  <c r="D63" i="8" s="1"/>
  <c r="N85" i="2"/>
  <c r="I63" i="8" s="1"/>
  <c r="H125" i="1"/>
  <c r="D25" i="8" s="1"/>
  <c r="N126" i="2"/>
  <c r="I72" i="8" s="1"/>
  <c r="I126" i="2"/>
  <c r="E72" i="8" s="1"/>
  <c r="L125" i="2"/>
  <c r="L124" i="2" s="1"/>
  <c r="G71" i="8" s="1"/>
  <c r="M122" i="2"/>
  <c r="H70" i="8" s="1"/>
  <c r="N123" i="2"/>
  <c r="N122" i="2" s="1"/>
  <c r="I70" i="8" s="1"/>
  <c r="M120" i="2"/>
  <c r="H69" i="8" s="1"/>
  <c r="N121" i="2"/>
  <c r="N120" i="2" s="1"/>
  <c r="E69" i="8"/>
  <c r="D69" i="8"/>
  <c r="M73" i="2"/>
  <c r="H61" i="8" s="1"/>
  <c r="N74" i="2"/>
  <c r="N73" i="2" s="1"/>
  <c r="I61" i="8" s="1"/>
  <c r="I73" i="2"/>
  <c r="E61" i="8" s="1"/>
  <c r="N68" i="2"/>
  <c r="I60" i="8" s="1"/>
  <c r="L68" i="2"/>
  <c r="G60" i="8" s="1"/>
  <c r="N60" i="2"/>
  <c r="I59" i="8" s="1"/>
  <c r="H60" i="2"/>
  <c r="D59" i="8" s="1"/>
  <c r="I60" i="2"/>
  <c r="E59" i="8" s="1"/>
  <c r="I52" i="2"/>
  <c r="E57" i="8" s="1"/>
  <c r="N52" i="2"/>
  <c r="I57" i="8" s="1"/>
  <c r="E56" i="8"/>
  <c r="N43" i="2"/>
  <c r="I55" i="8" s="1"/>
  <c r="I43" i="2"/>
  <c r="E55" i="8" s="1"/>
  <c r="M39" i="2"/>
  <c r="H54" i="8" s="1"/>
  <c r="N40" i="2"/>
  <c r="N39" i="2" s="1"/>
  <c r="I54" i="8" s="1"/>
  <c r="H34" i="2"/>
  <c r="D53" i="8" s="1"/>
  <c r="N34" i="2"/>
  <c r="I53" i="8" s="1"/>
  <c r="M29" i="2"/>
  <c r="H52" i="8" s="1"/>
  <c r="N31" i="2"/>
  <c r="N29" i="2" s="1"/>
  <c r="H29" i="2"/>
  <c r="D52" i="8" s="1"/>
  <c r="I29" i="2"/>
  <c r="E52" i="8" s="1"/>
  <c r="I21" i="2"/>
  <c r="E51" i="8" s="1"/>
  <c r="N21" i="2"/>
  <c r="I51" i="8" s="1"/>
  <c r="M21" i="2"/>
  <c r="H51" i="8" s="1"/>
  <c r="N15" i="2"/>
  <c r="I50" i="8" s="1"/>
  <c r="H50" i="8"/>
  <c r="N13" i="2"/>
  <c r="N12" i="2" s="1"/>
  <c r="I49" i="8" s="1"/>
  <c r="I12" i="2"/>
  <c r="E49" i="8" s="1"/>
  <c r="N7" i="2"/>
  <c r="N5" i="2" s="1"/>
  <c r="M5" i="2"/>
  <c r="F142" i="8"/>
  <c r="E23" i="8"/>
  <c r="L103" i="1"/>
  <c r="L102" i="1" s="1"/>
  <c r="G161" i="8"/>
  <c r="F135" i="8"/>
  <c r="G123" i="8"/>
  <c r="G92" i="8"/>
  <c r="K99" i="1"/>
  <c r="F22" i="8" s="1"/>
  <c r="I92" i="1"/>
  <c r="E21" i="8" s="1"/>
  <c r="H5" i="2"/>
  <c r="H165" i="2"/>
  <c r="L203" i="2"/>
  <c r="G91" i="8" s="1"/>
  <c r="H56" i="2"/>
  <c r="D58" i="8" s="1"/>
  <c r="K68" i="2"/>
  <c r="F60" i="8" s="1"/>
  <c r="I131" i="2"/>
  <c r="K148" i="2"/>
  <c r="I92" i="2"/>
  <c r="L121" i="2"/>
  <c r="L120" i="2" s="1"/>
  <c r="G69" i="8" s="1"/>
  <c r="I85" i="2"/>
  <c r="E63" i="8" s="1"/>
  <c r="H187" i="2"/>
  <c r="D87" i="8" s="1"/>
  <c r="I56" i="2"/>
  <c r="E58" i="8" s="1"/>
  <c r="M68" i="2"/>
  <c r="H60" i="8" s="1"/>
  <c r="I198" i="2"/>
  <c r="E90" i="8" s="1"/>
  <c r="I34" i="2"/>
  <c r="E53" i="8" s="1"/>
  <c r="H131" i="2"/>
  <c r="K176" i="2"/>
  <c r="H39" i="2"/>
  <c r="D54" i="8" s="1"/>
  <c r="M77" i="2"/>
  <c r="H62" i="8" s="1"/>
  <c r="M85" i="2"/>
  <c r="H63" i="8" s="1"/>
  <c r="H83" i="8"/>
  <c r="K187" i="2"/>
  <c r="K184" i="2" s="1"/>
  <c r="L39" i="2"/>
  <c r="G54" i="8" s="1"/>
  <c r="L57" i="2"/>
  <c r="L56" i="2" s="1"/>
  <c r="G58" i="8" s="1"/>
  <c r="M101" i="2"/>
  <c r="H66" i="8" s="1"/>
  <c r="H126" i="2"/>
  <c r="D72" i="8" s="1"/>
  <c r="I148" i="2"/>
  <c r="E77" i="8" s="1"/>
  <c r="I31" i="6"/>
  <c r="E204" i="8" s="1"/>
  <c r="I40" i="6"/>
  <c r="F202" i="8"/>
  <c r="M40" i="6"/>
  <c r="H205" i="8" s="1"/>
  <c r="K47" i="6"/>
  <c r="F206" i="8" s="1"/>
  <c r="H14" i="6"/>
  <c r="E202" i="8"/>
  <c r="I14" i="6"/>
  <c r="I47" i="6"/>
  <c r="E206" i="8" s="1"/>
  <c r="M14" i="6"/>
  <c r="H201" i="8" s="1"/>
  <c r="H40" i="6"/>
  <c r="E159" i="8"/>
  <c r="L5" i="1"/>
  <c r="M186" i="1"/>
  <c r="H39" i="8" s="1"/>
  <c r="M199" i="1"/>
  <c r="H42" i="8" s="1"/>
  <c r="M92" i="1"/>
  <c r="H21" i="8" s="1"/>
  <c r="L140" i="1"/>
  <c r="G28" i="8" s="1"/>
  <c r="L179" i="1"/>
  <c r="G37" i="8" s="1"/>
  <c r="M140" i="1"/>
  <c r="H28" i="8" s="1"/>
  <c r="H33" i="8"/>
  <c r="K195" i="1"/>
  <c r="F41" i="8" s="1"/>
  <c r="K12" i="1"/>
  <c r="F7" i="8" s="1"/>
  <c r="M44" i="1"/>
  <c r="M195" i="1"/>
  <c r="H41" i="8" s="1"/>
  <c r="L203" i="1"/>
  <c r="G43" i="8" s="1"/>
  <c r="H17" i="8"/>
  <c r="K148" i="1"/>
  <c r="F30" i="8" s="1"/>
  <c r="M203" i="1"/>
  <c r="G45" i="8"/>
  <c r="K209" i="1"/>
  <c r="F45" i="8" s="1"/>
  <c r="I23" i="1"/>
  <c r="E9" i="8" s="1"/>
  <c r="L57" i="1"/>
  <c r="G17" i="8" s="1"/>
  <c r="L148" i="1"/>
  <c r="L131" i="1"/>
  <c r="G27" i="8" s="1"/>
  <c r="L101" i="2"/>
  <c r="G66" i="8" s="1"/>
  <c r="M115" i="1"/>
  <c r="N115" i="1" s="1"/>
  <c r="K115" i="1"/>
  <c r="L115" i="1" s="1"/>
  <c r="L153" i="1"/>
  <c r="G31" i="8" s="1"/>
  <c r="I77" i="1"/>
  <c r="E18" i="8" s="1"/>
  <c r="K106" i="2"/>
  <c r="F67" i="8" s="1"/>
  <c r="K77" i="1"/>
  <c r="F18" i="8" s="1"/>
  <c r="L77" i="1"/>
  <c r="G18" i="8" s="1"/>
  <c r="L109" i="1"/>
  <c r="I131" i="1"/>
  <c r="I151" i="1"/>
  <c r="I148" i="1" s="1"/>
  <c r="E30" i="8" s="1"/>
  <c r="H151" i="1"/>
  <c r="H148" i="1" s="1"/>
  <c r="D30" i="8" s="1"/>
  <c r="M151" i="1"/>
  <c r="M148" i="1" s="1"/>
  <c r="G33" i="8"/>
  <c r="K175" i="1"/>
  <c r="F36" i="8" s="1"/>
  <c r="L176" i="1"/>
  <c r="L175" i="1" s="1"/>
  <c r="G36" i="8" s="1"/>
  <c r="L185" i="1"/>
  <c r="L184" i="1" s="1"/>
  <c r="G38" i="8" s="1"/>
  <c r="L198" i="1"/>
  <c r="L195" i="1" s="1"/>
  <c r="G41" i="8" s="1"/>
  <c r="L208" i="1"/>
  <c r="L206" i="1" s="1"/>
  <c r="G44" i="8" s="1"/>
  <c r="K206" i="1"/>
  <c r="F44" i="8" s="1"/>
  <c r="H106" i="2"/>
  <c r="D67" i="8" s="1"/>
  <c r="L148" i="2"/>
  <c r="G77" i="8" s="1"/>
  <c r="K5" i="6"/>
  <c r="L5" i="6"/>
  <c r="M112" i="1"/>
  <c r="N112" i="1" s="1"/>
  <c r="M119" i="1"/>
  <c r="N119" i="1" s="1"/>
  <c r="L119" i="1"/>
  <c r="K153" i="1"/>
  <c r="F31" i="8" s="1"/>
  <c r="M100" i="2"/>
  <c r="M92" i="2" s="1"/>
  <c r="K100" i="2"/>
  <c r="L100" i="2" s="1"/>
  <c r="L127" i="2"/>
  <c r="L126" i="2" s="1"/>
  <c r="G72" i="8" s="1"/>
  <c r="K126" i="2"/>
  <c r="F72" i="8" s="1"/>
  <c r="L38" i="1"/>
  <c r="L36" i="1" s="1"/>
  <c r="G13" i="8" s="1"/>
  <c r="K44" i="1"/>
  <c r="F15" i="8" s="1"/>
  <c r="H108" i="1"/>
  <c r="I160" i="1"/>
  <c r="E32" i="8" s="1"/>
  <c r="L193" i="1"/>
  <c r="L192" i="1" s="1"/>
  <c r="G40" i="8" s="1"/>
  <c r="H12" i="2"/>
  <c r="D49" i="8" s="1"/>
  <c r="L44" i="2"/>
  <c r="L43" i="2" s="1"/>
  <c r="G55" i="8" s="1"/>
  <c r="K43" i="2"/>
  <c r="F55" i="8" s="1"/>
  <c r="L106" i="2"/>
  <c r="G67" i="8" s="1"/>
  <c r="L145" i="2"/>
  <c r="G76" i="8" s="1"/>
  <c r="L198" i="2"/>
  <c r="G90" i="8" s="1"/>
  <c r="I12" i="1"/>
  <c r="E7" i="8" s="1"/>
  <c r="L87" i="1"/>
  <c r="G19" i="8" s="1"/>
  <c r="K87" i="1"/>
  <c r="F19" i="8" s="1"/>
  <c r="K140" i="1"/>
  <c r="F28" i="8" s="1"/>
  <c r="H179" i="1"/>
  <c r="D37" i="8" s="1"/>
  <c r="L140" i="2"/>
  <c r="G75" i="8" s="1"/>
  <c r="M198" i="2"/>
  <c r="H90" i="8" s="1"/>
  <c r="L31" i="6"/>
  <c r="K31" i="6"/>
  <c r="F204" i="8" s="1"/>
  <c r="H44" i="1"/>
  <c r="D15" i="8" s="1"/>
  <c r="K57" i="1"/>
  <c r="F17" i="8" s="1"/>
  <c r="N108" i="1"/>
  <c r="M116" i="1"/>
  <c r="N116" i="1" s="1"/>
  <c r="M124" i="1"/>
  <c r="N124" i="1" s="1"/>
  <c r="H172" i="1"/>
  <c r="K179" i="1"/>
  <c r="F37" i="8" s="1"/>
  <c r="L12" i="2"/>
  <c r="G49" i="8" s="1"/>
  <c r="H15" i="2"/>
  <c r="D50" i="8" s="1"/>
  <c r="L60" i="2"/>
  <c r="G59" i="8" s="1"/>
  <c r="K73" i="2"/>
  <c r="F61" i="8" s="1"/>
  <c r="M193" i="2"/>
  <c r="L18" i="6"/>
  <c r="L14" i="6" s="1"/>
  <c r="G201" i="8" s="1"/>
  <c r="K14" i="6"/>
  <c r="F201" i="8" s="1"/>
  <c r="L44" i="1"/>
  <c r="G15" i="8" s="1"/>
  <c r="L15" i="2"/>
  <c r="G50" i="8" s="1"/>
  <c r="K40" i="6"/>
  <c r="L40" i="6"/>
  <c r="L52" i="1"/>
  <c r="G16" i="8" s="1"/>
  <c r="L200" i="1"/>
  <c r="L199" i="1" s="1"/>
  <c r="G42" i="8" s="1"/>
  <c r="G56" i="8"/>
  <c r="K131" i="2"/>
  <c r="L12" i="1"/>
  <c r="L25" i="1"/>
  <c r="L23" i="1" s="1"/>
  <c r="G9" i="8" s="1"/>
  <c r="L40" i="1"/>
  <c r="L39" i="1" s="1"/>
  <c r="K39" i="1"/>
  <c r="F14" i="8" s="1"/>
  <c r="L187" i="1"/>
  <c r="L186" i="1" s="1"/>
  <c r="G39" i="8" s="1"/>
  <c r="L194" i="2"/>
  <c r="L193" i="2" s="1"/>
  <c r="G89" i="8" s="1"/>
  <c r="K60" i="2"/>
  <c r="F59" i="8" s="1"/>
  <c r="I106" i="2"/>
  <c r="E67" i="8" s="1"/>
  <c r="G79" i="8"/>
  <c r="F79" i="8"/>
  <c r="K16" i="1"/>
  <c r="L33" i="1"/>
  <c r="K92" i="1"/>
  <c r="K29" i="2"/>
  <c r="F52" i="8" s="1"/>
  <c r="L29" i="2"/>
  <c r="G52" i="8" s="1"/>
  <c r="K101" i="2"/>
  <c r="F66" i="8" s="1"/>
  <c r="M126" i="2"/>
  <c r="I140" i="2"/>
  <c r="E75" i="8" s="1"/>
  <c r="L17" i="1"/>
  <c r="L16" i="1" s="1"/>
  <c r="M114" i="1"/>
  <c r="N114" i="1" s="1"/>
  <c r="K203" i="1"/>
  <c r="F43" i="8" s="1"/>
  <c r="H53" i="8"/>
  <c r="M43" i="2"/>
  <c r="I68" i="2"/>
  <c r="E60" i="8" s="1"/>
  <c r="K154" i="2"/>
  <c r="F78" i="8" s="1"/>
  <c r="K203" i="2"/>
  <c r="F91" i="8" s="1"/>
  <c r="I52" i="1"/>
  <c r="E16" i="8" s="1"/>
  <c r="K131" i="1"/>
  <c r="M160" i="1"/>
  <c r="H32" i="8" s="1"/>
  <c r="H209" i="1"/>
  <c r="D45" i="8" s="1"/>
  <c r="I15" i="2"/>
  <c r="E50" i="8" s="1"/>
  <c r="L34" i="2"/>
  <c r="G53" i="8" s="1"/>
  <c r="K39" i="2"/>
  <c r="F54" i="8" s="1"/>
  <c r="M60" i="2"/>
  <c r="H59" i="8" s="1"/>
  <c r="L73" i="2"/>
  <c r="G61" i="8" s="1"/>
  <c r="M148" i="2"/>
  <c r="H77" i="8" s="1"/>
  <c r="H101" i="2"/>
  <c r="D66" i="8" s="1"/>
  <c r="H79" i="8"/>
  <c r="H52" i="2"/>
  <c r="D57" i="8" s="1"/>
  <c r="H68" i="2"/>
  <c r="D60" i="8" s="1"/>
  <c r="K77" i="2"/>
  <c r="F62" i="8" s="1"/>
  <c r="L77" i="2"/>
  <c r="G62" i="8" s="1"/>
  <c r="I101" i="2"/>
  <c r="E66" i="8" s="1"/>
  <c r="M131" i="2"/>
  <c r="I165" i="2"/>
  <c r="L171" i="2"/>
  <c r="L170" i="2" s="1"/>
  <c r="G82" i="8" s="1"/>
  <c r="G202" i="8"/>
  <c r="K85" i="2"/>
  <c r="F63" i="8" s="1"/>
  <c r="L122" i="2"/>
  <c r="K122" i="2"/>
  <c r="F70" i="8" s="1"/>
  <c r="I194" i="2"/>
  <c r="I193" i="2" s="1"/>
  <c r="H5" i="6"/>
  <c r="H39" i="1"/>
  <c r="H87" i="1"/>
  <c r="D19" i="8" s="1"/>
  <c r="I199" i="1"/>
  <c r="E42" i="8" s="1"/>
  <c r="L21" i="2"/>
  <c r="G51" i="8" s="1"/>
  <c r="K34" i="2"/>
  <c r="F53" i="8" s="1"/>
  <c r="L85" i="2"/>
  <c r="G63" i="8" s="1"/>
  <c r="K140" i="2"/>
  <c r="F75" i="8" s="1"/>
  <c r="I154" i="2"/>
  <c r="E78" i="8" s="1"/>
  <c r="H194" i="2"/>
  <c r="H193" i="2" s="1"/>
  <c r="K198" i="2"/>
  <c r="F90" i="8" s="1"/>
  <c r="M203" i="2"/>
  <c r="H91" i="8" s="1"/>
  <c r="K5" i="2"/>
  <c r="K21" i="2"/>
  <c r="F51" i="8" s="1"/>
  <c r="I39" i="2"/>
  <c r="E54" i="8" s="1"/>
  <c r="D77" i="8"/>
  <c r="M176" i="2"/>
  <c r="H84" i="8" s="1"/>
  <c r="H202" i="8"/>
  <c r="H31" i="6"/>
  <c r="D204" i="8" s="1"/>
  <c r="H47" i="6"/>
  <c r="D206" i="8" s="1"/>
  <c r="L47" i="6"/>
  <c r="G206" i="8" s="1"/>
  <c r="D202" i="8"/>
  <c r="M31" i="6"/>
  <c r="M47" i="6"/>
  <c r="H206" i="8" s="1"/>
  <c r="F58" i="8" l="1"/>
  <c r="K4" i="2"/>
  <c r="M4" i="2"/>
  <c r="M4" i="1"/>
  <c r="F136" i="8"/>
  <c r="D6" i="7"/>
  <c r="K3" i="4"/>
  <c r="F123" i="8" s="1"/>
  <c r="E7" i="7" s="1"/>
  <c r="G34" i="8"/>
  <c r="H130" i="1"/>
  <c r="F21" i="8"/>
  <c r="F34" i="8"/>
  <c r="L32" i="1"/>
  <c r="G12" i="8" s="1"/>
  <c r="D200" i="8"/>
  <c r="H4" i="6"/>
  <c r="L4" i="6"/>
  <c r="F4" i="6" s="1"/>
  <c r="K4" i="6"/>
  <c r="I200" i="8"/>
  <c r="N4" i="6"/>
  <c r="E200" i="8"/>
  <c r="I4" i="6"/>
  <c r="M4" i="6"/>
  <c r="L31" i="1"/>
  <c r="F31" i="1" s="1"/>
  <c r="E68" i="8"/>
  <c r="H130" i="2"/>
  <c r="L131" i="2"/>
  <c r="H164" i="2"/>
  <c r="D74" i="8"/>
  <c r="D73" i="8" s="1"/>
  <c r="E74" i="8"/>
  <c r="I130" i="2"/>
  <c r="I73" i="8"/>
  <c r="H74" i="8"/>
  <c r="M130" i="2"/>
  <c r="H4" i="2"/>
  <c r="E48" i="8"/>
  <c r="E47" i="8" s="1"/>
  <c r="I4" i="2"/>
  <c r="F200" i="8"/>
  <c r="D27" i="8"/>
  <c r="D26" i="8" s="1"/>
  <c r="F27" i="8"/>
  <c r="F26" i="8" s="1"/>
  <c r="K130" i="1"/>
  <c r="E27" i="8"/>
  <c r="H27" i="8"/>
  <c r="I4" i="1"/>
  <c r="L4" i="1"/>
  <c r="F4" i="1" s="1"/>
  <c r="D6" i="8"/>
  <c r="D5" i="8" s="1"/>
  <c r="H4" i="1"/>
  <c r="N4" i="1"/>
  <c r="E6" i="8"/>
  <c r="E5" i="8" s="1"/>
  <c r="L52" i="2"/>
  <c r="G57" i="8" s="1"/>
  <c r="H19" i="8"/>
  <c r="M31" i="1"/>
  <c r="I89" i="8"/>
  <c r="I88" i="8" s="1"/>
  <c r="N192" i="2"/>
  <c r="N165" i="2"/>
  <c r="I81" i="8" s="1"/>
  <c r="I52" i="8"/>
  <c r="K145" i="2"/>
  <c r="F76" i="8" s="1"/>
  <c r="F77" i="8"/>
  <c r="N130" i="2"/>
  <c r="F74" i="8"/>
  <c r="F88" i="8"/>
  <c r="H89" i="8"/>
  <c r="M192" i="2"/>
  <c r="K192" i="2"/>
  <c r="D89" i="8"/>
  <c r="D88" i="8" s="1"/>
  <c r="H192" i="2"/>
  <c r="E89" i="8"/>
  <c r="E88" i="8" s="1"/>
  <c r="I192" i="2"/>
  <c r="H14" i="8"/>
  <c r="I6" i="8"/>
  <c r="N31" i="1"/>
  <c r="L143" i="1"/>
  <c r="G29" i="8" s="1"/>
  <c r="G14" i="8"/>
  <c r="I14" i="8"/>
  <c r="G30" i="8"/>
  <c r="N172" i="1"/>
  <c r="I203" i="8"/>
  <c r="N105" i="1"/>
  <c r="I24" i="8" s="1"/>
  <c r="L105" i="1"/>
  <c r="G24" i="8" s="1"/>
  <c r="I105" i="1"/>
  <c r="E24" i="8" s="1"/>
  <c r="E20" i="8" s="1"/>
  <c r="M130" i="1"/>
  <c r="N151" i="1"/>
  <c r="N148" i="1" s="1"/>
  <c r="N130" i="1" s="1"/>
  <c r="H105" i="1"/>
  <c r="D24" i="8" s="1"/>
  <c r="D20" i="8" s="1"/>
  <c r="M171" i="1"/>
  <c r="H43" i="8"/>
  <c r="H15" i="8"/>
  <c r="F11" i="8"/>
  <c r="I84" i="8"/>
  <c r="I164" i="2"/>
  <c r="I201" i="8"/>
  <c r="N30" i="6"/>
  <c r="F86" i="8"/>
  <c r="F87" i="8"/>
  <c r="D80" i="8"/>
  <c r="K170" i="2"/>
  <c r="F82" i="8" s="1"/>
  <c r="F84" i="8"/>
  <c r="D14" i="8"/>
  <c r="D11" i="8" s="1"/>
  <c r="H31" i="1"/>
  <c r="I31" i="1"/>
  <c r="E14" i="8"/>
  <c r="H5" i="8"/>
  <c r="G8" i="8"/>
  <c r="F8" i="8"/>
  <c r="F5" i="8" s="1"/>
  <c r="K4" i="1"/>
  <c r="E81" i="8"/>
  <c r="E80" i="8" s="1"/>
  <c r="F81" i="8"/>
  <c r="I45" i="8"/>
  <c r="E79" i="8"/>
  <c r="M91" i="2"/>
  <c r="N100" i="2"/>
  <c r="N92" i="2" s="1"/>
  <c r="N91" i="2" s="1"/>
  <c r="E65" i="8"/>
  <c r="E64" i="8" s="1"/>
  <c r="I91" i="2"/>
  <c r="D65" i="8"/>
  <c r="D64" i="8" s="1"/>
  <c r="H91" i="2"/>
  <c r="I119" i="2"/>
  <c r="F68" i="8"/>
  <c r="H119" i="2"/>
  <c r="D68" i="8"/>
  <c r="I69" i="8"/>
  <c r="I68" i="8" s="1"/>
  <c r="N119" i="2"/>
  <c r="H30" i="6"/>
  <c r="D205" i="8"/>
  <c r="D203" i="8" s="1"/>
  <c r="G205" i="8"/>
  <c r="L30" i="6"/>
  <c r="F30" i="6" s="1"/>
  <c r="E205" i="8"/>
  <c r="E203" i="8" s="1"/>
  <c r="I30" i="6"/>
  <c r="K30" i="6"/>
  <c r="F205" i="8"/>
  <c r="F203" i="8" s="1"/>
  <c r="D201" i="8"/>
  <c r="E201" i="8"/>
  <c r="F56" i="8"/>
  <c r="F57" i="8"/>
  <c r="K12" i="2"/>
  <c r="F49" i="8" s="1"/>
  <c r="F50" i="8"/>
  <c r="H48" i="8"/>
  <c r="N4" i="2"/>
  <c r="I48" i="8"/>
  <c r="F48" i="8"/>
  <c r="D48" i="8"/>
  <c r="D47" i="8" s="1"/>
  <c r="G48" i="8"/>
  <c r="D35" i="8"/>
  <c r="H171" i="1"/>
  <c r="I171" i="1"/>
  <c r="E35" i="8"/>
  <c r="E33" i="8"/>
  <c r="G80" i="8"/>
  <c r="M125" i="1"/>
  <c r="H23" i="8"/>
  <c r="G200" i="8"/>
  <c r="G199" i="8" s="1"/>
  <c r="G88" i="8"/>
  <c r="H80" i="8"/>
  <c r="H58" i="8"/>
  <c r="K119" i="2"/>
  <c r="M119" i="2"/>
  <c r="H72" i="8"/>
  <c r="K92" i="2"/>
  <c r="L119" i="2"/>
  <c r="F119" i="2" s="1"/>
  <c r="G70" i="8"/>
  <c r="G68" i="8" s="1"/>
  <c r="H55" i="8"/>
  <c r="H200" i="8"/>
  <c r="H199" i="8" s="1"/>
  <c r="H159" i="8"/>
  <c r="G159" i="8"/>
  <c r="G204" i="8"/>
  <c r="M30" i="6"/>
  <c r="H204" i="8"/>
  <c r="K31" i="1"/>
  <c r="L171" i="1"/>
  <c r="F171" i="1" s="1"/>
  <c r="K171" i="1"/>
  <c r="G7" i="8"/>
  <c r="F25" i="8"/>
  <c r="G25" i="8"/>
  <c r="L192" i="2"/>
  <c r="F192" i="2" s="1"/>
  <c r="L164" i="2"/>
  <c r="F164" i="2" s="1"/>
  <c r="M164" i="2"/>
  <c r="K102" i="1"/>
  <c r="F23" i="8" s="1"/>
  <c r="L92" i="2"/>
  <c r="L91" i="2" s="1"/>
  <c r="D199" i="8" l="1"/>
  <c r="I199" i="8"/>
  <c r="G11" i="8"/>
  <c r="K3" i="6"/>
  <c r="F198" i="8" s="1"/>
  <c r="K91" i="1"/>
  <c r="K3" i="1" s="1"/>
  <c r="F4" i="8" s="1"/>
  <c r="D34" i="8"/>
  <c r="L91" i="1"/>
  <c r="F91" i="1" s="1"/>
  <c r="N91" i="1"/>
  <c r="E34" i="8"/>
  <c r="H3" i="6"/>
  <c r="D198" i="8" s="1"/>
  <c r="F199" i="8"/>
  <c r="H203" i="8"/>
  <c r="E199" i="8"/>
  <c r="E26" i="8"/>
  <c r="G74" i="8"/>
  <c r="G73" i="8" s="1"/>
  <c r="L130" i="2"/>
  <c r="F130" i="2" s="1"/>
  <c r="K130" i="2"/>
  <c r="K164" i="2"/>
  <c r="E73" i="8"/>
  <c r="H73" i="8"/>
  <c r="F73" i="8"/>
  <c r="F47" i="8"/>
  <c r="H47" i="8"/>
  <c r="H88" i="8"/>
  <c r="H68" i="8"/>
  <c r="H34" i="8"/>
  <c r="I5" i="8"/>
  <c r="I11" i="8"/>
  <c r="G47" i="8"/>
  <c r="L4" i="2"/>
  <c r="F4" i="2" s="1"/>
  <c r="N3" i="6"/>
  <c r="I198" i="8" s="1"/>
  <c r="H11" i="8"/>
  <c r="N164" i="2"/>
  <c r="N3" i="2" s="1"/>
  <c r="I46" i="8" s="1"/>
  <c r="I47" i="8"/>
  <c r="I80" i="8"/>
  <c r="H65" i="8"/>
  <c r="I65" i="8"/>
  <c r="G26" i="8"/>
  <c r="L130" i="1"/>
  <c r="F130" i="1" s="1"/>
  <c r="I35" i="8"/>
  <c r="N171" i="1"/>
  <c r="I91" i="1"/>
  <c r="I3" i="1" s="1"/>
  <c r="E4" i="8" s="1"/>
  <c r="H30" i="8"/>
  <c r="H91" i="1"/>
  <c r="I30" i="8"/>
  <c r="F83" i="8"/>
  <c r="F80" i="8" s="1"/>
  <c r="G203" i="8"/>
  <c r="H3" i="2"/>
  <c r="D46" i="8" s="1"/>
  <c r="I3" i="2"/>
  <c r="E46" i="8" s="1"/>
  <c r="I5" i="7" s="1"/>
  <c r="K91" i="2"/>
  <c r="F65" i="8"/>
  <c r="F64" i="8" s="1"/>
  <c r="M3" i="6"/>
  <c r="H198" i="8" s="1"/>
  <c r="I3" i="6"/>
  <c r="E198" i="8" s="1"/>
  <c r="L3" i="6"/>
  <c r="G198" i="8" s="1"/>
  <c r="M3" i="2"/>
  <c r="H46" i="8" s="1"/>
  <c r="I25" i="8"/>
  <c r="M91" i="1"/>
  <c r="H25" i="8"/>
  <c r="G23" i="8"/>
  <c r="G20" i="8" s="1"/>
  <c r="G6" i="8"/>
  <c r="G5" i="8" s="1"/>
  <c r="F24" i="8"/>
  <c r="F20" i="8" s="1"/>
  <c r="F91" i="2"/>
  <c r="G65" i="8"/>
  <c r="G64" i="8" s="1"/>
  <c r="H24" i="8"/>
  <c r="L3" i="2" l="1"/>
  <c r="G46" i="8" s="1"/>
  <c r="D9" i="7"/>
  <c r="I9" i="7"/>
  <c r="I4" i="7"/>
  <c r="H64" i="8"/>
  <c r="G9" i="7"/>
  <c r="E9" i="7"/>
  <c r="J9" i="7"/>
  <c r="I26" i="8"/>
  <c r="H26" i="8"/>
  <c r="I64" i="8"/>
  <c r="E3" i="8"/>
  <c r="I3" i="7" s="1"/>
  <c r="G5" i="7"/>
  <c r="E4" i="7"/>
  <c r="I34" i="8"/>
  <c r="I20" i="8"/>
  <c r="L3" i="1"/>
  <c r="G4" i="8" s="1"/>
  <c r="M3" i="1"/>
  <c r="H3" i="1"/>
  <c r="D4" i="8" s="1"/>
  <c r="N3" i="1"/>
  <c r="I4" i="8" s="1"/>
  <c r="J5" i="7"/>
  <c r="D5" i="7"/>
  <c r="K3" i="2"/>
  <c r="F46" i="8" s="1"/>
  <c r="H20" i="8"/>
  <c r="G158" i="8"/>
  <c r="G120" i="8"/>
  <c r="G3" i="8" l="1"/>
  <c r="D3" i="8"/>
  <c r="D3" i="7" s="1"/>
  <c r="E5" i="7"/>
  <c r="I3" i="8"/>
  <c r="J3" i="7" s="1"/>
  <c r="D4" i="7"/>
  <c r="J4" i="7"/>
  <c r="F3" i="8"/>
  <c r="E3" i="7" s="1"/>
  <c r="H4" i="8"/>
  <c r="G157" i="8"/>
  <c r="E116" i="8"/>
  <c r="H3" i="8" l="1"/>
  <c r="G3" i="7" s="1"/>
  <c r="G4" i="7"/>
  <c r="G156" i="8"/>
  <c r="G13" i="9" l="1"/>
  <c r="G155" i="8"/>
  <c r="G116" i="8"/>
  <c r="G154" i="8" l="1"/>
  <c r="G153" i="8" s="1"/>
  <c r="H116" i="8"/>
  <c r="G110" i="8" l="1"/>
  <c r="G184" i="8" l="1"/>
  <c r="H143" i="8"/>
  <c r="E143" i="8"/>
  <c r="H184" i="8" l="1"/>
  <c r="G143" i="8"/>
  <c r="E178" i="8" l="1"/>
  <c r="E101" i="8"/>
  <c r="G178" i="8" l="1"/>
  <c r="G101" i="8"/>
  <c r="G175" i="8" l="1"/>
  <c r="H178" i="8" l="1"/>
  <c r="H136" i="8"/>
  <c r="G136" i="8"/>
  <c r="E136" i="8"/>
  <c r="E120" i="8" l="1"/>
  <c r="G174" i="8" l="1"/>
  <c r="G167" i="8"/>
  <c r="G173" i="8" l="1"/>
  <c r="G172" i="8" l="1"/>
  <c r="G171" i="8" l="1"/>
  <c r="G96" i="8"/>
  <c r="G169" i="8" l="1"/>
  <c r="G168" i="8" l="1"/>
  <c r="G166" i="8" s="1"/>
  <c r="E124" i="8" l="1"/>
  <c r="G165" i="8"/>
  <c r="G105" i="8" l="1"/>
  <c r="G164" i="8" l="1"/>
  <c r="G163" i="8"/>
  <c r="G93" i="8"/>
  <c r="G162" i="8" l="1"/>
  <c r="H124" i="8"/>
  <c r="G124" i="8"/>
  <c r="G127" i="8" l="1"/>
</calcChain>
</file>

<file path=xl/sharedStrings.xml><?xml version="1.0" encoding="utf-8"?>
<sst xmlns="http://schemas.openxmlformats.org/spreadsheetml/2006/main" count="3334" uniqueCount="1891">
  <si>
    <t>LINEA ESTRATEGICA/COMPONENTE IMPULSOR/ PROGRAMA/ PRODUCTO (INDICADOR)/ META PRODUCTO</t>
  </si>
  <si>
    <t>RESPONSABLE(S)</t>
  </si>
  <si>
    <t>VALORACIÓN PONDERACIÓN % (PROPUESTA)</t>
  </si>
  <si>
    <t>META PRODUCTO (PRODUCTO NUMERICO CUATRIENIO)</t>
  </si>
  <si>
    <t>PROGRAMADO NUMERICO META PRODUCTO 2024</t>
  </si>
  <si>
    <t>ESPERADO PORCENTUAL META PRODUCTO CUATRIENIO EN LA VIGENCIA 2024</t>
  </si>
  <si>
    <t>ESPERADO PORCENTUAL META PRODUCTO CUATRIENIO EN LA VIGENCIA 2024 (PONDERADOR)</t>
  </si>
  <si>
    <t>AVANCE  NUMERICO META PRODUCTO  CORTE DICIEMBRE  2024</t>
  </si>
  <si>
    <t>LOGRO  (%) META PRODUCTO RESPECTO AL PROGRAMADO 2024 CORTE DICIEMBRE</t>
  </si>
  <si>
    <t>LOGRO  (%) META PRODUCTO RESPECTO AL PROGRAMADO DICIEMBRE 2024 (PONDERADOR)</t>
  </si>
  <si>
    <t>ACUMULADO  NUMERICO TOTAL META PRODUCTO 2024</t>
  </si>
  <si>
    <t>LOGRO PRODUCTO PLAN DE DESARROLLO CORTE 2024</t>
  </si>
  <si>
    <t>LOGRO  (%) META PRODUCTO RESPECTO AL PROGRAMADO  2024 (PONDERADOR)</t>
  </si>
  <si>
    <t xml:space="preserve"> Seguridad Ciudadana y Orden Público 
</t>
  </si>
  <si>
    <t>Comandos Élites de la Policía Nacional para la seguridad y protección ciudadana equipados</t>
  </si>
  <si>
    <t>Equipar tres (3) Comandos Élites de la Policía Nacional para la seguridad y protección ciudadana</t>
  </si>
  <si>
    <t>SECRETARÍA DEL INTERIOR Y CONVIVENCIA CIUDADANA</t>
  </si>
  <si>
    <t xml:space="preserve">Equipos para la seguridad y la convivencia conformados
</t>
  </si>
  <si>
    <t xml:space="preserve">Conformar un (1) Equipo Interdisciplinario para articulación y coordinación de estrategias de seguridad y un (1) Equipo Operativo de Gestores de Convivencia
</t>
  </si>
  <si>
    <t>Organismos de Seguridad dotados y
con servicios en el marco del PISCC 2024-2027</t>
  </si>
  <si>
    <t>Dotar y proveer de servicios a cinco (5) organismos de seguridad en el marco del PISCC 2024-2027</t>
  </si>
  <si>
    <t>Centro de Procesamiento de Información Institucional y análisis situacional para el Seguimiento del Delito conformado</t>
  </si>
  <si>
    <t>Conformar un (1) Centro de Procesamiento de Información Institucional y análisis situacional para el Seguimiento del Delito</t>
  </si>
  <si>
    <t>Política Pública de Seguridad Humana Integral formulada</t>
  </si>
  <si>
    <t>Formular una (1) Política Pública de Seguridad Humana Integral</t>
  </si>
  <si>
    <t>Operativos anuales de protección, defensa, recuperación de bienes de uso público marino costero desarrollados</t>
  </si>
  <si>
    <t>Desarrollar diez (10) operativos anuales de protección, defensa, recuperación de bienes de uso público marino costero en el Distrito a través del ECOBLOQUE</t>
  </si>
  <si>
    <t>Estaciones de bomberos nuevas construidas</t>
  </si>
  <si>
    <t>Construir una (1) Estación de Bomberos regional nueva</t>
  </si>
  <si>
    <t>Estaciones de bomberos adecuadas</t>
  </si>
  <si>
    <t>Adecuar una (1) Estación de Bomberos</t>
  </si>
  <si>
    <t>Número de máquinas extintoras del Cuerpo de Bomberos para la atención de emergencias</t>
  </si>
  <si>
    <t>Incrementar a ocho (8) el número de máquinas extintoras del Cuerpo de Bomberos para la atención de emergencias</t>
  </si>
  <si>
    <t>Cámaras de seguridad mantenidas</t>
  </si>
  <si>
    <t>Mantener ochocientas setenta y nueve (879) cámaras</t>
  </si>
  <si>
    <t>DISTRISEGURIDAD</t>
  </si>
  <si>
    <t>Cámaras de seguridad instaladas</t>
  </si>
  <si>
    <t>Instalar ochocientas cuarenta y nueve (849) cámaras nuevas</t>
  </si>
  <si>
    <t>Sistemas de información para la seguidad implementados</t>
  </si>
  <si>
    <t>Equipos de seguridad adquiridos</t>
  </si>
  <si>
    <t xml:space="preserve">Adquirir ciento veinte  (120) equipos de comunicación para la seguridad (tipo radio, equipos celulares) 
</t>
  </si>
  <si>
    <t>Infraestructura para la promoción a la cultura de la legalidad y a la convivencia construida</t>
  </si>
  <si>
    <t xml:space="preserve">Construir cuatro (4) infraestructuras para la promoción de la cultura de la legalidad y la convivencia CAIs, subestaciones, estaciones, centro de inteligencia) 
</t>
  </si>
  <si>
    <t>Vehículos para la seguridad y convivencia entregados</t>
  </si>
  <si>
    <t>Entregar doscientos sesenta y ocho (268) vehículos para la seguridad (moto, camioneta, automóvil, camión, cuatrimotos, jet sky)</t>
  </si>
  <si>
    <t>Organismos de atención de emergencias en las playas equipados</t>
  </si>
  <si>
    <t>Equipar a cuatro (4) organismos de atención de emergencias en playas</t>
  </si>
  <si>
    <t>DISTRISEGURIDAD - SECRETARÍA DE TURISMO</t>
  </si>
  <si>
    <t>Infraestructura para seguridad y socorro en playas tipo Garitas</t>
  </si>
  <si>
    <t>Construir veinte (20) garitas nuevas para la seguridad en playas</t>
  </si>
  <si>
    <t>Numero de actores viales capacitados  en educación y cultura para la seguridad vial</t>
  </si>
  <si>
    <t>Formar a cien mil (100.000) actores viales en educación y cultura para la seguridad vial</t>
  </si>
  <si>
    <t>DATT</t>
  </si>
  <si>
    <t>Número de mujeres formadas y vinculadas como gestoras de educación, cultura y seguridad vial</t>
  </si>
  <si>
    <t>Formar y vincular a cuatrocientas (400) mujeres como gestoras de educación, cultura y seguridad vial</t>
  </si>
  <si>
    <t>Plan Local de Seguridad Vial actualizado e implementado</t>
  </si>
  <si>
    <t>Actualizar e implementar en su totalidad un (1) Plan Local de Seguridad Vial</t>
  </si>
  <si>
    <t>Número de instituciones educativas vinculadas al programa de Rutas Educativas Seguras</t>
  </si>
  <si>
    <t>Vincular a ciento ochenta (180) Instituciones Educativas al programa Rutas Educativas Seguras</t>
  </si>
  <si>
    <t xml:space="preserve">Construccion de paz, Derechos Humanos y Convivencia
</t>
  </si>
  <si>
    <t>Número de mujeres víctimas de VBG o en riesgo de padecerla atendidas en servicios de orientación psicosocial y jurídica</t>
  </si>
  <si>
    <t>Atender a cinco mil (5.000) mujeres víctimas de violencia basada en género o en riesgo de padecerla con servicios de orientación psicosocial y jurídica</t>
  </si>
  <si>
    <t>SECRETARÍA DE PARTICIPACIÓN Y DESARROLLO SOCIAL</t>
  </si>
  <si>
    <t>Número de mujeres víctimas de violencia, sus hijos e hijas y familia dependiente protegidas en la casa refugio</t>
  </si>
  <si>
    <t>Proteger doscientas (200) mujeres víctimas de violencia, sus hijos e hijas y familia dependiente en la casa refugio</t>
  </si>
  <si>
    <t>Número de campañas sobre nuevas masculinidades como estrategia de prevención y erradicación contra estereotipos nocivos de género ejecutadas</t>
  </si>
  <si>
    <t>Ejecutar cuatro (4) campañas sobre nuevas masculinidades como estrategia de prevención y erradicación contra estereotipos nocivos de género</t>
  </si>
  <si>
    <t>Mujeres víctimas del conflicto armado como constructoras de paz desde la prevención de las violencias basadas en género</t>
  </si>
  <si>
    <t>Vincular a doscientas (200) mujeres víctimas del conflicto armado como constructoras de paz en estrategias de prevención de las violencias basadas en género</t>
  </si>
  <si>
    <t>Número de acciones afirmativas ejecutadas para la asistencia y la atención de mujeres víctimas del conflicto armado</t>
  </si>
  <si>
    <t>Ejecutar una (1) acción afirmativa anual para la asistencia y la atención de mujeres víctimas del conflicto armado</t>
  </si>
  <si>
    <t>Centro de traslado para la protección inmediata de las mujeres víctimas de cualquier forma de violencias creado y en funcionamiento en el Distrito</t>
  </si>
  <si>
    <t>Crear y poner en funcionamiento un (1) Centro de Traslado por Protección-CTP en el Distrito</t>
  </si>
  <si>
    <t>Entornos urbanos para la convivencia recuperados y mantenidos</t>
  </si>
  <si>
    <t>Recuperar y mantener veinte (20) entornos urbanos para la convivencia en el Distrito</t>
  </si>
  <si>
    <t>Escuelas de formación para la convivencia ciudadana creadas</t>
  </si>
  <si>
    <t>Crear doce (12) escuelas de formación para la convivencia ciudadana en el Distrito</t>
  </si>
  <si>
    <t>Iniciativas para la promoción de la convivencia implementadas</t>
  </si>
  <si>
    <t>Implementar ocho (8) iniciativas para la promoción de la convivencia</t>
  </si>
  <si>
    <t>Número de Comisarías de Familia en operación en el Distrito</t>
  </si>
  <si>
    <t>Incrementar a ocho (8) el número de Comisarías de Familia operando en el Distrito</t>
  </si>
  <si>
    <t>Número de Comisarías de Familia móviles creadas y en operación en el Distrito</t>
  </si>
  <si>
    <t>Crear y poner en funcionamiento una (1) Comisaría de Familia móvil en el Distrito</t>
  </si>
  <si>
    <t>Número de mujeres vinculadas con la estrategia “Trasmallo de Mujeres Violetas por la Paz”</t>
  </si>
  <si>
    <t>Vincular a mil doscientos (1.200) mujeres con la estrategia “Trasmallo de Mujeres Violetas por la Paz”</t>
  </si>
  <si>
    <t>Sistemas de información local implementados para los operadores de justicia</t>
  </si>
  <si>
    <t>Implementar un (1) sistema de información local de las Comisarías de Familia del Distrito y un (1) sistema de información local de las Inspecciones de Policía</t>
  </si>
  <si>
    <t>Número de Casas de Justicia en operación en el Distrito</t>
  </si>
  <si>
    <t>Incrementar a cinco (5) el número de Casas de Justicia en operación en el Distrito</t>
  </si>
  <si>
    <t>Centros de Conciliación en Equidad y/o Derecho creados en las Casas de Justicia</t>
  </si>
  <si>
    <t>Crear cinco (5) Centros de Conciliación en Equidad y/o Derecho en las Casas de Justicia del Distrito</t>
  </si>
  <si>
    <t>Inspecciones de Policía dotadas técnica y operativamente</t>
  </si>
  <si>
    <t>Dotar treinta y tres (33) Inspecciones de Policía técnica, tecnológica y operativamente.</t>
  </si>
  <si>
    <t>Adolescentes y jóvenes vinculados con la estrategia “Laboratorios de Paz” para la prevención del reclutamiento, uso y utilización por parte de los GDO</t>
  </si>
  <si>
    <t>Vincular a dos mil quinientos (2.500) jóvenes a la estrategia “Laboratorios De Paz” para la prevención del reclutamiento por parte de los GDO</t>
  </si>
  <si>
    <t>Jornadas de mediación y desarme con grupos juveniles inmersos en dinámicas de violencia desarrolladas</t>
  </si>
  <si>
    <t>Desarrollar cuatro (4) jornadas de mediación y desarme con grupos juveniles inmersos en dinámicas de violencias</t>
  </si>
  <si>
    <t>Adolescentes y jóvenes vinculados a la estrategia “Proyectos de Vida Libres de Violencia” para la prevención del reclutamiento, uso y utilización por parte de los GDO</t>
  </si>
  <si>
    <t>Vincular a dos mil quinientos (2.500) adolescentes y jóvenes a la estrategia “Proyectos de Vida Libres de Violencia” para la prevención del reclutamiento, uso y utilización por parte de los GDO</t>
  </si>
  <si>
    <t>Estrategias de atención a adolescentes y jóvenes egresados del Sistema de Responsabilidad Penal Adolescentes implementadas</t>
  </si>
  <si>
    <t>Implementar cuatro (4) estrategias de atención a adolescentes y jóvenes egresados del Sistema de Responsabilidad Penal Adolescente</t>
  </si>
  <si>
    <t>Unidades productivas entregadas a personas víctimas del conflicto</t>
  </si>
  <si>
    <t>Entregar mil (1.000) unidades productivas a personas víctimas del conflicto</t>
  </si>
  <si>
    <t>Personas víctimas del conflicto que acceden a programas de atención psicosocial y salud mental</t>
  </si>
  <si>
    <t>Vincular a mil (1.000) personas víctimas del conflicto a programas de atención psicosocial y salud mental</t>
  </si>
  <si>
    <t>Personas víctimas con ayuda humanitaria inmediata</t>
  </si>
  <si>
    <t xml:space="preserve">Atender a la totalidad de personas víctimas que cumplan con los requisitos de ley para acceder a la medida de ayuda humanitaria inmediata 
</t>
  </si>
  <si>
    <t>Personas víctimas con ayuda inmediata mediante albergue</t>
  </si>
  <si>
    <t xml:space="preserve">Atender a la totalidad de personas víctimas que cumplan con los requisitos de ley para acceder a la medida de ayuda humanitaria inmediata mediante albergue 
</t>
  </si>
  <si>
    <t>Representante s de la mesa de víctimas en el Distrito con incentivos técnicos y logísticos para su participación.</t>
  </si>
  <si>
    <t>Mantener los incentivos técnicos y logísticos de participación a la totalidad de los representantes de la población víctima en la Mesa Distrital de Víctimas de Cartagena.</t>
  </si>
  <si>
    <t>Museo de Memoria Histórica onstruido y dotado</t>
  </si>
  <si>
    <t>Construir y dotar un (1) Museo de Memoria Histórica</t>
  </si>
  <si>
    <t>Monumento histórico construido en cumplimientoalauto A I068 de la JEP</t>
  </si>
  <si>
    <t>Construir un (1) monumento histórico en cumplimiento del auto AI 068 de la Jurisdicción Especial para la Paz</t>
  </si>
  <si>
    <t>Plan de retorno y reubicaciones de Villas de Aranjuez concertado e implementado</t>
  </si>
  <si>
    <t>Concertar e implementar un (1) Plan de Retorno y reubicación de Villas de Aranjuez</t>
  </si>
  <si>
    <t>Plan Distrital de prevención y protección de violaciones graves a los derechos humanos y derecho internacional humanitario implementado</t>
  </si>
  <si>
    <t>Implementar un (1) Plan Distrital de prevención y protección de violaciones graves a los derechos humanos y derecho internacional humanitario</t>
  </si>
  <si>
    <t>Plan de acción territorial - PAT actualizado , aprobado e implementado</t>
  </si>
  <si>
    <t>Actualizar, aprobar e implementar un (1) Plan de Acción Territorial -PAT</t>
  </si>
  <si>
    <t>Plan de Contingencia formulado</t>
  </si>
  <si>
    <t>formular 1 plan de Contingencia para la atención inmediata de víctima en el distrito de cartagena</t>
  </si>
  <si>
    <t>Plan integral de reparación colectiva de la liga de mujeres desplazadas concertado e implementado</t>
  </si>
  <si>
    <t>Implementar un (1) Plan Integral de Reparación Colectiva de la Liga de Mujeres Desplazadas</t>
  </si>
  <si>
    <t>Consejo de Paz , Reconciliación , Convivencia y DDHH en el Distrito de Cartagena con plan de acción implementado</t>
  </si>
  <si>
    <t>Implementar el plan de acción de un (1) Consejo de Paz, Reconciliación, Convivencia y DDHH en el Distrito</t>
  </si>
  <si>
    <t>Iniciativas de memoria histórica apoyadas</t>
  </si>
  <si>
    <t>Asistir ocho (8) iniciativas de memoria histórica</t>
  </si>
  <si>
    <t>Acciones de difusión de las recomendaciones de la Comisión para el esclarecimiento de la verdad , la convivencia y la no repetición implementadas</t>
  </si>
  <si>
    <t>Implementar cuatro (4) acciones de difusión de las recomendacio nes de la Comisión para el Esclarecimiento de la Verdad, la Convivencia y la no repetición</t>
  </si>
  <si>
    <t>Acciones de articulación con la Unidad de Búsqueda de Personas dadas por DesaparecidasUBPD implementadas</t>
  </si>
  <si>
    <t>Implementar ocho (8) acciones de articulación con la Unidad de Búsqueda de Personas dadas por Desaparecidas -UBPD para impulsar la búsqueda de personas dadas por desaparecidas en el marco del conflicto armado</t>
  </si>
  <si>
    <t>Medidas de satisfacción y memoria histórica ejecutadas</t>
  </si>
  <si>
    <t>Ejecutar dos (2) medidas de memoria histórica para población víctima</t>
  </si>
  <si>
    <t>Sede propia para la Mesa Distrital de Víctimas garantizada</t>
  </si>
  <si>
    <t>Garantizar una (1) Sede de mesa de propia para la mesa de Distrital de Victimas</t>
  </si>
  <si>
    <t>Estrategia de oferta de atención interinstitucional del Distrito en el Centro Regional de Atención a Víctimas implementada</t>
  </si>
  <si>
    <t>Implementar una (1) estrategia de oferta de atención interinstitucional del Distrito en el Centro Regional de Atención a Víctimas</t>
  </si>
  <si>
    <t>Estrategias de promoción de la garantía de derechos implementadas</t>
  </si>
  <si>
    <t>Implementar ocho (8) estrategias de promoción de la garantía de derechos</t>
  </si>
  <si>
    <t>Solicitudes de medidas de protección preventiva atendidas</t>
  </si>
  <si>
    <t>Atender la totalidad de las solicitudes de medidas de protección preventiva</t>
  </si>
  <si>
    <t>Grupos de gestores y gestoras de Derechos Humanos creados</t>
  </si>
  <si>
    <t>Crear nueve (9) grupos de gestores y gestoras de Derechos Humanos</t>
  </si>
  <si>
    <t>Casa de acogida para víctimas y sobrevivientes de la trata de personas y mendicidad forzada creada y en funcionamiento</t>
  </si>
  <si>
    <t>Crear y poner en funcionamiento una (1) casa de acogida para víctimas y sobrevivientes de la trata de personas y mendicidad forzada</t>
  </si>
  <si>
    <t>Número de estrategias implementadas para la prevención de casos de víctimas de trata de personas</t>
  </si>
  <si>
    <t>Implementar cuatro (4) estrategias de prevención de casos de víctimas de trata de personas en coordinación con los comités territoriales de lucha contra la trata de personas</t>
  </si>
  <si>
    <t>Instancias institucionales creadas para la atención y garantía del derecho de libertad religiosa en el Distrito</t>
  </si>
  <si>
    <t>Mantener una (1) instancia institucional para atención y garantía del derecho de libertad religiosa en el Distrito</t>
  </si>
  <si>
    <t>Población víctima y sobreviviente de la trata de personas atendida</t>
  </si>
  <si>
    <t>Atender a la totalidad de víctimas sobrevivientes de explotación sexual y de mendicidad forzada</t>
  </si>
  <si>
    <t>Personas en proceso de reintegración y reincorporación vinculadas para la reinserción social y comunitaria y de participación</t>
  </si>
  <si>
    <t>Vincular a ochenta y seis (86) personas en proceso de reintegración y reincorporación a beneficios para la reinserción social y comunitaria y de participación</t>
  </si>
  <si>
    <t>Ruta de protección preventiva para líderes amenazados en el Distrito implementada</t>
  </si>
  <si>
    <t>Implementar una (1) ruta de protección preventiva para líderes amenazados en el Distrito</t>
  </si>
  <si>
    <t>Establecimiento de reclusión distrital para personas privadas de la libertad femeninas y masculinas operando en un inmueble del Distrito</t>
  </si>
  <si>
    <t>Poner en operación un (1) establecimiento de reclusión distrital para personas privadas de la libertad femeninas y masculinas en un inmueble del Distrito</t>
  </si>
  <si>
    <t>Personas privadas de la libertad vinculadas a programas psicosociales</t>
  </si>
  <si>
    <t>Vincular a ciento cincuenta (150) personas privadas de la libertad a programas psicosociales</t>
  </si>
  <si>
    <t>Convenio con el INPEC suscrito anualmente</t>
  </si>
  <si>
    <t>Suscribir anualmente (1) convenio con el INPEC</t>
  </si>
  <si>
    <t xml:space="preserve"> Salud Pública y Aseguramiento
</t>
  </si>
  <si>
    <t>Número de usuarios con continuidad de la afiliación al régimen subsidiado en salud en el Distrito de Cartagena</t>
  </si>
  <si>
    <t>Mantener la continuidad anual de la afiliación a seiscientas setenta y nueve mil quinientas cincuenta y cinco (679.555) personas que están afiliados al régimen subsidiado en salud</t>
  </si>
  <si>
    <t>DEPARTAMENTO ADMINISTRATIVO DISTRITAL DE SALUD DADIS</t>
  </si>
  <si>
    <t>Número de personas nuevas afiliadas al sistema general de seguridad social en salud</t>
  </si>
  <si>
    <t>Afiliar a veinte mil (20.000) personas nuevas al Sistema General de Seguridad Social en Salud (con o sin SISBEN)</t>
  </si>
  <si>
    <t>Número de servicios de salud habilitados para atender Población No Asegurada</t>
  </si>
  <si>
    <t>Mantener habilitados ciento cuarenta y dos (142) servicios de salud anualmente para la red integrada de salud del Distrito</t>
  </si>
  <si>
    <t>Numero de equipos básicos de salud que operan en el Distrito monitoreados y evaluados</t>
  </si>
  <si>
    <t>Monitorear y evaluar a sesenta y dos (62) Equipos Básicos de Salud que operan en el Distrito</t>
  </si>
  <si>
    <t>Número de prestadores de servicios de salud con asistencia técnica de inspección, vigilancia y control para mejoramiento de la calidad de la atención en salud en IPS oncológicas, pediátricas y maternas</t>
  </si>
  <si>
    <t>Inspeccionar, vigilar y controlar a sesenta (60) prestadores de salud para mejoramiento de la calidad de la atención en salud en IPS oncológicas, pediátricas y maternas</t>
  </si>
  <si>
    <t>Centros de salud nuevos construidos para la protección y el aseguramiento en salud en el Distrito de Cartagena</t>
  </si>
  <si>
    <t>Construir dos (2) nuevos centros de salud en el distrito de Cartagena para la protección y el aseguramiento en salud</t>
  </si>
  <si>
    <t>SECRETARÍA DE INFRAESTRUCTURA - DEPARTAMENTO ADMINISTRATIVO DISTRITAL DE SALUD DADIS</t>
  </si>
  <si>
    <t>Número de personas con valoración clínica multidisciplinaria simultánea elaborada con resultado de condición de discapacidad</t>
  </si>
  <si>
    <t>Elaborar valoraciones clínicas multidisciplinaria del procedimiento de certificación de discapacidad y Registro de Localización y Certificación de Personas con Discapacidad a diez mil (10.000) personas del Distrito</t>
  </si>
  <si>
    <t xml:space="preserve">Número de personas pertenecientes a los grupos poblaciones vulnerables participantes en estrategias de promoción de la participación social en salud
</t>
  </si>
  <si>
    <t>Vincular a treinta mil (30.000) personas en estrategias de promoción de la participación social en salud con paridad de género (pertenecientes a los grupos poblaciones vulnerables</t>
  </si>
  <si>
    <t xml:space="preserve">Número de IPS asistidas con servicios del Plan de Emergencia Hospitalaria y desarrollo de capacidades en las competencias frente a las adaptaciones de posibles efectos de la variabilidad y el cambio climático 
</t>
  </si>
  <si>
    <t>Asistir anualmente a veintinueve (29) IPS con servicios del Plan de Emergencia Hospitalaria y desarrollo de capacidades en las competencias frente a las adaptaciones de posibles efectos de la variabilidad y el cambio climático</t>
  </si>
  <si>
    <t>Centro Regulador De Urgencias construido y dotado con tecnología de punta</t>
  </si>
  <si>
    <t>Construir y dotar un (1) Centro Regulador de Urgencias y Emergencias con tecnología de punta</t>
  </si>
  <si>
    <t>Número de procesos de gestión de la salud pública en el marco de la ruta integral para la promoción y mantenimiento de la salud implementados</t>
  </si>
  <si>
    <t>Implementar cuatro (4) procesos de gestión de la salud pública en el marco de la ruta integral para la promoción y mantenimiento de la salud</t>
  </si>
  <si>
    <t>Número de establecimientos farmacéuticos y similares  vigilados y controlados con enfoque de riesgo</t>
  </si>
  <si>
    <t>Vigilar y controlar anualmente con enfoque de riesgo a setecientos (700) establecimientos farmacéuticos y similares</t>
  </si>
  <si>
    <t>Número de tomas de muestras de agua elaboradas y visitas a objetos de interés de la calidad del agua para consumo humano y de diversión</t>
  </si>
  <si>
    <t>Realizar anualmente dos mil cien (2.100) tomas de muestras de agua y visitas a objetos de interés de Inspección, Vigilancia y Control Sanitario (IVCS) de la calidad del agua para consumo humano y de diversión</t>
  </si>
  <si>
    <t>Número de establecimientos de interés sanitario diferentes a establecimientos de medicamentos y alimentos, incluyendo motonaves y aeronaves vigilados y controlados</t>
  </si>
  <si>
    <t>Vigilar y controlar anualmente a siete mil seiscientos (7.600) establecimientos de interés sanitario diferentes a establecimientos de medicamentos y alimentos, incluyendo motonaves y aeronaves</t>
  </si>
  <si>
    <t xml:space="preserve">Número de animales vacunados contra la rabia
</t>
  </si>
  <si>
    <t>Vacunar anualmente noventa mil (90.000) animales contra la rabia</t>
  </si>
  <si>
    <t>Número de grupos de eventos de interés en salud pública con acciones de vigilancia en salud pública y vigilancia comunitaria elaboradas</t>
  </si>
  <si>
    <t>Elaborar anualmente acciones de vigilancia en salud pública y vigilancia comunitaria a diecisiete (17) grupos de eventos de interés en salud pública</t>
  </si>
  <si>
    <t>Número de entidades con acciones de salud pública en enfermedades cardiovasculares, huérfanas, diabetes mellitus, cáncer, salud visual, auditiva y salud bucal desarrolladas en diferentes entornos</t>
  </si>
  <si>
    <t>Desarrollar anualmente acciones de salud pública a doscientas cincuenta (250) entidades en enfermedades cardiovasculares, huérfanas, diabetes mellitus, cáncer, salud visual, auditiva y salud bucal en diferentes entornos</t>
  </si>
  <si>
    <t>Número de productos de la Política Distrital de Salud Mental y Política Nacional para la Prevención y Atención del Consumo de Sustancias Psicoactivas implementados</t>
  </si>
  <si>
    <t>Implementar los diecisiete (17) productos de la Política de Salud Mental y la Política Nacional para la Prevención y Atención del Consumo de Sustancias Psicoactivas</t>
  </si>
  <si>
    <t>Número de entidades de salud con acciones en Rutas Integrales de Atención en Salud relacionadas con las alteraciones nutricionales y promoción de las Guías Alimentarias Basadas en Alimentos</t>
  </si>
  <si>
    <t>Desarrollar anualmente acciones en cuarenta (40) entidades de salud de Rutas Integrales de Atención en Salud relacionadas con las alteraciones nutricionales y promoción de las Guías Alimentarias Basadas en Alimentos (GABAS)</t>
  </si>
  <si>
    <t>Número de establecimientos y transportadores de alimentos vigilados y controlados con enfoque de riesgo</t>
  </si>
  <si>
    <t>Vigilar y controlar anualmente con enfoque de riesgo a tres mil quinientos (3.500) establecimientos y transportadores de alimentos</t>
  </si>
  <si>
    <t>Número de acciones de salud pública desarrolladas para la promoción de la salud materna en entidades de salud y en el entorno comunitario</t>
  </si>
  <si>
    <t>Desarrollar anualmente noventa y cinco (95) acciones de salud pública para promoción de la salud materna en entidades de salud y entorno comunitario</t>
  </si>
  <si>
    <t>Número de acciones de salud pública desarrolladas para promoción de la salud sexual y reproductiva en entidades de salud, entorno comunitario y educativo.</t>
  </si>
  <si>
    <t>Desarrollar anualmente seiscientas setenta y cinco (675) acciones de salud pública para promoción de la salud sexual y reproductiva en entidades de salud, entorno comunitario y educativo, incluyendo el cumplimiento de sentencias como la C-055 de 2022 de la Corte Constitucional</t>
  </si>
  <si>
    <t>Número de niños y niñas menores de un año con seguimiento del esquema de vacunación de acuerdo a la edad desarrollado</t>
  </si>
  <si>
    <t>Desarrollar el seguimiento anual a la vacunación de catorce mil setecientos noventa y seis (14.796) niños y niñas menores de un año con todos los biológicos del esquema de acuerdo a la edad</t>
  </si>
  <si>
    <t>Número de componentes de la Estrategia de Gestión Integrada (EGI) de vectores desarrollada en los microterritorios priorizados</t>
  </si>
  <si>
    <t>Desarrollar anualmente los siete (7) componentes de la Estrategia de Gestión Integrada (EGI) de vectores en los microterritorios priorizados</t>
  </si>
  <si>
    <t>Número de salas de atención a enfermedades respiratorias agudas y Unidades de Atención Integral Comunitaria habilitadas</t>
  </si>
  <si>
    <t>Habilitar treinta (30) salas de atención a atención a enfermedades respiratorias agudas y habilitar dos (2) Unidades de Atención Integral Comunitaria en barrios y corregimientos priorizados para la prevención, manejo y control de la IRA y la EDA en los niños y niñas menores de 5 años</t>
  </si>
  <si>
    <t>Número de estrategias de salud infantil institucionales y comunitarias ejecutadas</t>
  </si>
  <si>
    <t>Ejecutar anualmente estrategias de salud infantil institucionales en setenta (70) instituciones prestadoras de salud priorizadas con servicios de atención materno – infantil y atención del recién nacido y ejecutar dos (2) estrategias comunitarias sobre AIEPI Comunitario y Cuidados del Recién Nacido en los diferentes entornos</t>
  </si>
  <si>
    <t xml:space="preserve">Número de entidades con acciones de salud pública elaboradas sobre prevención y control de la tuberculosis en los
diferentes entornos
</t>
  </si>
  <si>
    <t xml:space="preserve">Elaborar anualmente acciones de salud pública en setenta y cinco (75) entidades sobre prevención y control de la tuberculosis en los diferentes entornos
</t>
  </si>
  <si>
    <t>Número de entidades con acciones de salud pública elaboradas sobre prevención y control de la lepra y prevención de la discapacidad en los diferentes entornos</t>
  </si>
  <si>
    <t>Elaborar anualmente acciones de salud pública en setenta y cinco (75) entidades sobre prevención y control de la lepra y prevención de la discapacidad en los diferentes entornos</t>
  </si>
  <si>
    <t>Número de acciones de promoción de entornos de trabajo seguros y prevención de enfermedades y accidentes laborales elaboradas</t>
  </si>
  <si>
    <t>Elaborar setecientas veinte (720) acciones de promoción de entornos de trabajo seguros y prevención de enfermedades y accidentes laborales</t>
  </si>
  <si>
    <t>Estudios técnicos, financieros y ambientales elaborados para la construcción de un Nuevo Parque Cementerio Distrital, dentro de las áreas señaladas por el POT</t>
  </si>
  <si>
    <t>Elaborar un (1) estudio de un Nuevo Parque Cementerio Distrital</t>
  </si>
  <si>
    <t>SECRETARÍA GENERAL - APOYO LOGISTICO</t>
  </si>
  <si>
    <t>Acciones preventivas, correctivas, de modernización, restauración, construcción de bóvedas y/o nichos en los cementerios del distrito de Cartagena.</t>
  </si>
  <si>
    <t>Elaborar (4) acciones preventivas, correctivas, de modernización, restauración, construcción de bóvedas y/o nichos en los cementerios del distrito de Cartagena</t>
  </si>
  <si>
    <t>Sistemas tecnológicos de trámite de los servicios de cementerio implementados</t>
  </si>
  <si>
    <t>Implementar un (1) sistema tecnológico para trámites de servicios de cementerio</t>
  </si>
  <si>
    <t>Cementerio Santa Cruz de Manga con intervención para restauración arquitectónica</t>
  </si>
  <si>
    <t>Intervenir para mejoramiento y restauración arquitectónica un (1) Cementerio Santa Cruz de Manga</t>
  </si>
  <si>
    <t xml:space="preserve">Atención Integral a Grupos de Especial Protección
</t>
  </si>
  <si>
    <t>Personas mayores con atención en centros de vida</t>
  </si>
  <si>
    <t>Atender anualmente a cuatro mil ciento noventa y cuatro (4.194) personas mayores en los centros de vida</t>
  </si>
  <si>
    <t>Personas mayores que reciben atención en Grupos Organizados</t>
  </si>
  <si>
    <t>Atender anualmente cinco mil seiscientas ochenta y un (5.681) personas mayores en Grupos Organizados</t>
  </si>
  <si>
    <t>Personas mayores en estado de abandono y/o maltrato atendidas</t>
  </si>
  <si>
    <t>Atender ciento cincuenta (150) personas mayores permanentemente en estado de maltrato y/o abandono</t>
  </si>
  <si>
    <t>Centros de vida construidos y dotados</t>
  </si>
  <si>
    <t>Construir y dotar cuatro (4) centros de vida del Distrito</t>
  </si>
  <si>
    <t>Hogar geriátrico construido y dotado</t>
  </si>
  <si>
    <t>Construir y dotar un (1) hogar geriátrico para personas mayores en el Distrito</t>
  </si>
  <si>
    <t>Centros de vida para el adulto mayor adecuados</t>
  </si>
  <si>
    <t>Adecuar diez (10) Centros de Vida para el adulto mayor</t>
  </si>
  <si>
    <t xml:space="preserve">Ruta de atención a los adultos mayores maltratados o en estado de abandono actualizada y socializada
</t>
  </si>
  <si>
    <t xml:space="preserve">Actualizar y socializar una (1) ruta de atención a los adultos mayores maltratados o en estado de abandono
</t>
  </si>
  <si>
    <t>Programa Integral de Educación, Atención y Seguimiento para la Población Longeva y sus Cuidadores creado e implementado</t>
  </si>
  <si>
    <t>Crear e implementar un (1) Programa Integral de Educación, Atención y Seguimiento para la Población Longeva y sus Cuidadores</t>
  </si>
  <si>
    <t>Número de personas con discapacidad y sus cuidadoras atendidas con programas de la oferta institucional de la Secretaría de Participación y Desarrollo Social</t>
  </si>
  <si>
    <t>Atender a tres mil cuatrocientas cincuenta y dos (3.452) personas con discapacidad y sus cuidadoras con programas de la oferta institucional de la Secretaría de Participación y Desarrollo Social</t>
  </si>
  <si>
    <t>Espacios lúdicos inclusivos para NNA implementados en el Distrito</t>
  </si>
  <si>
    <t xml:space="preserve">Implementar cuatro (4) espacios lúdicos inclusivos para niños, niñas y adolescentes con discapacidad en el Distrito
</t>
  </si>
  <si>
    <t>Número de unidades productivas de personas con discapacidad y/o sus cuidadoras creadas y acompañadas</t>
  </si>
  <si>
    <t>Crear y/o acompañar doscientas (200) unidades productivas de personas con discapacidad y/o sus cuidadoras</t>
  </si>
  <si>
    <t>Caracterizaciones de la vocación productiva de personas con discapacidad y sus cuidadoras elaboradas</t>
  </si>
  <si>
    <t>Elaborar cuatro (4) caracterizaciones de la vocación productiva de personas con discapacidad y sus cuidadoras</t>
  </si>
  <si>
    <t>Empresas o emprendimientos de personas con discapacidad vinculados a eventos de interés del Distrito</t>
  </si>
  <si>
    <t>Vincular veinte (20) empresas o emprendimientos de personas con discapacidad a eventos de interés del Distrito</t>
  </si>
  <si>
    <t>Caracterizaciones anuales de ciudadanos habitantes de calle desarrolladas</t>
  </si>
  <si>
    <t>Desarrollar una (1) caracterización anual de ciudadanos habitantes de calle</t>
  </si>
  <si>
    <t>Jornadas de atención humanitaria de ciudadanos habitantes de calle implementadas</t>
  </si>
  <si>
    <t>Implementar cuarenta (40) jornadas de atención humanitaria a ciudadanos habitantes de calle</t>
  </si>
  <si>
    <t>Ciudadanos habitantes de calle atendidos en hogares de paso</t>
  </si>
  <si>
    <t>Atender anualmente ochenta (80) ciudadanos habitantes de calle en hogares de paso</t>
  </si>
  <si>
    <t>Ciudadanos habitantes de calle vinculados en procesos de rehabilitación y/o resocialización</t>
  </si>
  <si>
    <t>Vincular a ochenta (80) ciudadanos habitantes de calle en procesos de rehabilitación y/o resocialización</t>
  </si>
  <si>
    <t>Centro Intégrate mejorado técnica y tecnológicamente</t>
  </si>
  <si>
    <t>Mejorar técnica y tecnológicamente un (1) Centro Intégrate</t>
  </si>
  <si>
    <t>Número de jornadas extramurales de atención integral a la población migrante desarrolladas</t>
  </si>
  <si>
    <t>Desarrollar dos (2) jornadas extramurales anuales de atención integral a la población migrante</t>
  </si>
  <si>
    <t>Número de personas migrantes, retornados y de acogida, beneficiadas con asistencia técnica y acompañamiento productivo y empresarial desde la ruta de inclusión productiva</t>
  </si>
  <si>
    <t>Beneficiar a tres mil quinientas treinta y cuatro (3.534) personas migrantes, retornados y de acogida, con asistencia técnica y acompañamiento productivo y empresarial desde la ruta de inclusión productiva</t>
  </si>
  <si>
    <t>Número de personas migrantes, retornados y de acogida vinculadas laboralmente desde la ruta de inclusión productiva</t>
  </si>
  <si>
    <t>Vincular laboralmente a cincuenta y cinco (55) nuevos migrantes, retornados y de acogida desde la ruta de inclusión productiva</t>
  </si>
  <si>
    <t>Número de campañas de gestión del riesgo en temas de salud sexual y reproductiva a migrantes desarrolladas</t>
  </si>
  <si>
    <t>Desarrollar dos (2) campañas de gestión del riesgo en temas de salud reproductiva a migrantes</t>
  </si>
  <si>
    <t>Número de migrantes, retornados y de acogida vinculados al programa de atención al migrante</t>
  </si>
  <si>
    <t>Vincular a diez mil seiscientos (10.600) migrantes, retornados y de acogida al programa de atención al migrante</t>
  </si>
  <si>
    <t>Número de personas LGBTIQ+ asistidas para acceder a programas de formación para el trabajo y de educación técnica y tecnológica</t>
  </si>
  <si>
    <t>Asistir a quinientas (500) personas LGBTIQ+ para acceder a programas de formación para el trabajo y de educación técnica y tecnológica</t>
  </si>
  <si>
    <t>Numero de emprendimientos, negocios y/o proyectos productivos liderados por personas con orientaciones sexuales e identidades de género diversas financiados</t>
  </si>
  <si>
    <t>Financiar doscientos (200) emprendimientos, negocios y/o proyectos productivos liderados por personas con orientaciones sexuales e identidades de género diversas.</t>
  </si>
  <si>
    <t>Número de rutas de atención integral de violencias basadas en orientación sexual e identidad de género creadas</t>
  </si>
  <si>
    <t>Crear una (1) ruta de atención integral de violencias basadas en orientación sexual e identidad de género</t>
  </si>
  <si>
    <t xml:space="preserve">Número de procesos de sensibilización a diferentes comunidades para propiciar la transformación de imaginarios sociales frente a personas con orientaciones sexuales e identidades de género diversas y sectores LGBTIQ+ implementados 
</t>
  </si>
  <si>
    <t>Implementar ocho (8) procesos de sensibilización a diferentes comunidades para propiciar la transformación de imaginarios sociales frente a personas con orientaciones sexuales e identidades de género diversas y sectores LGBTIQ+</t>
  </si>
  <si>
    <t>Número de campañas de promoción y prevención de la salud, salud sexual y reproductiva y salud mental dirigida a personas con orientaciones sexuales e identidades de género diversas y sectores LGBTIQ+ desarrolladas</t>
  </si>
  <si>
    <t>Desarrollar ocho (8) campañas de promoción y prevención de la salud, salud sexual y reproductiva y salud mental dirigida a personas con orientaciones sexuales e identidades de género diversas y sectores LGBTIQ+</t>
  </si>
  <si>
    <t>Alianzas público-populares con organizaciones de cuidado comunitario Creadas</t>
  </si>
  <si>
    <t>Crear cuatro (4) alianzas público-populares con organizaciones de cuidado comunitario (1 al año)</t>
  </si>
  <si>
    <t>Ruta del cuidado con una canasta de servicios en articulación del sector público y privado para cuidadores y agentes del cuidado diseñada e implementada</t>
  </si>
  <si>
    <t>Diseñar e implementar una (1) ruta del cuidado con una canasta de servicios en articulación del sector público y privado para cuidadores y agentes del cuidado e implementar un (1) plan piloto en el barrio Huellas de Alberto Uribe</t>
  </si>
  <si>
    <t>Acciones de transformación cultural para la democratización del cuidado (nuevas masculinidades) creadas</t>
  </si>
  <si>
    <t>Crear cuatro (4) acciones de transformación cultural para la democratización del cuidado (nuevas masculinidades)</t>
  </si>
  <si>
    <t>Sistema Distrital de Cuidado diseñado, estructurado e implementado</t>
  </si>
  <si>
    <t>Diseñar, estructurar e implementar un (1) Sistema Distrital de Cuidado</t>
  </si>
  <si>
    <t xml:space="preserve">Superación de la pobreza extrema y soberanía alimentaria
</t>
  </si>
  <si>
    <t>Número de personas con el derecho a la identificación garantizado</t>
  </si>
  <si>
    <t>Garantizar el derecho a la identificación de dieciséis mil (16.000) persona</t>
  </si>
  <si>
    <t>PLAN DE EMERGENCIA SOCIAL - PES</t>
  </si>
  <si>
    <t>Número de personas con situación militar definidas acompañadas por la estrategia PES</t>
  </si>
  <si>
    <t>Acompañar a dos mil doscientos (2.200) personas en la definición de su situación militar</t>
  </si>
  <si>
    <t>Número de personas en pobreza extrema, víctimas del conflicto armado, migrantes y retornados afiliadas  al Sistema General de Seguridad Social.</t>
  </si>
  <si>
    <t>Coordinar la afiliación para cinco mil (5000) personas en Pobreza Extrema, víctimas del conflicto armado, migrantes y retornados al Sistema General de Seguridad Social</t>
  </si>
  <si>
    <t>Número de personas en pobreza extrema formadas en asuntos de Salud Integral</t>
  </si>
  <si>
    <t>Formar en asuntos de salud integral a doce mil (12.000) personas en condición de pobreza extrema</t>
  </si>
  <si>
    <t>Caracterización de los Consejos Comunitarios y Cabildo para el fortalecimiento de la práctica de medicina ancestral elaborada</t>
  </si>
  <si>
    <t>Elaborar una (1) caracterización de los Consejos Comunitarios y Cabildo para el fortalecimiento de la práctica de medicina ancestral</t>
  </si>
  <si>
    <t>Niños, niñas y adolescentes en pobreza extrema que se encuentra por fuera del sistema educativo vincular</t>
  </si>
  <si>
    <t>Vincular cinco mil quinientos cincuenta y seis (5.556) niños, niñas y adolescentes en pobreza extrema desescolarizados al sistema educativo.</t>
  </si>
  <si>
    <t>Número de jóvenes y adultos en pobreza extrema con acceso  a educación técnica.</t>
  </si>
  <si>
    <t>Vincular catorce mil (14.000) jóvenes y adultos en pobreza extrema en programas de  acceso  a educación técnica.</t>
  </si>
  <si>
    <t>Familias formadas sobre el valor de la educación</t>
  </si>
  <si>
    <t xml:space="preserve">Formar a veinticinco mil familias (25.000) sobre el valor de la educación 
</t>
  </si>
  <si>
    <t>Instituciones Educativas Oficiales del Distrito con programas de retención escolar implementados</t>
  </si>
  <si>
    <t>Implementar programas de retención escolar en cincuenta (50) Instituciones Educativas Oficiales</t>
  </si>
  <si>
    <t>Número de vivienda en sectores en pobreza extrema del Distrito de Cartagena mejoradas.</t>
  </si>
  <si>
    <t>Mejorar cinco mil (5.000) unidades de vivienda en sectores en pobreza extrema del Distrito de Cartagena</t>
  </si>
  <si>
    <t>Número de familias en situación de pobreza extrema dotadas con capital de trabajo y formación empresarial</t>
  </si>
  <si>
    <t>Dotar con capital de trabajo y formación empresarial a ocho mil (8.000) familias en pobreza extrema</t>
  </si>
  <si>
    <t>Centro de Oportunidades para el Empleo del Distrito de Cartagena creado</t>
  </si>
  <si>
    <t>Crear un (1) Centro de Oportunidades para el Empleo en el Distrito de Cartagena</t>
  </si>
  <si>
    <t>Número de emprendimientos y/o unidades productivas apoyadas técnica o financieramente</t>
  </si>
  <si>
    <t>Apoyar técnica y financieramente a tres mil ochocientos (3.800) emprendimientos y/o unidades productivas</t>
  </si>
  <si>
    <t>Organizaciones de economía popular integradas por población de pobreza extrema en economía solidaria impactadas</t>
  </si>
  <si>
    <t>Impactar a ochenta (80) organizaciones de economía popular integradas por población de pobreza extrema en economía solidaria</t>
  </si>
  <si>
    <t>Número de personas en pobreza extrema con vinculación de empleo formal gestionada</t>
  </si>
  <si>
    <t>Gestionar la vinculación de empleo formal para tres mil doscientas (3.200) personas en pobreza extrema (al menos 50% mujeres)</t>
  </si>
  <si>
    <t>Personas en pobreza extrema vinculadas  al sistema financiero.</t>
  </si>
  <si>
    <t>Vincular veinte mil (20.000) Personas en pobreza extrema vinculadas  al sistema financiero.</t>
  </si>
  <si>
    <t>Número de familias en situación de pobreza extrema con acceso a créditos financieros</t>
  </si>
  <si>
    <t>Lograr acceso a crédito financiero para tres mil (3.000) familias en pobreza extrema</t>
  </si>
  <si>
    <t>Miembros de familia en el Distrito de Cartagena sensibilizadas en prevención al consumo de sustancias psicoactivas.</t>
  </si>
  <si>
    <t>Formar mil noventa y dos (1.092) nuevos miembros de familias en el Distrito de Cartagena en prevención al consumo de sustancias psicoactivas</t>
  </si>
  <si>
    <t>Estrategia de prevención de violencia basada en género y violencia intrafamiliar desarrollada.</t>
  </si>
  <si>
    <t>Implementar cuatro (4) estrategias de prevención de violencia basada en género y violencia intrafamiliar para familias en pobreza extrema</t>
  </si>
  <si>
    <t>Talleres lúdicos recreativos para generar códigos de convivencia con organizaciones de base comunitaria coordinados y elaborados.</t>
  </si>
  <si>
    <t>Coordinar y elaborar ciento cincuenta (150) talleres lúdicos recreativos para generar códigos de convivencia con organizaciones de base comunitaria</t>
  </si>
  <si>
    <t>Niños en primera infancia, personas mayores y población con discapacidad atendidos con la estrategia de ollas comunitarias</t>
  </si>
  <si>
    <t>Atender diez mil (10.000) niños en primera infancia, personas mayores y población con discapacidad con la estrategia de ollas comunitarias</t>
  </si>
  <si>
    <t>Numero de Mercados campesinos  realizados</t>
  </si>
  <si>
    <t>Realizar noventa y seis (96) eventos de Mercados campesinos</t>
  </si>
  <si>
    <t>Número de personas atendidas  Estrategia Guerra Frontal contra el Hambre</t>
  </si>
  <si>
    <t>Atender a cincuenta y un mil (51.000) personas con la estrategia Hambre Cero</t>
  </si>
  <si>
    <t>Numero de rutas de atención que permitan la atención oportuna para garantizar derechos y resolver conflictos creados</t>
  </si>
  <si>
    <t>Crear diecisiete (17) rutas de atención que permitan la atención oportuna para garantizar derechos y resolver conflictos</t>
  </si>
  <si>
    <t>Estrategias de comunicación para dar a conocer las rutas del Plan de Emergencia Social implementadas</t>
  </si>
  <si>
    <t>Implementar cuatro (4) estrategias de comunicación para dar a conocer las rutas del Plan de Emergencia Social</t>
  </si>
  <si>
    <t>Jornadas de atención integral a la comunidad "Gobierno al Barrio" desarrolladas.</t>
  </si>
  <si>
    <t>Desarrollar ciento veinte (120) jornadas de atención integral a la comunidad "Gobierno al Barrio".</t>
  </si>
  <si>
    <t>Número de jornadas de diálogos y gobernanzas desarrolladas</t>
  </si>
  <si>
    <t>Desarrollar setenta y dos (72) jornadas de diálogos y gobernanza en el Distrito de Cartagena a través de la estrategia “Encuentros Barriales”</t>
  </si>
  <si>
    <t>Número de puntos de atención habilitados de Renta Ciudadana, Renta Joven y Colombia Mayor</t>
  </si>
  <si>
    <t>Habilitar trece (13) puntos de atención para garantizar la atención de los beneficiarios y la operatividad del programa</t>
  </si>
  <si>
    <t>SECRETARÍA GENERAL - COORDINACIÓN RENTA CIUDADANA</t>
  </si>
  <si>
    <t>Número de jornadas complementarias para la atención y bienestar comunitario desarrolladas</t>
  </si>
  <si>
    <t>Desarrollar cuarenta y ocho (48) jornadas complementarias para la atención y bienestar comunitario</t>
  </si>
  <si>
    <t>Plan Maestro de Infraestructura Educativa formulado e implementado</t>
  </si>
  <si>
    <t>Formular un (1) Plan Maestro de Infraestructura Educativa</t>
  </si>
  <si>
    <t>SECRETARÍA DE EDUCACIÓN - SED</t>
  </si>
  <si>
    <t>Número de predios de IEO legalizados</t>
  </si>
  <si>
    <t>Legalizar sesenta (60) predios de Instituciones Educativas Oficiales</t>
  </si>
  <si>
    <t>Número de nuevas Instituciones Educativas Oficiales construidas</t>
  </si>
  <si>
    <t>Construir cinco (5) nuevas Instituciones Educativas Oficiales</t>
  </si>
  <si>
    <t>Número de sedes educativas reconstruidas y/o con ampliación de la infraestructura</t>
  </si>
  <si>
    <t>Reconstruir y/o ampliar quince (15) sedes educativas</t>
  </si>
  <si>
    <t>Número de sedes educativas mejoradas y/o adecuadas</t>
  </si>
  <si>
    <t>Mejorar y/o adecuar ochenta (80) sedes educativas</t>
  </si>
  <si>
    <t>Número de aulas con dotación de mobiliario escolar y material pedagógico</t>
  </si>
  <si>
    <t>Dotar mil (1.000) aulas con mobiliario escolar, aires acondicionados, abanicos y material pedagógico</t>
  </si>
  <si>
    <t>Número de Instituciones Educativas Oficiales con oferta de educación inicial para la atención a la primera infancia implementada</t>
  </si>
  <si>
    <t>Implementar encuarenta (40) IEO con oferta de educación inicial para la atención de la primera infancia</t>
  </si>
  <si>
    <t>Número de Instituciones Educativas Oficiales asesoradas con estrategias de articulación institucional para asegurar el tránsito armónico de niños y niñas desde los programas de atención a la primera infancia del ICBF al sistema educativo oficial</t>
  </si>
  <si>
    <t>Asesorar a ciento cinco (105) Instituciones Educativas Oficiales con estrategias de articulación institucional para asegurar el tránsito armónico de los niños y niñas desde los programas de atención a la primera infancia del ICBF al sistema educativo oficial</t>
  </si>
  <si>
    <t>Numero de niños, niñas y adolescentes focalizados con estrategias para el acceso al sistema educativo oficial</t>
  </si>
  <si>
    <t>Vincular a dos mil trescientos noventa (2.390) niños, niñas y adolescentes adicionales con estrategias para el acceso al sistema educativo oficial</t>
  </si>
  <si>
    <t>Número de estudiantes de Instituciones Educativas Oficiales atendidos con Programa de Alimentación Escolar como estrategia de permanencia</t>
  </si>
  <si>
    <t>Atender a ciento seis mil cuatrocientos ochenta y siete (106.487) estudiantes anualmente con el Programa de Alimentación Escolar como estrategia de permanencia</t>
  </si>
  <si>
    <t>Número de estudiantes de Instituciones Educativas Oficiales atendidos con transporte escolar</t>
  </si>
  <si>
    <t>Atender a cinco mil quinientos (5.500) estudiantes anualmente con transporte escolar</t>
  </si>
  <si>
    <t>Número de estudiantes de Instituciones Educativas Oficiales atendidos con otras estrategias de permanencia (kits escolares, uniformes, y jornadas escolares complementarias)</t>
  </si>
  <si>
    <t>Atender a diez mil (10.000) estudiantes anualmente con otras estrategias de permanencia</t>
  </si>
  <si>
    <t>Planes Institucionales de Permanencia Escolar – PIPE, formulados e implementados en Instituciones Educativas Oficiales</t>
  </si>
  <si>
    <t>Formular e implementar Planes Institucionales de Permanencia Escolar - PIPE en cuarenta y cinco (45) Instituciones Educativas Oficiales</t>
  </si>
  <si>
    <t>Número de Instituciones Educativas Oficiales vinculadas a estrategias para el fortalecimiento de la oferta de educación inclusiva para preescolar, básica y media</t>
  </si>
  <si>
    <t>Vincular a setenta y dos (72) Instituciones Educativas Oficiales a estrategias para el fortalecimiento de la oferta de educación inclusiva para preescolar, básica y media</t>
  </si>
  <si>
    <t>Número de aulas hospitalarias para la atención de niños, niñas, adolescentes y jóvenes en condición de enfermedad habilitadas</t>
  </si>
  <si>
    <t>Habilitar cuatro (4) Aulas Hospitalarias para la atención de niños, niñas, adolescentes y jóvenes en condición de enfermedad</t>
  </si>
  <si>
    <t>Número de Instituciones Educativas Oficiales con modelos educativos flexibles implementados</t>
  </si>
  <si>
    <t>Implementar veintisiete (27) Instituciones Educativas Oficiales con modelos educativos flexibles</t>
  </si>
  <si>
    <t>Número de niños, niñas, adolescentes y jóvenes en extraedad, que se encuentran dentro de la oferta regular, atendidos con modelos educativos flexibles en el sistema educativo oficial</t>
  </si>
  <si>
    <t>Atender con modelos educativos flexibles a cuatro mil (4.000) niños, niñas, adolescentes y jóvenes en extraedad, que se encuentran dentro de la oferta regular del sistema educativo oficial</t>
  </si>
  <si>
    <t>Número de niños, niñas, adolescentes y jóvenes en extraedad, que se encuentran por fuera del sistema educativo oficial, atendidos con modelos educativos flexibles</t>
  </si>
  <si>
    <t>Atender con modelos educativos flexibles a tres mil seiscientos noventa (3.690) niños, niñas, adolescentes y jóvenes en extraedad, que se encuentran por fuera del sistema educativo oficial</t>
  </si>
  <si>
    <t>Número de personas atendidas con modelos de alfabetización</t>
  </si>
  <si>
    <t>Atender a ocho mil cuatrocientas (8.400) personas con modelos de alfabetización</t>
  </si>
  <si>
    <t>Número de Instituciones Educativas Oficiales con estudiantes con capacidades excepcionales vinculados a Escuela de Talentos</t>
  </si>
  <si>
    <t>Vincular estudiantes con capacidades excepcionales a la Escuela de Talentos en cincuenta (50) Instituciones Educativas Oficiales</t>
  </si>
  <si>
    <t>Número de Instituciones Educativas Oficiales con proyectos pedagógicos transversales de cultura, deporte, recreación, actividad física y artes implementados</t>
  </si>
  <si>
    <t>Implementar proyectos pedagógicos transversales de cultura, deporte, recreación, actividad física y artes en cincuenta y nueve (59) Instituciones Educativas Oficiales</t>
  </si>
  <si>
    <t>Número de Instituciones Educativas Oficiales con proyectos pedagógicos transversales de educación ambiental, emprendimiento y otros implementados</t>
  </si>
  <si>
    <t>Implementar proyectos pedagógicos transversales de educación ambiental, emprendimiento y otros en cincuenta y nueve (59) Instituciones Educativas Oficiales</t>
  </si>
  <si>
    <t>Numero de Instituciones Educativas Oficiales asistidas en su sistema escolar de convivencia, habilidades para la vida y la paz y gobierno escolar</t>
  </si>
  <si>
    <t>Asistir a ciento siete (107) Instituciones Educativas Oficiales en su sistema escolar de convivencia, habilidades para la vida y la paz y gobierno escolar</t>
  </si>
  <si>
    <t>Número de Instituciones Educativas Oficiales que implementan el Acuerdo Distrital No. 113 de 2022</t>
  </si>
  <si>
    <t>Implementar el Acuerdo Distrital No. 113 de 2022 en ciento siete (107) Instituciones Educativas Oficiales, de formación en derechos humanos de las mujeres y prevención de las violencias de género, dirigido a niñas, niños y jóvenes</t>
  </si>
  <si>
    <t>Numero de Instituciones Educativas Oficiales asistidas técnicamente en el proceso de tránsito de Proyecto Educativo Institucional – PEI a Proyecto Educativo Comunitario - PEC o Proyecto Educativo Intercultural acorde con la pertinencia con respecto a la caracterización y perfil educativo del territorio</t>
  </si>
  <si>
    <t>Asitir tecnicamente a trece (13) Instituciones Educativas Oficiales en el proceso de tránsito de Proyecto Educativo Institucional – PEI a Proyecto Educativo Comunitario - PEC o Proyecto Educativo Intercultural</t>
  </si>
  <si>
    <t>Número de Instituciones Educativas Oficiales con Cátedra de Estudios Afrocolombianos (CEA) implementada</t>
  </si>
  <si>
    <t>Implementar la Cátedra de Estudios Afrocolombianos (CEA) en seis (6) Instituciones Educativas Oficiales adicionales</t>
  </si>
  <si>
    <t>Número de Instituciones Educativas Oficiales acompañadas en el fortalecimiento de la enseñanza de lenguas extranjeras, especialmente las focalizadas en los Colegios Amigos del Turismo</t>
  </si>
  <si>
    <t>Acompañar a cincuenta y cinco (55) Instituciones Educativas Oficiales en el fortalecimiento de la enseñanza de lenguas extranjeras, especialmente las focalizadas en los Colegios Amigos del Turismo</t>
  </si>
  <si>
    <t>Número de docentes formados en una segunda lengua</t>
  </si>
  <si>
    <t>Formar a seiscientos (600) docentes en una segunda lengua</t>
  </si>
  <si>
    <t>Número de docentes formados en evaluación por competencias en las áreas que evalúa el ICFES</t>
  </si>
  <si>
    <t>Formar a seiscientos (600) docentes en evaluación por competencias en las áreas que evalúa el ICFES</t>
  </si>
  <si>
    <t>Número de estudiantes de grado 9, 10 y 11 formados para las Pruebas Saber</t>
  </si>
  <si>
    <t>Desarrollar setenta y ocho mil doscientos (78.200) formaciones a estudiantes de grado 9, 10 y 11 de las 107 Instituciones Educativas Oficiales en procesos de preparación para las Pruebas Saber</t>
  </si>
  <si>
    <t>Número de Instituciones Educativas Oficiales asesoradas en el análisis y uso de resultados de Pruebas Saber</t>
  </si>
  <si>
    <t>Asesorar técnicamente a sesenta y dos (62) nuevas Instituciones Educativas Oficiales en el análisis y uso de resultados de Pruebas Saber</t>
  </si>
  <si>
    <t>Número de Instituciones Educativas Oficiales con Plan Institucional de Lectura, Escritura y Oralidad (PILEO) implementado</t>
  </si>
  <si>
    <t>Implementar el Plan Institucional de Lectura, Escritura y Oralidad en ochenta y siete (87) Instituciones Educativas Oficiales</t>
  </si>
  <si>
    <t>Número de Instituciones Educativas Oficiales dotadas con material bibliográfico</t>
  </si>
  <si>
    <t>Dotar las bibliotecas escolares de ochenta y seis (86) Instituciones Educativas Oficiales con material bibliográfico</t>
  </si>
  <si>
    <t>Red de Bibliotecas Escolares integrada al sistema de bibliotecas públicas creada</t>
  </si>
  <si>
    <t>Crear una (1) Red de Bibliotecas Escolares integrada al sistema de bibliotecas públicas</t>
  </si>
  <si>
    <t>Ferias Distritales de Radio Escolar desarrolladas</t>
  </si>
  <si>
    <t>Desarrollar cuatro (4) Ferias Distritales de Radio Escolar</t>
  </si>
  <si>
    <t>Número de Instituciones Educativas Oficiales dotadas con materiales y equipos radiofónicos</t>
  </si>
  <si>
    <t>Dotar con material y equipo radiofónico a treinta (30) Instituciones Educativas Oficiales adicionales para la implementación de la radio escolar</t>
  </si>
  <si>
    <t>Número de Instituciones Educativas Oficiales que mejoran en resultados de pruebas - EGRA (Early Grade Reading Assessment)</t>
  </si>
  <si>
    <t>Mejorar en quince (15) Instituciones Educativas las destrezas básicas de alfabetismo en básica primaria medidos a través de EGRA</t>
  </si>
  <si>
    <t>Número de Instituciones Educativas Oficiales que mejoran en resultados de pruebas - EGMA (Early Grades Mathematics Assessment)</t>
  </si>
  <si>
    <t>Mejorar en quince (15) Instituciones Educativas las habilidades en matemáticas de las pruebas EGMA</t>
  </si>
  <si>
    <t>Número de docentes de Instituciones Educativas Oficiales formados en su saber disciplinar, pedagógico y reflexivo</t>
  </si>
  <si>
    <t>Formar a dos mil (2.000) docentes de Instituciones Educativas Oficiales en su saber disciplinar, pedagógico y reflexivo</t>
  </si>
  <si>
    <t>Número de directivos docentes formados en liderazgo</t>
  </si>
  <si>
    <t>Formar a ciento siete (107) rectores de Instituciones Educativas Oficiales en liderazgo y gestión educativa</t>
  </si>
  <si>
    <t>Número de foros educativos distritales anuales elaborados</t>
  </si>
  <si>
    <t>Elaborar cuatro (4) foros educativos en el cuatrienio</t>
  </si>
  <si>
    <t>Numero de Instituciones Educativas Oficiales, con asistencia tecnica en el proceso de actualización de sus modelos pedagógicos y curriculares</t>
  </si>
  <si>
    <t>Asistir tecnicamente a ciento siete (107) Instituciones Educativas Oficiales en el proceso de actualización de sus modelos pedagógicos y curriculares</t>
  </si>
  <si>
    <t>Sistema propio de información de la Gestión Escolar diseñado</t>
  </si>
  <si>
    <t>Crear un (1) sistema de información de la Gestión Escolar</t>
  </si>
  <si>
    <t>Referentes técnicos de educación inicial y preescolar incorporados en PEI de instituciones educativas que ofertan los grados prejardín, jardín y transición</t>
  </si>
  <si>
    <t>Incorporar los referentes técnicos de educación inicial y preescolar en los PEI de cuarenta (40) instituciones educativas que ofertan los grados prejardín, jardín y transición</t>
  </si>
  <si>
    <t>Número de estudiantes egresados de Instituciones Educativas Oficiales y con matrícula contratada becados en educación superior</t>
  </si>
  <si>
    <t>Becar en educación superior a nueve mil (9.000) estudiantes egresados de Instituciones Educativas Oficiales y con matrícula contratada</t>
  </si>
  <si>
    <t>Número de estudiantes egresados de Instituciones Educativas Oficiales y con matrícula contratada becados con becas inclusivas en educación superior (víctimas, NARP, con discapacidad, indígenas)</t>
  </si>
  <si>
    <t>Becar en educación superior a quinientas cuarenta y cuatro (544) estudiantes egresados de Instituciones Educativas Oficiales y con matrícula contratada, con becas inclusivas</t>
  </si>
  <si>
    <t>Número de estudiantes de media técnica graduados con doble titulación</t>
  </si>
  <si>
    <t>Graduar doce mil (12.000) estudiantes de media técnica con doble titulación</t>
  </si>
  <si>
    <t>Número de Instituciones Educativas Oficiales con media técnica y académicas con doble titulación implementada</t>
  </si>
  <si>
    <t>Implementar doble titulación en veinticinco (25) Instituciones Educativas Oficiales con media técnica e Instituciones Educativas Oficiales académicas</t>
  </si>
  <si>
    <t>Numero de Instituciones Educativas Oficiales con nodos de media técnica asistidas con programas pilotos de bilingüismo</t>
  </si>
  <si>
    <t>Asistir con programas piloto de bilingüismo a cinco (5)
Instituciones Educativas Oficiales con nodos de media técnica</t>
  </si>
  <si>
    <t>Número de estudiantes con formación técnica para el trabajo y el desarrollo humano</t>
  </si>
  <si>
    <t>Formar a quinientos (500) estudiantes en educación técnica para el trabajo y el desarrollo humano</t>
  </si>
  <si>
    <t>Número de voluntarios universitarios que acompañan a los estudiantes de las Instituciones Educativas Oficiales en el fortalecimiento de sus competencias</t>
  </si>
  <si>
    <t>Vincular a doscientos (200) voluntarios universitarios para acompañamiento a los estudiantes de las Instituciones Educativas Oficiales en el fortalecimiento de sus competencias</t>
  </si>
  <si>
    <t>PROGRAMA: AVANZAMOS EN EL FORTALECIMIENTO INSTITUCIONAL DE LA SECRETARÍA DE EDUCACIÓN</t>
  </si>
  <si>
    <t>Numero de políticas armonizadas del Modelo Integrado de Planeación y Gestión – MIPG en la SED</t>
  </si>
  <si>
    <t>Armonizar las diecinueve (19) políticas del Modelo Integrado de Planeación y Gestión - MIPG en la Secretaría de Educación</t>
  </si>
  <si>
    <t>Sistema de seguimiento y aseguramiento de la calidad del servicio educativo a través del ejercicio de la inspección y vigilancia, diseñado e implementado</t>
  </si>
  <si>
    <t>Diseñar e implementar un (1) sistema de seguimiento y aseguramiento a la calidad del servicio educativo a través del ejercicio de la inspección, vigilancia y control</t>
  </si>
  <si>
    <t>Plan de Bienestar y Protección para los funcionarios del sector educativo de Cartagena implementado</t>
  </si>
  <si>
    <t>Implementar un (1) Plan de Bienestar y Protección otorgados a los Funcionarios del Sector Educativo de Cartagena</t>
  </si>
  <si>
    <t>Reorganización administrativa y de procesos de la Secretaría de Educación diseñada, aprobada e implementada</t>
  </si>
  <si>
    <t>Diseñar, aprobar e implementar una (1) nueva estructura administrativa y de procesos de la Secretaría de Educación</t>
  </si>
  <si>
    <t>Número de sedes educativas con conectividad escolar implementada</t>
  </si>
  <si>
    <t>Implementar conectividad escolar en ciento cincuenta (150) sedes educativas del Distrito</t>
  </si>
  <si>
    <t>Número de aulas RTCi para el desarrollo de competencias digitales en las Instituciones Educativas Oficiales habilitadas</t>
  </si>
  <si>
    <t>Habilitar ocho (8) aulas RTCi para el desarrollo de competencias digitales en las Instituciones Educativas Oficiales</t>
  </si>
  <si>
    <t>Número de Instituciones Educativas Oficiales asistidas en las prácticas de ciencia, innovación y tecnología</t>
  </si>
  <si>
    <t>Asistir a ochenta y cinco (85) Instituciones Educativas Oficiales en las prácticas de ciencia, innovación y tecnología</t>
  </si>
  <si>
    <t>Estrategias de internacionalización implementadas</t>
  </si>
  <si>
    <t>Implementar veinte (20) estrategias que permitan la internacionalización de los programas institucionales</t>
  </si>
  <si>
    <t>Institución Universitaria Mayor de Cartagena.  (Calidad Académica)</t>
  </si>
  <si>
    <t>Plataforma virtual integral institucional implementada</t>
  </si>
  <si>
    <t>Implementar una (1) Plataforma Virtual integral institucional</t>
  </si>
  <si>
    <t>Metros cuadrados de infraestructura física institucional de la U. Mayor construidos</t>
  </si>
  <si>
    <t>Construir mil quinientos veintiséis (1.526) metros cuadrados de infraestructura física actual de la U. Mayor</t>
  </si>
  <si>
    <t>Espacios académicos y/o administrativos acondicionados y dotados</t>
  </si>
  <si>
    <t>Acondicionar y dotar cinco (5) nuevos espacios académicos y/o administrativos</t>
  </si>
  <si>
    <t>Programas de pregrado nuevos de la U. Mayor creados</t>
  </si>
  <si>
    <t>Crear seis (6) programas de pregrado nuevos</t>
  </si>
  <si>
    <t>Programas de posgrado nuevo ofertados</t>
  </si>
  <si>
    <t>Ofertar dos (2) nuevos programas de posgrado</t>
  </si>
  <si>
    <t>Número de estudiantes nuevos matriculados en la U. Mayor</t>
  </si>
  <si>
    <t>Matricular dos mil doscientos treinta y cuatro (2234) estudiantes nuevos</t>
  </si>
  <si>
    <t>Número de jóvenes formados como técnicos laborales en oficios tradicionales</t>
  </si>
  <si>
    <t>Formar a mil seiscientos (1.600) jóvenes en procesos de formación técnica en oficios tradicionales</t>
  </si>
  <si>
    <t>Escuela Taller Cartagena de Indias (ETCAR)</t>
  </si>
  <si>
    <t>Número de jóvenes vinculados en procesos de formación complementaria en oficios tradicionales</t>
  </si>
  <si>
    <t>Vincular a cuatrocientos (400) jóvenes en procesos de formación complementaria en oficios tradicionales</t>
  </si>
  <si>
    <t>Número de mujeres formadas en oficios técnicos y complementarios</t>
  </si>
  <si>
    <t>Formar a doscientos cuarenta (240) mujeres en los programas de formación en oficios técnicos y complementarios</t>
  </si>
  <si>
    <t>Número de egresados vinculados laboralmente a la Escuela Taller</t>
  </si>
  <si>
    <t>Vincular a doscientos (200) egresados de la Escuela Taller en oficios tradicionales</t>
  </si>
  <si>
    <t>Número de ambientes de aprendizaje mejorados</t>
  </si>
  <si>
    <t>Mejorar la infraestructura de nueve (9) ambientes de aprendizaje</t>
  </si>
  <si>
    <t>Número de usuarios conectados a la red de servicio de acueducto del Distrito</t>
  </si>
  <si>
    <t>Llevar trescientos diecisiete mil cuatrocientos ochenta y tres (317.483) el numero de usuarios conectados a la red de servicio de acueducto</t>
  </si>
  <si>
    <t>SECRETARÍA GENERAL - SECRETARÍA DE INFRAESTRUCTURA</t>
  </si>
  <si>
    <t>Kilómetros de refuerzo de conducción e impulsión de acueducto en el Distrito construidos</t>
  </si>
  <si>
    <t>Construir nueve (9) kilómetros de refuerzo de conducción y/o impulsión de acueducto</t>
  </si>
  <si>
    <t>Número de obras ejecutadas para la mejora de distribución de agua potable en el Distrito</t>
  </si>
  <si>
    <t>Ejecutar seis (6) obras para la mejora de distribución de agua potable</t>
  </si>
  <si>
    <t>Metros cúbicos de agua potable suministrados como soluciones alternativas o transitorias de acceso al agua potable en el Distrito de Cartagena</t>
  </si>
  <si>
    <t>Suministrar cuatrocientos cuarenta y ocho mil ochocientos (448.800) metros cúbicos de agua potable mediante soluciones alternativas o transitorias</t>
  </si>
  <si>
    <t>Número de usuarios conectados a la red de servicio de alcantarillado del Distrito</t>
  </si>
  <si>
    <t>Llevar a doscientos noventa y cinco mil quinientos veintinueve (295.529) el número de usuarios conectados a la red de servicio de alcantarillado</t>
  </si>
  <si>
    <t>Metros lineales de colectores de alcantarillado sanitario construidos en el Distrito</t>
  </si>
  <si>
    <t>Construir quinientos noventa y dos (592) metros lineales de colectores de alcantarillado sanitario</t>
  </si>
  <si>
    <t>Número de hectáreas de áreas de importancia estratégica con acciones de conservación y/o protección</t>
  </si>
  <si>
    <t>Proteger cuarenta y cinco (45) hectáreas de áreas de importancia estratégica con acciones de conservación y/o protección</t>
  </si>
  <si>
    <t>Número de servicios de apoyo financiero (subsidios) para usuarios de los servicios públicos domiciliarios de acueducto, alcantarillado y aseo estratos 1,2 y 3 del Distrito entregados</t>
  </si>
  <si>
    <t xml:space="preserve">Entregar servicios de apoyo financiero (subsidios) de los servicios públicos domiciliarios a doscientos cuarenta y seis mil ciento cincuenta y dos (246.152) usuarios de acueducto de estrato 1, 2 y 3, a ciento setenta y un mil trescientos siete (171.307) usuarios de alcantarillado de estrato 1, 2 y 3, y a doscientos ochenta y un mil ochocientos veintitres (281.823) usuarios de servicio de aseo de estratos 1, 2 </t>
  </si>
  <si>
    <t>SECRETARÍA GENERAL</t>
  </si>
  <si>
    <t>Número de lámparas o luminarias de alumbrado público en funcionamiento</t>
  </si>
  <si>
    <t>Instalar y poner en funcionamiento siete mil (7.000) lámparas o luminarias de alumbrado público</t>
  </si>
  <si>
    <t>Número de lámparas o luminarias con energías renovables instaladas</t>
  </si>
  <si>
    <t>Instalar ochocientas (800) lámparas o luminarias con energía renovable</t>
  </si>
  <si>
    <t>Número de iniciativas de generación de energía a partir de fuentes no convencionales implementadas</t>
  </si>
  <si>
    <t>Implementar tres (5) iniciativas de generación de energía a partir de fuentes no convencionales</t>
  </si>
  <si>
    <t>Número de barrios con monitoreo de información en la prestación del servicio del alumbrado público implementado</t>
  </si>
  <si>
    <t>Implementar en seis (6) barrios el monitoreo de información en la prestación del servicio de alumbrado público</t>
  </si>
  <si>
    <t>PGIRS del Distrito actualizado</t>
  </si>
  <si>
    <t>Actualizar un (1) Plan de Gestión Integral de Residuos Sólidos</t>
  </si>
  <si>
    <t>Número de convocatorias promovidas para la asignación de incentivo al Aprovechamiento y Tratamiento de Residuos Sólidos (IAT) en el Distrito</t>
  </si>
  <si>
    <t>Promover cuatro (4) convocatorias para la asignación de incentivo al Aprovechamiento y Tratamiento de Residuos Sólidos (IAT) en el Distrito</t>
  </si>
  <si>
    <t>Censo de recicladores del Distrito actualizado</t>
  </si>
  <si>
    <t>Actualizar un (1) censo de recicladores del Distrito</t>
  </si>
  <si>
    <t>Número de proyectos formulados para la implementación de planta de tratamiento de residuos del Distrito</t>
  </si>
  <si>
    <t>Formular un (1) proyecto para la implementación de planta de tratamiento de residuos del Distrito</t>
  </si>
  <si>
    <t>Número de proyecto formulado e implementado para la gestión de residuos en el área rural/ insular del Distrito</t>
  </si>
  <si>
    <t>Formular e implementar un (1) proyecto para la gestión de residuos en el área rural/insular del Distrito</t>
  </si>
  <si>
    <t>Número de puntos de acopio implementados para la disposición de residuos en la zona insular del Distrito</t>
  </si>
  <si>
    <t>Implementar cuatro (4) puntos de acopio para la disposición de residuos en la zona insular del Distrito</t>
  </si>
  <si>
    <t>Documentos de lineamientos técnicos elaborados para la gestión de los residuos de aparatos eléctricos y electrónicos (RAEE) en el área rural/ insular del Distrito</t>
  </si>
  <si>
    <t>Elaborar un (1) lineamiento técnico para la gestión de los residuos de aparatos eléctricos y electrónicos (RAEE) en el área rural/insular del Distrit</t>
  </si>
  <si>
    <t>Número de puntos críticos recuperados en el Distrito</t>
  </si>
  <si>
    <t>Recuperar veinticuatro (24) puntos críticos en el Distrito</t>
  </si>
  <si>
    <t>Número de personas formadas en aprovechamiento de residuos</t>
  </si>
  <si>
    <t>Formar cien mil (100.000) personas en aprovechamiento de residuos en el Distrito</t>
  </si>
  <si>
    <t>Número de programas de formación para recicladores de oficio implementados</t>
  </si>
  <si>
    <t>Implementar un (1) programa de formación para recicladores de oficio</t>
  </si>
  <si>
    <t>Número de campañas de fomento a la formalización de recicladores desarrolladas</t>
  </si>
  <si>
    <t>Desarrollar dos (2) campañas de fomento a la formalización de recicladores</t>
  </si>
  <si>
    <t>Rutas selectivas de reciclaje georreferenciadas</t>
  </si>
  <si>
    <t>Georreferenciar la totalidad de las rutas selectivas de reciclaje</t>
  </si>
  <si>
    <t>Hogares beneficiados con servicio de apoyo financiero para adquisición de vivienda</t>
  </si>
  <si>
    <t>Beneficiar a diez mil (10.000) hogares con subsidios familiares de adquisición de vivienda de interés social</t>
  </si>
  <si>
    <t>CORVIVIENDA</t>
  </si>
  <si>
    <t>Hogares beneficiados con mejoramiento de vivienda urbana</t>
  </si>
  <si>
    <t>Beneficiar a doce mil setecientos cincuenta (12.750) hogares con subsidios familiares para mejoramiento de vivienda urbana</t>
  </si>
  <si>
    <t>Número de predios legalizados o titulados</t>
  </si>
  <si>
    <t>Titular o legalizar cinco mil (5.000) predios</t>
  </si>
  <si>
    <t>Número de Documentos de planeación - DTS para la legalización urbanística elaborados</t>
  </si>
  <si>
    <t>Elaborar cinco (5) Documentos Técnicos de Soporte para la solicitud de legalización de 100 hectáreas en los asentamientos humanos priorizados del Distrito</t>
  </si>
  <si>
    <t>Número de documentos normativos para legalización de asentamientos humanos adoptados</t>
  </si>
  <si>
    <t>Adoptar seis (6) documentos normativos para la legalización de 122 hectáreas en asentamientos humanos</t>
  </si>
  <si>
    <t>SECRETARÍA DE PLANEACIÓN</t>
  </si>
  <si>
    <t>Número de sistemas de información de vivienda actualizados</t>
  </si>
  <si>
    <t>Actualizar un (1) sistema de información de vivienda</t>
  </si>
  <si>
    <t>Número de personas con acceso efectivo a procesos de lenguaje, lectura, escritura y oralidad. </t>
  </si>
  <si>
    <t>Vincular a trescientas seis mil cincuenta y nueve (306.059) personas de manera efectiva a los procesos de lenguaje, lectura, escritura y oralidad</t>
  </si>
  <si>
    <t>IPCC</t>
  </si>
  <si>
    <t>Número de bibliotecas dotadas y en funcionamiento</t>
  </si>
  <si>
    <t>Dotar de mobiliario y equipo y mantener en funcionamiento dieciocho (18) bibliotecas</t>
  </si>
  <si>
    <t>Número de actividades de extensión bibliotecaria implementadas</t>
  </si>
  <si>
    <t>Implementar mil ochocientas (1.800) actividades de extensión bibliotecaria</t>
  </si>
  <si>
    <t>Plan de Fortalecimiento para la Consolidación de la Red de Bibliotecas Distritales</t>
  </si>
  <si>
    <t>Formular e implementar un (1) Plan de Fortalecimiento para la Consolidación de la Red de Bibliotecas Distritales</t>
  </si>
  <si>
    <t>Plan de Fortalecimiento para la Red de Museos Distrital diseñado e implementado</t>
  </si>
  <si>
    <t>Diseñar e implementar un (1) Plan de Fortalecimiento para la Red de Museos Distrital</t>
  </si>
  <si>
    <t>Número de infraestructuras culturales mejoradas, adecuadas y/o dotadas</t>
  </si>
  <si>
    <t>Mejorar, adecuar y/o dotar treinta y cuatro (34) infraestructuras culturales accesibles, inclusivas y diversas</t>
  </si>
  <si>
    <t>Número de infraestructuras culturales construidas y dotadas</t>
  </si>
  <si>
    <t>Construir y dotar dos (2) infraestructuras culturales accesibles, inclusivas y diversas</t>
  </si>
  <si>
    <t>Número de estrategias de aprovechamiento en espacios culturales implementadas</t>
  </si>
  <si>
    <t>Implementar estrategias de aprovechamiento en treinta y tres (34) espacios culturales (creación, divulgación, producción y difusión)</t>
  </si>
  <si>
    <t>Número de estímulos otorgados o proyectos apoyados. </t>
  </si>
  <si>
    <t>Otorgar mil (1.000) estímulos culturales y artísticos</t>
  </si>
  <si>
    <t>Número de estímulos otorgados con enfoque diferencial e interseccional. </t>
  </si>
  <si>
    <t>Otorgar cien (100) estímulos con enfoque diferencial e intersecciona</t>
  </si>
  <si>
    <t>Número de mercados o espacios de circulación para emprendimientos culturales y artísticos. </t>
  </si>
  <si>
    <t>Crear seis (6) mercados o espacios de circulación para emprendimientos culturales y artísticos</t>
  </si>
  <si>
    <t>Número de emprendimientos y/o micronegocios de economía popular del sector cultura, arte y patrimonio apoyados financieramente </t>
  </si>
  <si>
    <t>Otorgar ciento cincuenta (150) apoyos financieros para micronegocios de economía popular del sector cultura, arte y patrimonio</t>
  </si>
  <si>
    <t>Número de personas beneficiarias del programa de formación artística y cultural.</t>
  </si>
  <si>
    <t>Vincular a mil ochocientas (1.800) personas en el programa de Formación Artística y Cultural</t>
  </si>
  <si>
    <t>Sistema Distrital de Formación Artística y Cultural creado e implementado</t>
  </si>
  <si>
    <t>Crear e implementar un (1) Sistema Distrital de Formación Artística y Cultural</t>
  </si>
  <si>
    <t>Estrategia de modernización y mejoramiento del desempeño institucional del Instituto de Patrimonio y Cultura diseñada e implementada</t>
  </si>
  <si>
    <t>Diseñar e implementar una (1) estrategia de modernización y mejoramiento del desempeño institucional del Instituto de Patrimonio y Cultura</t>
  </si>
  <si>
    <t>Plan de fortalecimiento para el Sistema Distrital de Cultura y consejos de áreas artísticas</t>
  </si>
  <si>
    <t>Diseñar e implementar un (1) plan de fortalecimiento para Sistema Distrital de Cultura y consejos de áreas artísticas</t>
  </si>
  <si>
    <t>Implementación de la Comisión Fílmica de Cartagena de Indias y adquisición del PUFAC (Permiso Unificado de Filmaciones Audiovisuales) </t>
  </si>
  <si>
    <t>Implementar una (1) Comisión Fílmica en Cartagena de Indias y adquisición del PUFAC (Permiso Unificado de Filmaciones Audiovisuales) </t>
  </si>
  <si>
    <t>Política Pública Distrital de Cinematografía, Medios Audiovisuales e Interactivos formulada e implementada</t>
  </si>
  <si>
    <t>Formular e implementar una (1) Política Pública Distrital de Cinematografía, Medios Audiovisuales e Interactivos</t>
  </si>
  <si>
    <t>Cinemateca de Cartagena de Indias construida</t>
  </si>
  <si>
    <t>Construir una (1) cinemateca de Cartagena de Indias </t>
  </si>
  <si>
    <t>Número de festivales, fiestas y festejos implementados y desarrollados</t>
  </si>
  <si>
    <t>Implementar y desarrollar dieciséis (16) festivales, fiestas y festejos para promoción del patrimonio inmaterial</t>
  </si>
  <si>
    <t>Festival de Música del Caribe impulsado anualmente</t>
  </si>
  <si>
    <t>Impulsar anualmente el desarrollo de un (1) Festival de Música del Caribe</t>
  </si>
  <si>
    <t>Inventario del patrimonio cultural material e inmaterial de Cartagena elaborado</t>
  </si>
  <si>
    <t>Elaborar un (1) inventario del patrimonio cultural material e inmaterial de Cartagena</t>
  </si>
  <si>
    <t>Número de estrategias para la preservación y protección de las tradiciones técnicas, costumbres y saberes propias de la cultura cartagenera diseñadas e implementadas</t>
  </si>
  <si>
    <t>Diseñar e implementar cuatro (4) estrategias para la preservación y protección de las tradiciones técnicas, costumbres y saberes propias de la cultura cartagenera (cultura alimentaria de las matronas, artesanía, tradición oral, entre otras)</t>
  </si>
  <si>
    <t>Plan Maestro para el cuidado, conservación y apropiación social del patrimonio material elaborado e implementado</t>
  </si>
  <si>
    <t>Elaborar e implementar un (1) Plan Maestro para el cuidado, conservación y apropiación social del patrimonio material</t>
  </si>
  <si>
    <t>Número de piezas de la colección del Museo Histórico de Cartagena intervenidas</t>
  </si>
  <si>
    <t>Intervenir seiscientas cuarenta (640) piezas de la colección del Museo Histórico de Cartagena</t>
  </si>
  <si>
    <t>Número de obras de infraestructura al bien de interés cultural, mejoradas, adecuadas y/o dotadas</t>
  </si>
  <si>
    <t>Mejorar, adecuar y/o dotar dos (2) pisos del bien de interés cultural: Palacio de la Inquisición</t>
  </si>
  <si>
    <t>Plan para la Consolidación y Promoción de la Memoria Histórica de Cartagena, formulado e implementado</t>
  </si>
  <si>
    <t>Formular e implementar un (1) Plan para la Consolidación y Promoción de la Memoria Histórica de Cartagena</t>
  </si>
  <si>
    <t>Número de escenarios deportivos nuevos construidos</t>
  </si>
  <si>
    <t>Construir doce (12) nuevos escenarios deportivos</t>
  </si>
  <si>
    <t>IDER</t>
  </si>
  <si>
    <t>Complejo Deportivo Nuevo Chambacú construido</t>
  </si>
  <si>
    <t>Construir un (1) Complejo Deportivo Nuevo Chambacú</t>
  </si>
  <si>
    <t>Número de escenarios deportivos reconstruidos</t>
  </si>
  <si>
    <t>Reconstruir dieciséis (16) escenarios deportivos</t>
  </si>
  <si>
    <t>Número de escenarios deportivos mantenidos, adecuados, y/o mejorados en el distrito de Cartagena de Indias</t>
  </si>
  <si>
    <t>Mantener, adecuar y/o mejorar trescientos  (300) escenarios deportivos</t>
  </si>
  <si>
    <t>Número de incentivos y/o apoyos otorgados a deportistas de alto rendimiento, convencionales y paralímpicos</t>
  </si>
  <si>
    <t>Entregar mil ciento treinta y dos (1.132) incentivos y/o apoyos para deportistas convencionales y paralímpicos</t>
  </si>
  <si>
    <t>Número de incentivos y/o apoyos otorgados a ligas, clubes, federaciones y otras organizaciones deportivas</t>
  </si>
  <si>
    <t>Otorgar trescientos veinte (320) incentivos y/o apoyos para ligas, clubes, federaciones y otras organizaciones deportivas</t>
  </si>
  <si>
    <t>Número de personas participantes de procesos de apropiación social del conocimiento del sector deportivo</t>
  </si>
  <si>
    <t>Vincular a veintiún mil quinientas (21.500) personas en procesos de apropiación social del conocimiento del sector deportivo</t>
  </si>
  <si>
    <t>Número de documentos de investigación en memoria histórica del deporte cartagenero y bolivarense publicados</t>
  </si>
  <si>
    <t>Publicar doce (12) documentos de investigación en memoria histórica del deporte cartagenero y bolivarense</t>
  </si>
  <si>
    <t>Número de niños, niñas, adolescentes y jóvenes inscritos en la escuela de iniciación y formación deportiva</t>
  </si>
  <si>
    <t>Vincular a veintiséis mil ochocientos (26.800) niños, niñas, adolescentes y jóvenes en la escuela de iniciación y formación deportiva</t>
  </si>
  <si>
    <t>Número de núcleos de la escuela iniciativa y formación deportiva mantenidas y creados</t>
  </si>
  <si>
    <t>Mantener cincuenta y cinco (55) y crear seis (6) núcleos de la escuela iniciativa y formación deportiva</t>
  </si>
  <si>
    <t>Número de núcleos de educación física extraescolar creados</t>
  </si>
  <si>
    <t>Crear cuatro (4) núcleos de educación física extraescolar </t>
  </si>
  <si>
    <t>SECRETARÍA DE EDUCACIÓN SED – IDER</t>
  </si>
  <si>
    <t xml:space="preserve">Número de participantes en los diferentes eventos y/o torneos de las instituciones educativas y las universidades
</t>
  </si>
  <si>
    <t xml:space="preserve">Vincular a veintiocho mil (28.000) participantes en los eventos y/o torneos de las instituciones educativas y las universidades
</t>
  </si>
  <si>
    <t xml:space="preserve">Número de instituciones
educativas participantes en
los Juegos Intercolegiado
</t>
  </si>
  <si>
    <t>Vincular a doscientas (200) Instituciones Educativas en los Juegos Intercolegiados</t>
  </si>
  <si>
    <t>Número de personas participantes vinculadas en los eventos y/o torneos del deporte social comunitario</t>
  </si>
  <si>
    <t>Vincular a sesenta y un mil (61.000) personas en los eventos y/o torneos del deporte social comunitario</t>
  </si>
  <si>
    <t>Número de participantes vinculados en las estrategias y/o actividades de recreación comunitaria.</t>
  </si>
  <si>
    <t>Vincular a ciento ochenta mil (180.000) participantes en las estrategias y/o actividades de recreación comunitaria</t>
  </si>
  <si>
    <t>Número de participantes vinculados a las estrategias de actividad física</t>
  </si>
  <si>
    <t>Vincular a ciento veinte mil (120.000) participantes a las estrategias de actividad física</t>
  </si>
  <si>
    <t>Número de eventos deportivos de carácter regional, nacional e internacional impulsados</t>
  </si>
  <si>
    <t>Impulsar doscientos (200) eventos deportivos de carácter regional, nacional e internacional</t>
  </si>
  <si>
    <t>Número de personas vinculadas a los eventos deportivos de carácter regional, nacional e internacional</t>
  </si>
  <si>
    <t>Vincular a sesenta mil (60.000) personas a los eventos deportivos de carácter regional, nacional e internacional</t>
  </si>
  <si>
    <t>Número de eventos recreativos de carácter regional, nacional e internacional impulsados</t>
  </si>
  <si>
    <t>Impulsar noventa y seis (96) eventos recreativos de carácter regional, nacional e internacional</t>
  </si>
  <si>
    <t>Número de personas vinculadas a los eventos recreativos de carácter regional, nacional e internacional</t>
  </si>
  <si>
    <t>Vincular a sesenta y cinco mil (65.000) personas a los eventos recreativos de carácter regional, nacional e internacional</t>
  </si>
  <si>
    <t>Número de niñas y niños en primera infancia con atenciones priorizadas en el marco de la atención integral</t>
  </si>
  <si>
    <t>Atender a dos mil ochocientos (2.800) niñas y niños en primera infancia en el marco de la atención integral anualmente</t>
  </si>
  <si>
    <t>SECRETARÍA DE PARTICIPACIÓN DE DESARROLLO SOCIAL</t>
  </si>
  <si>
    <t>Número de padres, madres, cuidadores participantes en acciones de formación para el fortalecimiento de vínculos, la crianza amorosa y la promoción de sus derechos.</t>
  </si>
  <si>
    <t>Vincular a treinta y tres mil ochocientos veintidós (33.822) de padres, madres, y cuidadores en acciones de formación para el fortalecimiento de vínculos, la crianza amorosa y la promoción de sus
derechos</t>
  </si>
  <si>
    <t>Centros de Desarrollo Infantil construidos y dotados en el Distrito</t>
  </si>
  <si>
    <t>Construir y dotar dos (2) Centros de Desarrollo Infantil en el Distrito</t>
  </si>
  <si>
    <t>Centros de desarrollo infantil adecuados</t>
  </si>
  <si>
    <t>Adecuar tres (3) Centros de Desarrollo Infantil</t>
  </si>
  <si>
    <t>Número de niños, niñas y adolescentes que participan en actividades para la prevención y desvinculación de situación o riesgo de todo tipo de violencia.</t>
  </si>
  <si>
    <t>Vincular a treinta y seis mil (36.000) niños, niñas y adolescentes en actividades para la prevención y desvinculación de situación o riesgo de todo tipo de violencia</t>
  </si>
  <si>
    <t>Número de niños, niñas, adolescentes beneficiados con acciones de prevención de amenazas o vulneración de derechos a través del Hogar de Protección</t>
  </si>
  <si>
    <t>Beneficiar a cuatrocientos ochenta (480) niños, niñas y adolescentes anualmente con acciones de prevención de amenazas o vulneración de derechos a través del Hogar de Protección</t>
  </si>
  <si>
    <t>Ruta actualizada y socializada para la atención y protección de niños y niñas contra la Explotación Sexual Comercial de Niños Niñas y Adolescentes</t>
  </si>
  <si>
    <t>Actualizar y socializar una (1) ruta para la atención y protección de niños y niñas contra la Explotación Sexual Comercial de Niños Niñas y Adolescentes</t>
  </si>
  <si>
    <t>Número de padres, madres y cuidadores formados para la prevención de las violencias y buena crianza hacia NNA.</t>
  </si>
  <si>
    <t>Formar a ocho mil (8.000) padres, madres y cuidadores en prevención de las violencias y buena crianza a niños, niñas y adolescentes</t>
  </si>
  <si>
    <t>Número de niños, niñas y adolescentes vinculados a actividades lúdicas extramurales y del ejercicio del derecho al juego al interior de las ludotecas distritales.</t>
  </si>
  <si>
    <t>Vincular a sesenta y tres mil (63.000) niños, niñas y adolescentes en actividades lúdicas extramurales y del ejercicio del derecho al juego en las ludotecas distritales.</t>
  </si>
  <si>
    <t>Número de niños, niñas y adolescentes vinculados en acciones de promoción del derecho a la participación y a la asociación.</t>
  </si>
  <si>
    <t>Vincular a dos mil trescientos (2.300) niños, niñas y adolescentes en acciones de promoción del derecho a la participación y a la asociación</t>
  </si>
  <si>
    <t>Plan Regional de Competitividad actualizado</t>
  </si>
  <si>
    <t>Acciones que fortalezcan el mejoramiento del clima de negocios implementadas</t>
  </si>
  <si>
    <t>SECRETARÍA DE HACIENDA</t>
  </si>
  <si>
    <t>Estrategias de acompañamiento de iniciativas de clúster y apuestas productivas promisorias ejecutadas con apuestas productivas hacia sectores de mayor generación de valor agregado</t>
  </si>
  <si>
    <t>Personas beneficiadas con la implementación de planes de fomento de la cultura de la innovación</t>
  </si>
  <si>
    <t>Sistema Distrital de Innovación actualizado</t>
  </si>
  <si>
    <t>Estrategias de posicionamiento “Cartagena Plataforma Exportadora” implementadas</t>
  </si>
  <si>
    <t>Empresas asistidas en programa de exportaciones</t>
  </si>
  <si>
    <t>Alianzas para la promoción de Cartagena como “destino internacional en inversiones y apuestas productivas” generadas</t>
  </si>
  <si>
    <t>Rutas para la diversificación económica y el desarrollo empresarial implementadas</t>
  </si>
  <si>
    <t>Estrategias de fortalecimiento empresarial y generación de encadenamientos productivos ejecutadas</t>
  </si>
  <si>
    <t>MiPymes impactadas con servicios de fortalecimiento empresarial</t>
  </si>
  <si>
    <t>Programa de fortalecimiento de comerciantes de sectores estratégicos implementado</t>
  </si>
  <si>
    <t>Número de alianzas de cooperantes nacionales e internacionales habilitadas y consolidadas en el Distrito</t>
  </si>
  <si>
    <t>Número de organizaciones mapeadas y habilitadas para cooperar</t>
  </si>
  <si>
    <t>SECRETARÍA GENERAL - COOPERACIÓN INTERNACIONAL</t>
  </si>
  <si>
    <t>Negocios verdes consolidados</t>
  </si>
  <si>
    <t>ESTABLECIMIENTO PÚBLICO AMBIENTAL EPA</t>
  </si>
  <si>
    <t>Plantas para la revalorización de residuos en zonas de tratamiento integral implementadas</t>
  </si>
  <si>
    <t xml:space="preserve">SECRETARÍA GENERAL (SERVICIOS PÚBLICOS) - SECRETARÍA DE HACIENDA
</t>
  </si>
  <si>
    <t>Número de proyectos específicos de economía circular implementados con el apoyo de Cooperantes</t>
  </si>
  <si>
    <t>Número de investigaciones desarrolladas para evaluar y redefinir las apuestas productivas de la ciudad en el marco de las tendencias futuras de la economía mundial</t>
  </si>
  <si>
    <t>Número de estudios sobre mercado laboral y pertinencia educativas elaborados</t>
  </si>
  <si>
    <t>Fondo para la reconversión productiva destinada a emprendimientos de pequeñas y medianas empresas creada</t>
  </si>
  <si>
    <t>Estrategia de encadenamientos productivos a nivel intersectorial e intrasectorial entre las grandes, medianas y pequeñas empresas</t>
  </si>
  <si>
    <t>Centros de Formación para el Empleo con Enfoque en Ciencia, Tecnología, Innovación y Bilingüismo creados y en funcionamiento</t>
  </si>
  <si>
    <t>SECRETARÍA DE EDUCACIÓN</t>
  </si>
  <si>
    <t>Jóvenes (mujeres, grupos étnicos y víctimas) vinculados a estrategias de formación relacionadas a la innovación y la Cuarta Revolución Industrial</t>
  </si>
  <si>
    <t>Estrategias de acceso a oportunidades del mercado laboral (trabajo formal y formalización del trabajo informal) implementadas</t>
  </si>
  <si>
    <t>Cooperativas creadas que vinculen a las Organizaciones Comunales y de víctimas del conflicto en el desarrollo de oportunidades del mercado laboral</t>
  </si>
  <si>
    <t>Personas vinculadas a rutas de empleo y capital humano</t>
  </si>
  <si>
    <t>Número de estudiantes vinculados en la administración distrital, a través de la realización de las prácticas laborales</t>
  </si>
  <si>
    <t>Número de jóvenes graduados sin experiencia laboral vinculados a la administración distrital</t>
  </si>
  <si>
    <t>Número de mujeres cualificadas para la inserción laboral</t>
  </si>
  <si>
    <t>Rutas de emprendimiento implementadas</t>
  </si>
  <si>
    <t>Planes de comercialización y visibilización de productos de emprendedores ejecutados</t>
  </si>
  <si>
    <t>Estrategias de acompañamiento a emprendimientos y Mipymes para acceso a mecanismos de financiación elaboradas</t>
  </si>
  <si>
    <t>Emprendedores intervenidos con capacidades para emprender fortalecidas</t>
  </si>
  <si>
    <t>Estrategias de proveeduría de sectores administrados por el Distrito que vincule la participación de emprendimientos, negocios y/o proyectos productivos liderado por mujeres diseñada y ejecutada</t>
  </si>
  <si>
    <t>SECRETARÍA DE HACIENDA - SECRETARÍA DE PARTICIPACIÓN Y DESARROLLO SOCIAL</t>
  </si>
  <si>
    <t xml:space="preserve">Número de estrategias para promover el ecosistema de emprendimiento e innovación implementada
</t>
  </si>
  <si>
    <t>Microcentros de Inteligencia Artificial creados</t>
  </si>
  <si>
    <t>SECRETARÍA GENERAL - OFICINA DE INFORMATICA</t>
  </si>
  <si>
    <t>Caracterización socio empresarial de familias vulnerables atendidas en el Distrito</t>
  </si>
  <si>
    <t>Personas vulnerables Formadas y con fortalecimiento productivo</t>
  </si>
  <si>
    <t>Número de ferias de emprendimientos desarrolladas anualmente en el Distrito</t>
  </si>
  <si>
    <t>Número de emprendimientos, negocios y/o proyectos productivos liderados por mujeres financiados y formalizados</t>
  </si>
  <si>
    <t>Jóvenes formados en emprendimientos e inclusión productiva.</t>
  </si>
  <si>
    <t>Emprendimientos juveniles apoyados financieramente</t>
  </si>
  <si>
    <t>Jóvenes formados y certificados para la vinculación e inserción en el mercado laboral</t>
  </si>
  <si>
    <t>Espacios o acciones de promoción para la vinculación laboral de jóvenes al trabajo formal y promoción del primer empleo</t>
  </si>
  <si>
    <t>Número de vendedores formalizados con emprendimiento y creación de pequeña empresa</t>
  </si>
  <si>
    <t>GEPM - SECRETARÍA DE HACIENDA</t>
  </si>
  <si>
    <t>Mobiliario urbano para el emprendimiento económico diseñado</t>
  </si>
  <si>
    <t>Docuemntos de lineamientos para el manejo del sector turismo elaborados</t>
  </si>
  <si>
    <t>SECRETARÍA DE TURISMO</t>
  </si>
  <si>
    <t>Centro de Atención al Turista en funcionamiento en el Distrito de Cartagena de Indias (zona insular y urbana)</t>
  </si>
  <si>
    <t>Equipamientos para brigadistas y guardavidas del Distrito entregados</t>
  </si>
  <si>
    <t>Número de personas líderes y autoridades turísticas vinculadas a procesos de formación</t>
  </si>
  <si>
    <t>Número de personas vinculadas a procesos de formación formal e informal asuntos turísticos</t>
  </si>
  <si>
    <t>Número de personas vinculadas con oportunidades de acceso a rutas de empleo y capital humano enfocado en turismo sostenible</t>
  </si>
  <si>
    <t>Rutas comunitarias creadas e implementadas (rutas eco-ambientales, gastronómicas, culturales, turísticas, entre otras)</t>
  </si>
  <si>
    <t>Número de personas vinculadas a asistencia técnica para el fortalecimiento de la actividad artesanal</t>
  </si>
  <si>
    <t>Activos productivos entregados a los prestadores de servicios turísticos</t>
  </si>
  <si>
    <t>SECRETARÍA DE TURISMO - SECRETARÍA DE HACIENDA</t>
  </si>
  <si>
    <t>Número de atractivos turísticos con implementación de acciones de sostenibilidad ambiental</t>
  </si>
  <si>
    <t>Número de proyectos cofinanciados para la actividad turística</t>
  </si>
  <si>
    <t>Número de certificaciones de destino turístico sostenible obtenidas</t>
  </si>
  <si>
    <t>Portal Único de Información Turística sobre la Oferta Turística creado</t>
  </si>
  <si>
    <t>Tecnologia de destino turistica inteligente creada e implementada</t>
  </si>
  <si>
    <t>Alianzas con universidades para la formacion y profesionalizacion de actores turisticos implementado</t>
  </si>
  <si>
    <t>Número de eventos turísticos náuticos promovidos y desarrollados en la zona insular y urbana del Distrito</t>
  </si>
  <si>
    <t>Campañas de divulgación para la promoción y conectividad</t>
  </si>
  <si>
    <t>CORPOTURISMO - SECRETARÍA DE TURISMO</t>
  </si>
  <si>
    <t>Eventos especializados con participación del Distrito</t>
  </si>
  <si>
    <t>Productos turísticos desarrollados</t>
  </si>
  <si>
    <t>Eventos de ciudad con impacto nacional e internacional implementados en Cartagena</t>
  </si>
  <si>
    <t xml:space="preserve">Infraestructura turística dotada, adecuada, mejorada, mantenida y/o construida (infraestructura marino costera, embarcaderos)
</t>
  </si>
  <si>
    <t>SECRETARÍA DE INFRAESTRUCTURA - SECRETARÍA DE TURISMO</t>
  </si>
  <si>
    <t>Estudios de preinversión para proyectos turísticos elaborados</t>
  </si>
  <si>
    <t>Número de señalizaciones turísticas instaladas, (incluye playas y espacios turísticos que lo requieran)</t>
  </si>
  <si>
    <t>Acciones de mantenimiento infraestructuras turística para prestar servicios de vigilancia, control y seguridad a los turistas implementadas</t>
  </si>
  <si>
    <t>Entidad para el desarrollo y sostenibilidad turística consolidada</t>
  </si>
  <si>
    <t>Observatorio de Turismo creado</t>
  </si>
  <si>
    <t>Documentos de Planificación de Ordenamiento de Playas elaborado</t>
  </si>
  <si>
    <t>Número de procesos productivos de agricultura campesina familiar y comunitaria desarrollados</t>
  </si>
  <si>
    <t>UMATA</t>
  </si>
  <si>
    <t>Número de mujeres rurales atendidas con servicios de extensión agropecuaria</t>
  </si>
  <si>
    <t>Número de mujeres afros rurales atendidas con servicios de extensión agropecuaria</t>
  </si>
  <si>
    <t>Número de mujeres indígena atendidas en las actividades propias</t>
  </si>
  <si>
    <t>Número de circuitos cortos de comercialización implementados (mercados campesinos, ferias de negocios, HORECA, Mercado Virtual)</t>
  </si>
  <si>
    <t>Número de Planes de Extensión Agropecuaria del Distrito formulados y/o ejecutados</t>
  </si>
  <si>
    <t>Número de productores atendidos con servicios de extensión agropecuaria</t>
  </si>
  <si>
    <t>Número de encadenamientos y/o cadenas productivas para garantizar el derecho humano a la alimentación priorizadas, consolidadas y en funcionamiento</t>
  </si>
  <si>
    <t>Número de organizaciones de pescadores (pertenecientes a grupos étnicos) dotadas</t>
  </si>
  <si>
    <t>Número de procesos productivos en producción, reproducción y mejoramiento genético (bovina y/o especies menores) formulados y/o ejecutados</t>
  </si>
  <si>
    <t>Número de procesos asociativos para fortalecer las capacidades y competencias agropecuarias creados</t>
  </si>
  <si>
    <t>Número de emprendimientos rurales orientados a la generación de valor agregado asistido</t>
  </si>
  <si>
    <t>Número de alianzas y/o convenios interadministrativos para la dotación de infraestructura física y/o activos productivos de carácter público implementadas</t>
  </si>
  <si>
    <t>SECRETARÍA DE INFRAESTRUCTURA - CORVIVIENDA - UMATA</t>
  </si>
  <si>
    <t>Número de soluciones alternativas de fuentes de agua en zonas de producción agrícolas para mitigar el cambio climático implementadas</t>
  </si>
  <si>
    <t>SECRETARÍA DE INFRAESTRUCTURA - UMATA</t>
  </si>
  <si>
    <t>PROGRAMA: CARTAGENA CIUDAD DE PESCADORES</t>
  </si>
  <si>
    <t>Proyectos de maricultura implementados y formulados</t>
  </si>
  <si>
    <t>Acciones para el fortalecimiento de la mujer en el ejercicio de la pesca desarrolladas</t>
  </si>
  <si>
    <t>Centro de Acopio Integral creado</t>
  </si>
  <si>
    <t>Escuelas de pescadores de saberes ancestrales creadas</t>
  </si>
  <si>
    <t>Número de pruebas bromatológicas en los peces de la Bahía de Cartagena</t>
  </si>
  <si>
    <t>DADIS</t>
  </si>
  <si>
    <t>Número de pruebas ambientales en los peces de la Bahía de Cartagena</t>
  </si>
  <si>
    <t>EPA</t>
  </si>
  <si>
    <t>Fases del proceso de traslado del Mercado de Bazurto al nuevo sistema de mercados implementadas</t>
  </si>
  <si>
    <t>SECRETARÍA GENERAL - SECRETARÍA DE INFRAESTRUCTURA - DATT</t>
  </si>
  <si>
    <t>Número de Ocupantes del Espacio Público (O.E.P.) que fueron reubicados en zonas al interior del mercado formalizados (tramo 5A Transcaribe y otros)</t>
  </si>
  <si>
    <t>GEPM</t>
  </si>
  <si>
    <t>Número de Ocupantes del Espacio Público (O.E.P.) de zonas no intervenidas en el mercado de Bazurto pendientes por formalizar en mercados sectoriales</t>
  </si>
  <si>
    <t>Documentos normativos que rigen la operación de la plaza de mercados actualizados</t>
  </si>
  <si>
    <t>Plan de Gestión Sostenible del Sistema de Mercados del Distrito implementado</t>
  </si>
  <si>
    <t>Metros cuadrados de infraestructura de las plazas de mercado que conforman el Sistema Integral de Abastecimiento del Distrito intervenidos o mantenidos</t>
  </si>
  <si>
    <t>Plan de Ordenamiento Territorial revisado, actualizado, ajustado y presentado ante el Concejo para su adopción</t>
  </si>
  <si>
    <t>Plan Especial de Manejo y Protección del Centro Histórico y su área de influencia revisado, actualizado, ajustado y presentado ante el Ministerio de Cultura para su adopción</t>
  </si>
  <si>
    <t>Actuación Urbana Integral A.U.I – 12 / Recuperación Integral del Cerro de la Popa formulada</t>
  </si>
  <si>
    <t>SECRETARÍA DE PLANEACIÓN – GERENCIA DE ESPACIO PÚBLICO Y MOVILIDAD</t>
  </si>
  <si>
    <t>Actuación Urbana Integral A.U.I – 13 / Recuperación Integral del Cerro de Albornoz - Cospique formulada</t>
  </si>
  <si>
    <t>Nueva Actuación Urbana Integral Reordenamiento de los asentamientos de Nelson Mandela y Villa Hermosa formulada</t>
  </si>
  <si>
    <t>Planes Maestros de equipamientos formulado</t>
  </si>
  <si>
    <t>Plan Local Portuario formulado</t>
  </si>
  <si>
    <t>Plan Parcial de Renovación Urbana de Bazurto reformulado, adoptado y con seguimiento</t>
  </si>
  <si>
    <t>Planes Parciales en suelo de expansión de los Centros Poblados de Bayunca y Pasacaballos adoptados</t>
  </si>
  <si>
    <t>Plan Parcial de Reordenamiento de los Asentamientos de la Zona Industrial de Mamonal: Policarpa, Arroz Barato y Puerta de Hierro reformulado, adoptado y con seguimiento</t>
  </si>
  <si>
    <t>Plan Parcial de Reordenamiento de La Loma, Zaragocilla y Marión reformulado, adoptado y con seguimiento</t>
  </si>
  <si>
    <t>SECRETARÍA DE PLANEACIÓN - CORVIVIENDA</t>
  </si>
  <si>
    <t>Proyectos de legalización urbanística tramitados</t>
  </si>
  <si>
    <t>Plan Estratégico para el traslado de Marlinda y Villa Gloria diseñado y ejecutado</t>
  </si>
  <si>
    <t>Planes de Mejoramiento Integral de los Centros Poblados de los corregimientos continentales formulados y ejecutados</t>
  </si>
  <si>
    <t>Lineamientos técnicos y pedagógicos para garantizar el derecho a la ciudad de niñas y mujeres en el entorno urbano diseñados</t>
  </si>
  <si>
    <t>Plan Estratégico Prospectivo Cartagena 2050 formulado</t>
  </si>
  <si>
    <t>Metros cuadrados de espacios públicos recuperados y mantenidos</t>
  </si>
  <si>
    <t>GERENCIA DE ESPACIO PÚBLICO Y MOVILIDAD</t>
  </si>
  <si>
    <t>Metros cuadrados de espacio público habilitados para aprovechamiento económic</t>
  </si>
  <si>
    <t>Número de querellas presentadas para la recuperación del espacio público</t>
  </si>
  <si>
    <t>Política Pública de Legalización de Asentamientos Humanos y del Control Urbano formulada</t>
  </si>
  <si>
    <t>Documentos de planeación para la implementación la curaduría pública y de nuevas curadurías urbanas formulados</t>
  </si>
  <si>
    <t>Estudio para dar viabilidad para la creación de nuevas curadurías urbanas formulado</t>
  </si>
  <si>
    <t>Obras de demoliciones derivadas de fallos, sentencias y sanciones elaboradas</t>
  </si>
  <si>
    <t>SECRETARÍA DE INFRAESTRUCTURA</t>
  </si>
  <si>
    <t>Equipo de reacción inmediata para reducción, intervención y control de invasiones ilegales conformado</t>
  </si>
  <si>
    <t>Defensores Urbanos Barriales para la cultura urbanística certificados</t>
  </si>
  <si>
    <t>Inspecciones de Policía especializadas en temas urbanísticos</t>
  </si>
  <si>
    <t>Documentos normativos realizados</t>
  </si>
  <si>
    <t>Número de actividades desarrolladas por año para promover la protección y bienestar animal en sectores turísticos de la ciudad</t>
  </si>
  <si>
    <t>Número total de animales atendidos por año en las jornadas de salud, prevención y protección animal</t>
  </si>
  <si>
    <t>Número de protocolos estandarizados para la atención a animales domésticos y silvestres</t>
  </si>
  <si>
    <t>Número de animales domésticos censados</t>
  </si>
  <si>
    <t>Número de módulos o aplicativos funcionales de software integrados en una plataforma web de acceso abierto.</t>
  </si>
  <si>
    <t>Centro de Bienestar Animal del Distrito creado y en operación</t>
  </si>
  <si>
    <t>UMATA - DADIS</t>
  </si>
  <si>
    <t>Número de unidades móviles de atención veterinaria dotadas</t>
  </si>
  <si>
    <t>UMATA - EPA</t>
  </si>
  <si>
    <t>Árboles plantados en la ciudad</t>
  </si>
  <si>
    <t>Áreas degradadas en proceso de restauración</t>
  </si>
  <si>
    <t>Centro de Atención y Valoración de fauna silvestre construido y dotado</t>
  </si>
  <si>
    <t>Sistemas de información implementados para el Centro Inteligente de Monitoreo Ambiental de Cartagena</t>
  </si>
  <si>
    <t>Estaciones para el monitoreo de la calidad del aire implementadas</t>
  </si>
  <si>
    <t>Estrategias de educación ambiental implementadas</t>
  </si>
  <si>
    <t>Documentos de investigación ambiental realizados</t>
  </si>
  <si>
    <t>Política Pública de Educación Ambiental formulada</t>
  </si>
  <si>
    <t>Metros lineales de senderos peatonales diseñados</t>
  </si>
  <si>
    <t>Megaproyectos de parques con criterios de adaptación al cambio climático diseñados y construidos</t>
  </si>
  <si>
    <t>Documentos de lineamientos técnicos para la conservación de la biodiversidad y sus servicios ecosistémicos elaborados</t>
  </si>
  <si>
    <t>Plan 4C: Cartagena Competitiva y Compatible con el Clima actualizado</t>
  </si>
  <si>
    <t>Plan Distrital de Gestión de Riesgo actualizado y adoptado</t>
  </si>
  <si>
    <t>OFICINA ASESORA PARA LA GESTIÓN DE RIESGO DE DESASTRE</t>
  </si>
  <si>
    <t>Sistema de información de conocimiento del riesgo actualizado</t>
  </si>
  <si>
    <t>Inventarios de asentamientos en zonas de alto riesgo elaborados</t>
  </si>
  <si>
    <t>Sistema de comunicación de gestión del riesgo implementado</t>
  </si>
  <si>
    <t>Número de acciones para mitigación y atención a desastres coordinadas</t>
  </si>
  <si>
    <t>Número de organizaciones comunitarias capacitadas en prevención y gestión de los riesgos</t>
  </si>
  <si>
    <t>Número de Acciones de protección de laderas para reducción del riesgo en cerros de Cartagena</t>
  </si>
  <si>
    <t>Estrategia de respuestas a emergencias actualizada, formulada y adoptada </t>
  </si>
  <si>
    <t>Emergencias de riesgo atendidas</t>
  </si>
  <si>
    <t>Número de beneficios económicos a las familias afectadas en los distintos eventos entregados</t>
  </si>
  <si>
    <t>Número de kilómetros de construcción de protección costera.</t>
  </si>
  <si>
    <t>VALORIZACIÓN</t>
  </si>
  <si>
    <t>Plan Integral de Parques y Zonas Verdes formulado e implementado</t>
  </si>
  <si>
    <t>Orillas mejoradas para uso recreativo en caños, lagos y lagunas</t>
  </si>
  <si>
    <t>Plan Especial de Movilidad y Peatonalización del Centro Histórico formulado e implementado</t>
  </si>
  <si>
    <t>GERENCIA DE ESPACIO PÚBLICO Y MOVILIDAD - DATT- SECRETARÍAS DE INFRAESTRUCTURA</t>
  </si>
  <si>
    <t>Metros lineales de andenes y bordillos del Centro Histórico mejorados</t>
  </si>
  <si>
    <t>Plazas, parques y plazoletas del Centro Histórico mejorada</t>
  </si>
  <si>
    <t>Estudio de Capacidad de Carga del Espacio Público Patrimonial elaborado</t>
  </si>
  <si>
    <t>GERENCIA DE ESPACIO PÚBLICO Y MOVILIDAD - IPCC</t>
  </si>
  <si>
    <t>Estudio de las nuevas Tipologías Arquitectónicas del Centro Histórico elaborado</t>
  </si>
  <si>
    <t>SECRETARÍA DE PLANEACIÓN - IPCC</t>
  </si>
  <si>
    <t>Cartilla del Espacio Público Patrimonial elaborada</t>
  </si>
  <si>
    <t>GERENCIA DE ESPACIO PÚBLICO Y MOVILIDAD - DATT- SECRETARÍA DE PLANEACIÓN - ESCUELA TALLER ETCAR</t>
  </si>
  <si>
    <t>Número de parques del Centro Histórico recuperados y mejorados</t>
  </si>
  <si>
    <t>SECRETARÍA GENERAL - DIRECCIÓN ADMINISTRATIVA DE APOYO LOGISTICO</t>
  </si>
  <si>
    <t>Espacios públicos rehabilitados que comunican el Centro Histórico y Castillo de San Felipe</t>
  </si>
  <si>
    <t xml:space="preserve">ESCUELA TALLER CARTAGENA DE INDIAS - GERENCIA DE ESPACIO PÚBLICO Y MOVILIDAD - SECRETARÍA DE INFRAESTRUCTURA
</t>
  </si>
  <si>
    <t>Número de zonas del espacio público adecuadas para la recreación y el deporte en el paisaje fortificado</t>
  </si>
  <si>
    <t>Enlaces peatonales de cordón amurallado construidos</t>
  </si>
  <si>
    <t>ESCUELA TALLER CARTAGENA DE INDIAS - GERENCIA DE ESPACIO PÚBLICO Y MOVILIDAD - SECRETARÍA DE INFRAESTRUCTURA</t>
  </si>
  <si>
    <t>Número de actividades de para la apropiación colectiva del patrimonio y la gobernanza territorial desarrolladas</t>
  </si>
  <si>
    <t xml:space="preserve">ESCUELA TALLER CARTAGENA DE INDIAS (ETCAR)
</t>
  </si>
  <si>
    <t>PROGRAMA: INTERVENCIONES URBANAS INTEGRALES</t>
  </si>
  <si>
    <t>Obras construidas para la competitividad diferente a vías</t>
  </si>
  <si>
    <t>PROGRAMA: REHABILITACIÓN, MANTENIMIENTO, ADECUACIÓN, Y OBRA NUEVA PARA EL SISTEMA VIAL Y ESTRUCTURAS DE PASO</t>
  </si>
  <si>
    <t>Kilómetros carriles  rehabilitados de la malla vial</t>
  </si>
  <si>
    <t>Kilómetros carriles  construidos de la malla vial</t>
  </si>
  <si>
    <t>Puentes nuevos construidos en la ciudad</t>
  </si>
  <si>
    <t>Corredor vial de la troncal del sur construido</t>
  </si>
  <si>
    <t>Número de kilómetros de construcción de vías Urbanas por contribución de valorización.</t>
  </si>
  <si>
    <t>Número de kilómetros de construcción de vías rurales</t>
  </si>
  <si>
    <t>Número de metros cuadrados de andenes construidos</t>
  </si>
  <si>
    <t>Señales verticales instaladas</t>
  </si>
  <si>
    <t>Marcas longitudinales demarcadas</t>
  </si>
  <si>
    <t>Kilómetros de ciclorutas diseñadas y demarcadas</t>
  </si>
  <si>
    <t>Red semafórica ampliada</t>
  </si>
  <si>
    <t>Rutas del Transporte Público Colectivo actualizadas y normalizadas</t>
  </si>
  <si>
    <t>Estaciones satélites de transporte informal erradicadas</t>
  </si>
  <si>
    <t>Puntos críticos intervenidos</t>
  </si>
  <si>
    <t>Zonas de Estacionamiento Regulado (ZER) diseñados y demarcados</t>
  </si>
  <si>
    <t>Vehículos de tracción animal dedicados al transporte de cargas livianas sustituidos</t>
  </si>
  <si>
    <t>Vehículos de tracción animal dedicados al servicio turístico sustituidos</t>
  </si>
  <si>
    <t>Caracterización socioeconómica de mototrabajadores elaborada</t>
  </si>
  <si>
    <t>Estaciones Renovadas</t>
  </si>
  <si>
    <t>TRANSCARIBE</t>
  </si>
  <si>
    <t>Patio Portal Renovado</t>
  </si>
  <si>
    <t>Carril de solobus renovado</t>
  </si>
  <si>
    <t>Servicio de seguridad ciudadana implementado en el SITM</t>
  </si>
  <si>
    <t>Paraderos Renovados</t>
  </si>
  <si>
    <t>Modernización de los servicios conexos al sistema de recaudo, gestión de flota, información al usuario</t>
  </si>
  <si>
    <t>Estrategias para la promoción de la cultura ciudadana y el uso del sistema</t>
  </si>
  <si>
    <t>Estudios técnicos para la evaluación de operación diseñados</t>
  </si>
  <si>
    <t>TRANSCARIBE - SECRETARÍA DE INFRAESTRUCTURA</t>
  </si>
  <si>
    <t>Fases de ejecución del proyecto de transporte acuático</t>
  </si>
  <si>
    <t>SECRETARÍA DE INFRAESTRUCTURA - TRANSCARIBE</t>
  </si>
  <si>
    <t>Embarcaderos para el transporte acuático construidos o recuperados</t>
  </si>
  <si>
    <t>Estudio para la implementación de la tarifa diferencial en el Sistema</t>
  </si>
  <si>
    <t>Estrategia para la lucha contra el acoso en el Sistema Integrado de Transporte Masivo implementada</t>
  </si>
  <si>
    <t>Pasajeros movilizados</t>
  </si>
  <si>
    <t>Número de hectáreas de manglar en proceso de recuperación</t>
  </si>
  <si>
    <t>Metros cúbicos extraídos mediante relimpia realizada en cuerpos de agua internos en el perímetro urbano de Cartagena</t>
  </si>
  <si>
    <t>EPA - EDURBE</t>
  </si>
  <si>
    <t>Estudios de prefactibilidad para la implementación de laboratorio interactivo</t>
  </si>
  <si>
    <t>Kilómetros diseño de canales </t>
  </si>
  <si>
    <t>VALORIZACIÓN - SECRETARÍA DE INFRAESTRUCTURA</t>
  </si>
  <si>
    <t>Kilómetros canales construidos.</t>
  </si>
  <si>
    <t>Metros cúbicos limpieza y/o rectificación de canales.</t>
  </si>
  <si>
    <t>Kilómetros recuperados de bordes de costa de cuerpos de agua</t>
  </si>
  <si>
    <t>Documento de acotamiento y priorización de ronda hídrica elaborado</t>
  </si>
  <si>
    <t>Rondas hídricas priorizadas a través del documento de acotamiento recuperadas</t>
  </si>
  <si>
    <t>Plan Parcial de Chambacú, Torices, La Unión formulado, adoptado y con seguimiento</t>
  </si>
  <si>
    <t>Plan Maestro de Caños, Lagunas y Ciénagas interiores de la ciudad y la Bahía de Cartagen</t>
  </si>
  <si>
    <t>Número de afluentes principales que derivan en la Ciénaga de la Virgen recuperadas</t>
  </si>
  <si>
    <t>EPA </t>
  </si>
  <si>
    <t>Campañas de educación ambiental y participación implementadas a los ciudadanos aledaños a la Ciénaga de la Virgen, sobre la conservación y protección del espacio verde</t>
  </si>
  <si>
    <t>Proyectos para el mejoramiento de la calidad del recurso hídrico formulados en Sistema Estabilizadora de Mareas desarrollados</t>
  </si>
  <si>
    <t>Plan de Gestión Social y Ambiental de la Ciénaga de la Virgen formulado e implementado</t>
  </si>
  <si>
    <t>Estudios y diseños actualizados red urbana formulados</t>
  </si>
  <si>
    <t>Planes Parciales de Renovación Urbana adoptados</t>
  </si>
  <si>
    <t>Plan de Mejoramiento Integral de la Boquilla formulado</t>
  </si>
  <si>
    <t>Estudios detallados de amenaza y riesgo para territorios delimitados en Planes Parciales elaborados</t>
  </si>
  <si>
    <t>Operación Territorial – O.T-5 / Frente Costero y Protección formulada</t>
  </si>
  <si>
    <t>Operación Territorial – O.T-6 / Bahía de Cartagena – Canal del Dique formulada</t>
  </si>
  <si>
    <t>Operación Territorial – O.T-12 / Zona Insular formulada</t>
  </si>
  <si>
    <t>Planes de Mejoramiento Integral de los Centros Poblados insulares formulados y ejecutados</t>
  </si>
  <si>
    <t>Cartilla de Tipologías de Vivienda Insular o Costera adaptada a los eventos de cambio climático diseñada</t>
  </si>
  <si>
    <t>Proyectos estratégicos para el mantenimiento de los cuerpos de agua de la ciudad implementados</t>
  </si>
  <si>
    <t>Proyectos estratégicos para el mantenimiento de los cuerpos de agua de la ciudad formulados en fase de prefactibilidad</t>
  </si>
  <si>
    <t>Estudio de clúster para la competitividad regional elaborado</t>
  </si>
  <si>
    <t>Iniciativa regional de infraestructura de transporte y conectividad para la productividad</t>
  </si>
  <si>
    <t>SECRETARÍA DE PLANEACIÓN - TRANSCARIBE</t>
  </si>
  <si>
    <t>Servicio de protección del recurso hídrico</t>
  </si>
  <si>
    <t>Trámites y otros procedimientos administrativos racionalizados</t>
  </si>
  <si>
    <t>Centro Integral Ciudadano creado</t>
  </si>
  <si>
    <t>Ventanillas de atención al ciudadano optimizadas en su funcionamiento</t>
  </si>
  <si>
    <t>Estrategias para responder a transparencia activa y pasiva, los instrumentos de gestión de la información con criterios de accesibilidad</t>
  </si>
  <si>
    <t>Número de rendiciones de cuentas desarrolladas</t>
  </si>
  <si>
    <t>SECRETARÍA GENERAL - SECRETARÍA DE PLANEACIÓN</t>
  </si>
  <si>
    <t>Personas formadas en uso de Tecnologías de Información y Comunicaciones (TIC)</t>
  </si>
  <si>
    <t xml:space="preserve">OFICINA ASESORA DE INFORMATICA - ESCUELA DE GOBIERNO Y LIDERAZGO
</t>
  </si>
  <si>
    <t>Sistemas de información institucionales actualizados</t>
  </si>
  <si>
    <t>OFICINA ASESORA DE INFORMATICA</t>
  </si>
  <si>
    <t>Sistemas de información institucionales nuevos implementados</t>
  </si>
  <si>
    <t>Número de zonas wifi-gratuitas instaladas y mantenidas</t>
  </si>
  <si>
    <t>Estrategia para la simplificación de procesos en el Distrito implementada</t>
  </si>
  <si>
    <t>Estrategia para la gestión del conocimiento y la innovación creada e implementada</t>
  </si>
  <si>
    <t>SECRETARÍA GENERAL Dirección Administrativa de Talento Humano</t>
  </si>
  <si>
    <t>Herramientas Tecnológicas para el uso, apropiación y fortalecimiento institucional implementadas</t>
  </si>
  <si>
    <t>Documentos de diagnóstico e implementación del Modelo Integrado de Planeación y Gestión – MIPG implementado</t>
  </si>
  <si>
    <t>Agenda regulatoria anual elaborada e implementada</t>
  </si>
  <si>
    <t>Procesos de depuración normativa distrital implementados</t>
  </si>
  <si>
    <t>Número de predios del inventario de bienes inmuebles del Distrito actualizados</t>
  </si>
  <si>
    <t>SECRETARÍA GENERAL Dirección Administrativa de Apoyo Logístico</t>
  </si>
  <si>
    <t>intervenciones a los bienes inmuebles y predios del Distrito</t>
  </si>
  <si>
    <t>Inventario de bienes muebles actualizado</t>
  </si>
  <si>
    <t>Fases del proceso de rediseño institucional implementadas</t>
  </si>
  <si>
    <t>Plan Estratégico Tratamiento de Riesgo de Seguridad y Privacidad de la información implementado</t>
  </si>
  <si>
    <t>Plan Estratégico de Seguridad y Privacidad de la información implementado</t>
  </si>
  <si>
    <t>Cloud Data Center implementado en el Distrito</t>
  </si>
  <si>
    <t>Servicios de gestión documental implementados</t>
  </si>
  <si>
    <t>Servicio de sistemas de gestión implementado</t>
  </si>
  <si>
    <t>Sistema de Gestión de Archivos Electrónicos – SGDEA implementado en cinco fases</t>
  </si>
  <si>
    <t>Plan de Formación sobre el Sistema de Control Interno y Control Interno Contable diseñado e implementado</t>
  </si>
  <si>
    <t>Software de Auditoría Basada en Riesgos para procesos y sistemas de información implementado</t>
  </si>
  <si>
    <t>Sedes del DATT dotadas con logística para mejorar la gestión administrativa y operativa en la prestación del servicio</t>
  </si>
  <si>
    <t>Portafolio virtual para oferta de trámites y servicios diseñado</t>
  </si>
  <si>
    <t>Cartera el DATT recuperada</t>
  </si>
  <si>
    <t>Puntos de la ciudad con sistema de monitoreo, control y fiscalización electrónica del tránsito instalados</t>
  </si>
  <si>
    <t>Impuesto Predial Unificado recaudado</t>
  </si>
  <si>
    <t>Impuesto Industria, Comercio y complementarios recaudado</t>
  </si>
  <si>
    <t>Impuesto delineación urbana recaudado</t>
  </si>
  <si>
    <t>Sobretasa a la gasolina recaudado</t>
  </si>
  <si>
    <t>Estrategias de fortalecimiento tributario en el Distrito diseñadas e implementadas</t>
  </si>
  <si>
    <t>Proyecto de modernización de la Secretaría de Hacienda implementado</t>
  </si>
  <si>
    <t>Número de servidores públicos y contratistas del Distrito formados y cualificados en enfoques diferenciales</t>
  </si>
  <si>
    <t>ESCUELA DE GOBIERNO Y LIDERAZGO</t>
  </si>
  <si>
    <t>Número de estrategias de formación en cultura tributarias dirigidas servidores públicos y contratistas del distrito creadas e implementadas</t>
  </si>
  <si>
    <t>Número de procesos de formación a ciudadanos desarrollados</t>
  </si>
  <si>
    <t>Número de procesos de formación a ciudadanos pertenecientes a grupos étnicos desarrollados</t>
  </si>
  <si>
    <t>Número de mesas de planeación y participación elaboradas con personas de los distintos grupos de población con enfoque inclusivo, diferencial y territorial</t>
  </si>
  <si>
    <t>Número de procesos de formación a ciudadanos con enfoque inclusivo, diferencial y territorial desarrollados</t>
  </si>
  <si>
    <t>Número de estrategias pedagógicas implementadas para promover el orgullo y el sentido de pertenencia por la ciudad</t>
  </si>
  <si>
    <t>Numero de iniciativas de cultura ciudadana implementadas</t>
  </si>
  <si>
    <t>Número de estrategias pedagógicas implementadas para fortalecer la cultura vial y el adecuado uso del Sistema Integardo de Transoporte Masivo</t>
  </si>
  <si>
    <t>Numero de estrategias de promocion de practicas para el cuidado y el desarrollo integral del ser humano implementadas</t>
  </si>
  <si>
    <t>Numero de estartegias para fomentar el respeto y la prevencion del maltrato contra la mujer implementadas</t>
  </si>
  <si>
    <t>Número de mesas de gobernanza elaboradas para el seguimiento a indicadores de ciudad</t>
  </si>
  <si>
    <t>Número de procesos de formación en gobernanza e innovación pública desarrollados</t>
  </si>
  <si>
    <t>Número de organismos de acción comunal asesoradas y acompañados para el trámite exitoso de su Registro Único Tributario (RUT) ante la DIAN</t>
  </si>
  <si>
    <t>Instituto Distrital de Acción Comunal</t>
  </si>
  <si>
    <t>Numero de organismos de accion comunal asesorados y acompañados para eñ tramite exitoso de su registro unico comunal (RUC) ante el Ministerio del Interior</t>
  </si>
  <si>
    <t>Numero de organismos de accion comunal asesorados y acompañados en procesos de actualizacion estatutaria</t>
  </si>
  <si>
    <t>Guia Metodologica para la formulacion de planes de desarrollo estrategicos comunales PDEC creada e implementada</t>
  </si>
  <si>
    <t>Ruta para garantizar la proteccion y acompañamiento de lideres y lideresas sociales, dignatarios y/o afiliados a organismos comunales de la ciudad en situacion de riesgo diseñada</t>
  </si>
  <si>
    <t>Plataforma web de seguimiento a procesos y procedimientos de organismos comunales y organinazciones sociales de base creada y en funcionamiento</t>
  </si>
  <si>
    <t>Numero de obras de interes comunitarias con organismos de acción comunal financiadas a través de convenios solidarios</t>
  </si>
  <si>
    <t>Número de sedes de organismos comunales dotadas y/o adecuadas</t>
  </si>
  <si>
    <t>Sedes de organismos comunales construidas</t>
  </si>
  <si>
    <t>Banco de proyectos de iniciativa comunal y comunitaria creado</t>
  </si>
  <si>
    <t>Número de acciones de cambio y transformación del entorno desarrolladas con organismos de acción comunal y la cuadrilla comunal en los barrios de la ciudad</t>
  </si>
  <si>
    <t>Número de fondos de financiamiento y apalancamiento para la ejecución de iniciativas y proyectos de organizaciones comunales, comunitarias y/o sociales de base creados</t>
  </si>
  <si>
    <t>Cantidad de recursos para presupuestos participativos invertidos</t>
  </si>
  <si>
    <t>SECRETARÍA DEL INTERIOR Instituto Distrital de Acción Comunal</t>
  </si>
  <si>
    <t>Número de ciudadanos participando en la construcción de instrumentos de gestión y de políticas públicas.</t>
  </si>
  <si>
    <t>Campañas para la promoción de la participación ciudadana creadas</t>
  </si>
  <si>
    <t>Número de encuentros comunales y/o comunitarios de intercambio de experiencias, construcción de ciudad y promoción de la participación ciudadana desarrollados</t>
  </si>
  <si>
    <t>Número de afiliados y afiliadas a organismos comunales del Distrito certificados bajo la metodología del programa Formador de Formadores para la Acción Comunal</t>
  </si>
  <si>
    <t>Número de voluntariados juveniles distritales conformados</t>
  </si>
  <si>
    <t>Número de escuelas de formación en liderazgo juvenil</t>
  </si>
  <si>
    <t>Número de jóvenes vinculados en programas de formación sociopolítica y habilidades para la vida</t>
  </si>
  <si>
    <t>Programas para el fortalecimiento de los derechos de la Juventud implementado</t>
  </si>
  <si>
    <t>Consejo Distrital de Juventud y Plataforma de Juventudes acompañados</t>
  </si>
  <si>
    <t>Mecanismo de promoción de la participación política y organización de las mujeres creado</t>
  </si>
  <si>
    <t>Número de mujeres formadas para la participación sociopolítica, liderazgo e incidencia política en el Distrito</t>
  </si>
  <si>
    <t>Casa de la Mujer en operación y/o funcionamiento</t>
  </si>
  <si>
    <t>Estudios socioeconómicos y poblacionales elaborados</t>
  </si>
  <si>
    <t>Estudios de focalización territorial de beneficiarios de Programas Sociales elaborados</t>
  </si>
  <si>
    <t>Productos de generación de nuevo conocimiento desarrollados</t>
  </si>
  <si>
    <t>Actividades científicas de apropiación social del conocimiento desarrollados</t>
  </si>
  <si>
    <t>Encuesta Multipropósito desarrollada</t>
  </si>
  <si>
    <t>Mapa Interactivo de Asuntos del Suelo - MIDAS 
actualizado y optimizado</t>
  </si>
  <si>
    <t>Sistema de Información Geográfico y Estadístico Distrital con infraestructura de datos espaciales creado</t>
  </si>
  <si>
    <t>Base de datos de estratificación actualizada</t>
  </si>
  <si>
    <t>Política de Gestión Estadística implementada en el marco del MIPG</t>
  </si>
  <si>
    <t>Base de datos del Sistema de Identificación de Potenciales Beneficiarios de Programas Sociales - SISBEN IV actualizada en la fase de demanda</t>
  </si>
  <si>
    <t>Oficina Administrativa y puntos de atención del Sistema de Identificación de Potenciales Beneficiarios de Programas Sociales - SISBEN IV mejorados</t>
  </si>
  <si>
    <t>Informes periódicos seguimiento de Inversión Pública</t>
  </si>
  <si>
    <t>Asistencias técnicas a entidades del Distrito elaboradas</t>
  </si>
  <si>
    <t>Soportes técnicos a usuarios en temas de proyectos de inversión elaborados</t>
  </si>
  <si>
    <t>Planes de Desarrollo Locales formulados y con seguimiento</t>
  </si>
  <si>
    <t>Estrategia de asistencia técnica para la formulación de los Planes de Desarrollo Estratégicos Comunales formulada</t>
  </si>
  <si>
    <t>Planes de Acción formulados y con seguimiento</t>
  </si>
  <si>
    <t>Proyectos estratégicos de ciudad formulados</t>
  </si>
  <si>
    <t>Políticas públicas formuladas y acompañadas en su evaluación y seguimiento</t>
  </si>
  <si>
    <t>Políticas públicas finalizadas en su formulación</t>
  </si>
  <si>
    <t>Estudios técnicos para la creación de nuevas localidades</t>
  </si>
  <si>
    <t>SECRETARÍA DE PLANEACIÓN - SECRETARÍA DEL INTERIOR Y CONVIVENCIA CIUDADANA</t>
  </si>
  <si>
    <t>Proyecto de acuerdo presentado al Concejo para la creación de localidades</t>
  </si>
  <si>
    <t>Asistencia tecnica y seguimiento a la ejecucion de los fondos de desarrollo local desarrolladas</t>
  </si>
  <si>
    <t>Instancias del Sistema Distrital de Planeación Participativa acompañadas con apoyo técnico, administrativo y logístico</t>
  </si>
  <si>
    <t>Sistema de Información catastral actualizad</t>
  </si>
  <si>
    <t>SECRETARÍA DE HACIENDA - SECRETARÍA DE PLANEACIÓN</t>
  </si>
  <si>
    <t>Plan de fortalecimiento para la prestación efectiva del servicio público de gestión catastral formulado</t>
  </si>
  <si>
    <t>CAPÍTULO/COMPONENTE IMPULSOR/ PROGRAMA/ PRODUCTO (INDICADOR)/ META PRODUCTO</t>
  </si>
  <si>
    <t>Consejos Comunitarios y Organizaciones de Base de las Comunidades Negras, Afrocolombianas, Raizales y Palenqueras formados en temas de gobernabilidad</t>
  </si>
  <si>
    <t>Formar en temas de legislación, derechos humanos y el fortalecimiento organizacional a sesenta (60) Consejos Comunitarios y Organizaciones de Base de las Comunidades Negras, Afrocolombianas, Raizales y Palenqueras</t>
  </si>
  <si>
    <t xml:space="preserve">SECRETARÍA DEL INTERIOR Y CONVIVENCIA CIUDADANA - SECRETARÍA GENERAL - Oficina Asesora de Asuntos Étnicos
</t>
  </si>
  <si>
    <t>Número de funcionarios del Distrito formados en enfoque étnico</t>
  </si>
  <si>
    <t>Formar a quinientos (500) funcionarios de la Alcaldía Distrital entre ellos los operadores de justicia en enfoque étnico</t>
  </si>
  <si>
    <t>SECRETARÍA DEL INTERIOR Y CONVIVENCIA CIUDADANA - SECRETARÍA GENERAL - Oficina 
Asesora de 
Asuntos 
Étnicos</t>
  </si>
  <si>
    <t>Ruta y modelo de atención psicosocial para atención de situaciones de antirracismo y víctimas del racismo diseñada e implementada</t>
  </si>
  <si>
    <t>Diseñar e implementar una (1) ruta y modelo de atención psicosocial para atención de situaciones de antirracismo y víctimas del racismo</t>
  </si>
  <si>
    <t>Programa para participación ciudadana de las comunidades Negra, Afrocolombiana, Raizales y Palenquera en estrategia de Seguridad Humana creado e implementado</t>
  </si>
  <si>
    <t>Crear e implementar un (1) Programa para Participación Ciudadana de las Comunidades Negra, Afrocolombiana, Raizales y Palenquera, en la estrategia de Seguridad Humana</t>
  </si>
  <si>
    <t>Observatorio del Desarrollo de Comunidades Negras del Distrito creado e implementado</t>
  </si>
  <si>
    <t>Crear e implementar un (1) Observatorio del Desarrollo de Comunidades Negras del Distrito</t>
  </si>
  <si>
    <t>Número de Consejos Comunitarios con Resolución de Autoaceptación de titulación colectiva obtenida de comunidades negras del Distrito</t>
  </si>
  <si>
    <t>Obtener cuatro (4) Resoluciones de Autoaceptación de titulación colectiva de comunidades negras en el Distrito</t>
  </si>
  <si>
    <t>Consejos Comunitarios con solicitudes nuevas de Títulos Colectivos presentados ante la Agencia Nacional de Tierras</t>
  </si>
  <si>
    <t>Presentar seis (6) nuevas solicitudes nuevas de Títulos Colectivos ante la Agencia Nacional de Tierras</t>
  </si>
  <si>
    <t>Ruta de atención para víctimas del conflicto armado para comunidades Negras, Afrocolombiana, Raizal y Palenquera en los 33 Consejos Comunitarios de Cartagena implementada</t>
  </si>
  <si>
    <t>Implementar en los treinta y tres (33) Consejos Comunitarios del Distrito la ruta de atención de acuerdo con la reglamentación o normativa del conflicto (T- 025 2004, Decreto 4635 de 2011 y el auto 005 2009)</t>
  </si>
  <si>
    <t>Redes Étnicas Diferenciadas para adecuación sociocultural, de promoción y mantenimiento de salud conformadas</t>
  </si>
  <si>
    <t>Conformar cuatro (4) Redes Étnicas Diferenciadas (1 organización urbanas y 3 rurales con Consejos Comunitarios) para adecuación sociocultural de promoción y mantenimiento de salud</t>
  </si>
  <si>
    <t>Estrategia de apropiación social del conocimiento para la reducción de la incidencia de los factores toxicológicos y epidemiológicos de las comunidades negras del</t>
  </si>
  <si>
    <t>Diseñar e implementar una (1) estrategia de apropiación social del conocimiento para la reducción de la incidencia de los factores toxicológicos y epidemiológicos de las comunidades Negras del Distrito</t>
  </si>
  <si>
    <t>Torneos intercomunitarios de juegos tradicionales desarrollados</t>
  </si>
  <si>
    <t>Desarrollar cuatro (4) torneos intercomunitarios de juegos tradicionales, concertado con los Consejos Comunitarios (bate de tapita, bola de trapo, trompo, dominó, entre otros)</t>
  </si>
  <si>
    <t>Torneos de competencias del mar desarrollados con los Consejos Comunitarios</t>
  </si>
  <si>
    <t>Desarrollar cuatro (4) torneos de competencias del mar concertado con los Consejos Comunitarios (canotaje, competencia de atarrayas, pesca, tejidos, entre otros)</t>
  </si>
  <si>
    <t>Mesa de Expertos creada, implementada y con seguimiento de la implementación de la cátedra de estudios afroamericanos, transición de PEI a PEC e implementación de la resemantización en Instituciones Educativas Oficiales del Distrito</t>
  </si>
  <si>
    <t>Crear, implementar y hacer seguimiento a una (1) Mesa de Expertos para el seguimiento de la implementación de la cátedra de estudios afroamericanos, transición de PEI a PEC e implementación de la resemantización en Instituciones Educativas Oficiales del Distrito</t>
  </si>
  <si>
    <t>Becas inclusivas para estudiantes de comunidades negra, afrocolombiana, raizales y palenquera otorgadas</t>
  </si>
  <si>
    <t>Otorgar trescientas noventa y seis (396) becas inclusivas a estudiantes de los Consejos Comunitarios</t>
  </si>
  <si>
    <t>Subsidios para mejoramiento de vivienda otorgados a comunidades negra, afrocolombiana, raizales y palenqueras de los Consejos Comunitarios del Distrito</t>
  </si>
  <si>
    <t>Otorgar cuatrocientos cincuenta (450) subsidios para mejoramiento de vivienda focalizado en las comunidades negras, afrodescendientes, raizales y palenqueros del Distrito</t>
  </si>
  <si>
    <t>Espacios de participación promovidos de las comunidades negras, afro, raizales y palenqueras en procesos de elaboración de los instrumentos de planificación y macroproyectos de la ciudad</t>
  </si>
  <si>
    <t>Promover espacios de participación de las comunidades negras, afro, raizales y palenqueras en los cinco (5) procesos de elaboración de los instrumentos de planificación (POT, PEMP, Planes Parciales, macroproyectos)</t>
  </si>
  <si>
    <t>Programa de Monitoreo Comunitario de Restauración de Ecosistemas Marino - Costeros diseñado y operando</t>
  </si>
  <si>
    <t>Crear e implementar un (1) Programa de Monitoreo Comunitario de Restauración de Ecosistemas Marino-Costeros de los Consejos Comunitarios asentados en la zona marino costera y la Ciénaga de la Virgen</t>
  </si>
  <si>
    <t>Programa de Salvaguarda y Recuperación de los Bienes de Interés de Cultural de los Territorios negros, afrocolombiano, raizales y palenqueros creado e implementado</t>
  </si>
  <si>
    <t>Crear e implementar un (1) Programa de Salvaguarda y Recuperación de los Bienes de Interés de Cultural de los Territorios negros, afrocolombiano, raizales y palenqueros</t>
  </si>
  <si>
    <t>Estudio de viabilidad del transporte acuático con las comunidades en concordancia con el Artículo 40 de la Ley 70 de 1992 actualizado</t>
  </si>
  <si>
    <t>Actualizar un (1) estudio de viabilidad del transporte acuático con las comunidades negras, afrocolombiana, raizales y palenqueros</t>
  </si>
  <si>
    <t>Ecosistemas Empresariales para el cambio en las comunidades negras del Distrito de Cartagena: Aceleración de Impacto a través de creación de nuevos negocios desarrollado</t>
  </si>
  <si>
    <t>Desarrollar un (1) Ecosistema Empresarial para el cambio en las comunidades negras, afrocolombianas, raizal y palenquero del Distrito de Cartagena: Aceleración de Impacto a través de creación de nuevos negocios</t>
  </si>
  <si>
    <t>SECRETARÍA DE TURÍSMO SECRETARÍA DEL INTERIOR Y CONVIVENCIA CIUDADANA - Oficina Asesora de Asuntos Étnicos</t>
  </si>
  <si>
    <t>Espacios de participación promovidos de las comunidades negras, afro, raizales y palenqueras en la elaboración de la Política Pública de Lucha contra la Pobreza y Seguridad Alimentari</t>
  </si>
  <si>
    <t>Promover un (1) espacio de participación de las comunidades negras, afro, raizales y palenqueras en la elaboración de la Política Pública de Lucha contra la Pobreza y Seguridad Alimentaria</t>
  </si>
  <si>
    <t>SECRETARÍA GENERAL - Oficina Asesora de Asuntos Étnicos</t>
  </si>
  <si>
    <t>Seguimientos anuales desarrollados al trazador presupuestal para los recursos de inversión en territorios de comunidades negras</t>
  </si>
  <si>
    <t>Desarrollar cuatro (4) seguimientos anuales al trazador presupuestal para los recursos de inversión en territorios de comunidades negras</t>
  </si>
  <si>
    <t>Asistencia técnica brindada para la adquisición de hectáreas para la constitución de un Territorio Indígena que cobija los tres pueblos indígenas: ZENU, INGA, KANKUAMO</t>
  </si>
  <si>
    <t>Brindar asistencia técnica a cinco (5) cabildos indígenas para la adquisición de hectáreas para la constitución de un Territorio Indígena que cobija los tres pueblos indígenas: ZENÚ, INGA, KANKUAMO</t>
  </si>
  <si>
    <t>Lote para la reubicación de Cabildo Indígena CAIZEM asentado en Membrillal adquirido</t>
  </si>
  <si>
    <t>Adquirir un (1) lote para la reubicación de Cabildo indígena CAIZEM asentado en Membrillal</t>
  </si>
  <si>
    <t>Subsidios para mejoramiento de vivienda otorgados a miembros de los cabildos indígenas
ubicados en el Distrito</t>
  </si>
  <si>
    <t>Otorgar cuatrocientos cincuenta (450) de subsidios para mejoramiento de vivienda a miembros de los cabildos indígenas ubicados en el Distrito</t>
  </si>
  <si>
    <t>Cabildos indígenas asesorados en gobernanza y legislación indígena</t>
  </si>
  <si>
    <t>Asesorar a seis (6) cabildos indígenas en gobernanza y legislación indígena</t>
  </si>
  <si>
    <t>Planes de Vida de cabildos indígenas elaborados</t>
  </si>
  <si>
    <t>Elaborar los Planes de Vida de cinco (5) cabildos indígenas asentados en el Distrito de Cartagena (Zenú Zhandero, Zenu Bayunca, Zenu Pasacaballos, Kankuamo e Inga)</t>
  </si>
  <si>
    <t>Elementos patrimoniales y tecnológicos dotados a la Guardia Indígena Ancestral de los 6 cabildos como Sistema de Aplicación de Justicia al interior de las comunidades indígenas</t>
  </si>
  <si>
    <t>Dotar de elementos patrimoniales y tecnológicos a la Guardia Indígena Ancestral de los seis (6) cabildos como Sistema de Aplicación de Justicia al interior de las comunidades indígenas</t>
  </si>
  <si>
    <t>Espacio para la implementación del Centro de Estudio de Pensamiento Mayor Indígena-CEMI mantenido</t>
  </si>
  <si>
    <t>Mantener un (1) espacio para la implementación del Centro de Estudio de Pensamiento Mayor Indígena Intercultural-CEMI donde se permita el diálogo intercultural</t>
  </si>
  <si>
    <t>Ruta de atención para víctimas del conflicto armado de cabildos indígenas de Cartagena implementada</t>
  </si>
  <si>
    <t>Implementar en los seis (6) cabildos indígenas del Distrito la ruta de atención de acuerdo con la reglamentación o normativa del conflicto (T-025 del 2004, Decreto 4635 del 2011 y auto 005 del 2009)</t>
  </si>
  <si>
    <t>Cabildos Indígenas articulados con la ESE Hospital Local para la atención intercultural indígena de conformidad a los componentes del SISPI</t>
  </si>
  <si>
    <t>Articular con la ESE Hospital Local la atención intercultural indígena en seis (6) Cabildos Indígenas, de conformidad a los componentes del SISPI</t>
  </si>
  <si>
    <t>Programa de atención psicosocial y salud integral a víctimas implementado y mantenido anualmente</t>
  </si>
  <si>
    <t>Implementar y mantener anualmente un (1) programa de atención psicosocial y salud integral a víctimas en los 6 Cabildos Indígenas</t>
  </si>
  <si>
    <t>Niños, niñas y adolescentes indígenas vinculados en actividades lúdicas extramurales y del ejercicio del derecho al juego</t>
  </si>
  <si>
    <t>Vincular a quinientos (500) niños, niñas y adolescentes indígenas en actividades lúdicas extramurales y del ejercicio del derecho al juego</t>
  </si>
  <si>
    <t>Torneos de juegos ancestrales y convencionales indígenas realizados en los seis cabildos indígenas asentados en el Distrito desarrollados</t>
  </si>
  <si>
    <t>Desarrollar cuatro (4) torneos de juegos ancestrales y convencionales indígenas en los seis Cabildos Indígenas asentados en el Distrito</t>
  </si>
  <si>
    <t>Programa de protección, divulgación, preservación y salvaguarda de las prácticas, costumbres y saberes ancestrales de los pueblos originarios de los 6 cabildos indígenas presentes en el Distrito creado e implementado</t>
  </si>
  <si>
    <t>Crear e implementar un (1) programa de protección, divulgación, preservación y salvaguarda de las prácticas, costumbres y saberes ancestrales de los pueblos originarios de los 6 Cabildos Indígenas presentes en el Distrito</t>
  </si>
  <si>
    <t>Becas inclusivas para estudiantes de los cabildos indígenas asentados en el Distrito</t>
  </si>
  <si>
    <t>Otorgar sesenta (60) becas inclusivas para estudiantes de los cabildos indígenas</t>
  </si>
  <si>
    <t>Emprendimiento s de mujeres indígenas distribuidas en los 6 cabildos del Distrito financiados</t>
  </si>
  <si>
    <t>Financiar sesenta (60) emprendimientos de mujeres indígenas distribuidas en los 6 Cabildos del Distrito</t>
  </si>
  <si>
    <t>Unidades productivas en cabildos indígenas con asistencias técnicas y apoyo financiero</t>
  </si>
  <si>
    <t>Brindar asistencia técnica y apoyo financiero a doscientas (200) unidades productivas de los Cabildos Indígenas presentes en el Distrito</t>
  </si>
  <si>
    <t>PES</t>
  </si>
  <si>
    <t>torgados en el Laboratorio Cultural de Mercados Sectoriales a unidades productivas de las comunidades indígenas</t>
  </si>
  <si>
    <t>Otorgar ocho (8) espacios a unidades productivas de comunidades indígenas en el Laboratorio Cultural de los Mercados Sectoriales como mecanismo de generación de ingresos</t>
  </si>
  <si>
    <t>Mujeres indígenas atendidas en el fortalecimiento de las actividades propias</t>
  </si>
  <si>
    <t>Atender a cien (100) mujeres indígenas en el fortalecimiento de sus actividades propias</t>
  </si>
  <si>
    <t>Unidad Municipal de Asistencia Técnica Agropecuaria</t>
  </si>
  <si>
    <t>Mujeres indígenas atendidas con servicios de extensión agropecuaria</t>
  </si>
  <si>
    <t>Atender a cien (100) mujeres indígenas con servicios de extensión agropecuaria</t>
  </si>
  <si>
    <t>PORCENTAJE  ALCANZADO DICIEMBRE  RESPECTO A LO PROGRAMADO 2024</t>
  </si>
  <si>
    <t xml:space="preserve">LOGRO ALCANZADO DICIEMBRE RESPECTO AL CUATRIENIO  </t>
  </si>
  <si>
    <t xml:space="preserve">PONDERADOR </t>
  </si>
  <si>
    <t>AVANCE  VIGENCIA 2024 CUARTO TRIMESTRE RESPECTO A PROGRAMADO CUATRIENIO (ACUMULADO AÑO 2024)</t>
  </si>
  <si>
    <t>AVANCE RESPECTO AL PROGRAMADO VIGENCIA  2024  CUARTO TRIMESTRE (ACUMULADO AÑO 2024)</t>
  </si>
  <si>
    <t>PLAN DE DESARROLLO CARTAGENA CIUDAD DE DERECHOS 20224 - 2027</t>
  </si>
  <si>
    <t xml:space="preserve">Implementar cuatrocientos cuarenta  (440) sistemas de información para la seguridad (alarmas comunitarias, drones, totem) 
</t>
  </si>
  <si>
    <t>PONDERADOR LINEA ESTRATEGICA</t>
  </si>
  <si>
    <t>Racionalizar cuarenta (40)  nuevos trámites y/o procesos administrativos </t>
  </si>
  <si>
    <t>Crear un (1) Centro Integral de Atención Ciudadano (CIAC)</t>
  </si>
  <si>
    <t>Optimizar tres (3) ventanillas de atención ciudadana en su funcionamiento</t>
  </si>
  <si>
    <t>Implementar una (1) estrategia de acceso para respuesta a transparencia activa y pasiva, los instrumentos de gestión de la información con criterios de accesibilidad</t>
  </si>
  <si>
    <t>Desarrollar ocho (8) rendiciones públicas de cuentas a la ciudadanía</t>
  </si>
  <si>
    <t>Formar a tres mil (3.000) personas en el uso de Tecnologías de Información y Comunicaciones (TIC)</t>
  </si>
  <si>
    <t>Actualizar seis (6) sistemas de información de la entidad</t>
  </si>
  <si>
    <t>Implementar seis (6) nuevos sistemas de información institucionales</t>
  </si>
  <si>
    <t>Instalar treinta y dos (32) nuevas zonas Wi-Fi y mantener las 18 actuales</t>
  </si>
  <si>
    <t>Implementar una (1) estrategia para la simplificación de procesos</t>
  </si>
  <si>
    <t>Crear e implementar una (1) estrategia para la gestión del conocimiento y la innovación</t>
  </si>
  <si>
    <t>Implementar tres (3) herramientas tecnológicas para el uso, apropiación y fortalecimiento institucional implementadas</t>
  </si>
  <si>
    <t>Implementar cuatro (4) documentos de diagnóstico e implementación del Modelo Integrado de Planeación y Gestión – MIPG</t>
  </si>
  <si>
    <t>Elaborar e implementar cuatro (4) agendas regulatorias</t>
  </si>
  <si>
    <t>Implementar cuatro (4) procesos de depuración normativa</t>
  </si>
  <si>
    <t>Actualizar diez mil seiscientos treinta y cinco (10.635) predios del inventario de bienes inmuebles pertenecientes al Distrito</t>
  </si>
  <si>
    <t>Intervenir seiscientos (600) bienes inmuebles y predios del Distrito</t>
  </si>
  <si>
    <t>Actualizar un (1) inventario de bienes muebles pertenecientes al Distrito</t>
  </si>
  <si>
    <t>Implementar cinco (5) fases del proceso de rediseño organizacional (Acuerdo Inicial, Diagnóstico, Diseño, Implementación, Supresión y/o liquidación)</t>
  </si>
  <si>
    <t>Implementar (1) Un Plan Estratégico  de Tratamiento de Riesgo de Seguridad y Privacidad de la Información.</t>
  </si>
  <si>
    <t>Implementar (1) Un Plan Estratégico  de Seguridad y Privacidad de la información.</t>
  </si>
  <si>
    <t>Implementar un (1) Cloud Data Center para la protección y seguridad de la información en el Distrito de Cartagena</t>
  </si>
  <si>
    <t>Implementar cinco (5) servicios de gestión documental</t>
  </si>
  <si>
    <t>Implementar dos (2) servicios de sistemas de gestión</t>
  </si>
  <si>
    <t>Implementar un (1) Sistema de Gestión de Archivos Electrónicos – SGDEA en sus 5 fases: (Planeación, análisis, diseño, implementación y evaluacion, monitoreo y control)</t>
  </si>
  <si>
    <t>Diseñar e implementar un (1) Plan de Formación sobre el Sistema de Control Interno y Control Interno Contable</t>
  </si>
  <si>
    <t>Implementar un (1) Software de Auditoría Basada en Riesgos para procesos y sistemas de información</t>
  </si>
  <si>
    <t>Dotar tres (3) sedes del DATT con logística para mejorar la gestión administrativa y operativa en la prestación del servicio</t>
  </si>
  <si>
    <t>Diseñar un (1) portafolio virtual para oferta de trámites y servicios</t>
  </si>
  <si>
    <t>Recuperar ciento diecisiete mil dos ($ 117.002) millones de pesos de la cartera del DATT</t>
  </si>
  <si>
    <t>Instalar en treinta (30) puntos de la ciudad con sistema de monitoreo, control y fiscalización electrónica del tránsito</t>
  </si>
  <si>
    <t>Recaudar $1.727.905.000.000 pesos por impuesto predial unificado</t>
  </si>
  <si>
    <t>Recaudar $2.912.805.184.493 pesos por Impuesto de Industria y Comercio y complementarios</t>
  </si>
  <si>
    <t>Recaudar 34.797.802.428 de Impuesto delineación urbana en el cuatrienio</t>
  </si>
  <si>
    <t>Recaudar 238.874.034.451 de Sobretasa a la gasolina en el cuatrienio</t>
  </si>
  <si>
    <t>Implementar un (1) proyecto de modernización integral en la Secretaría de Hacienda</t>
  </si>
  <si>
    <t>Formar y cualificar dos mil ciento noventa y ocho (2.198) servidores públicos y contratistas del Distrito en enfoques diferenciales</t>
  </si>
  <si>
    <t>Crear e implementar cuatro (4) estrategias de formación en cultura tributaria dirigidas a servidores públicos y contratistas del Distrito</t>
  </si>
  <si>
    <t>Desarrollar ochenta (80) procesos de formación a ciudadanos</t>
  </si>
  <si>
    <t>Desarrollar veinte (20) procesos de formación a ciudadanos pertenecientes a grupos étnicos</t>
  </si>
  <si>
    <t>Elaborar dieciséis (16) mesas de planeación y participación dirigidas a distintos grupos de población con enfoque inclusivo, diferencial y territorial</t>
  </si>
  <si>
    <t>Desarrollar cuarenta (40) procesos de formación con enfoque inclusivo, diferencial y territorial</t>
  </si>
  <si>
    <t>Implementar cuatro (4) estrategias pedagógicas para promover el orgullo y el sentido de pertenencia por la ciudad</t>
  </si>
  <si>
    <t>Implementar ciento treina y ocho (138) iniciativas de cultura ciudadana</t>
  </si>
  <si>
    <t>Implementar ocho (8) estrategias pedagógicas para fortalecer la cultura vial y el adecuado uso del Sistema Integrado de Transporte Masivo</t>
  </si>
  <si>
    <t>Implementar cuatro (4) estrategias de promocion de practicas para el cuidado y el desarrollo integral del ser humano</t>
  </si>
  <si>
    <t>Implementar cuatro (4) estartegias para fomentar el respeto y la prevencion del maltrato contra la mujer</t>
  </si>
  <si>
    <t>Realizar doce (12) mesas de gobernanza para el seguimiento a indicadores de ciudad</t>
  </si>
  <si>
    <t>Desarrollar cuatro (4) procesos de formación en gobernanza e innovación pública</t>
  </si>
  <si>
    <t>Asesorar y acompañar doscientos nueve (209) organismos de acción comunal para el trámite exitoso de su Registro Único Tributario (RUT) ante la DIAN</t>
  </si>
  <si>
    <t>Asesorar y acompañar trescientos veintiocho (328) organismos de accion comunal asesorados y acompañados para eñ tramite exitoso de su registro unico comunal (RUC)</t>
  </si>
  <si>
    <t>Asesorar y acompañar cuatrocientos dos (402) rganismos de accion comunal en procesos de actualizacion estatutaria</t>
  </si>
  <si>
    <t>Crear e implementar una (1) Guia Metodologica para la formulacion de planes de desarrollo estrategicos comunales PDEC</t>
  </si>
  <si>
    <t>Diseñar una (1) ruta para garantizar la proteccion y acompañamiento de lideres y lideresas sociales, dignatarios y/o afiliados a organismos comunales de la ciudad en situacion de riesgo</t>
  </si>
  <si>
    <t>Crear y poner en funcionamiento una (1) Plataforma web de seguimiento a procesos y procedimientos de organismos comunales y organinazciones sociales de base</t>
  </si>
  <si>
    <t>Financiar trescientas (300) obras de interes comunitario con organismos de acción comunal a través de convenios solidarios</t>
  </si>
  <si>
    <t>Dotar y/o adecuar cien (100) sedes comunales en el Distrit</t>
  </si>
  <si>
    <t>Construir tres (3) sedes comunales en el Distrito</t>
  </si>
  <si>
    <t>Crear un (1) banco de proyectos de iniciativas comunales y comunitarias</t>
  </si>
  <si>
    <t>Desarrollar doscientas (200) actividades de cambio y transformación del entorno con organismos de acción comunal y la cuadrilla comunal</t>
  </si>
  <si>
    <t>Crear un (1) fondo de financiamiento y apalancamiento para la ejecución de iniciativas y proyectos de organizaciones comunales, comunitarias y/o sociales de base</t>
  </si>
  <si>
    <t>Invertir seis mil millones de pesos ($6.000.000.000) pesos para presupuestos participativos por año</t>
  </si>
  <si>
    <t>Vincular a cincuenta mil (50.000) ciudadanos a procesos de construcción de instrumentos de gestión y de políticas públicas</t>
  </si>
  <si>
    <t>Crear cuatro (4) campañas para la promoción de la participación ciudadana</t>
  </si>
  <si>
    <t>Desarrollar veinte (20) encuentros comunales y/o comunitarios de intercambio de experiencias, construcción de ciudad y promoción de la participación ciudadana</t>
  </si>
  <si>
    <t>Certificar mil quinientos (1.500) afiliados y afiliadas a organismos comunales del Distrito bajo la metodología del programa Formador de Formadores para la Acción Comunal</t>
  </si>
  <si>
    <t>Conformar un (1) voluntariado juvenil distrital</t>
  </si>
  <si>
    <t>Crear una (1) escuela de formación en liderazgo juvenil</t>
  </si>
  <si>
    <t>Vincular ocho mil (8.000) jóvenes en programas de formación sociopolítica y habilidades para la vida</t>
  </si>
  <si>
    <t>Implementar cuatro (4) programas (uno por año) para el fortalecimiento de los derechos de la Juventud</t>
  </si>
  <si>
    <t>Acompañar con apoyo técnico, administrativo y logístico al Consejo Distrital de Juventud y Plataforma de Juventudes</t>
  </si>
  <si>
    <t>Crear un (1) Consejo Consultivo de Mujeres y Equidad de Género</t>
  </si>
  <si>
    <t>Formar a tres mil (3.000) mujeres para la participación sociopolítica, liderazgo e incidencia política en el Distrito</t>
  </si>
  <si>
    <t>Diseñar, construir y dotar una (1) Casa de la Mujer para su operación y/o funcionamiento</t>
  </si>
  <si>
    <t>Elaborar cuatro (4) estudios socioeconómicos y poblacionales</t>
  </si>
  <si>
    <t>Elaborar seis (6) estudios de focalización territorial de beneficiarios de Programas Sociales</t>
  </si>
  <si>
    <t>Desarrollar seis (6) productos de generación de nuevo conocimiento</t>
  </si>
  <si>
    <t>Desarrollar diez (10) actividades científicas de apropiación social del conocimiento</t>
  </si>
  <si>
    <t>Desarrollar una (1) Encuesta Multipropósito</t>
  </si>
  <si>
    <t>Actualizar y optimizar un (1) Mapa Interactivo de Asuntos del Suelo - MIDAS</t>
  </si>
  <si>
    <t>Crear e implementar un (1) Sistema de Información Geográfico y Estadístico Distrital potenciado con infraestructura de datos espaciales</t>
  </si>
  <si>
    <t>Mantener actualizada una (1) base de datos de estratificación del Distrito</t>
  </si>
  <si>
    <t>Implementar una (1) Política de Gestión Estadística en el marco de MIPG</t>
  </si>
  <si>
    <t>Mantener actualizada una (1) base de datos del SISBEN IV en la fase de demanda</t>
  </si>
  <si>
    <t>Mejorar una (1) Oficina Administrativa y diez (10) puntos de atención del SISBEN IV</t>
  </si>
  <si>
    <t>Elaborar dieciséis (16) informes periódicos seguimiento de inversión pública</t>
  </si>
  <si>
    <t>Elaborar noventa y dos (92) asistencias técnicas entidades del Distrito</t>
  </si>
  <si>
    <t>Elaborar mil quinientos (1.500) soportes técnicos a usuarios en temas de proyectos de inversión</t>
  </si>
  <si>
    <t>Formular y hacer seguimiento a los Planes de Desarrollo Local</t>
  </si>
  <si>
    <t>Formular una (1) estrategia de asistencia técnica para la formulación de los Planes de Desarrollo Estratégicos Comunales</t>
  </si>
  <si>
    <t>Formular y hacer seguimiento a veintiun (21) Planes de Acción</t>
  </si>
  <si>
    <t>Formular en sus tres fases siete (7) proyectos estratégicos de ciudad</t>
  </si>
  <si>
    <t>Formular y acompañar en su evaluación y seguimiento a nueve (9) políticas públicas</t>
  </si>
  <si>
    <t>Finalizar la formulación y acompañar en la evaluación y seguimiento a tres (3) políticas públicas</t>
  </si>
  <si>
    <t>Elaborar un (1) estudio técnico para la creación de nuevas localidades</t>
  </si>
  <si>
    <t>Presentar un (1) proyecto de acuerdo al Concejo para la creación de dos localidades</t>
  </si>
  <si>
    <t>Desarrollar Asistencia tecnica y seguimiento a la ejecucion de los fondos de desarrollo local</t>
  </si>
  <si>
    <t>Acompañar con apoyo técnico, administrativo y logístico anualmente a cinco (5) instancias de planeación (Consejo Territorial de Planeación, el Consejo Consultivo de Ordenamiento Territorial y el Consejo de Participación Ciudadana)</t>
  </si>
  <si>
    <t>Implementar una (1) operación del servicio público de catastro multipropósito</t>
  </si>
  <si>
    <t>Formular un (1) plan de fortalecimiento para la prestación efectiva del servicio público de gestión catastral</t>
  </si>
  <si>
    <t>Revisar, actualizar y ajustar un (1) Plan de Ordenamiento Territorial para presentarlo ante el Concejo para su adopción</t>
  </si>
  <si>
    <t>Revisar, actualizar y ajustar un (1) Plan Especial de Manejo y Protección del Centro Histórico y su área de influencia para presentarlo ante el Ministerio de Cultura para su adopción</t>
  </si>
  <si>
    <t>Formular una (1) Actuación Urbana Integral A.U.I -12 / Recuperación Integral del Cerro de la Popa</t>
  </si>
  <si>
    <t>Formular una (1) Actuación Urbana Integral A.U.I -13 / Recuperación Integral del Cerro de Albornoz – Cospique</t>
  </si>
  <si>
    <t>Formular una (1) nueva Actuación Urbana Integral A.U.I / Desarrollo de un Plan Parcial de mejoramiento de vivienda con un proyecto multipropósito de espacios públicos y mixtos para el mejoramiento del hábitat de los asentamientos de Nelson y Villa Hermosa</t>
  </si>
  <si>
    <t>Formular dos (2) Planes: un (1) Plan Maestro de Servicios Urbanos e Institucionales al ciudadano, y un (1) Plan Maestro de Equipamientos Colectivos y Hábitat</t>
  </si>
  <si>
    <t>Formular un (1) Plan Local Portuario, articulado a los instrumentos de planeación territorial y a la Política Pública Nacional Portuaria</t>
  </si>
  <si>
    <t>Reformular, adoptar y dar seguimiento a un (1) Plan Parcial de Renovación Urbana de Bazurto</t>
  </si>
  <si>
    <t>Adoptar dos (2) Planes Parciales en suelo de expansión de los Centros Poblados de Bayunca y Pasacaballos</t>
  </si>
  <si>
    <t>Reformular, adoptar y dar seguimiento a un (1) Plan Parcial del Sector Policarpa, Arroz Barato y Puerta de Hierro</t>
  </si>
  <si>
    <t>Reformular, adoptar y dar seguimiento a un (1) Plan Parcial de Reordenamiento de las Lomas del Marión y Zaragocilla</t>
  </si>
  <si>
    <t>Tramitar la totalidad de los proyectos de legalización urbanística presentados a la administración distrital</t>
  </si>
  <si>
    <t>Diseñar y ejecutar un (1) Plan Estratégico para el traslado de Marlinda y Villa Gloria</t>
  </si>
  <si>
    <t>Formular y ejecutar diez (10) Planes de Mejoramiento Integral de Centros Poblados (Arroyo Grande, Arroyo de las Canoas, Punta Canoas, Manzanillo, Puerto Rey, Tierrabaja, Pontezuela, Membrillal, Leticia y Recreo)</t>
  </si>
  <si>
    <t>Diseñar cuatro (4) lineamientos técnicos y pedagógicos para garantizar el derecho a la ciudad de niñas y mujeres en el entorno urbano</t>
  </si>
  <si>
    <t>Formular un (1) Plan Estratégico Prospectivo Cartagena 2050</t>
  </si>
  <si>
    <t>Recuperar y mantener ciento ochenta y cinco mil (185.000) metros cuadrados de espacios públicos</t>
  </si>
  <si>
    <t>Habilitar once mil (11.000) metros cuadrados de espacio público nuevos para el aprovechamiento económico</t>
  </si>
  <si>
    <t>Presentar doscientas (200) querellas para la recuperación del espacio público</t>
  </si>
  <si>
    <t>Formular una (1) Política Pública de Legalización de Asentamientos Humanos y del Control Urbano</t>
  </si>
  <si>
    <t>Formular y presentar dos (2) documentos de planeación para la implementación de la curaduría pública y de nuevas curadurías urbanas</t>
  </si>
  <si>
    <t>Formular un (1) estudio para dar viabilidad para la creación de nuevas curadurías urbanas</t>
  </si>
  <si>
    <t>Elaborar ocho (8) obras de demolición derivadas de fallos, sentencias y sanciones</t>
  </si>
  <si>
    <t>Conformar un (1) equipo de reacción inmediata para la reducción, intervención y control de invasiones ilegales</t>
  </si>
  <si>
    <t>Certificar dos mil ochocientos (2.800) defensores urbanos barriales en normas urbanísticas</t>
  </si>
  <si>
    <t>Especializar y dotar siete (6) sedes de inspecciones en temas urbanísticos con herramientas tecnológicas</t>
  </si>
  <si>
    <t>Generar seiscientos (600) documentos normativos</t>
  </si>
  <si>
    <t>Desarrollar doce (12) actividades por año para promover la protección y bienestar animal en sectores turísticos</t>
  </si>
  <si>
    <t>Atender a veinte mil (20.000) animales por año en jornadas de salud, prevención y protección animal</t>
  </si>
  <si>
    <t>Estandarizar tres (3) protocolos para la atención a animales domésticos y silvestres</t>
  </si>
  <si>
    <t>Censar cien mil (100.000) animales domésticos</t>
  </si>
  <si>
    <t>Crear tres (3) módulos o aplicativos funcionales de software integrados en una plataforma web de acceso abierto</t>
  </si>
  <si>
    <t>Crear y poner en operación un (1) Centro de Bienestar Animal del Distrito</t>
  </si>
  <si>
    <t>Dotar tres (3) unidades móviles de atención veterinaria</t>
  </si>
  <si>
    <t>Plantar trescientos mil (300.000) árboles en el Distrito de Cartagena</t>
  </si>
  <si>
    <t>Restaurar ocho (8) hectáreas de áreas degradadas</t>
  </si>
  <si>
    <t>Construir y dotar un (1) Centro de Atención y Valoración de Fauna Silvestre nuevo</t>
  </si>
  <si>
    <t>Crear y poner en funcionamiento un (1) Centro Inteligente para el Monitoreo Ambiental de Cartagena</t>
  </si>
  <si>
    <t>Implementar dos (2) estaciones de monitoreo de la calidad del aire</t>
  </si>
  <si>
    <t>Elaborar cuatro (4) documentos de investigación para la gestión de la información y el conocimiento ambiental</t>
  </si>
  <si>
    <t>Formular una (1) Política Pública de Educación Ambiental</t>
  </si>
  <si>
    <t>Diseñar diez mil (10.000) metros lineales de senderos peatonales</t>
  </si>
  <si>
    <t>Diseñar y construir seis (6) megaproyectos de parques con criterios de adaptación al cambio climático</t>
  </si>
  <si>
    <t>Elaborar seis (6) documentos de lineamientos técnicos para determinantes ambientales</t>
  </si>
  <si>
    <t>Actualizar e implementar un (1) Plan 4C: Cartagena Competitiva y Compatible con el Clima</t>
  </si>
  <si>
    <t>Actualizar y adoptar un (1) Plan Distrital de Gestión de Riesgo</t>
  </si>
  <si>
    <t>Mantener actualizado un (1) Sistema de informacion de conocimiento del riesgo</t>
  </si>
  <si>
    <t>Llevar a ciento ocho (108) el número de inventarios de asentamientos en zonas de alto riesgo elaborados</t>
  </si>
  <si>
    <t>Implementar un (1) sistema de comunicación de gestión del riesgo con todos los actores que integran la gestión de riesgo del Distrito</t>
  </si>
  <si>
    <t>Coordinar veintitrés (23) acciones para mitigación y atención de desastres</t>
  </si>
  <si>
    <t>Formar ciento treinta y dos (132) organizaciones comunitarias en prevención y gestión de los riesgos</t>
  </si>
  <si>
    <t>Desarrollar tres (3) Acciones de protección de laderas para reducción del riesgo en el Cerro Lefran, Cerro la Popa y Cerro de Albornoz</t>
  </si>
  <si>
    <t>Actualizar y adoptar una (1) Estrategia de Respuesta a Emergencias del Distrito de Cartagena</t>
  </si>
  <si>
    <t>Atender dos mil (2.000) emergencias de riesgo que se presenten en el Distrito</t>
  </si>
  <si>
    <t>Entregar mil cuatrocientos cincuenta (1.450) beneficios económicos a familias afectadas en los distintos eventos manejados por la Oficina Asesora para la Gestión de Riesgo de Desastres</t>
  </si>
  <si>
    <t>Construir siete (7) km de protección costera para llegar a los 13.2 km</t>
  </si>
  <si>
    <t>Formular e implementar un (1) Plan Integral de Parques y Zonas Verdes</t>
  </si>
  <si>
    <t>Mejorar cinco (5) kilómetros de orillas para uso recreativo en caños, lagos y lagunas</t>
  </si>
  <si>
    <t>Formular e implementar un (1) Plan Especial de Movilidad y Peatonalización del Centro Histórico</t>
  </si>
  <si>
    <t>Mejorar catorce mil (14.000) metros lineales de andenes y bordillos del Centro Histórico</t>
  </si>
  <si>
    <t>Mejorar quince (15) plazas, parques y plazoletas del Centro Histórico</t>
  </si>
  <si>
    <t>Elaborar un (1) Estudio de Capacidad de Carga del Espacio Público Patrimonial</t>
  </si>
  <si>
    <t>Elaborar un (1) Estudio y dar lineamientos técnicos de las nuevas Tipologías Arquitectónicas del Centro Histórico</t>
  </si>
  <si>
    <t>Elaborar una (1) Cartilla del Espacio Público Patrimonial</t>
  </si>
  <si>
    <t>Recuperar y mantener dos parques: (parque Espíritu del Manglar y Parque del Centenario).</t>
  </si>
  <si>
    <t>Rehabilitar cuatro (4) espacios públicos que comunican el Centro Histórico y Castillo de San Felipe</t>
  </si>
  <si>
    <t>Adecuar tres (3) zonas del espacio público para la recreación y el deporte en el paisaje fortificado</t>
  </si>
  <si>
    <t>Construir dos (2) enlaces peatonales de cordon amurallado</t>
  </si>
  <si>
    <t>Desarrollar dieciséis (16) actividades para la apropiación colectiva del patrimonio y la gobernanza territorial</t>
  </si>
  <si>
    <t>Construir diez (10) obras para la competitividad distintas a vías</t>
  </si>
  <si>
    <t>Rehabilitar sesenta (60) km/carril de la malla vial</t>
  </si>
  <si>
    <t>Construir cuatro (4) km/carril de malla vial</t>
  </si>
  <si>
    <t>Construir tres (3) puentes nuevos en la ciudad</t>
  </si>
  <si>
    <t>Construir un (1) corredor vial de la troncal del sur</t>
  </si>
  <si>
    <t>Construir dos (2) kilómetros de vías urbanas por contribución de Valorización.</t>
  </si>
  <si>
    <t>Construir diez (10) kilómetros de vías rurales</t>
  </si>
  <si>
    <t>Construir diez mil (10.000) metros cuadrados de andenes y/o áreas peatonales</t>
  </si>
  <si>
    <t>Instalar dos mil doscientos ochenta y nueve (2.289) señales verticales</t>
  </si>
  <si>
    <t>Diseñar y demarcar veinte (20) kilómetros de ciclorutas</t>
  </si>
  <si>
    <t>Ampliar una (1) red semafórica de la ciudad</t>
  </si>
  <si>
    <t>Actualizar y normalizar catorce (14) rutas del Transporte Público Colectivo</t>
  </si>
  <si>
    <t>Erradicar diez (10) estaciones de transporte informal</t>
  </si>
  <si>
    <t>Intervenir y mejorar dieciocho (18) puntos críticos de movilidad</t>
  </si>
  <si>
    <t>Diseñar y demarcar Veinte (20) zonas de estacionamiento regulado (ZER)</t>
  </si>
  <si>
    <t>Sustituir ciento diecinueve (119) vehículos de tracción animal dedicados al transporte de cargas livianas</t>
  </si>
  <si>
    <t>Sustituir sesenta (60) vehículos de tracción animal dedicados al servicio turístico</t>
  </si>
  <si>
    <t>Elaborar una (1) caracterización socioeconómica de mototrabajadores</t>
  </si>
  <si>
    <t>Renovar dieciocho (18) estaciones del sistema</t>
  </si>
  <si>
    <t>Renovar un (1) Patio Portal</t>
  </si>
  <si>
    <t>Renovar un (1) carril de solobus</t>
  </si>
  <si>
    <t>Implementar un (1) servicio de seguridad ciudadana en el Sistema Integrado de Transporte Masivo</t>
  </si>
  <si>
    <t>Renovar cuatrocientos ochenta y dos (482) paraderos</t>
  </si>
  <si>
    <t>Modernizar un (1) sistema de recaudo, gestión de flota, información al usuario</t>
  </si>
  <si>
    <t>Implementar veinticinco (25) estrategias para la promoción de la cultura ciudadana y el uso del sistema</t>
  </si>
  <si>
    <t>Diseñar tres (3) estudios técnicos para la evaluación de operación de flota eléctrica, transporte acuático, transporte por cable aéreo</t>
  </si>
  <si>
    <t>Ejecutar tres (3) fases del proyecto de transporte acuático</t>
  </si>
  <si>
    <t>Construir o recuperar diez (10) embarcaderos para el transporte acuático</t>
  </si>
  <si>
    <t>Elaborar estudio para la implementación de la tarifa diferencial en el Sistema</t>
  </si>
  <si>
    <t>Implementar una (1) estrategia para la lucha contra el acoso en el Sistema Integrado de Transporte Masivo</t>
  </si>
  <si>
    <t>Movilizar ciento treinta y siete millones trescientos dos mil novecientos noventa y ocho (137.302.998) pasajeros en el cuatrienio</t>
  </si>
  <si>
    <t>Recuperar cuarenta (40) hectáreas de manglares</t>
  </si>
  <si>
    <t>Extraer ciento cuarenta mil (140.000) metros cúbicos de sedimentos en la Bocana y laguna de Chambacú</t>
  </si>
  <si>
    <t>Formular un (1) estudios de prefactibilidad para la implementación de laboratorio interactivo en un sector del caño Juan Angola</t>
  </si>
  <si>
    <t>Diseñar diez (10) kilómetros de canales.</t>
  </si>
  <si>
    <t>Construir un (1) km de canales.</t>
  </si>
  <si>
    <t>Retirar cien mil (100.000) m3 de material de limpieza en el cuatrienio.</t>
  </si>
  <si>
    <t>Recuperar diez (10) km de bordes de costa de cuerpos de agua</t>
  </si>
  <si>
    <t>Elaborar un (1) documento de acotamiento y priorización de ronda hídrica</t>
  </si>
  <si>
    <t>Recuperar una (1) ronda hídrica priorizada a través del documento de acotamiento</t>
  </si>
  <si>
    <t>Formular, adoptar y hacer seguimiento a un (1) Plan Parcial de Chambacú, Torices, La Unión</t>
  </si>
  <si>
    <t>Formular un (1) Plan Maestro de Caños, Laguna y Ciénagas interiores de la Ciudad y la Bahía de Cartagena</t>
  </si>
  <si>
    <t>Recuperar diez (10) afluentes principales que derivan en la Ciénaga de la Virgen</t>
  </si>
  <si>
    <t>Desarrollar veinte (20) campañas de educación ambiental sobre conservación y protección del espacio verde  para habitantes de zonas aledañas a la Ciénaga de la Virgen</t>
  </si>
  <si>
    <t>Desarrollar dos (2) proyectos de mejoramiento del Sistema Estabilizadora de Mareas</t>
  </si>
  <si>
    <t>Formular e implementar un (1) Plan de Gestión Social y Ambiental de la Ciénaga de la Virgen</t>
  </si>
  <si>
    <t>Formular un (1) estudio y diseño de fase III (factibilidad) para la construcción de la Vía Perimetral</t>
  </si>
  <si>
    <t>Formular y adoptar tres (3) Planes Parciales de Renovación Urbana: R4, R7 y R8</t>
  </si>
  <si>
    <t>Formular un (1) Plan de Mejoramiento Integral de la Boquilla</t>
  </si>
  <si>
    <t>Elaborar estudios detallados de amenaza y riesgo para los territorios delimitados en los Planes Parciales R1, R2, R3, R5 y R6</t>
  </si>
  <si>
    <t>Formular una (1) Operación Territorial – O.T-5 / Frente Costero y Protección de Playas</t>
  </si>
  <si>
    <t>Formular una (1) Operación Territorial – O.T-6 / Bahía de Cartagena – Canal del Dique</t>
  </si>
  <si>
    <t>Formular una (1) Operación Territorial – O.T 12 / Zona Insular</t>
  </si>
  <si>
    <t>Formular y ejecutar los Planes de Mejoramiento Integral de los Centros Poblados insulares de Bocachica, Caño del Oro, Punta Arena, Tierrabomba, Barú, Isla Grande, Santa Cruz del Islote, e Isla Fuerte</t>
  </si>
  <si>
    <t>Diseñar (1) Cartilla de Tipologías de Vivienda Insular o Costera adaptada a los eventos de cambio climático</t>
  </si>
  <si>
    <t>Implementar dos (2) proyectos estratégicos para el mantenimiento de los cuerpos de agua de la ciudad (Borde Social Ambiental Caño Juan Angola y Parque Pescadores de la Bocana)</t>
  </si>
  <si>
    <t>Formular en fase de prefactibilidad cuatro (4) proyectos estratégicos para el mantenimiento de los cuerpos de agua de la ciudad (Restauración ecosocial de cuenca Arroyo Matute, Zona de los canales, Zona de los arroyos, Zona de Caños y Lagos)</t>
  </si>
  <si>
    <t>Elaborar un (1) estudio de clúster para la competitividad regional</t>
  </si>
  <si>
    <t>Diseñar una (1) iniciativa regional de infraestructura de transporte abastecimiento y logística</t>
  </si>
  <si>
    <t>Desarrollar un (1) Servicio de protección del recurso hídrico para Promover inversiones supramunicipales</t>
  </si>
  <si>
    <t>Actualizar un (1) Plan Regional de Competitividad</t>
  </si>
  <si>
    <t>Implementar cuatro (4) acciones que fortalezcan el mejoramiento del clima de negocios</t>
  </si>
  <si>
    <t>Ejecutar cuatro (8) estrategias de acompañamiento de iniciativas clúster y apuestas productivas promisorias</t>
  </si>
  <si>
    <t xml:space="preserve">Beneficiar a mil (1.000)
personas a través del diseño y ejecución de 4 planes de fomento de la cultura de la innovación
</t>
  </si>
  <si>
    <t>Actualizar un (1) Sistema Distrital de Innovación a través de acciones anuales</t>
  </si>
  <si>
    <t>Implementar cuatro (4) Estrategias de posicionamiento “Cartagena Plataforma Exportadora”</t>
  </si>
  <si>
    <t>Asistir cien (100) empresas en programas de exportaciones</t>
  </si>
  <si>
    <t>Generar cuatro (4) alianzas para la promoción de Cartagena como “destino internacional en inversiones y apuestas productivas”</t>
  </si>
  <si>
    <t>Implementar cuatro (4) rutas para la diversificación económica y el desarrollo empresarial</t>
  </si>
  <si>
    <t>Ejecutar cuatro (4) estrategias de fortalecimiento empresarial y generación de encadenamientos productivos</t>
  </si>
  <si>
    <t>Impactar cuatrocientos (400) MiPymes con servicios de fortalecimiento empresarial</t>
  </si>
  <si>
    <t>Implementar un (1) programa de fortalecimiento de comerciantes de sectores estratégicos</t>
  </si>
  <si>
    <t>Habilitar y consolidar sesenta (60) alianzas de cooperantes nacionales e internacionales</t>
  </si>
  <si>
    <t>Habilitar y mapear mil doscientas (1.200) organizaciones para cooperar</t>
  </si>
  <si>
    <t>Consolidar sesenta (60) nuevos negocios verdes</t>
  </si>
  <si>
    <t>Implementar dos (2) plantas para la revalorización de residuos en zonas de tratamiento integral (acopio, transformación, aprovechamiento y comercialización).</t>
  </si>
  <si>
    <t>Implementar cinco (5) proyectos específicos de economía circular con apoyo de cooperantes</t>
  </si>
  <si>
    <t>Desarrollar una (1) investigación para evaluar y redefinir las apuestas productivas de la ciudad en el marco de las tendencias futuras de la economía mundial</t>
  </si>
  <si>
    <t>Elaborar (1) estudio sobre mercado laboral y pertinencia educativa</t>
  </si>
  <si>
    <t>Crear un (1) fondo para la reconversión productiva a emprendimientos de pequeñas y medianas empresas</t>
  </si>
  <si>
    <t>Crear una (1) estrategia de encadenamientos productivos a nivel intersectorial e intrasectorial entre las grandes, medianas y pequeñas empresas</t>
  </si>
  <si>
    <t>Crear y poner en funcionamiento tres (3) Centros de Formación para el Empleo con Enfoque en Ciencia, Tecnología, Innovación y Bilingüismo</t>
  </si>
  <si>
    <t>Vincular a quinientos (500) jóvenes (mujeres, grupos étnicos y víctimas) a estrategias de formación relacionadas a la innovación y la Cuarta Revolución Industrial</t>
  </si>
  <si>
    <t>Implementar cuatro (4) estrategias de acceso a oportunidades del mercado laboral (trabajo formal y formalización del trabajo informal)</t>
  </si>
  <si>
    <t>Crear tres (3) cooperativas que vinculen a: (2) Organizaciones Comunales y (1) organizaciones de víctimas en el desarrollo de oportunidades del mercado laboral</t>
  </si>
  <si>
    <t>Vincular a diez mil (10.000) personas a rutas de empleo y capital humano (al menos 50% mujeres)</t>
  </si>
  <si>
    <t>Vincular cuatrocientos (400) jóvenes estudiantes en la realización de las prácticas laborales y recibiendo auxilios como incentivos, con criterios de paridad de género</t>
  </si>
  <si>
    <t>Vincular cuatrocientos (400) jóvenes graduados sin experiencia laboral a la administración distrital, con criterios de paridad de género</t>
  </si>
  <si>
    <t>Cualificar mil trescientos (1.300) mujeres para la inserción laboral acorde a la pertinencia y necesidades del mercado laboral de la ciudad</t>
  </si>
  <si>
    <t>Implementar cuatro (4) rutas de emprendimiento</t>
  </si>
  <si>
    <t>Ejecutar cuatro (4) planes de comercialización y visibilización de productos de emprendedores</t>
  </si>
  <si>
    <t>Elaborar cuatro (4) estrategias de acompañamiento a emprendimientos y MiPymes para acceso a mecanismos de financiación</t>
  </si>
  <si>
    <t>Intervenir a dos mil (2000) emprendedores con capacidad para emprender</t>
  </si>
  <si>
    <t>Diseñar y ejecutar una (1) estrategia de proveeduría de sectores administrados por el Distrito que vincule la participación de emprendimientos, negocios y/o proyectos productivos liderado por mujeres</t>
  </si>
  <si>
    <t xml:space="preserve">Implementar cuatro (4) estrategias para la promoción de ecosistemas de emprendimiento e innovación
</t>
  </si>
  <si>
    <t>Crear dos (2) microcentros de inteligencia artificial</t>
  </si>
  <si>
    <t>Elaborar una (1) Caracterización socio empresarial de familias vulnerables atendidas en el Distrito.</t>
  </si>
  <si>
    <t>Formar y asistir con fortalecimiento productivo a cuatro mil (4.000) personas vulnerables</t>
  </si>
  <si>
    <t>Desarrollar una (1) feria anual de emprendimiento en el Distrito priorizando mujeres y jóvenes</t>
  </si>
  <si>
    <t>Financiar y formalizar cien (100) negocios y/o proyectos productivos liderados por mujere</t>
  </si>
  <si>
    <t>Formar a dos mil (2.000) jóvenes en emprendimientos e inclusión productiva</t>
  </si>
  <si>
    <t>Apoyar financieramente seiscientos (600) emprendimientos juvenile</t>
  </si>
  <si>
    <t>Formar y certificar a cuatrocientos (400) jóvenes para la vinculación e inserción en el mercado labora</t>
  </si>
  <si>
    <t>Crear cuatro (4) espacios o acciones de promoción para la vinculación laboral de jóvenes al trabajo formal y promoción del primer empleo</t>
  </si>
  <si>
    <t>Formalizar seiscientos (600) vendedores con emprendimiento y creación de pequeña empresa</t>
  </si>
  <si>
    <t>Diseñar seis (6) mobiliarios urbanos para el emprendimiento económico</t>
  </si>
  <si>
    <t>Elaborar cuatro (4) documentos de linemientos para el manejo del sector turismo</t>
  </si>
  <si>
    <t>Poner en funcionamiento seis (6) Centros de Atención al Turista en el Distrito (zona insular y urbana)</t>
  </si>
  <si>
    <t>Entregar trescientos sesenta (360) equipamientos para brigadistas y guardavidas del Distrito</t>
  </si>
  <si>
    <t xml:space="preserve">Vincular a trescientos veinte (320) personas líderes y autoridades turísticas a procesos de formación
</t>
  </si>
  <si>
    <t>Vincular cuatro mil ochocientas veintisiete (4.827) personas a procesos de formación y capacitación formal e informal en asuntos turísticos</t>
  </si>
  <si>
    <t>Vincular a cuatrocientas (400) personas con oportunidades de acceso a rutas de empleo y capital humano en turismo sostenible con paridad de genero</t>
  </si>
  <si>
    <t>Crear e implementar ocho (8) rutas comunitarias</t>
  </si>
  <si>
    <t>Vincular a ochenta (80) personas a asistencia técnica para el fortalecimiento de la actividad artesanal</t>
  </si>
  <si>
    <t>Entregar quinientos (500) activos productivos a prestadores de servicios turísticos</t>
  </si>
  <si>
    <t>Implementar acciones de sostenibilidad ambiental en dos (2) atractivos turísticos</t>
  </si>
  <si>
    <t>Cofinanciar cuatro (4) proyectos para la actividad turística</t>
  </si>
  <si>
    <t>Obtener dos (2) certificaciones turísticas</t>
  </si>
  <si>
    <t>Crear un (1) Portal Único de Información Turística sobre la Oferta Turística</t>
  </si>
  <si>
    <t>Crear e implementar una (1) Tecnologia de destino turistica inteligente</t>
  </si>
  <si>
    <t>Implementar cinco (5) alianzas con universidades para la formacion y profesionalizacion de actores turisticos</t>
  </si>
  <si>
    <t>Promover y desarrollar ocho (8) eventos turísticos náuticos en la zona insular y urbana del Distrito</t>
  </si>
  <si>
    <t>Desarrollar cuatro (4) campañas de divulgación para la promoción turística y conectividad</t>
  </si>
  <si>
    <t>Participar en sesenta (60) eventos especializados</t>
  </si>
  <si>
    <t>Desarrollar cuatro (4) productos turísticos</t>
  </si>
  <si>
    <t>Implementar cinco (5) eventos de ciudad</t>
  </si>
  <si>
    <t>Dotar, adecuar, mejorar, mantener y/o construir nueve (9) infraestructuras turísticas</t>
  </si>
  <si>
    <t>Elaborar dos (2) estudios de preinversión para proyectos turísticos</t>
  </si>
  <si>
    <t>Instalar ochenta (80) señalizaciones turísticas en 2 playas y/o espacios turísticos</t>
  </si>
  <si>
    <t>Implementar acciones de mantenimiento en veinticinco (25) infraestructuras turísticas para prestar servicios de vigilancia, control y seguridad a los turistas</t>
  </si>
  <si>
    <t>Consolidar una (1) entidad para el desarrollo y sostenibilidad turística</t>
  </si>
  <si>
    <t>Crear un (1) Observatorio de Turismo</t>
  </si>
  <si>
    <t>Elaborar un (1) documento de Planificación de Ordenamiento de Playas</t>
  </si>
  <si>
    <t>Desarrollar diez (10) procesos productivos de agricultura campesina familiar y comunitaria</t>
  </si>
  <si>
    <t>Atender a mil setecientos sesenta y siete (1.767) mujeres rurales con servicios de extensión agropecuari</t>
  </si>
  <si>
    <t>Atender a doscientas (200) mujeres afro rurales con servicios de extensión agropecuaria</t>
  </si>
  <si>
    <t>Atender a cien (100) mujeres indígena en el fortalecimiento de las actividades propias</t>
  </si>
  <si>
    <t>Implementar tres (3) circuitos cortos de comercialización</t>
  </si>
  <si>
    <t>Formular y ejecutar un (1) Plan de Extensión Agropecuaria del Distrito</t>
  </si>
  <si>
    <t>Atender a tres mil seiscientos cincuenta y dos (3.652) productores con servicios de extensión agropecuaria</t>
  </si>
  <si>
    <t>Consolidar dos (2) encadenamientos y/o cadenas productivas para garantizar el derecho humano a la alimentación</t>
  </si>
  <si>
    <t>Dotar veinte (20) de pescadores (pertenecientes a grupos étnicos)</t>
  </si>
  <si>
    <t>Formular y ejecutar tres (3) procesos productivos en producción, reproducción y mejoramiento genético (bovina y/o especies menores)</t>
  </si>
  <si>
    <t>Crear cuatro (4) procesos asociativos para fortalecer las capacidades y competencias agropecuarias</t>
  </si>
  <si>
    <t>Asistir veinte (20) emprendimientos rurales orientados a la generación de valor agregad</t>
  </si>
  <si>
    <t>Implementar cuatro (4) alianzas y/o convenios interadministrativos para la dotación de infraestructura física y/o activos productivos de carácter público</t>
  </si>
  <si>
    <t>Implementar una (1) solución alternativa de fuentes de agua en zonas de producción agrícola para mitigar el cambio climático</t>
  </si>
  <si>
    <t>Formular e implementar dos (2) proyectos de maricultura</t>
  </si>
  <si>
    <t>Desarrollar cuatro (4) acciones para el fortalecimiento de la mujer en el ejercicio de la pesca</t>
  </si>
  <si>
    <t>Crear un (1) Centro de Acopio Integral</t>
  </si>
  <si>
    <t>Crear una (1) escuela de pescadores de saberes ancestrales</t>
  </si>
  <si>
    <t>Elaborar (1) prueba bromatológica en los peces de la bahía de Cartagena.</t>
  </si>
  <si>
    <t>Elaborar (1) prueba ambientales en los peces de la bahía de Cartagena.</t>
  </si>
  <si>
    <t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Ejecución) 
</t>
  </si>
  <si>
    <t>Formalizar a ciento setenta y seis (176) O.E.P. reubicados al interior del mercado</t>
  </si>
  <si>
    <t>Formalizar a seiscientos cuarenta y siete (647) O.E.P. de zonas no intervenidas en el mercado de Bazurto pendientes por formalizar en mercados sectoriales</t>
  </si>
  <si>
    <t>Actualizar dos (2) documentos normativos que rigen la operación de la plaza de mercados</t>
  </si>
  <si>
    <t>Implementar dos (2) Plan Gestión: 1. Ambiental, 2. Administrativa operativa y jurídica del Sistema de Mercados</t>
  </si>
  <si>
    <t>Intervenir o mantener quinientos (500) metros cuadrados de infraestructura de las plazas de mercado que conforman el Sistema Integral de Abastecimiento del Distrito</t>
  </si>
  <si>
    <t>TABLERO DE CONTROL PARA PLANES DE ACCIÓN - RANGOS POR TRIMESTRE AJUSTADOS SEGÚN EL PERIODO DE CORTE.</t>
  </si>
  <si>
    <t>Criterio de Seguimiento</t>
  </si>
  <si>
    <t>Rango de Seguimiento</t>
  </si>
  <si>
    <t>Primer Trimestre</t>
  </si>
  <si>
    <t>Segundo Trimestre</t>
  </si>
  <si>
    <t>Tercer Trimestre</t>
  </si>
  <si>
    <t>Cuarto Trimestre</t>
  </si>
  <si>
    <t>Sobresaliente</t>
  </si>
  <si>
    <t>90,1% - 100%</t>
  </si>
  <si>
    <t>22,51% - 25%</t>
  </si>
  <si>
    <t>45,1% - 50%</t>
  </si>
  <si>
    <t>67,51% - 75%</t>
  </si>
  <si>
    <t>Aceptable</t>
  </si>
  <si>
    <t>75,1% - 90%</t>
  </si>
  <si>
    <t>18,76% - 22,5%</t>
  </si>
  <si>
    <t>37,51% - 45%</t>
  </si>
  <si>
    <t>56,26% - 67,5%</t>
  </si>
  <si>
    <t>Medio</t>
  </si>
  <si>
    <t>50,1% - 75%</t>
  </si>
  <si>
    <t>12,51% - 18,75%</t>
  </si>
  <si>
    <t>25,1% - 37,5%</t>
  </si>
  <si>
    <t>37,51% - 56,25%</t>
  </si>
  <si>
    <t>Deficiente</t>
  </si>
  <si>
    <t>25,1% - 50%</t>
  </si>
  <si>
    <t>6,26% - 12,5%</t>
  </si>
  <si>
    <t>12,51% - 25%</t>
  </si>
  <si>
    <t>18,76% - 37,5%</t>
  </si>
  <si>
    <t>Crítico</t>
  </si>
  <si>
    <t>0%  - 25%</t>
  </si>
  <si>
    <t>0% - 6,25%</t>
  </si>
  <si>
    <t>0% - 12,5%</t>
  </si>
  <si>
    <t>0% - 18,75%</t>
  </si>
  <si>
    <t>0% - 25%</t>
  </si>
  <si>
    <t>PLAN DE ACCIÓN METAS PRODUCTO</t>
  </si>
  <si>
    <t>NIVEL DE EFICACIA</t>
  </si>
  <si>
    <t>ESTADO INDICADORES TABLERO DE CONTROL</t>
  </si>
  <si>
    <t>CALIFICACIÓN</t>
  </si>
  <si>
    <t>Muy Alto</t>
  </si>
  <si>
    <t>Mayor o igual a 90%</t>
  </si>
  <si>
    <t>Alto</t>
  </si>
  <si>
    <t>Igual o mayor al 70%  hasta el  89,9%</t>
  </si>
  <si>
    <t>Igual o mayor al 50% hasta el  69,9%</t>
  </si>
  <si>
    <t>Bajo</t>
  </si>
  <si>
    <t>Igual o mayor al 30% hasta el  49,9%</t>
  </si>
  <si>
    <t>Muy Bajo</t>
  </si>
  <si>
    <t>Menor al 29,9%</t>
  </si>
  <si>
    <t>PLAN DE DESARROLLO VIGENCIA 2024</t>
  </si>
  <si>
    <t>Demarcar ciento noventa (190,58) kilómetros de marcas longitudinales</t>
  </si>
  <si>
    <t>SECRETARÍA DE INFRAESTRUCTURA - EDURBE</t>
  </si>
  <si>
    <t>TOTAL METAS PRODUCTO PDD 2024 -2027</t>
  </si>
  <si>
    <t xml:space="preserve">PARTICIPACIÓN DE METAS PRODUCTO </t>
  </si>
  <si>
    <t>GEPM (GERENCIA DE ESPACIO PÚBLICO Y MOVILIDAD)</t>
  </si>
  <si>
    <t>GEPM (GERENCIA DE ESPACIO PÚBLICO Y MOVILIDAD) - SECRETARÍA DE INFRAESTRUCTURA</t>
  </si>
  <si>
    <t>DATT - GEPM (GERENCIA DE ESPACIO PÚBLICO Y MOVILIDAD)</t>
  </si>
  <si>
    <t>SECRETARÍA DE PLANEACIÓN - EPA</t>
  </si>
  <si>
    <t>Crear e implementar cuatro (4) estrategias de formación en cultura tributaria</t>
  </si>
  <si>
    <t>Número de estrategias de formación en cultura tributaria creadas e implementadas</t>
  </si>
  <si>
    <t>Revisar con enlace el cumplimiento de esa meta producto</t>
  </si>
  <si>
    <t xml:space="preserve">SECRETARÍA GENERAL
COOPERACIÓN INTERNACIONAL
</t>
  </si>
  <si>
    <t>SECRETARÍA GENERAL  - COOPERACIÓN INTERNACIONAL</t>
  </si>
  <si>
    <t>SECRETARÍA GENERAL - Corporación Museo Histórico de Cartagena</t>
  </si>
  <si>
    <t>ESCUELA DE GOBIERNO Y LIDERAZGO - Oficina Asesora de Control Interno</t>
  </si>
  <si>
    <t>SECRETARÍA GENERAL - Oficina Asesora Jurídica</t>
  </si>
  <si>
    <t>No Programada por el Colegio Mayor para la vigencia  2024</t>
  </si>
  <si>
    <t>OFICINA ASESORA PARA LA GESTIÓN DE RIESGO DE DESASTRE  / Oficina de Informática de la Alcaldía Distrital de Cartagena</t>
  </si>
  <si>
    <t xml:space="preserve">OFICINA ASESORA PARA LA GESTIÓN DE RIESGO DE DESASTRE - SECRETARÍA DE INFRAESTRUCTURA </t>
  </si>
  <si>
    <t>DISTRISEGURIDAD - SECRETARÍA DEL INTERIOR Y CONVIVENCIA CIUDADANA</t>
  </si>
  <si>
    <t>Diseñar e implementar anualmente cuatro (4) nuevas estrategias de fortalecimiento tributario en el Distrito</t>
  </si>
  <si>
    <t>No programado SED para la vigencia 2024</t>
  </si>
  <si>
    <t xml:space="preserve"> SECRETARÍA DEL INTERIOR Y CONVIVENCIA CIUDADANA - DISTRISEGURIDAD </t>
  </si>
  <si>
    <t>No programada DADIS para la vigencia 2025</t>
  </si>
  <si>
    <t>Revisar esta meta ya que cuenta con reporte de GEPM (programó 0,5 para esta vigencia) y tiene como reponsable ETCAR</t>
  </si>
  <si>
    <t>Número de personas con discapacidad vinculadas a rutas de empleo</t>
  </si>
  <si>
    <t>Vincular a sesenta (60) personas con discapacidad a rutas de empleo</t>
  </si>
  <si>
    <t>SECRETARÍA DE PARTICIPACIÓN Y DESARROLLO SOCIAL - SECRETARÍA DEL INTERIOR Y CONVIVENCIA CIUDADANA</t>
  </si>
  <si>
    <t>Revisa con enlace - No reportada por la Secretaría de Participación  para este trimestre</t>
  </si>
  <si>
    <t>Revisar porque la meta producto es anual y no fue  programada DADIS para la vigencia 2026</t>
  </si>
  <si>
    <t>Revisar reporte de Secretaría del Interior - El Intituto Comunal tambien reporta</t>
  </si>
  <si>
    <t>No Programada por el Instituto Comunal para la vigencia 2026</t>
  </si>
  <si>
    <t>No Programada por el Instituto Comunal para la vigencia 2027</t>
  </si>
  <si>
    <t>Revisar con enlace, ya que esta meta no la reportaron</t>
  </si>
  <si>
    <t>SECRETARÍA DE INFRAESTRUCTURA -  EDURBE</t>
  </si>
  <si>
    <t>Esta meta no fue programada por el EPA para la vigencia 2024</t>
  </si>
  <si>
    <t xml:space="preserve">GEPM (GERENCIA DE ESPACIO PÚBLICO Y MOVILIDAD) - SECRETARÍA DE INTERIOR </t>
  </si>
  <si>
    <t>Esta meta no fue reportada ni programada por Transcaribe o Secretaría de Infraestructura  para la vigencia 2025</t>
  </si>
  <si>
    <t>Esta meta no fue ni reportada ni programada por la Secreatría de Infraestructura para la vigencia 2024.</t>
  </si>
  <si>
    <t>Esta meta no fue ni reportada ni programada por el EPA para la vigencia 2024.</t>
  </si>
  <si>
    <t>No programado ni reportado por la Secretaría de Turismo se programa cero para esta vigencia al igual que el reporte</t>
  </si>
  <si>
    <t>Esta meta no fue programada ni reportada por la Secretaría de Infraestructura ni la Secretaría de Turismo para esta vigencia 2024</t>
  </si>
  <si>
    <t>PROGRAMADO VIGENCIA  2024</t>
  </si>
  <si>
    <t>PROGRAMADO CORTE  2024 RESPECTO AL CUATRIENIO 2024 -2027 (PONDERADOR)</t>
  </si>
  <si>
    <t>Secretaría General  no programó de esta meta Producto para vigencia 2024</t>
  </si>
  <si>
    <t xml:space="preserve"> Corvivienda no Programó esta meta para esta Linea Estrategica para la vigencia</t>
  </si>
  <si>
    <t>Esta meta no se Programó por el IPCC para la vigencia 2025</t>
  </si>
  <si>
    <t>Esta meta Secretaría de Turismo  no reportó ni programó para esta vigencia</t>
  </si>
  <si>
    <t xml:space="preserve"> Corvivienda Programó esta meta para esta Linea Estrategica para la vigencia en el reporte</t>
  </si>
  <si>
    <t xml:space="preserve"> Esta meta no se reportó ni programó por parte de la Secretaría de Hacienda para la vigencia 2024</t>
  </si>
  <si>
    <t xml:space="preserve">Componente Impulsor del avance: Transparencia y Gobierno Abierto
</t>
  </si>
  <si>
    <t>PLAN DE DESARROLLO CARTAGENA CIUDAD DE DERECHOS 2024 - 2027</t>
  </si>
  <si>
    <t>NIVEL DE EFICACIA A CORTE NOVIEMBRE 2024</t>
  </si>
  <si>
    <t>Meta Cumplida</t>
  </si>
  <si>
    <t>Ete programa se ajusta el avance, ya que para el primer año, solo se programaron dos metas, por lo tanto, solo se  incluye el avance sobre 12 metas y no 2, para la priemra vigencia 2024. se colocó 12,5% de avance en el cuatrienio</t>
  </si>
  <si>
    <t>META CUMPLIDA</t>
  </si>
  <si>
    <t xml:space="preserve"> SEGURIDAD HUMANA
</t>
  </si>
  <si>
    <t xml:space="preserve"> PLAN ESTRATÉGICO DE SEGURIDAD INTEGRAL TITAN 24</t>
  </si>
  <si>
    <t>EL CUERPO DE BOMBEROS AVANZA</t>
  </si>
  <si>
    <t>SEGURIDAD YA CON DOTACIÓN A LOS ORGANISMOS DE SEGURIDAD, SOCORRO, JUSTICIA Y CONVIVENCIA Y TECNOLOGÍA PARA LA PREVENCIÓN</t>
  </si>
  <si>
    <t xml:space="preserve"> SEGURIDAD YA EN LAS PLAYAS DE CARTAGENA</t>
  </si>
  <si>
    <t xml:space="preserve"> EDUCACIÓN, CULTURA Y SEGURIDAD VIAL PARA AVANZAR</t>
  </si>
  <si>
    <t xml:space="preserve"> UNA VIDA LIBRE DE VIOLENCIA PARA LAS MUJERES</t>
  </si>
  <si>
    <t xml:space="preserve"> DERECHO A LA PAZ Y CONVIVENCIA CON EQUIDAD DE GÉNERO</t>
  </si>
  <si>
    <t>CARTAGENA AVANZA EN CONVIVENCIA</t>
  </si>
  <si>
    <t xml:space="preserve"> AVANZANDO EN EL FORTALECIMIENTO DE CASAS DE JUSTICIA, COMISARÍAS DE FAMILIA E INSPECCIONES DE POLICÍA</t>
  </si>
  <si>
    <t xml:space="preserve"> ATENCIÓN INTEGRAL A JÓVENES EN SITUACIÓN DE RIESGO SOCIAL</t>
  </si>
  <si>
    <t>ASISTENCIA, ATENCIÓN Y REPARACIÓN EFECTIVA E INTEGRAL A LAS VÍCTIMAS DEL CONFLICTO ARMADO</t>
  </si>
  <si>
    <t>DERECHOS HUMANOS PARA LA VIDA DIGNA</t>
  </si>
  <si>
    <t>SISTEMA PENITENCIARIO Y CARCELARIO EN EL MARCO DE LOS DERECHOS HUMANOS</t>
  </si>
  <si>
    <t xml:space="preserve"> SALUD CON COBERTURA, ACCESIBILIDAD, CALIDAD E INCLUSIÓN</t>
  </si>
  <si>
    <t xml:space="preserve"> DERECHOS EN SALUD Y PROMOCIÓN SOCIAL</t>
  </si>
  <si>
    <t xml:space="preserve"> FORTALECIMIENTO DEL CENTRO REGULADOR DE URGENCIAS, EMERGENCIAS Y DESASTRES EN EL DISTRITO DE CARTAGENA - CRUED</t>
  </si>
  <si>
    <t xml:space="preserve"> SALUD PÚBLICA</t>
  </si>
  <si>
    <t xml:space="preserve"> CEMENTERIOS</t>
  </si>
  <si>
    <t xml:space="preserve"> FORTALECIMIENTO A LA PROTECCIÓN DIGNA DE LAS PERSONAS MAYORES EN EL DISTRITO DE CARTAGENA</t>
  </si>
  <si>
    <t xml:space="preserve"> ASISTENCIA SOCIAL E INCLUYENTE A LAS PERSONAS CON DISCAPACIDAD Y/O SU FAMILIA O CUIDADORES PARA LA SEGURIDAD HUMANA Y BIENESTAR SOCIAL</t>
  </si>
  <si>
    <t xml:space="preserve"> UNIDOS PARA LA INCLUSIÓN PRODUCTIVA DE LAS PERSONAS CON DISCAPACIDAD</t>
  </si>
  <si>
    <t xml:space="preserve"> CIUDADANOS HABITANTES DE CALLE CON PROTECCIÓN SOCIAL Y GARANTÍA DE DERECHOS</t>
  </si>
  <si>
    <t>ATENCIÓN INTEGRAL AL MIGRANTE</t>
  </si>
  <si>
    <t>CARTAGENA DIVERSA</t>
  </si>
  <si>
    <t>SISTEMA DISTRITAL DEL CUIDADO</t>
  </si>
  <si>
    <t xml:space="preserve"> IDENTIFICACIÓN PARA LA SUPERACIÓN DE LA POBREZA EXTREMA</t>
  </si>
  <si>
    <t xml:space="preserve"> SALUD PARA LA SUPERACIÓN DE LA POBREZA EXTREMA</t>
  </si>
  <si>
    <t>EDUCACIÓN PARA LA SUPERACIÓN DE LA POBREZA EXTREMA</t>
  </si>
  <si>
    <t>HABITABILIDAD PARA LA SUPERACIÓN DE LA POBREZA EXTREMA</t>
  </si>
  <si>
    <t>INGRESO Y TRABAJO PARA LA SUPERACIÓN DE LA POBREZA EXTREMA</t>
  </si>
  <si>
    <t xml:space="preserve"> BANCARIZACIÓN PARA LA SUPERACIÓN DE LA POBREZA EXTREMA</t>
  </si>
  <si>
    <t xml:space="preserve"> DINÁMICA FAMILIAR PARA LA SUPERACIÓN DE LA POBREZA EXTREMA</t>
  </si>
  <si>
    <t xml:space="preserve"> SEGURIDAD ALIMENTARIA Y NUTRICIÓN PARA LA SUPERACIÓN DE LA POBREZA EXTREMA</t>
  </si>
  <si>
    <t>ACCESO A LA JUSTICIA PARA LA SUPERACIÓN DE LA POBREZA EXTREMA</t>
  </si>
  <si>
    <t xml:space="preserve"> FORTALECIMIENTO INSTITUCIONAL DE RENTA CIUDADANA, RENTA JOVEN Y COLOMBIA MAYOR PARA LA SUPERACIÓN DE LA POBREZA EXTREMA</t>
  </si>
  <si>
    <t xml:space="preserve"> FORTALECIMIENTO INSTITUCIONAL PARA LA SUPERACIÓN DE LA POBREZA EXTREMA</t>
  </si>
  <si>
    <t>SALUD PÚBLICA</t>
  </si>
  <si>
    <t>CEMENTERIOS</t>
  </si>
  <si>
    <t xml:space="preserve"> ATENCIÓN INTEGRAL AL MIGRANTE</t>
  </si>
  <si>
    <t xml:space="preserve"> CARTAGENA DIVERSA</t>
  </si>
  <si>
    <t xml:space="preserve"> SISTEMA DISTRITAL DEL CUIDADO</t>
  </si>
  <si>
    <t xml:space="preserve"> EDUCACIÓN PARA LA SUPERACIÓN DE LA POBREZA EXTREMA</t>
  </si>
  <si>
    <t xml:space="preserve"> HABITABILIDAD PARA LA SUPERACIÓN DE LA POBREZA EXTREMA</t>
  </si>
  <si>
    <t xml:space="preserve"> INGRESO Y TRABAJO PARA LA SUPERACIÓN DE LA POBREZA EXTREMA</t>
  </si>
  <si>
    <t xml:space="preserve"> ACCESO A LA JUSTICIA PARA LA SUPERACIÓN DE LA POBREZA EXTREMA</t>
  </si>
  <si>
    <t xml:space="preserve"> Educación
</t>
  </si>
  <si>
    <t xml:space="preserve"> VIDA DIGNA
</t>
  </si>
  <si>
    <t>MODERNIZACIÓN DE LA INFRAESTRUCTURA EDUCATIVA</t>
  </si>
  <si>
    <t xml:space="preserve"> AVANZANDO DESDE EL COMIENZO</t>
  </si>
  <si>
    <t>ME QUEDO PORQUE ME QUEDO</t>
  </si>
  <si>
    <t xml:space="preserve"> YO CUENTO</t>
  </si>
  <si>
    <t xml:space="preserve"> ESCUELA HOGAR</t>
  </si>
  <si>
    <t xml:space="preserve"> CARTAGENA TERRITORIO PLURILINGÜE</t>
  </si>
  <si>
    <t>CARTAGENA MEJOR EDUCADA</t>
  </si>
  <si>
    <t xml:space="preserve"> LEVANTEMOS LA VOZ</t>
  </si>
  <si>
    <t xml:space="preserve"> AULA GLOBAL</t>
  </si>
  <si>
    <t xml:space="preserve"> FORMACIÓN Y CUALIFICACIÓN DE DOCENTES Y DIRECTIVOS DOCENTES</t>
  </si>
  <si>
    <t xml:space="preserve"> FORTALECIMIENTO DE LA GESTIÓN ESCOLAR EN LAS INSTITUCIONES EDUCATIVAS OFICIALES</t>
  </si>
  <si>
    <t>UNIDOS POR EL SUEÑO SUPERIOR</t>
  </si>
  <si>
    <t>CARTAGENA, TERRITORIO DIGITAL</t>
  </si>
  <si>
    <t>OFERTA ACADÉMICA SUPERIOR CON CALIDAD</t>
  </si>
  <si>
    <t>FORMACIÓN TÉCNICA Y COMPLEMENTARIA EN OFICIOS</t>
  </si>
  <si>
    <t xml:space="preserve"> Acceso a Servicios Básicos
</t>
  </si>
  <si>
    <t>ACCESO AL AGUA POTABLE Y SANEAMIENTO BÁSICO</t>
  </si>
  <si>
    <t>AVANZAMOS POR UNA CARTAGENA ILUMINADA Y LA TRANSICIÓN ENERGÉTICA</t>
  </si>
  <si>
    <t>UNIDOS POR LA GESTIÓN DE LOS RESIDUOS Y EL DESARROLLO SOSTENIBLE</t>
  </si>
  <si>
    <t xml:space="preserve"> Vivienda Digna y Hábitat
</t>
  </si>
  <si>
    <t xml:space="preserve"> UNIDOS POR UNA VIVIENDA PARA TI</t>
  </si>
  <si>
    <t>MI CASA AVANZA</t>
  </si>
  <si>
    <t>MI CASA CON PROPIEDAD</t>
  </si>
  <si>
    <t xml:space="preserve"> MI TERRITORIO EN ORDEN</t>
  </si>
  <si>
    <t xml:space="preserve">Artes, Cultura y Patrimonio
</t>
  </si>
  <si>
    <t xml:space="preserve"> ESCENARIOS CULTURALES VIVOS PARA TRANSFORMAR</t>
  </si>
  <si>
    <t xml:space="preserve"> DEMOCRATIZACIÓN DE LA CULTURA: ESTÍMULOS PARA EL FOMENTO Y DESARROLLO ARTÍSTICO, CULTURAL Y CREATIVO.</t>
  </si>
  <si>
    <t xml:space="preserve"> FORMACIÓN ARTÍSTICA Y CULTURAL</t>
  </si>
  <si>
    <t xml:space="preserve"> DERECHOS CULTURALES Y FORTALECIMIENTO INSTITUCIONAL PARA LA GOBERNANZA</t>
  </si>
  <si>
    <t xml:space="preserve"> CARTAGENA BRILLA CON SU CULTURA Y PATRIMONIO MATERIAL E INMATERIAL</t>
  </si>
  <si>
    <t xml:space="preserve"> MEMORIA Y PATRIMONIO AL SERVICIO DE LA CIUDADANÍA</t>
  </si>
  <si>
    <t xml:space="preserve">Deporte y Recreación
</t>
  </si>
  <si>
    <t xml:space="preserve"> FORTALECIMIENTO Y MANTENIMIENTO DE LA RED DE INFRAESTRUCTURA DEPORTIVA DEL DISTRITO</t>
  </si>
  <si>
    <t xml:space="preserve"> FOMENTO AL DEPORTE DE ALTO RENDIMIENTO</t>
  </si>
  <si>
    <t>FORTALECIMIENTO DEL CAPITAL HUMANO A TRAVÉS DE LAS CIENCIAS APLICADAS AL DEPORTE Y LA RECREACIÓN.</t>
  </si>
  <si>
    <t xml:space="preserve"> FORTALECIMIENTO DEL DEPORTE FORMATIVO, ESTUDIANTIL Y LA EDUCACIÓN FÍSICA EXTRAESCOLAR</t>
  </si>
  <si>
    <t xml:space="preserve"> FORTALECIMIENTO DEL DEPORTE SOCIAL COMUNITARIO, AVANZAR EN NUESTRO TERRITORIO</t>
  </si>
  <si>
    <t>PROMOCIÓN DE HÁBITOS Y ESTILOS DE VIDA SALUDABLE, RECREACIÓN, ACTIVIDAD FÍSICA Y EL APROVECHAMIENTO DEL TIEMPO LIBRE EN EL DISTRITO DE CARTAGENA</t>
  </si>
  <si>
    <t xml:space="preserve"> CARTAGENA CIUDAD DESTINO DE TURISMO DEPORTIVO</t>
  </si>
  <si>
    <t xml:space="preserve"> Infancia, Adolescencia y Familia
</t>
  </si>
  <si>
    <t xml:space="preserve"> ENTORNOS SEGUROS PARA LA PRIMERA INFANCIA</t>
  </si>
  <si>
    <t>AVANZANDO HACIA UNA INFANCIA Y ADOLESCENCIA PROTEGIDA Y SIN VIOLENCIAS</t>
  </si>
  <si>
    <t>JUGANDO Y PARTICIPANDO LOS DERECHOS DE LA NIÑEZ VAMOS IMPULSANDO</t>
  </si>
  <si>
    <t xml:space="preserve"> MODERNIZACIÓN DE LA INFRAESTRUCTURA EDUCATIVA</t>
  </si>
  <si>
    <t xml:space="preserve"> ME QUEDO PORQUE ME QUEDO</t>
  </si>
  <si>
    <t xml:space="preserve"> CARTAGENA MEJOR EDUCADA</t>
  </si>
  <si>
    <t xml:space="preserve"> UNIDOS POR EL SUEÑO SUPERIOR</t>
  </si>
  <si>
    <t xml:space="preserve"> AVANZAMOS EN EL FORTALECIMIENTO INSTITUCIONAL DE LA SECRETARÍA DE EDUCACIÓN</t>
  </si>
  <si>
    <t xml:space="preserve"> CARTAGENA, TERRITORIO DIGITAL</t>
  </si>
  <si>
    <t xml:space="preserve"> OFERTA ACADÉMICA SUPERIOR CON CALIDAD</t>
  </si>
  <si>
    <t xml:space="preserve"> FORMACIÓN TÉCNICA Y COMPLEMENTARIA EN OFICIOS</t>
  </si>
  <si>
    <t xml:space="preserve"> ACCESO AL AGUA POTABLE Y SANEAMIENTO BÁSICO</t>
  </si>
  <si>
    <t xml:space="preserve"> AVANZAMOS POR UNA CARTAGENA ILUMINADA Y LA TRANSICIÓN ENERGÉTICA</t>
  </si>
  <si>
    <t xml:space="preserve"> UNIDOS POR LA GESTIÓN DE LOS RESIDUOS Y EL DESARROLLO SOSTENIBLE</t>
  </si>
  <si>
    <t xml:space="preserve"> MI CASA AVANZA</t>
  </si>
  <si>
    <t xml:space="preserve"> MI CASA CON PROPIEDAD</t>
  </si>
  <si>
    <t xml:space="preserve"> FORTALECIMIENTO DEL CAPITAL HUMANO A TRAVÉS DE LAS CIENCIAS APLICADAS AL DEPORTE Y LA RECREACIÓN.</t>
  </si>
  <si>
    <t xml:space="preserve"> PROMOCIÓN DE HÁBITOS Y ESTILOS DE VIDA SALUDABLE, RECREACIÓN, ACTIVIDAD FÍSICA Y EL APROVECHAMIENTO DEL TIEMPO LIBRE EN EL DISTRITO DE CARTAGENA</t>
  </si>
  <si>
    <t xml:space="preserve"> AVANZANDO HACIA UNA INFANCIA Y ADOLESCENCIA PROTEGIDA Y SIN VIOLENCIAS</t>
  </si>
  <si>
    <t xml:space="preserve"> JUGANDO Y PARTICIPANDO LOS DERECHOS DE LA NIÑEZ VAMOS IMPULSANDO</t>
  </si>
  <si>
    <t xml:space="preserve"> UNIDOS POR UNA CARTAGENA COMPETITIVA E INNOVADORA</t>
  </si>
  <si>
    <t xml:space="preserve"> CARTAGENA GLOBAL</t>
  </si>
  <si>
    <t xml:space="preserve"> UNIDOS POR LA DIVERSIFICACIÓN ECONÓMICA Y EL DESARROLLO EMPRESARIAL</t>
  </si>
  <si>
    <t xml:space="preserve"> COOPERACIÓN PARA AVANZAR</t>
  </si>
  <si>
    <t xml:space="preserve"> ECONOMÍA CIRCULAR Y NEGOCIOS VERDES</t>
  </si>
  <si>
    <t xml:space="preserve"> TRANSFORMACIÓN PRODUCTIVA</t>
  </si>
  <si>
    <t xml:space="preserve"> EMPLEO Y CAPITAL HUMANO</t>
  </si>
  <si>
    <t xml:space="preserve"> MI PRIMERA CHAMBA</t>
  </si>
  <si>
    <t xml:space="preserve"> DERECHO AL TRABAJO EN CONDICIONES DE IGUALDAD Y DIGNIDAD PARA LA MUJER</t>
  </si>
  <si>
    <t xml:space="preserve"> AVANZAMOS CON CAPACIDADES EMPRENDEDORAS</t>
  </si>
  <si>
    <t xml:space="preserve"> AVANZAMOS PARA FORTALECER LA ECONOMÍA POPULAR Y GENERAR MEJORES INGRESOS PARA NUESTRAS FAMILIAS</t>
  </si>
  <si>
    <t xml:space="preserve"> CARTAGENA FOMENTA LA INCLUSIÓN PRODUCTIVA JUVENIL</t>
  </si>
  <si>
    <t xml:space="preserve"> FOMENTO EMPRESARIAL Y DESARROLLO SOSTENIBLE</t>
  </si>
  <si>
    <t xml:space="preserve"> SEGURIDAD, VIGILANCIA Y CONTROL PARA UN TURISMO RESPONSABLE</t>
  </si>
  <si>
    <t xml:space="preserve"> TURISMO SOSTENIBLE E INCLUYENTE CON LAS COMUNIDADES</t>
  </si>
  <si>
    <t xml:space="preserve"> PROMOCIÓN TURÍSTICA</t>
  </si>
  <si>
    <t xml:space="preserve"> INFRAESTRUCTURA TURÍSTICA PARA EL DESARROLLO</t>
  </si>
  <si>
    <t xml:space="preserve"> GOBERNANZA Y FORTALECIMIENTO INSTITUCIONAL PARA UNA CIUDAD DE DERECHOS, RESPONSABLE Y COMPETITIVA</t>
  </si>
  <si>
    <t xml:space="preserve"> INCLUSIÓN PRODUCTIVA Y SOCIAL DE LA AGRICULTURA CAMPESINA, FAMILIAR Y COMUNITARIA</t>
  </si>
  <si>
    <t xml:space="preserve"> EXTENSIÓN AGROPECUARIA, INFRAESTRUCTURA Y ACTIVOS PRODUCTIVOS PARA LA COMPETITIVIDAD AGROPECUARIA Y LA SOBERANÍA ALIMENTARIA</t>
  </si>
  <si>
    <t xml:space="preserve"> CARTAGENA CIUDAD DE PESCADORES</t>
  </si>
  <si>
    <t xml:space="preserve"> DESARROLLO DEL NUEVO SISTEMA DE MERCADOS DEL DISTRITO</t>
  </si>
  <si>
    <t xml:space="preserve"> GESTIÓN INTEGRAL DEL SISTEMA DE MERCADOS</t>
  </si>
  <si>
    <t xml:space="preserve"> INSTRUMENTOS DE PLANIFICACIÓN TERRITORIAL</t>
  </si>
  <si>
    <t xml:space="preserve"> RECUPERACIÓN Y TRANSFORMACIÓN DEL ESPACIO PÚBLICO</t>
  </si>
  <si>
    <t xml:space="preserve"> RECUPERANDO LA GOBERNANZA URBANÍSTICA, CARTAGENA VUELVE A BRILLAR</t>
  </si>
  <si>
    <t xml:space="preserve"> CARTAGENA AVANZA EN EL FORTALECIMIENTO DEL PLAN DE NORMALIZACIÓN URBANÍSTICA</t>
  </si>
  <si>
    <t xml:space="preserve"> BIENESTAR ANIMAL Y PROTECCIÓN DE LA VIDA SILVESTRE</t>
  </si>
  <si>
    <t xml:space="preserve"> GESTIÓN Y CONSERVACIÓN DE LA VEGETACIÓN Y LA BIODIVERSIDAD</t>
  </si>
  <si>
    <t xml:space="preserve"> ALERTAS TEMPRANAS</t>
  </si>
  <si>
    <t xml:space="preserve"> INVESTIGACIÓN, EDUCACIÓN Y CULTURA AMBIENTAL</t>
  </si>
  <si>
    <t xml:space="preserve"> GENERACIÓN DE ESPACIOS PÚBLICOS REVITALIZADOS Y ADAPTADOS PARA TODOS</t>
  </si>
  <si>
    <t xml:space="preserve"> ORDENAMIENTO Y SOSTENIBILIDAD AMBIENTAL</t>
  </si>
  <si>
    <t xml:space="preserve"> CONOCIMIENTO DEL RIESGO</t>
  </si>
  <si>
    <t xml:space="preserve"> REDUCCIÓN DEL RIESGO</t>
  </si>
  <si>
    <t xml:space="preserve"> MANEJO DE DESASTRES</t>
  </si>
  <si>
    <t xml:space="preserve"> PROTECCIÓN COSTERA</t>
  </si>
  <si>
    <t xml:space="preserve"> ADAPTACIÓN DEL ESPACIO PÚBLICO AL CAMBIO CLIMÁTICO</t>
  </si>
  <si>
    <t xml:space="preserve"> SOSTENIBILIDAD DEL ESPACIO PÚBLICO DEL CENTRO HISTÓRICO DE CARTAGENA DE INDIAS.</t>
  </si>
  <si>
    <t xml:space="preserve"> CONEXIÓN ENTRE EL CASTILLO DE SAN FELIPE DE BARAJAS Y SU ÁREA DE INFLUENCIA PARA LA RECUPERACIÓN DEL PATRIMONIO ARQUEOLÓGICO, MATERIAL E INMATERIAL</t>
  </si>
  <si>
    <t xml:space="preserve"> MURALLA PARA TODOS</t>
  </si>
  <si>
    <t xml:space="preserve"> INTERVENCIONES URBANAS INTEGRALES</t>
  </si>
  <si>
    <t xml:space="preserve"> REHABILITACIÓN, MANTENIMIENTO, ADECUACIÓN, Y OBRA NUEVA PARA EL SISTEMA VIAL Y ESTRUCTURAS DE PASO</t>
  </si>
  <si>
    <t xml:space="preserve"> SOLUCIONES VIALES PARA LA COMPETITIVIDAD A TRAVÉS DE CONTRIBUCIÓN POR VALORIZACIÓN</t>
  </si>
  <si>
    <t xml:space="preserve"> MOVILIDAD ORDENADA, SOSTENIBLE Y AMIGABLE CON EL MEDIO AMBIENTE</t>
  </si>
  <si>
    <t xml:space="preserve"> TRANSPORTE MASIVO CONFIABLE, EFICIENTE Y SOSTENIBLE</t>
  </si>
  <si>
    <t xml:space="preserve"> GESTIÓN Y CONSERVACIÓN DEL AGUA</t>
  </si>
  <si>
    <t xml:space="preserve"> RECUPERACIÓN DEL SISTEMA DE CANALES Y DRENAJES PLUVIALES</t>
  </si>
  <si>
    <t xml:space="preserve"> RECUPERACIÓN Y ESTABILIZACIÓN DEL SISTEMA HÍDRICO Y LITORAL DE CARTAGENA</t>
  </si>
  <si>
    <t xml:space="preserve"> PLAN DE RESTAURACIÓN INTEGRAL DE LA CIÉNAGA DE LA VIRGEN</t>
  </si>
  <si>
    <t xml:space="preserve"> GESTIÓN DEL TERRITORIO MARINO-COSTERO</t>
  </si>
  <si>
    <t xml:space="preserve"> PROMOCIÓN, CREACIÓN Y OPERACIÓN DE ESQUEMAS ASOCIATIVOS TERRITORIALES DE LA CIUDAD REGIÓN</t>
  </si>
  <si>
    <t xml:space="preserve"> PROCESOS ADMINISTRATIVOS ÓPTIMOS Y TRANSPARENTES</t>
  </si>
  <si>
    <t xml:space="preserve"> TRANSPARENCIA Y LUCHA CONTRA LA CORRUPCIÓN</t>
  </si>
  <si>
    <t xml:space="preserve"> CARTAGENA DIGITAL, INCLUSIVA Y CONECTADA</t>
  </si>
  <si>
    <t xml:space="preserve"> MODELO INTEGRADO DE PLANEACIÓN Y GESTIÓN - MIPG</t>
  </si>
  <si>
    <t xml:space="preserve"> MEJORA NORMATIVA EN EL DISTRITO DE CARTAGENA DE INDIAS</t>
  </si>
  <si>
    <t xml:space="preserve"> PATRIMONIO PÚBLICO AL SERVICIO DE CARTAGENA</t>
  </si>
  <si>
    <t xml:space="preserve"> REDISEÑO INSTITUCIONAL E INNOVACIÓN ADMINISTRATIVA DEL DISTRITO</t>
  </si>
  <si>
    <t xml:space="preserve"> SEGURIDAD DIGITAL</t>
  </si>
  <si>
    <t xml:space="preserve"> TRANSFORMACIÓN DIGITAL DEL SISTEMA DE ARCHIVO PARA LA GESTIÓN PÚBLICA EFICIENTE</t>
  </si>
  <si>
    <t xml:space="preserve"> FORTALECIMIENTO DEL SISTEMA DE CONTROL INTERNO, SCI</t>
  </si>
  <si>
    <t xml:space="preserve"> FORTALECIMIENTO DE LA GESTIÓN ADMINISTRATIVA Y OPERATIVA DEL DEPARTAMENTO ADMINISTRATIVO DE TRÁNSITO Y TRANSPORTE - DATT</t>
  </si>
  <si>
    <t xml:space="preserve"> GESTIÓN FISCAL Y FINANCIERA OPORTUNA</t>
  </si>
  <si>
    <t xml:space="preserve"> HACIENDA MODERNA Y DIGITAL</t>
  </si>
  <si>
    <t xml:space="preserve"> SERVIDORES CON ESPLENDOR CONSTRUYENDO CIUDAD</t>
  </si>
  <si>
    <t xml:space="preserve"> CIUDADANÍA DIVERSA, PARTICIPATIVA Y PROPULSORA DEL DESARROLLO</t>
  </si>
  <si>
    <t xml:space="preserve"> CARTAGENEIDAD CON ORGULLO Y ESPLENDOR</t>
  </si>
  <si>
    <t xml:space="preserve"> CARTAGENA BRILLA CON CULTURA CIUDADANA</t>
  </si>
  <si>
    <t xml:space="preserve"> ESCUELA DE GOBERNANZA E INNOVACIÓN PÚBLICA</t>
  </si>
  <si>
    <t xml:space="preserve"> ORGANISMOS COMUNALES TÉCNICOS Y ADMINISTRATIVAMENTE EFICIENTES</t>
  </si>
  <si>
    <t xml:space="preserve"> ORGANIZACIONES SOCIALES SÓLIDAS E INCIDENTES EN EL DESARROLLO LOCAL</t>
  </si>
  <si>
    <t xml:space="preserve"> PRESUPUESTO PARTICIPATIVO</t>
  </si>
  <si>
    <t xml:space="preserve"> PARTICIPANDO DECIDIMOS Y AVANZAMOS</t>
  </si>
  <si>
    <t xml:space="preserve"> PROMOCIÓN Y GARANTÍA PARA LA PARTICIPACIÓN SOCIOPOLÍTICA JUVENIL</t>
  </si>
  <si>
    <t xml:space="preserve"> DERECHO A LA PARTICIPACIÓN Y REPRESENTACIÓN CON EQUIDAD DE GÉNERO</t>
  </si>
  <si>
    <t xml:space="preserve"> CENTRO DE INVESTIGACIÓN DE INFORMACIÓN DE LA CIUDAD PARA LA TOMA DE DECISIONES (CIDI)</t>
  </si>
  <si>
    <t xml:space="preserve"> SISTEMAS DE INFORMACIÓN PARA EL DESARROLLO DE CARTAGENA</t>
  </si>
  <si>
    <t xml:space="preserve"> INVERSIÓN PÚBLICA EFICIENTE Y TRANSPARENTE</t>
  </si>
  <si>
    <t xml:space="preserve"> POLÍTICAS PÚBLICAS INTERSECTORIALES Y CON VISIÓN INTEGRAL</t>
  </si>
  <si>
    <t xml:space="preserve"> DESCENTRALIZACIÓN ADMINISTRATIVA</t>
  </si>
  <si>
    <t xml:space="preserve"> GESTIÓN CATASTRAL CON ENFOQUE MULTIPROPÓSITO</t>
  </si>
  <si>
    <t xml:space="preserve"> GOBERNANZA Y PARTICIPACIÓN DE LAS COMUNIDADES NEGRAS AFROCOLOMBIANAS, RAIZALES Y PALENQUERAS PARA EL FORTALECIMIENTO DE LA DEMOCRACIA EN EL DISTRITO</t>
  </si>
  <si>
    <t xml:space="preserve"> DESARROLLO HUMANO Y BIENESTAR SOCIAL DE LAS COMUNIDADES NEGRAS, AFROCOLOMBIANAS, RAIZALES Y PALENQUERAS</t>
  </si>
  <si>
    <t xml:space="preserve"> DESARROLLO LOCAL SOSTENIBLE Y PROSPERIDAD COLECTIVA EN LOS TERRITORIOS DE LAS COMUNIDADES NEGRAS DEL DISTRITO DE CARTAGENA</t>
  </si>
  <si>
    <t xml:space="preserve"> TERRITORIO PROPIO</t>
  </si>
  <si>
    <t xml:space="preserve"> ATENCIÓN INTEGRAL PARA LAS COMUNIDADES INDÍGENAS</t>
  </si>
  <si>
    <t xml:space="preserve"> MUJER INDÍGENA, FAMILIA Y GENERACIÓN DE INGRESOS</t>
  </si>
  <si>
    <t xml:space="preserve"> Competitividad e innovación
</t>
  </si>
  <si>
    <t xml:space="preserve"> DESARROLLO ECONÓMICO EQUITATIVO
</t>
  </si>
  <si>
    <t xml:space="preserve"> Diversificación Económica
</t>
  </si>
  <si>
    <t xml:space="preserve"> Trabajo Decente y Cierre de Brechas Laborales
</t>
  </si>
  <si>
    <t xml:space="preserve"> Economía Popular y Emprendimiento
</t>
  </si>
  <si>
    <t>AVANZAMOS PARA FORTALECER LA ECONOMÍA POPULAR Y GENERAR MEJORES INGRESOS PARA NUESTRAS FAMILIAS</t>
  </si>
  <si>
    <t>FOMENTO EMPRESARIAL Y DESARROLLO SOSTENIBLE</t>
  </si>
  <si>
    <t xml:space="preserve">Turismo Sostenible y Responsable
</t>
  </si>
  <si>
    <t>SEGURIDAD, VIGILANCIA Y CONTROL PARA UN TURISMO RESPONSABLE</t>
  </si>
  <si>
    <t>TURISMO SOSTENIBLE E INCLUYENTE CON LAS COMUNIDADES</t>
  </si>
  <si>
    <t>PROMOCIÓN TURÍSTICA</t>
  </si>
  <si>
    <t xml:space="preserve"> Desarrollo Agropecuario 
</t>
  </si>
  <si>
    <t xml:space="preserve">Sistema Integral de Abastecimiento del Distrito
</t>
  </si>
  <si>
    <t xml:space="preserve">CARTAGENA CIUDAD CONECTADA Y SOSTENIBLE
</t>
  </si>
  <si>
    <t xml:space="preserve"> Ordenamiento del Territorio y espacio público.
</t>
  </si>
  <si>
    <t>INSTRUMENTOS DE PLANIFICACIÓN TERRITORIAL</t>
  </si>
  <si>
    <t xml:space="preserve"> Control Urbanístico y Territorial
</t>
  </si>
  <si>
    <t xml:space="preserve"> Cartagena Amigable con el Ambiente 
</t>
  </si>
  <si>
    <t>GENERACIÓN DE ESPACIOS PÚBLICOS REVITALIZADOS Y ADAPTADOS PARA TODOS</t>
  </si>
  <si>
    <t xml:space="preserve"> Cartagena Adaptada al Clima y Resiliente a los Desastres
</t>
  </si>
  <si>
    <t>ORDENAMIENTO Y SOSTENIBILIDAD AMBIENTAL</t>
  </si>
  <si>
    <t>REDUCCIÓN DEL RIESGO</t>
  </si>
  <si>
    <t>PROTECCIÓN COSTERA</t>
  </si>
  <si>
    <t xml:space="preserve">Ciudad Histórica y Patrimonial
</t>
  </si>
  <si>
    <t>SOSTENIBILIDAD DEL ESPACIO PÚBLICO DEL CENTRO HISTÓRICO DE CARTAGENA DE INDIAS.</t>
  </si>
  <si>
    <t xml:space="preserve">Infraestructura, Movilidad Sostenible y Accesibilidad para Todos
</t>
  </si>
  <si>
    <t>SOLUCIONES VIALES PARA LA COMPETITIVIDAD A TRAVÉS DE CONTRIBUCIÓN POR VALORIZACIÓN</t>
  </si>
  <si>
    <t xml:space="preserve">Cartagena Ordenada Alrededor del Agua
</t>
  </si>
  <si>
    <t>GESTIÓN Y CONSERVACIÓN DEL AGUA</t>
  </si>
  <si>
    <t>RECUPERACIÓN DEL SISTEMA DE CANALES Y DRENAJES PLUVIALES</t>
  </si>
  <si>
    <t xml:space="preserve"> Integración Regional y Metropolitana
</t>
  </si>
  <si>
    <t xml:space="preserve"> INNOVACIÓN PÚBLICA Y PARTICIPACIÓN CIUDADANA
</t>
  </si>
  <si>
    <t>PROCESOS ADMINISTRATIVOS ÓPTIMOS Y TRANSPARENTES</t>
  </si>
  <si>
    <t>TRANSPARENCIA Y LUCHA CONTRA LA CORRUPCIÓN</t>
  </si>
  <si>
    <t>CARTAGENA DIGITAL, INCLUSIVA Y CONECTADA</t>
  </si>
  <si>
    <t xml:space="preserve">Fortalecimiento Institucional e Innovación Administrativa
</t>
  </si>
  <si>
    <t>MEJORA NORMATIVA EN EL DISTRITO DE CARTAGENA DE INDIAS</t>
  </si>
  <si>
    <t>PATRIMONIO PÚBLICO AL SERVICIO DE CARTAGENA</t>
  </si>
  <si>
    <t xml:space="preserve"> Finanzas Públicas
</t>
  </si>
  <si>
    <t xml:space="preserve">Cultura Ciudadana
</t>
  </si>
  <si>
    <t>CIUDADANÍA DIVERSA, PARTICIPATIVA Y PROPULSORA DEL DESARROLLO</t>
  </si>
  <si>
    <t>CARTAGENEIDAD CON ORGULLO Y ESPLENDOR</t>
  </si>
  <si>
    <t>CARTAGENA BRILLA CON CULTURA CIUDADANA</t>
  </si>
  <si>
    <t>ESCUELA DE GOBERNANZA E INNOVACIÓN PÚBLICA</t>
  </si>
  <si>
    <t xml:space="preserve">Participación Ciudadana y Acción Comunal
</t>
  </si>
  <si>
    <t>PRESUPUESTO PARTICIPATIVO</t>
  </si>
  <si>
    <t>PARTICIPANDO DECIDIMOS Y AVANZAMOS</t>
  </si>
  <si>
    <t xml:space="preserve">Sistema de Planeación Distrital
</t>
  </si>
  <si>
    <t>DESCENTRALIZACIÓN ADMINISTRATIVA</t>
  </si>
  <si>
    <t xml:space="preserve"> Fortalecimiento al Desarrollo Afro-Territorial de la Población Negra, Afrocolombiana, Raizal y Palenquera
</t>
  </si>
  <si>
    <t xml:space="preserve">Territorio Sitio de Paz y Pensamiento Colectivo
</t>
  </si>
  <si>
    <t>TERRITORIO PROPIO</t>
  </si>
  <si>
    <t>ATENCIÓN INTEGRAL PARA LAS COMUNIDADES INDÍGENAS</t>
  </si>
  <si>
    <t>MUJER INDÍGENA, FAMILIA Y GENERACIÓN DE INGRESOS</t>
  </si>
  <si>
    <t xml:space="preserve">CAPÍTULO DE LOS PUEBLOS Y COMUNIDADES ÉTNICAS
</t>
  </si>
  <si>
    <t>LOGRO ALCANZADO  CORTE SEPTIEMBRE 2024 RESPECTO AL CUATRIENIO</t>
  </si>
  <si>
    <t>Para el reporte de diciembre, se desprogramó esta meta producto. Entonces para el ultico corte, se desprograma a cero</t>
  </si>
  <si>
    <t>AVANCE  NUMERICO META PRODUCTO  CORTE DICIEMBRE 2024</t>
  </si>
  <si>
    <t>LOGRO  (%) META PRODUCTO RESPECTO AL PROGRAMADO CUATRIENIO PARCIAL DICIEMBRE 2024</t>
  </si>
  <si>
    <t>LOGRO  (%) META PRODUCTO RESPECTO AL PROGRAMADO CUATRIENIO PARCIAL DICIEMBRE 2024 (PONDERADOR)</t>
  </si>
  <si>
    <t>OBSERVACIONES DICIEMBRE (LAS QUE ESTAN INICIAL, SON LAS DE 15 DE NOVIEMBRE)</t>
  </si>
  <si>
    <t>OBSERVACIONES DICIEMBRE (LAS QUE ESTAN INICIAL, SON LAS DE 15 DE DICIEMBRE)</t>
  </si>
  <si>
    <t>LOGRO ALCANZADO  CORTE DICIEMBRE RESPECTO A LO PROGRAMADO 2024</t>
  </si>
  <si>
    <t>LOGRO ALCANZADO  CORTE DICIEMBRE  2024 RESPECTO AL CUATRIENIO</t>
  </si>
  <si>
    <t>LOGRO ALCANZADO DICIEMBRE RESPECTO AL CUATRIENIO (PONDERADOR)</t>
  </si>
  <si>
    <t>AVANCE PLAN DE DESARROLLO 2024 - 2027. CORTE DICIEMBRE   2024</t>
  </si>
  <si>
    <t>AJUSTADO DICIEMBRE  2024</t>
  </si>
  <si>
    <t>REVISADO DIC 2024</t>
  </si>
  <si>
    <t>LOGRO  (%) META PRODUCTO RESPECTO AL PROGRAMADO CUATRIENIO  DICIEMBRE 2024</t>
  </si>
  <si>
    <t>REPORTAN 4 A CORTE DICIEMBRE, CUANDO A 15 DE SEPTIEMBRE ERAN 8.</t>
  </si>
  <si>
    <t xml:space="preserve">REVISADO DIC 2024. </t>
  </si>
  <si>
    <t>REVISADO DIC 2024. La Gerencia de Espacio Publico la desprogramó para el 2024</t>
  </si>
  <si>
    <t>No programado por ETCAR ni por la Gerencia de espacio publico y movilidad GEPM para la vigencia 2024</t>
  </si>
  <si>
    <t xml:space="preserve">ESCUELA TALLER CARTAGENA DE INDIAS -  - GERENCIA DE ESPACIO PÚBLICO Y MOVILIDAD -  IDER
SECRETARÍA DE INFRAESTRUCTURA
</t>
  </si>
  <si>
    <t>REVISADO DIC 2024. La Gerencia de Espacio Publico la desprogramó para el 2024 y el DATT tampoco programó para la misma vigencia</t>
  </si>
  <si>
    <t>REVISADO DIC 2024. La Gerencia de Espacio Publico la desprogramó para el 2024. El DATT tampoco programó para la vigencia</t>
  </si>
  <si>
    <t>REVISADO DIC 2024. No programado  por el DATT para la vigencia 2024</t>
  </si>
  <si>
    <t>REVISADO DIC 2024. DESPROGRAMADO PARA LA VIGENCIA EN EL ULTIMO REPORTE</t>
  </si>
  <si>
    <t>REVISADO DIC 2024. Reportada por la IDACCC por 0,45</t>
  </si>
  <si>
    <t>REVISADO DIC 2024. Reportada por la IDACCC por 0,46</t>
  </si>
  <si>
    <t>Programas ajsutado en el cuatrienio, por tener solo dos metas producto programadas</t>
  </si>
  <si>
    <t>SE ESPERA PROGRAMAR PARA LAS VIGENCIAS 2025, 2026 Y 2027 POR PARTE DEL DADIS</t>
  </si>
  <si>
    <t>REVISAR CON ENLACE, YA QUE EL REPORTE  DEBE CONFIRMAR SUPERACIÓN DE LA META</t>
  </si>
  <si>
    <t>REVISAR CON ENLACE</t>
  </si>
  <si>
    <t>Se ajustan los esperado y los avances para eliminar el sesgo de los los no programados (Se colocaron 0% en los esperados como los no programados para la vigencia)</t>
  </si>
  <si>
    <t>REVISADO DIC 2024.  VERIFICAR PLAN DE ACCIÓN  2025</t>
  </si>
  <si>
    <t>Esta meta es compartida entre Gestión de Riesgo e Infraestructura y esta ultima reporta 6 de 5 que programó. PARA DICIEMBRE 2024 GESTION DE RIESGO PROGRAMÓ 2 Y EJECUTÓ 2. A DICIEMBRE SEC DE INFRAESTRUCTURA REPORTA ACUMUALDO DE 6</t>
  </si>
  <si>
    <t>REVISADO DIC 2024. REPORTADO POR SEC DE HACIENDA</t>
  </si>
  <si>
    <t xml:space="preserve">SECRETARÍA DEL INTERIOR Y CONVIVENCIA CIUDADANA
DISTRISEGURIDAD
ESTABLECIMIENTO PÚBLICO AMBIENTAL (FRANCISCO CASTILLO)
OFICINA ASESORA PARA LA GESTIÓN DEL RIESGO DE DESASTRES
GERENCIA DE ESPACIO PÚBLICO Y MOVILIDAD
</t>
  </si>
  <si>
    <t>Implementar cinco (5) estrategias de educación ambiental (PRAES, IDAU, PROCEDA, SOCIOEDUCACIÓN, ICEA)</t>
  </si>
  <si>
    <t>SECRETARÍA GENERAL  - ACUACAR -  SECRETARÍA DE PLANEACIÓN</t>
  </si>
  <si>
    <t>22,34% o más.</t>
  </si>
  <si>
    <t>17,37% - 22,33%</t>
  </si>
  <si>
    <t>12,41% - 17,36%</t>
  </si>
  <si>
    <t>7,44% - 12,40%</t>
  </si>
  <si>
    <t>LOGRO ALCANZADO  CORTE DICIEMBRE  RESPECTO A LO PROGRAMADO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</si>
</sst>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00%"/>
    <numFmt numFmtId="165" formatCode="0.0%"/>
    <numFmt numFmtId="166" formatCode="d/m"/>
    <numFmt numFmtId="167" formatCode="0.000"/>
    <numFmt numFmtId="168" formatCode="0.0000"/>
    <numFmt numFmtId="169" formatCode="_-* #,##0_-;\-* #,##0_-;_-* &quot;-&quot;??_-;_-@_-"/>
    <numFmt numFmtId="170" formatCode="0.0"/>
  </numFmts>
  <fonts count="8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26"/>
      <color theme="1"/>
      <name val="Calibri"/>
      <family val="2"/>
    </font>
    <font>
      <b/>
      <sz val="14"/>
      <color theme="1"/>
      <name val="Calibri"/>
      <family val="2"/>
    </font>
    <font>
      <b/>
      <sz val="23"/>
      <color theme="1"/>
      <name val="Calibri"/>
      <family val="2"/>
    </font>
    <font>
      <b/>
      <sz val="46"/>
      <color rgb="FF0000FF"/>
      <name val="Calibri"/>
      <family val="2"/>
      <scheme val="minor"/>
    </font>
    <font>
      <b/>
      <sz val="46"/>
      <color rgb="FF0000FF"/>
      <name val="Calibri"/>
      <family val="2"/>
    </font>
    <font>
      <b/>
      <sz val="41"/>
      <color rgb="FFFF0000"/>
      <name val="Calibri"/>
      <family val="2"/>
      <scheme val="minor"/>
    </font>
    <font>
      <b/>
      <sz val="33"/>
      <color theme="1"/>
      <name val="Calibri"/>
      <family val="2"/>
      <scheme val="minor"/>
    </font>
    <font>
      <b/>
      <sz val="31"/>
      <color theme="1"/>
      <name val="Calibri"/>
      <family val="2"/>
      <scheme val="minor"/>
    </font>
    <font>
      <b/>
      <sz val="73"/>
      <color rgb="FF0C343D"/>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b/>
      <sz val="26"/>
      <color theme="1"/>
      <name val="Calibri"/>
      <family val="2"/>
      <scheme val="minor"/>
    </font>
    <font>
      <b/>
      <sz val="36"/>
      <color theme="1"/>
      <name val="Calibri"/>
      <family val="2"/>
      <scheme val="minor"/>
    </font>
    <font>
      <b/>
      <sz val="28"/>
      <color theme="1"/>
      <name val="Calibri"/>
      <family val="2"/>
      <scheme val="minor"/>
    </font>
    <font>
      <b/>
      <sz val="22"/>
      <color theme="1"/>
      <name val="Calibri"/>
      <family val="2"/>
      <scheme val="minor"/>
    </font>
    <font>
      <b/>
      <sz val="8"/>
      <color theme="1"/>
      <name val="Times New Roman"/>
      <family val="1"/>
    </font>
    <font>
      <sz val="8"/>
      <color theme="1"/>
      <name val="Times New Roman"/>
      <family val="1"/>
    </font>
    <font>
      <b/>
      <sz val="10"/>
      <color theme="1"/>
      <name val="Times New Roman"/>
      <family val="1"/>
    </font>
    <font>
      <sz val="10"/>
      <color theme="1"/>
      <name val="Times New Roman"/>
      <family val="1"/>
    </font>
    <font>
      <sz val="48"/>
      <color theme="1"/>
      <name val="Calibri"/>
      <family val="2"/>
      <scheme val="minor"/>
    </font>
    <font>
      <b/>
      <sz val="14"/>
      <color theme="1"/>
      <name val="Calibri"/>
      <family val="2"/>
    </font>
    <font>
      <b/>
      <sz val="26"/>
      <name val="Calibri"/>
      <family val="2"/>
    </font>
    <font>
      <b/>
      <sz val="36"/>
      <name val="Calibri"/>
      <family val="2"/>
    </font>
    <font>
      <b/>
      <sz val="33"/>
      <color theme="1"/>
      <name val="Calibri"/>
      <family val="2"/>
      <scheme val="minor"/>
    </font>
    <font>
      <b/>
      <sz val="48"/>
      <name val="Calibri"/>
      <family val="2"/>
      <scheme val="minor"/>
    </font>
    <font>
      <b/>
      <sz val="46"/>
      <name val="Calibri"/>
      <family val="2"/>
      <scheme val="minor"/>
    </font>
    <font>
      <b/>
      <sz val="46"/>
      <name val="Calibri"/>
      <family val="2"/>
    </font>
    <font>
      <sz val="26"/>
      <color theme="1"/>
      <name val="Calibri"/>
      <family val="2"/>
      <scheme val="minor"/>
    </font>
    <font>
      <sz val="28"/>
      <color theme="1"/>
      <name val="Calibri"/>
      <family val="2"/>
      <scheme val="minor"/>
    </font>
    <font>
      <b/>
      <sz val="16"/>
      <name val="Calibri"/>
      <family val="2"/>
    </font>
    <font>
      <b/>
      <sz val="24"/>
      <color rgb="FFFF0000"/>
      <name val="Times New Roman"/>
      <family val="1"/>
    </font>
    <font>
      <b/>
      <sz val="11"/>
      <color rgb="FFFF0000"/>
      <name val="Calibri"/>
      <family val="2"/>
      <scheme val="minor"/>
    </font>
    <font>
      <b/>
      <sz val="20"/>
      <color theme="1"/>
      <name val="Times New Roman"/>
      <family val="1"/>
    </font>
    <font>
      <sz val="16"/>
      <name val="Calibri"/>
      <family val="2"/>
    </font>
    <font>
      <sz val="16"/>
      <name val="Calibri"/>
      <family val="2"/>
      <scheme val="minor"/>
    </font>
    <font>
      <b/>
      <i/>
      <sz val="16"/>
      <name val="Calibri"/>
      <family val="2"/>
    </font>
    <font>
      <sz val="16"/>
      <name val="Arial"/>
      <family val="2"/>
    </font>
    <font>
      <b/>
      <sz val="16"/>
      <name val="Calibri"/>
      <family val="2"/>
      <scheme val="minor"/>
    </font>
    <font>
      <sz val="36"/>
      <name val="Calibri"/>
      <family val="2"/>
    </font>
    <font>
      <sz val="36"/>
      <name val="Calibri"/>
      <family val="2"/>
      <scheme val="minor"/>
    </font>
    <font>
      <sz val="16"/>
      <color theme="1"/>
      <name val="Times New Roman"/>
      <family val="1"/>
    </font>
    <font>
      <b/>
      <sz val="14"/>
      <color theme="1"/>
      <name val="Times New Roman"/>
      <family val="1"/>
    </font>
    <font>
      <b/>
      <sz val="12"/>
      <color theme="1"/>
      <name val="Times New Roman"/>
      <family val="1"/>
    </font>
    <font>
      <b/>
      <sz val="12"/>
      <color rgb="FFFF0000"/>
      <name val="Times New Roman"/>
      <family val="1"/>
    </font>
    <font>
      <sz val="14"/>
      <name val="Arial"/>
      <family val="2"/>
    </font>
    <font>
      <sz val="12"/>
      <name val="Calibri"/>
      <family val="2"/>
    </font>
    <font>
      <b/>
      <sz val="12"/>
      <name val="Calibri"/>
      <family val="2"/>
    </font>
    <font>
      <sz val="12"/>
      <name val="Calibri"/>
      <family val="2"/>
      <scheme val="minor"/>
    </font>
    <font>
      <b/>
      <sz val="12"/>
      <name val="Calibri"/>
      <family val="2"/>
      <scheme val="minor"/>
    </font>
    <font>
      <b/>
      <i/>
      <sz val="12"/>
      <name val="Calibri"/>
      <family val="2"/>
    </font>
    <font>
      <sz val="12"/>
      <name val="Arial"/>
      <family val="2"/>
    </font>
    <font>
      <sz val="12"/>
      <name val="Calibri Light"/>
      <family val="2"/>
    </font>
    <font>
      <sz val="14"/>
      <name val="Calibri"/>
      <family val="2"/>
    </font>
    <font>
      <b/>
      <sz val="14"/>
      <name val="Calibri"/>
      <family val="2"/>
    </font>
    <font>
      <sz val="14"/>
      <name val="Calibri"/>
      <family val="2"/>
      <scheme val="minor"/>
    </font>
    <font>
      <b/>
      <sz val="14"/>
      <name val="Calibri"/>
      <family val="2"/>
      <scheme val="minor"/>
    </font>
    <font>
      <b/>
      <i/>
      <sz val="14"/>
      <name val="Calibri"/>
      <family val="2"/>
    </font>
    <font>
      <sz val="28"/>
      <name val="Calibri"/>
      <family val="2"/>
    </font>
    <font>
      <b/>
      <sz val="28"/>
      <name val="Calibri"/>
      <family val="2"/>
    </font>
    <font>
      <b/>
      <sz val="28"/>
      <name val="Calibri"/>
      <family val="2"/>
      <scheme val="minor"/>
    </font>
    <font>
      <sz val="28"/>
      <name val="Calibri"/>
      <family val="2"/>
      <scheme val="minor"/>
    </font>
    <font>
      <sz val="38"/>
      <name val="Calibri"/>
      <family val="2"/>
    </font>
    <font>
      <b/>
      <sz val="38"/>
      <name val="Calibri"/>
      <family val="2"/>
    </font>
    <font>
      <b/>
      <sz val="38"/>
      <name val="Calibri"/>
      <family val="2"/>
      <scheme val="minor"/>
    </font>
    <font>
      <sz val="38"/>
      <name val="Calibri"/>
      <family val="2"/>
      <scheme val="minor"/>
    </font>
    <font>
      <b/>
      <sz val="34"/>
      <name val="Calibri"/>
      <family val="2"/>
    </font>
    <font>
      <sz val="34"/>
      <name val="Calibri"/>
      <family val="2"/>
    </font>
    <font>
      <sz val="20"/>
      <color theme="1"/>
      <name val="Calibri"/>
      <family val="2"/>
      <scheme val="minor"/>
    </font>
    <font>
      <b/>
      <sz val="20"/>
      <color theme="1"/>
      <name val="Calibri"/>
      <family val="2"/>
      <scheme val="minor"/>
    </font>
    <font>
      <b/>
      <sz val="20"/>
      <color theme="1"/>
      <name val="Calibri"/>
      <family val="2"/>
    </font>
    <font>
      <b/>
      <sz val="20"/>
      <color theme="0"/>
      <name val="Calibri"/>
      <family val="2"/>
    </font>
    <font>
      <b/>
      <sz val="20"/>
      <color rgb="FFFF0000"/>
      <name val="Calibri"/>
      <family val="2"/>
    </font>
    <font>
      <b/>
      <i/>
      <sz val="100"/>
      <color theme="1"/>
      <name val="Calibri"/>
      <family val="2"/>
      <scheme val="minor"/>
    </font>
    <font>
      <b/>
      <sz val="100"/>
      <color theme="1"/>
      <name val="Calibri"/>
      <family val="2"/>
      <scheme val="minor"/>
    </font>
    <font>
      <b/>
      <sz val="100"/>
      <color theme="1"/>
      <name val="Bodoni MT"/>
      <family val="1"/>
    </font>
    <font>
      <b/>
      <sz val="100"/>
      <name val="Bodoni MT"/>
      <family val="1"/>
    </font>
  </fonts>
  <fills count="55">
    <fill>
      <patternFill patternType="none"/>
    </fill>
    <fill>
      <patternFill patternType="gray125"/>
    </fill>
    <fill>
      <patternFill patternType="solid">
        <fgColor rgb="FFEFEFEF"/>
        <bgColor rgb="FFEFEFEF"/>
      </patternFill>
    </fill>
    <fill>
      <patternFill patternType="solid">
        <fgColor rgb="FFBDD6EE"/>
        <bgColor rgb="FFBDD6EE"/>
      </patternFill>
    </fill>
    <fill>
      <patternFill patternType="solid">
        <fgColor rgb="FFFFFF00"/>
        <bgColor rgb="FFFFFF00"/>
      </patternFill>
    </fill>
    <fill>
      <patternFill patternType="solid">
        <fgColor rgb="FF2F5496"/>
        <bgColor rgb="FF2F5496"/>
      </patternFill>
    </fill>
    <fill>
      <patternFill patternType="solid">
        <fgColor rgb="FF00B050"/>
        <bgColor rgb="FF00B050"/>
      </patternFill>
    </fill>
    <fill>
      <patternFill patternType="solid">
        <fgColor rgb="FF00B0F0"/>
        <bgColor rgb="FF00B0F0"/>
      </patternFill>
    </fill>
    <fill>
      <patternFill patternType="solid">
        <fgColor rgb="FF9CC2E5"/>
        <bgColor rgb="FF9CC2E5"/>
      </patternFill>
    </fill>
    <fill>
      <patternFill patternType="solid">
        <fgColor rgb="FFC55A11"/>
        <bgColor rgb="FFC55A11"/>
      </patternFill>
    </fill>
    <fill>
      <patternFill patternType="solid">
        <fgColor rgb="FFF4B083"/>
        <bgColor rgb="FFF4B083"/>
      </patternFill>
    </fill>
    <fill>
      <patternFill patternType="solid">
        <fgColor rgb="FFCFE2F3"/>
        <bgColor rgb="FFCFE2F3"/>
      </patternFill>
    </fill>
    <fill>
      <patternFill patternType="solid">
        <fgColor rgb="FF2E75B5"/>
        <bgColor rgb="FF2E75B5"/>
      </patternFill>
    </fill>
    <fill>
      <patternFill patternType="solid">
        <fgColor rgb="FF6AA84F"/>
        <bgColor rgb="FF6AA84F"/>
      </patternFill>
    </fill>
    <fill>
      <patternFill patternType="solid">
        <fgColor rgb="FF0070C0"/>
        <bgColor rgb="FF0070C0"/>
      </patternFill>
    </fill>
    <fill>
      <patternFill patternType="solid">
        <fgColor rgb="FFFFFFFF"/>
        <bgColor rgb="FFFFFFFF"/>
      </patternFill>
    </fill>
    <fill>
      <patternFill patternType="solid">
        <fgColor theme="0"/>
        <bgColor theme="0"/>
      </patternFill>
    </fill>
    <fill>
      <patternFill patternType="solid">
        <fgColor rgb="FFC9DAF8"/>
        <bgColor rgb="FFC9DAF8"/>
      </patternFill>
    </fill>
    <fill>
      <patternFill patternType="solid">
        <fgColor rgb="FFDADADA"/>
        <bgColor rgb="FFDADADA"/>
      </patternFill>
    </fill>
    <fill>
      <patternFill patternType="solid">
        <fgColor rgb="FFA8D08D"/>
        <bgColor rgb="FFA8D08D"/>
      </patternFill>
    </fill>
    <fill>
      <patternFill patternType="solid">
        <fgColor rgb="FFD0CECE"/>
        <bgColor rgb="FFD0CECE"/>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0000"/>
        <bgColor indexed="64"/>
      </patternFill>
    </fill>
    <fill>
      <patternFill patternType="solid">
        <fgColor rgb="FF00B050"/>
        <bgColor indexed="64"/>
      </patternFill>
    </fill>
    <fill>
      <patternFill patternType="solid">
        <fgColor rgb="FFA9D08E"/>
        <bgColor indexed="64"/>
      </patternFill>
    </fill>
    <fill>
      <patternFill patternType="solid">
        <fgColor rgb="FFF8CBAD"/>
        <bgColor indexed="64"/>
      </patternFill>
    </fill>
    <fill>
      <patternFill patternType="solid">
        <fgColor rgb="FF92D050"/>
        <bgColor indexed="64"/>
      </patternFill>
    </fill>
    <fill>
      <patternFill patternType="solid">
        <fgColor rgb="FFF6C5AC"/>
        <bgColor indexed="64"/>
      </patternFill>
    </fill>
    <fill>
      <patternFill patternType="solid">
        <fgColor rgb="FFFFFF00"/>
        <bgColor rgb="FFFFFFFF"/>
      </patternFill>
    </fill>
    <fill>
      <patternFill patternType="solid">
        <fgColor rgb="FF00B050"/>
        <bgColor rgb="FFF4B083"/>
      </patternFill>
    </fill>
    <fill>
      <patternFill patternType="solid">
        <fgColor rgb="FFFFFF00"/>
        <bgColor rgb="FFF4B083"/>
      </patternFill>
    </fill>
    <fill>
      <patternFill patternType="solid">
        <fgColor theme="0"/>
        <bgColor rgb="FFF4B083"/>
      </patternFill>
    </fill>
    <fill>
      <patternFill patternType="solid">
        <fgColor theme="5" tint="0.39997558519241921"/>
        <bgColor rgb="FF00B050"/>
      </patternFill>
    </fill>
    <fill>
      <patternFill patternType="solid">
        <fgColor theme="5" tint="0.39997558519241921"/>
        <bgColor rgb="FFF4B083"/>
      </patternFill>
    </fill>
    <fill>
      <patternFill patternType="solid">
        <fgColor theme="4" tint="-0.249977111117893"/>
        <bgColor rgb="FF00B050"/>
      </patternFill>
    </fill>
    <fill>
      <patternFill patternType="solid">
        <fgColor theme="4" tint="-0.249977111117893"/>
        <bgColor rgb="FFF4B083"/>
      </patternFill>
    </fill>
    <fill>
      <patternFill patternType="solid">
        <fgColor theme="4" tint="-0.249977111117893"/>
        <bgColor rgb="FF2E75B5"/>
      </patternFill>
    </fill>
    <fill>
      <patternFill patternType="solid">
        <fgColor theme="0"/>
        <bgColor rgb="FF00B050"/>
      </patternFill>
    </fill>
    <fill>
      <patternFill patternType="solid">
        <fgColor theme="0"/>
        <bgColor rgb="FF2E75B5"/>
      </patternFill>
    </fill>
    <fill>
      <patternFill patternType="solid">
        <fgColor theme="5" tint="0.39997558519241921"/>
        <bgColor rgb="FF2E75B5"/>
      </patternFill>
    </fill>
    <fill>
      <patternFill patternType="solid">
        <fgColor theme="4" tint="-0.249977111117893"/>
        <bgColor indexed="64"/>
      </patternFill>
    </fill>
    <fill>
      <patternFill patternType="solid">
        <fgColor theme="0"/>
        <bgColor rgb="FFFFFFFF"/>
      </patternFill>
    </fill>
    <fill>
      <patternFill patternType="solid">
        <fgColor theme="2" tint="-4.9989318521683403E-2"/>
        <bgColor indexed="64"/>
      </patternFill>
    </fill>
    <fill>
      <patternFill patternType="solid">
        <fgColor theme="5" tint="-0.249977111117893"/>
        <bgColor indexed="64"/>
      </patternFill>
    </fill>
    <fill>
      <patternFill patternType="solid">
        <fgColor theme="5" tint="-0.249977111117893"/>
        <bgColor rgb="FFD0CECE"/>
      </patternFill>
    </fill>
    <fill>
      <patternFill patternType="solid">
        <fgColor rgb="FF0070C0"/>
        <bgColor indexed="64"/>
      </patternFill>
    </fill>
    <fill>
      <patternFill patternType="solid">
        <fgColor rgb="FFCC0066"/>
        <bgColor indexed="64"/>
      </patternFill>
    </fill>
    <fill>
      <patternFill patternType="solid">
        <fgColor rgb="FFFFFF00"/>
        <bgColor rgb="FF2F5496"/>
      </patternFill>
    </fill>
    <fill>
      <patternFill patternType="solid">
        <fgColor theme="2"/>
        <bgColor rgb="FFFFFFFF"/>
      </patternFill>
    </fill>
    <fill>
      <patternFill patternType="solid">
        <fgColor theme="2"/>
        <bgColor indexed="64"/>
      </patternFill>
    </fill>
  </fills>
  <borders count="144">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diagonal/>
    </border>
    <border>
      <left style="medium">
        <color rgb="FFCCCCCC"/>
      </left>
      <right style="medium">
        <color rgb="FF000000"/>
      </right>
      <top style="medium">
        <color rgb="FFCCCCCC"/>
      </top>
      <bottom style="medium">
        <color rgb="FFCCCCCC"/>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top style="medium">
        <color rgb="FFCCCCCC"/>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BF4F14"/>
      </right>
      <top style="medium">
        <color rgb="FFCCCCCC"/>
      </top>
      <bottom style="medium">
        <color rgb="FFCCCCCC"/>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medium">
        <color rgb="FFCCCCCC"/>
      </right>
      <top style="medium">
        <color rgb="FFCCCCCC"/>
      </top>
      <bottom style="medium">
        <color rgb="FFCCCCCC"/>
      </bottom>
      <diagonal/>
    </border>
    <border>
      <left style="medium">
        <color rgb="FFCCCCCC"/>
      </left>
      <right/>
      <top style="medium">
        <color rgb="FFCCCCCC"/>
      </top>
      <bottom style="medium">
        <color rgb="FF000000"/>
      </bottom>
      <diagonal/>
    </border>
    <border>
      <left style="medium">
        <color rgb="FFCCCCCC"/>
      </left>
      <right/>
      <top style="medium">
        <color rgb="FFCCCCCC"/>
      </top>
      <bottom/>
      <diagonal/>
    </border>
    <border>
      <left/>
      <right/>
      <top/>
      <bottom style="medium">
        <color rgb="FF000000"/>
      </bottom>
      <diagonal/>
    </border>
    <border>
      <left style="medium">
        <color rgb="FFCCCCCC"/>
      </left>
      <right/>
      <top/>
      <bottom style="medium">
        <color rgb="FF000000"/>
      </bottom>
      <diagonal/>
    </border>
    <border>
      <left style="medium">
        <color rgb="FFCCCCCC"/>
      </left>
      <right style="medium">
        <color rgb="FFCCCCCC"/>
      </right>
      <top/>
      <bottom style="medium">
        <color rgb="FFCCCCCC"/>
      </bottom>
      <diagonal/>
    </border>
    <border>
      <left/>
      <right style="medium">
        <color rgb="FF000000"/>
      </right>
      <top style="medium">
        <color rgb="FF000000"/>
      </top>
      <bottom/>
      <diagonal/>
    </border>
    <border>
      <left style="medium">
        <color rgb="FFCCCCCC"/>
      </left>
      <right/>
      <top style="medium">
        <color rgb="FFCCCCCC"/>
      </top>
      <bottom style="medium">
        <color rgb="FFCCCCCC"/>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rgb="FFCCCCCC"/>
      </right>
      <top style="medium">
        <color rgb="FFCCCCCC"/>
      </top>
      <bottom/>
      <diagonal/>
    </border>
    <border>
      <left/>
      <right/>
      <top style="medium">
        <color rgb="FF000000"/>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rgb="FF000000"/>
      </bottom>
      <diagonal/>
    </border>
    <border>
      <left/>
      <right style="medium">
        <color rgb="FFCCCCCC"/>
      </right>
      <top style="medium">
        <color indexed="64"/>
      </top>
      <bottom style="medium">
        <color rgb="FF000000"/>
      </bottom>
      <diagonal/>
    </border>
    <border>
      <left style="medium">
        <color rgb="FFCCCCCC"/>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CCCCCC"/>
      </left>
      <right style="medium">
        <color indexed="64"/>
      </right>
      <top style="medium">
        <color rgb="FFCCCCCC"/>
      </top>
      <bottom style="medium">
        <color rgb="FF000000"/>
      </bottom>
      <diagonal/>
    </border>
    <border>
      <left style="medium">
        <color indexed="64"/>
      </left>
      <right style="medium">
        <color rgb="FF000000"/>
      </right>
      <top style="medium">
        <color rgb="FFCCCCCC"/>
      </top>
      <bottom style="medium">
        <color rgb="FF000000"/>
      </bottom>
      <diagonal/>
    </border>
    <border>
      <left style="medium">
        <color rgb="FFCCCCCC"/>
      </left>
      <right style="medium">
        <color indexed="64"/>
      </right>
      <top style="medium">
        <color rgb="FFCCCCCC"/>
      </top>
      <bottom/>
      <diagonal/>
    </border>
    <border>
      <left style="thin">
        <color rgb="FF000000"/>
      </left>
      <right style="medium">
        <color indexed="64"/>
      </right>
      <top style="thin">
        <color rgb="FF000000"/>
      </top>
      <bottom style="thin">
        <color rgb="FF000000"/>
      </bottom>
      <diagonal/>
    </border>
    <border>
      <left style="medium">
        <color rgb="FFCCCCCC"/>
      </left>
      <right style="medium">
        <color indexed="64"/>
      </right>
      <top/>
      <bottom style="medium">
        <color rgb="FF000000"/>
      </bottom>
      <diagonal/>
    </border>
    <border>
      <left style="medium">
        <color indexed="64"/>
      </left>
      <right style="medium">
        <color rgb="FF000000"/>
      </right>
      <top style="medium">
        <color rgb="FFCCCCCC"/>
      </top>
      <bottom style="medium">
        <color indexed="64"/>
      </bottom>
      <diagonal/>
    </border>
    <border>
      <left style="medium">
        <color rgb="FFCCCCCC"/>
      </left>
      <right style="medium">
        <color rgb="FF000000"/>
      </right>
      <top style="medium">
        <color rgb="FFCCCCCC"/>
      </top>
      <bottom style="medium">
        <color indexed="64"/>
      </bottom>
      <diagonal/>
    </border>
    <border>
      <left style="medium">
        <color rgb="FFCCCCCC"/>
      </left>
      <right style="medium">
        <color indexed="64"/>
      </right>
      <top style="medium">
        <color rgb="FFCCCCCC"/>
      </top>
      <bottom style="medium">
        <color indexed="64"/>
      </bottom>
      <diagonal/>
    </border>
    <border>
      <left style="medium">
        <color indexed="64"/>
      </left>
      <right style="medium">
        <color rgb="FF000000"/>
      </right>
      <top style="medium">
        <color rgb="FFCCCCCC"/>
      </top>
      <bottom/>
      <diagonal/>
    </border>
    <border>
      <left style="medium">
        <color indexed="64"/>
      </left>
      <right/>
      <top style="medium">
        <color rgb="FF000000"/>
      </top>
      <bottom/>
      <diagonal/>
    </border>
    <border>
      <left style="thin">
        <color rgb="FF000000"/>
      </left>
      <right style="medium">
        <color indexed="64"/>
      </right>
      <top style="thin">
        <color rgb="FF000000"/>
      </top>
      <bottom/>
      <diagonal/>
    </border>
    <border>
      <left style="medium">
        <color indexed="64"/>
      </left>
      <right style="medium">
        <color rgb="FF000000"/>
      </right>
      <top/>
      <bottom/>
      <diagonal/>
    </border>
    <border>
      <left style="medium">
        <color rgb="FFCCCCCC"/>
      </left>
      <right/>
      <top/>
      <bottom/>
      <diagonal/>
    </border>
    <border>
      <left style="medium">
        <color indexed="64"/>
      </left>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CCCCCC"/>
      </left>
      <right/>
      <top style="medium">
        <color indexed="64"/>
      </top>
      <bottom style="medium">
        <color indexed="64"/>
      </bottom>
      <diagonal/>
    </border>
    <border>
      <left/>
      <right/>
      <top style="medium">
        <color indexed="64"/>
      </top>
      <bottom style="medium">
        <color indexed="64"/>
      </bottom>
      <diagonal/>
    </border>
    <border>
      <left style="medium">
        <color rgb="FFCCCCCC"/>
      </left>
      <right/>
      <top style="medium">
        <color rgb="FFCCCCCC"/>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CCCCCC"/>
      </top>
      <bottom style="medium">
        <color rgb="FF000000"/>
      </bottom>
      <diagonal/>
    </border>
    <border>
      <left style="medium">
        <color indexed="64"/>
      </left>
      <right style="medium">
        <color indexed="64"/>
      </right>
      <top style="medium">
        <color rgb="FFCCCCCC"/>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CCCCCC"/>
      </top>
      <bottom style="medium">
        <color indexed="64"/>
      </bottom>
      <diagonal/>
    </border>
    <border>
      <left style="thin">
        <color rgb="FF000000"/>
      </left>
      <right style="medium">
        <color indexed="64"/>
      </right>
      <top/>
      <bottom style="thin">
        <color rgb="FF000000"/>
      </bottom>
      <diagonal/>
    </border>
    <border>
      <left style="medium">
        <color indexed="64"/>
      </left>
      <right style="medium">
        <color rgb="FF000000"/>
      </right>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rgb="FF000000"/>
      </bottom>
      <diagonal/>
    </border>
    <border>
      <left style="medium">
        <color rgb="FFCCCCCC"/>
      </left>
      <right/>
      <top style="medium">
        <color indexed="64"/>
      </top>
      <bottom style="medium">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style="thin">
        <color rgb="FF000000"/>
      </right>
      <top style="thin">
        <color rgb="FF000000"/>
      </top>
      <bottom/>
      <diagonal/>
    </border>
    <border>
      <left/>
      <right style="medium">
        <color rgb="FF000000"/>
      </right>
      <top style="medium">
        <color indexed="64"/>
      </top>
      <bottom style="medium">
        <color rgb="FF000000"/>
      </bottom>
      <diagonal/>
    </border>
    <border>
      <left/>
      <right style="medium">
        <color indexed="64"/>
      </right>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FF0000"/>
      </left>
      <right style="thin">
        <color indexed="64"/>
      </right>
      <top style="thin">
        <color rgb="FFFF0000"/>
      </top>
      <bottom style="thin">
        <color indexed="64"/>
      </bottom>
      <diagonal/>
    </border>
    <border>
      <left style="thin">
        <color indexed="64"/>
      </left>
      <right style="thin">
        <color indexed="64"/>
      </right>
      <top style="thin">
        <color rgb="FFFF0000"/>
      </top>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indexed="64"/>
      </left>
      <right/>
      <top style="thin">
        <color rgb="FFFF0000"/>
      </top>
      <bottom/>
      <diagonal/>
    </border>
    <border>
      <left style="thin">
        <color indexed="64"/>
      </left>
      <right/>
      <top/>
      <bottom style="thin">
        <color rgb="FFFF0000"/>
      </bottom>
      <diagonal/>
    </border>
    <border>
      <left/>
      <right style="thin">
        <color indexed="64"/>
      </right>
      <top style="thin">
        <color indexed="64"/>
      </top>
      <bottom style="thin">
        <color rgb="FFFF0000"/>
      </bottom>
      <diagonal/>
    </border>
    <border>
      <left style="thin">
        <color rgb="FFFF0000"/>
      </left>
      <right style="thin">
        <color indexed="64"/>
      </right>
      <top/>
      <bottom style="thin">
        <color indexed="64"/>
      </bottom>
      <diagonal/>
    </border>
    <border>
      <left style="thin">
        <color indexed="64"/>
      </left>
      <right style="thin">
        <color rgb="FFFF0000"/>
      </right>
      <top/>
      <bottom style="thin">
        <color indexed="64"/>
      </bottom>
      <diagonal/>
    </border>
    <border>
      <left style="thick">
        <color rgb="FF7030A0"/>
      </left>
      <right style="thick">
        <color rgb="FF7030A0"/>
      </right>
      <top style="thick">
        <color rgb="FF7030A0"/>
      </top>
      <bottom style="thick">
        <color rgb="FF7030A0"/>
      </bottom>
      <diagonal/>
    </border>
    <border>
      <left style="thick">
        <color rgb="FF7030A0"/>
      </left>
      <right style="thin">
        <color indexed="64"/>
      </right>
      <top style="thick">
        <color rgb="FF7030A0"/>
      </top>
      <bottom style="thick">
        <color rgb="FF7030A0"/>
      </bottom>
      <diagonal/>
    </border>
    <border>
      <left style="thin">
        <color indexed="64"/>
      </left>
      <right/>
      <top style="thick">
        <color rgb="FF7030A0"/>
      </top>
      <bottom style="thick">
        <color rgb="FF7030A0"/>
      </bottom>
      <diagonal/>
    </border>
    <border>
      <left style="medium">
        <color rgb="FF7030A0"/>
      </left>
      <right style="thin">
        <color rgb="FF000000"/>
      </right>
      <top style="medium">
        <color rgb="FF7030A0"/>
      </top>
      <bottom style="thin">
        <color rgb="FF000000"/>
      </bottom>
      <diagonal/>
    </border>
    <border>
      <left style="thin">
        <color rgb="FF000000"/>
      </left>
      <right style="thin">
        <color rgb="FF000000"/>
      </right>
      <top style="medium">
        <color rgb="FF7030A0"/>
      </top>
      <bottom style="thin">
        <color rgb="FF000000"/>
      </bottom>
      <diagonal/>
    </border>
    <border>
      <left style="thin">
        <color rgb="FF000000"/>
      </left>
      <right style="medium">
        <color rgb="FF7030A0"/>
      </right>
      <top style="medium">
        <color rgb="FF7030A0"/>
      </top>
      <bottom style="thin">
        <color rgb="FF000000"/>
      </bottom>
      <diagonal/>
    </border>
    <border>
      <left style="medium">
        <color rgb="FF7030A0"/>
      </left>
      <right style="thin">
        <color rgb="FF000000"/>
      </right>
      <top style="thin">
        <color rgb="FF000000"/>
      </top>
      <bottom/>
      <diagonal/>
    </border>
    <border>
      <left style="medium">
        <color rgb="FF7030A0"/>
      </left>
      <right style="thin">
        <color rgb="FF000000"/>
      </right>
      <top style="thin">
        <color rgb="FF000000"/>
      </top>
      <bottom style="thin">
        <color rgb="FF000000"/>
      </bottom>
      <diagonal/>
    </border>
    <border>
      <left style="thin">
        <color rgb="FF000000"/>
      </left>
      <right style="medium">
        <color rgb="FF7030A0"/>
      </right>
      <top style="thin">
        <color rgb="FF000000"/>
      </top>
      <bottom style="thin">
        <color rgb="FF000000"/>
      </bottom>
      <diagonal/>
    </border>
    <border>
      <left style="medium">
        <color rgb="FF7030A0"/>
      </left>
      <right style="thin">
        <color rgb="FF000000"/>
      </right>
      <top style="thin">
        <color rgb="FF000000"/>
      </top>
      <bottom style="medium">
        <color rgb="FF7030A0"/>
      </bottom>
      <diagonal/>
    </border>
    <border>
      <left style="thin">
        <color rgb="FF000000"/>
      </left>
      <right style="thin">
        <color rgb="FF000000"/>
      </right>
      <top style="thin">
        <color rgb="FF000000"/>
      </top>
      <bottom style="medium">
        <color rgb="FF7030A0"/>
      </bottom>
      <diagonal/>
    </border>
    <border>
      <left style="thin">
        <color rgb="FF000000"/>
      </left>
      <right style="medium">
        <color rgb="FF7030A0"/>
      </right>
      <top style="thin">
        <color rgb="FF000000"/>
      </top>
      <bottom style="medium">
        <color rgb="FF7030A0"/>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rgb="FFCCCCCC"/>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CCCCCC"/>
      </left>
      <right style="medium">
        <color indexed="64"/>
      </right>
      <top style="medium">
        <color indexed="64"/>
      </top>
      <bottom style="medium">
        <color indexed="64"/>
      </bottom>
      <diagonal/>
    </border>
    <border>
      <left style="medium">
        <color rgb="FFCCCCCC"/>
      </left>
      <right/>
      <top/>
      <bottom style="medium">
        <color rgb="FFCCCCCC"/>
      </bottom>
      <diagonal/>
    </border>
    <border>
      <left style="medium">
        <color indexed="64"/>
      </left>
      <right style="medium">
        <color rgb="FF000000"/>
      </right>
      <top style="medium">
        <color indexed="64"/>
      </top>
      <bottom/>
      <diagonal/>
    </border>
    <border>
      <left style="medium">
        <color rgb="FFCCCCCC"/>
      </left>
      <right/>
      <top style="medium">
        <color indexed="64"/>
      </top>
      <bottom/>
      <diagonal/>
    </border>
  </borders>
  <cellStyleXfs count="4">
    <xf numFmtId="0" fontId="0" fillId="0" borderId="0"/>
    <xf numFmtId="9" fontId="13" fillId="0" borderId="0" applyFont="0" applyFill="0" applyBorder="0" applyAlignment="0" applyProtection="0"/>
    <xf numFmtId="0" fontId="2" fillId="0" borderId="0"/>
    <xf numFmtId="43" fontId="13" fillId="0" borderId="0" applyFont="0" applyFill="0" applyBorder="0" applyAlignment="0" applyProtection="0"/>
  </cellStyleXfs>
  <cellXfs count="779">
    <xf numFmtId="0" fontId="0" fillId="0" borderId="0" xfId="0" applyFont="1" applyAlignment="1"/>
    <xf numFmtId="0" fontId="5" fillId="6" borderId="16" xfId="0" applyFont="1" applyFill="1" applyBorder="1" applyAlignment="1">
      <alignment horizontal="center" vertical="center" wrapText="1"/>
    </xf>
    <xf numFmtId="0" fontId="3" fillId="0" borderId="25" xfId="0" applyFont="1" applyBorder="1"/>
    <xf numFmtId="0" fontId="7" fillId="0" borderId="16" xfId="0" applyFont="1" applyBorder="1" applyAlignment="1">
      <alignment horizontal="center"/>
    </xf>
    <xf numFmtId="0" fontId="8" fillId="0" borderId="16" xfId="0" applyFont="1" applyBorder="1" applyAlignment="1">
      <alignment horizontal="center"/>
    </xf>
    <xf numFmtId="9" fontId="9" fillId="0" borderId="16" xfId="0" applyNumberFormat="1" applyFont="1" applyBorder="1" applyAlignment="1">
      <alignment horizontal="center"/>
    </xf>
    <xf numFmtId="164" fontId="10" fillId="0" borderId="0" xfId="0" applyNumberFormat="1" applyFont="1" applyAlignment="1"/>
    <xf numFmtId="164" fontId="11" fillId="0" borderId="0" xfId="0" applyNumberFormat="1" applyFont="1" applyAlignment="1"/>
    <xf numFmtId="10" fontId="12" fillId="0" borderId="0" xfId="0" applyNumberFormat="1" applyFont="1" applyAlignment="1">
      <alignment horizontal="center"/>
    </xf>
    <xf numFmtId="10" fontId="13" fillId="0" borderId="0" xfId="0" applyNumberFormat="1" applyFont="1" applyAlignment="1"/>
    <xf numFmtId="0" fontId="0" fillId="0" borderId="26" xfId="0" applyFont="1" applyBorder="1" applyAlignment="1"/>
    <xf numFmtId="10" fontId="19" fillId="26" borderId="26" xfId="0" applyNumberFormat="1" applyFont="1" applyFill="1" applyBorder="1" applyAlignment="1">
      <alignment horizontal="center" vertical="center"/>
    </xf>
    <xf numFmtId="2" fontId="0" fillId="0" borderId="0" xfId="0" applyNumberFormat="1" applyFont="1" applyAlignment="1"/>
    <xf numFmtId="165" fontId="16" fillId="0" borderId="26" xfId="1" applyNumberFormat="1" applyFont="1" applyBorder="1" applyAlignment="1">
      <alignment horizontal="center" vertical="center"/>
    </xf>
    <xf numFmtId="10" fontId="0" fillId="0" borderId="0" xfId="0" applyNumberFormat="1" applyFont="1" applyAlignment="1"/>
    <xf numFmtId="164" fontId="0" fillId="0" borderId="0" xfId="1" applyNumberFormat="1" applyFont="1" applyAlignment="1"/>
    <xf numFmtId="164" fontId="0" fillId="0" borderId="0" xfId="0" applyNumberFormat="1" applyFont="1" applyAlignment="1"/>
    <xf numFmtId="0" fontId="0" fillId="22" borderId="0" xfId="0" applyFont="1" applyFill="1" applyAlignment="1"/>
    <xf numFmtId="0" fontId="18" fillId="0" borderId="0" xfId="0" applyFont="1" applyAlignment="1"/>
    <xf numFmtId="10" fontId="14" fillId="0" borderId="0" xfId="1" applyNumberFormat="1" applyFont="1" applyAlignment="1"/>
    <xf numFmtId="165" fontId="16" fillId="0" borderId="36" xfId="1" applyNumberFormat="1" applyFont="1" applyBorder="1" applyAlignment="1">
      <alignment horizontal="center" vertical="center"/>
    </xf>
    <xf numFmtId="0" fontId="21" fillId="0" borderId="28" xfId="0" applyFont="1" applyBorder="1" applyAlignment="1">
      <alignment horizontal="center" vertical="center" wrapText="1"/>
    </xf>
    <xf numFmtId="0" fontId="22" fillId="28" borderId="28" xfId="0" applyFont="1" applyFill="1" applyBorder="1" applyAlignment="1">
      <alignment horizontal="center" vertical="center" wrapText="1"/>
    </xf>
    <xf numFmtId="0" fontId="22" fillId="29" borderId="28" xfId="0" applyFont="1" applyFill="1" applyBorder="1" applyAlignment="1">
      <alignment horizontal="center" vertical="center" wrapText="1"/>
    </xf>
    <xf numFmtId="0" fontId="22" fillId="21" borderId="28" xfId="0" applyFont="1" applyFill="1" applyBorder="1" applyAlignment="1">
      <alignment horizontal="center" vertical="center" wrapText="1"/>
    </xf>
    <xf numFmtId="0" fontId="22" fillId="30" borderId="28" xfId="0" applyFont="1" applyFill="1" applyBorder="1" applyAlignment="1">
      <alignment horizontal="center" vertical="center" wrapText="1"/>
    </xf>
    <xf numFmtId="0" fontId="22" fillId="27" borderId="28" xfId="0" applyFont="1" applyFill="1" applyBorder="1" applyAlignment="1">
      <alignment horizontal="center" vertical="center" wrapText="1"/>
    </xf>
    <xf numFmtId="0" fontId="24" fillId="0" borderId="37" xfId="0" applyFont="1" applyBorder="1" applyAlignment="1">
      <alignment horizontal="justify" vertical="center" wrapText="1"/>
    </xf>
    <xf numFmtId="0" fontId="24" fillId="21" borderId="28" xfId="0" applyFont="1" applyFill="1" applyBorder="1" applyAlignment="1">
      <alignment horizontal="justify" vertical="center" wrapText="1"/>
    </xf>
    <xf numFmtId="0" fontId="24" fillId="0" borderId="28" xfId="0" applyFont="1" applyBorder="1" applyAlignment="1">
      <alignment horizontal="justify" vertical="center" wrapText="1"/>
    </xf>
    <xf numFmtId="0" fontId="24" fillId="32" borderId="28" xfId="0" applyFont="1" applyFill="1" applyBorder="1" applyAlignment="1">
      <alignment horizontal="justify" vertical="center" wrapText="1"/>
    </xf>
    <xf numFmtId="0" fontId="24" fillId="27" borderId="28" xfId="0" applyFont="1" applyFill="1" applyBorder="1" applyAlignment="1">
      <alignment horizontal="justify" vertical="center" wrapText="1"/>
    </xf>
    <xf numFmtId="0" fontId="24" fillId="0" borderId="20" xfId="0" applyFont="1" applyBorder="1" applyAlignment="1">
      <alignment horizontal="justify" vertical="center" wrapText="1"/>
    </xf>
    <xf numFmtId="0" fontId="25" fillId="0" borderId="0" xfId="0" applyFont="1" applyAlignment="1"/>
    <xf numFmtId="165" fontId="4" fillId="37" borderId="26" xfId="0" applyNumberFormat="1" applyFont="1" applyFill="1" applyBorder="1" applyAlignment="1">
      <alignment horizontal="center" vertical="center" wrapText="1"/>
    </xf>
    <xf numFmtId="165" fontId="27" fillId="12" borderId="26" xfId="0" applyNumberFormat="1" applyFont="1" applyFill="1" applyBorder="1" applyAlignment="1">
      <alignment horizontal="center" vertical="center" wrapText="1"/>
    </xf>
    <xf numFmtId="0" fontId="10" fillId="0" borderId="27" xfId="0" applyFont="1" applyBorder="1" applyAlignment="1">
      <alignment horizontal="center" vertical="center"/>
    </xf>
    <xf numFmtId="164" fontId="29" fillId="0" borderId="27" xfId="1" applyNumberFormat="1" applyFont="1" applyBorder="1" applyAlignment="1">
      <alignment vertical="center"/>
    </xf>
    <xf numFmtId="0" fontId="0" fillId="0" borderId="36" xfId="0" applyFont="1" applyBorder="1" applyAlignment="1"/>
    <xf numFmtId="10" fontId="30" fillId="22" borderId="53" xfId="0" applyNumberFormat="1" applyFont="1" applyFill="1" applyBorder="1" applyAlignment="1">
      <alignment horizontal="center" vertical="center"/>
    </xf>
    <xf numFmtId="0" fontId="20" fillId="23" borderId="98" xfId="0" applyFont="1" applyFill="1" applyBorder="1" applyAlignment="1">
      <alignment wrapText="1"/>
    </xf>
    <xf numFmtId="10" fontId="30" fillId="22" borderId="100" xfId="0" applyNumberFormat="1" applyFont="1" applyFill="1" applyBorder="1" applyAlignment="1">
      <alignment horizontal="center" vertical="center"/>
    </xf>
    <xf numFmtId="10" fontId="30" fillId="22" borderId="101" xfId="0" applyNumberFormat="1" applyFont="1" applyFill="1" applyBorder="1" applyAlignment="1">
      <alignment horizontal="center" vertical="center"/>
    </xf>
    <xf numFmtId="0" fontId="15" fillId="24" borderId="102" xfId="0" applyFont="1" applyFill="1" applyBorder="1" applyAlignment="1">
      <alignment wrapText="1"/>
    </xf>
    <xf numFmtId="165" fontId="27" fillId="12" borderId="103" xfId="0" applyNumberFormat="1" applyFont="1" applyFill="1" applyBorder="1" applyAlignment="1">
      <alignment horizontal="center" vertical="center" wrapText="1"/>
    </xf>
    <xf numFmtId="0" fontId="14" fillId="25" borderId="102" xfId="0" applyFont="1" applyFill="1" applyBorder="1" applyAlignment="1">
      <alignment wrapText="1"/>
    </xf>
    <xf numFmtId="165" fontId="16" fillId="0" borderId="103" xfId="1" applyNumberFormat="1" applyFont="1" applyBorder="1" applyAlignment="1">
      <alignment horizontal="center" vertical="center"/>
    </xf>
    <xf numFmtId="10" fontId="16" fillId="0" borderId="103" xfId="1" applyNumberFormat="1" applyFont="1" applyBorder="1" applyAlignment="1">
      <alignment horizontal="center" vertical="center"/>
    </xf>
    <xf numFmtId="0" fontId="14" fillId="25" borderId="104" xfId="0" applyFont="1" applyFill="1" applyBorder="1" applyAlignment="1">
      <alignment wrapText="1"/>
    </xf>
    <xf numFmtId="165" fontId="16" fillId="0" borderId="106" xfId="1" applyNumberFormat="1" applyFont="1" applyBorder="1" applyAlignment="1">
      <alignment horizontal="center" vertical="center"/>
    </xf>
    <xf numFmtId="165" fontId="16" fillId="0" borderId="107" xfId="1" applyNumberFormat="1" applyFont="1" applyBorder="1" applyAlignment="1">
      <alignment horizontal="center" vertical="center"/>
    </xf>
    <xf numFmtId="0" fontId="20" fillId="23" borderId="98" xfId="0" applyFont="1" applyFill="1" applyBorder="1" applyAlignment="1">
      <alignment vertical="center" wrapText="1"/>
    </xf>
    <xf numFmtId="165" fontId="16" fillId="0" borderId="110" xfId="1" applyNumberFormat="1" applyFont="1" applyBorder="1" applyAlignment="1">
      <alignment horizontal="center" vertical="center"/>
    </xf>
    <xf numFmtId="0" fontId="20" fillId="23" borderId="111" xfId="0" applyFont="1" applyFill="1" applyBorder="1" applyAlignment="1">
      <alignment wrapText="1"/>
    </xf>
    <xf numFmtId="10" fontId="30" fillId="22" borderId="112" xfId="0" applyNumberFormat="1" applyFont="1" applyFill="1" applyBorder="1" applyAlignment="1">
      <alignment horizontal="center" vertical="center"/>
    </xf>
    <xf numFmtId="0" fontId="16" fillId="0" borderId="0" xfId="0" applyFont="1" applyAlignment="1"/>
    <xf numFmtId="0" fontId="5" fillId="20" borderId="31" xfId="0" applyFont="1" applyFill="1" applyBorder="1" applyAlignment="1">
      <alignment horizontal="center" vertical="center" wrapText="1"/>
    </xf>
    <xf numFmtId="0" fontId="3" fillId="0" borderId="92" xfId="0" applyFont="1" applyBorder="1"/>
    <xf numFmtId="9" fontId="8" fillId="0" borderId="31" xfId="0" applyNumberFormat="1" applyFont="1" applyBorder="1" applyAlignment="1">
      <alignment horizontal="center"/>
    </xf>
    <xf numFmtId="0" fontId="5" fillId="20" borderId="116" xfId="0" applyFont="1" applyFill="1" applyBorder="1" applyAlignment="1">
      <alignment horizontal="center" vertical="center" wrapText="1"/>
    </xf>
    <xf numFmtId="0" fontId="6" fillId="6" borderId="117" xfId="0" applyFont="1" applyFill="1" applyBorder="1" applyAlignment="1">
      <alignment horizontal="center" vertical="center" wrapText="1"/>
    </xf>
    <xf numFmtId="0" fontId="26" fillId="20" borderId="117" xfId="0" applyFont="1" applyFill="1" applyBorder="1" applyAlignment="1">
      <alignment horizontal="center" vertical="center" wrapText="1"/>
    </xf>
    <xf numFmtId="0" fontId="0" fillId="0" borderId="0" xfId="0" applyFont="1" applyBorder="1" applyAlignment="1"/>
    <xf numFmtId="165" fontId="8" fillId="0" borderId="121" xfId="0" applyNumberFormat="1" applyFont="1" applyBorder="1" applyAlignment="1">
      <alignment horizontal="center"/>
    </xf>
    <xf numFmtId="9" fontId="9" fillId="0" borderId="123" xfId="0" applyNumberFormat="1" applyFont="1" applyBorder="1" applyAlignment="1">
      <alignment horizontal="center"/>
    </xf>
    <xf numFmtId="165" fontId="8" fillId="0" borderId="124" xfId="0" applyNumberFormat="1" applyFont="1" applyBorder="1" applyAlignment="1">
      <alignment horizontal="center"/>
    </xf>
    <xf numFmtId="0" fontId="5" fillId="20" borderId="117" xfId="0" applyFont="1" applyFill="1" applyBorder="1" applyAlignment="1">
      <alignment horizontal="center" vertical="center" wrapText="1"/>
    </xf>
    <xf numFmtId="0" fontId="5" fillId="49" borderId="117" xfId="0" applyFont="1" applyFill="1" applyBorder="1" applyAlignment="1">
      <alignment horizontal="center" vertical="center" wrapText="1"/>
    </xf>
    <xf numFmtId="0" fontId="1" fillId="0" borderId="0" xfId="0" applyFont="1" applyAlignment="1"/>
    <xf numFmtId="0" fontId="33" fillId="0" borderId="0" xfId="0" applyFont="1" applyAlignment="1"/>
    <xf numFmtId="0" fontId="23" fillId="0" borderId="87" xfId="0" applyFont="1" applyBorder="1" applyAlignment="1">
      <alignment horizontal="center" vertical="center" wrapText="1"/>
    </xf>
    <xf numFmtId="0" fontId="23" fillId="0" borderId="93" xfId="0" applyFont="1" applyBorder="1" applyAlignment="1">
      <alignment horizontal="center" vertical="center" wrapText="1"/>
    </xf>
    <xf numFmtId="0" fontId="23" fillId="0" borderId="95" xfId="0" applyFont="1" applyBorder="1" applyAlignment="1">
      <alignment horizontal="center" vertical="center" wrapText="1"/>
    </xf>
    <xf numFmtId="0" fontId="24" fillId="0" borderId="84" xfId="0" applyFont="1" applyBorder="1" applyAlignment="1">
      <alignment horizontal="justify" vertical="center" wrapText="1"/>
    </xf>
    <xf numFmtId="0" fontId="24" fillId="0" borderId="94" xfId="0" applyFont="1" applyBorder="1" applyAlignment="1">
      <alignment horizontal="justify" vertical="center" wrapText="1"/>
    </xf>
    <xf numFmtId="0" fontId="24" fillId="0" borderId="138" xfId="0" applyFont="1" applyBorder="1" applyAlignment="1">
      <alignment horizontal="justify" vertical="center" wrapText="1"/>
    </xf>
    <xf numFmtId="0" fontId="24" fillId="27" borderId="139" xfId="0" applyFont="1" applyFill="1" applyBorder="1" applyAlignment="1">
      <alignment horizontal="justify" vertical="center" wrapText="1"/>
    </xf>
    <xf numFmtId="0" fontId="24" fillId="0" borderId="43" xfId="0" applyFont="1" applyBorder="1" applyAlignment="1">
      <alignment horizontal="justify" vertical="center" wrapText="1"/>
    </xf>
    <xf numFmtId="0" fontId="23" fillId="47" borderId="8" xfId="0" applyFont="1" applyFill="1" applyBorder="1" applyAlignment="1">
      <alignment horizontal="center" vertical="center" wrapText="1"/>
    </xf>
    <xf numFmtId="0" fontId="23" fillId="47" borderId="10" xfId="0" applyFont="1" applyFill="1" applyBorder="1" applyAlignment="1">
      <alignment horizontal="center" vertical="center" wrapText="1"/>
    </xf>
    <xf numFmtId="0" fontId="23" fillId="47" borderId="23" xfId="0" applyFont="1" applyFill="1" applyBorder="1" applyAlignment="1">
      <alignment horizontal="center" vertical="center" wrapText="1"/>
    </xf>
    <xf numFmtId="0" fontId="23" fillId="47" borderId="52" xfId="0" applyFont="1" applyFill="1" applyBorder="1" applyAlignment="1">
      <alignment horizontal="center" vertical="center" wrapText="1"/>
    </xf>
    <xf numFmtId="0" fontId="23" fillId="47" borderId="27" xfId="0" applyFont="1" applyFill="1" applyBorder="1" applyAlignment="1">
      <alignment horizontal="center" vertical="center" wrapText="1"/>
    </xf>
    <xf numFmtId="10" fontId="19" fillId="50" borderId="103" xfId="0" applyNumberFormat="1" applyFont="1" applyFill="1" applyBorder="1" applyAlignment="1">
      <alignment horizontal="center" vertical="center"/>
    </xf>
    <xf numFmtId="10" fontId="17" fillId="50" borderId="26" xfId="0" applyNumberFormat="1" applyFont="1" applyFill="1" applyBorder="1" applyAlignment="1">
      <alignment horizontal="center" vertical="center"/>
    </xf>
    <xf numFmtId="10" fontId="34" fillId="0" borderId="0" xfId="0" applyNumberFormat="1" applyFont="1" applyAlignment="1"/>
    <xf numFmtId="10" fontId="16" fillId="0" borderId="26" xfId="1" applyNumberFormat="1" applyFont="1" applyBorder="1" applyAlignment="1">
      <alignment horizontal="center" vertical="center"/>
    </xf>
    <xf numFmtId="165" fontId="32" fillId="23" borderId="16" xfId="0" applyNumberFormat="1" applyFont="1" applyFill="1" applyBorder="1" applyAlignment="1">
      <alignment horizontal="center" vertical="center"/>
    </xf>
    <xf numFmtId="165" fontId="32" fillId="48" borderId="16" xfId="0" applyNumberFormat="1" applyFont="1" applyFill="1" applyBorder="1" applyAlignment="1">
      <alignment horizontal="center" vertical="center"/>
    </xf>
    <xf numFmtId="165" fontId="32" fillId="48" borderId="121" xfId="0" applyNumberFormat="1" applyFont="1" applyFill="1" applyBorder="1" applyAlignment="1">
      <alignment horizontal="center" vertical="center"/>
    </xf>
    <xf numFmtId="165" fontId="7" fillId="0" borderId="16" xfId="0" applyNumberFormat="1" applyFont="1" applyBorder="1" applyAlignment="1">
      <alignment horizontal="center"/>
    </xf>
    <xf numFmtId="165" fontId="8" fillId="0" borderId="16" xfId="0" applyNumberFormat="1" applyFont="1" applyBorder="1" applyAlignment="1">
      <alignment horizontal="center"/>
    </xf>
    <xf numFmtId="165" fontId="7" fillId="0" borderId="123" xfId="0" applyNumberFormat="1" applyFont="1" applyBorder="1" applyAlignment="1">
      <alignment horizontal="center"/>
    </xf>
    <xf numFmtId="165" fontId="8" fillId="0" borderId="123" xfId="0" applyNumberFormat="1" applyFont="1" applyBorder="1" applyAlignment="1">
      <alignment horizontal="center"/>
    </xf>
    <xf numFmtId="0" fontId="4" fillId="0" borderId="119" xfId="0" applyFont="1" applyBorder="1" applyAlignment="1">
      <alignment wrapText="1"/>
    </xf>
    <xf numFmtId="165" fontId="19" fillId="26" borderId="26" xfId="0" applyNumberFormat="1" applyFont="1" applyFill="1" applyBorder="1" applyAlignment="1">
      <alignment horizontal="center" vertical="center"/>
    </xf>
    <xf numFmtId="0" fontId="35" fillId="0" borderId="3" xfId="0" applyFont="1" applyBorder="1" applyAlignment="1">
      <alignment horizontal="center" wrapText="1"/>
    </xf>
    <xf numFmtId="0" fontId="35" fillId="4" borderId="8" xfId="0" applyFont="1" applyFill="1" applyBorder="1" applyAlignment="1">
      <alignment horizontal="center" vertical="center" wrapText="1"/>
    </xf>
    <xf numFmtId="0" fontId="35" fillId="4" borderId="13" xfId="0" applyFont="1" applyFill="1" applyBorder="1" applyAlignment="1">
      <alignment horizontal="center" vertical="center" wrapText="1"/>
    </xf>
    <xf numFmtId="9" fontId="35" fillId="14" borderId="10" xfId="0" applyNumberFormat="1" applyFont="1" applyFill="1" applyBorder="1" applyAlignment="1">
      <alignment horizontal="center" vertical="center" wrapText="1"/>
    </xf>
    <xf numFmtId="9" fontId="35" fillId="0" borderId="6" xfId="0" applyNumberFormat="1" applyFont="1" applyBorder="1" applyAlignment="1">
      <alignment horizontal="center" vertical="center" wrapText="1"/>
    </xf>
    <xf numFmtId="0" fontId="35" fillId="0" borderId="6" xfId="0" applyFont="1" applyBorder="1" applyAlignment="1">
      <alignment horizontal="center" vertical="center" wrapText="1"/>
    </xf>
    <xf numFmtId="9" fontId="35" fillId="12" borderId="10" xfId="0" applyNumberFormat="1" applyFont="1" applyFill="1" applyBorder="1" applyAlignment="1">
      <alignment horizontal="center" vertical="center" wrapText="1"/>
    </xf>
    <xf numFmtId="3" fontId="35" fillId="0" borderId="6" xfId="0" applyNumberFormat="1" applyFont="1" applyBorder="1" applyAlignment="1">
      <alignment horizontal="center" vertical="center" wrapText="1"/>
    </xf>
    <xf numFmtId="0" fontId="35" fillId="22" borderId="6" xfId="0" applyFont="1" applyFill="1" applyBorder="1" applyAlignment="1">
      <alignment horizontal="center" vertical="center" wrapText="1"/>
    </xf>
    <xf numFmtId="0" fontId="35" fillId="0" borderId="10" xfId="0" applyFont="1" applyBorder="1" applyAlignment="1">
      <alignment horizontal="center" vertical="center" wrapText="1"/>
    </xf>
    <xf numFmtId="0" fontId="35" fillId="0" borderId="1" xfId="0" applyFont="1" applyBorder="1" applyAlignment="1">
      <alignment horizontal="center" wrapText="1"/>
    </xf>
    <xf numFmtId="0" fontId="35" fillId="0" borderId="0" xfId="0" applyFont="1" applyAlignment="1">
      <alignment horizontal="center"/>
    </xf>
    <xf numFmtId="9" fontId="35" fillId="14" borderId="130" xfId="0" applyNumberFormat="1" applyFont="1" applyFill="1" applyBorder="1" applyAlignment="1">
      <alignment horizontal="center" vertical="center" wrapText="1"/>
    </xf>
    <xf numFmtId="9" fontId="35" fillId="0" borderId="128" xfId="0" applyNumberFormat="1" applyFont="1" applyBorder="1" applyAlignment="1">
      <alignment horizontal="center" vertical="center" wrapText="1"/>
    </xf>
    <xf numFmtId="0" fontId="37" fillId="0" borderId="0" xfId="0" applyFont="1" applyAlignment="1">
      <alignment wrapText="1"/>
    </xf>
    <xf numFmtId="0" fontId="5" fillId="49" borderId="118" xfId="0" applyFont="1" applyFill="1" applyBorder="1" applyAlignment="1">
      <alignment horizontal="center" vertical="center" wrapText="1"/>
    </xf>
    <xf numFmtId="0" fontId="23" fillId="0" borderId="0" xfId="0" applyFont="1" applyFill="1" applyBorder="1" applyAlignment="1">
      <alignment horizontal="center" vertical="center" wrapText="1"/>
    </xf>
    <xf numFmtId="10" fontId="4" fillId="37" borderId="26" xfId="0" applyNumberFormat="1" applyFont="1" applyFill="1" applyBorder="1" applyAlignment="1">
      <alignment horizontal="center" vertical="center" wrapText="1"/>
    </xf>
    <xf numFmtId="10" fontId="0" fillId="0" borderId="0" xfId="1" applyNumberFormat="1" applyFont="1" applyAlignment="1"/>
    <xf numFmtId="10" fontId="16" fillId="0" borderId="106" xfId="1" applyNumberFormat="1" applyFont="1" applyBorder="1" applyAlignment="1">
      <alignment horizontal="center" vertical="center"/>
    </xf>
    <xf numFmtId="0" fontId="4" fillId="4" borderId="120" xfId="0" applyFont="1" applyFill="1" applyBorder="1" applyAlignment="1">
      <alignment horizontal="left" vertical="center" wrapText="1"/>
    </xf>
    <xf numFmtId="0" fontId="4" fillId="4" borderId="122" xfId="0" applyFont="1" applyFill="1" applyBorder="1" applyAlignment="1">
      <alignment horizontal="left" vertical="center" wrapText="1"/>
    </xf>
    <xf numFmtId="165" fontId="35" fillId="0" borderId="6" xfId="0" applyNumberFormat="1" applyFont="1" applyBorder="1" applyAlignment="1">
      <alignment horizontal="center" vertical="center" wrapText="1"/>
    </xf>
    <xf numFmtId="165" fontId="35" fillId="4" borderId="10" xfId="0" applyNumberFormat="1" applyFont="1" applyFill="1" applyBorder="1" applyAlignment="1">
      <alignment horizontal="center" vertical="center" wrapText="1"/>
    </xf>
    <xf numFmtId="165" fontId="35" fillId="35" borderId="10" xfId="0" applyNumberFormat="1" applyFont="1" applyFill="1" applyBorder="1" applyAlignment="1">
      <alignment horizontal="center" vertical="center" wrapText="1"/>
    </xf>
    <xf numFmtId="165" fontId="35" fillId="35" borderId="15" xfId="0" applyNumberFormat="1" applyFont="1" applyFill="1" applyBorder="1" applyAlignment="1">
      <alignment horizontal="center" vertical="center" wrapText="1"/>
    </xf>
    <xf numFmtId="10" fontId="35" fillId="0" borderId="6" xfId="0" applyNumberFormat="1" applyFont="1" applyBorder="1" applyAlignment="1">
      <alignment horizontal="center" vertical="center" wrapText="1"/>
    </xf>
    <xf numFmtId="9" fontId="35" fillId="21" borderId="6" xfId="0" applyNumberFormat="1" applyFont="1" applyFill="1" applyBorder="1" applyAlignment="1">
      <alignment horizontal="center" vertical="center" wrapText="1"/>
    </xf>
    <xf numFmtId="9" fontId="35" fillId="22" borderId="6" xfId="0" applyNumberFormat="1" applyFont="1" applyFill="1" applyBorder="1" applyAlignment="1">
      <alignment horizontal="center" vertical="center" wrapText="1"/>
    </xf>
    <xf numFmtId="164" fontId="39" fillId="0" borderId="1" xfId="0" applyNumberFormat="1" applyFont="1" applyBorder="1" applyAlignment="1">
      <alignment wrapText="1"/>
    </xf>
    <xf numFmtId="0" fontId="39" fillId="0" borderId="2" xfId="0" applyFont="1" applyBorder="1" applyAlignment="1">
      <alignment wrapText="1"/>
    </xf>
    <xf numFmtId="0" fontId="39" fillId="0" borderId="3" xfId="0" applyFont="1" applyBorder="1" applyAlignment="1">
      <alignment wrapText="1"/>
    </xf>
    <xf numFmtId="10" fontId="39" fillId="0" borderId="3" xfId="1" applyNumberFormat="1" applyFont="1" applyBorder="1" applyAlignment="1">
      <alignment wrapText="1"/>
    </xf>
    <xf numFmtId="10" fontId="39" fillId="0" borderId="3" xfId="0" applyNumberFormat="1" applyFont="1" applyBorder="1" applyAlignment="1">
      <alignment wrapText="1"/>
    </xf>
    <xf numFmtId="0" fontId="39" fillId="0" borderId="19" xfId="0" applyFont="1" applyBorder="1" applyAlignment="1">
      <alignment wrapText="1"/>
    </xf>
    <xf numFmtId="0" fontId="39" fillId="22" borderId="26" xfId="0" applyFont="1" applyFill="1" applyBorder="1" applyAlignment="1">
      <alignment wrapText="1"/>
    </xf>
    <xf numFmtId="0" fontId="39" fillId="0" borderId="51" xfId="0" applyFont="1" applyBorder="1" applyAlignment="1">
      <alignment wrapText="1"/>
    </xf>
    <xf numFmtId="0" fontId="39" fillId="0" borderId="1" xfId="0" applyFont="1" applyBorder="1" applyAlignment="1">
      <alignment wrapText="1"/>
    </xf>
    <xf numFmtId="0" fontId="40" fillId="0" borderId="0" xfId="0" applyFont="1" applyAlignment="1"/>
    <xf numFmtId="0" fontId="39" fillId="0" borderId="4" xfId="0" applyFont="1" applyBorder="1" applyAlignment="1">
      <alignment wrapText="1"/>
    </xf>
    <xf numFmtId="0" fontId="35" fillId="3" borderId="7" xfId="0" applyFont="1" applyFill="1" applyBorder="1" applyAlignment="1">
      <alignment horizontal="center" vertical="center" wrapText="1"/>
    </xf>
    <xf numFmtId="0" fontId="35" fillId="5" borderId="13" xfId="0" applyFont="1" applyFill="1" applyBorder="1" applyAlignment="1">
      <alignment horizontal="center" vertical="center" wrapText="1"/>
    </xf>
    <xf numFmtId="0" fontId="35" fillId="6" borderId="14" xfId="0" applyFont="1" applyFill="1" applyBorder="1" applyAlignment="1">
      <alignment horizontal="center" vertical="center" wrapText="1"/>
    </xf>
    <xf numFmtId="0" fontId="35" fillId="5" borderId="8" xfId="0" applyFont="1" applyFill="1" applyBorder="1" applyAlignment="1">
      <alignment horizontal="center" vertical="center" wrapText="1"/>
    </xf>
    <xf numFmtId="0" fontId="35" fillId="5" borderId="9" xfId="0" applyFont="1" applyFill="1" applyBorder="1" applyAlignment="1">
      <alignment horizontal="center" vertical="center" wrapText="1"/>
    </xf>
    <xf numFmtId="0" fontId="35" fillId="52" borderId="26" xfId="0" applyFont="1" applyFill="1" applyBorder="1" applyAlignment="1">
      <alignment horizontal="center" vertical="center" wrapText="1"/>
    </xf>
    <xf numFmtId="0" fontId="35" fillId="4" borderId="10" xfId="0" applyFont="1" applyFill="1" applyBorder="1" applyAlignment="1">
      <alignment horizontal="center" vertical="center" wrapText="1"/>
    </xf>
    <xf numFmtId="0" fontId="35" fillId="7" borderId="8" xfId="0" applyFont="1" applyFill="1" applyBorder="1" applyAlignment="1">
      <alignment horizontal="center" wrapText="1"/>
    </xf>
    <xf numFmtId="0" fontId="39" fillId="0" borderId="6" xfId="0" applyFont="1" applyBorder="1" applyAlignment="1">
      <alignment vertical="center" wrapText="1"/>
    </xf>
    <xf numFmtId="10" fontId="35" fillId="36" borderId="26" xfId="0" applyNumberFormat="1" applyFont="1" applyFill="1" applyBorder="1" applyAlignment="1">
      <alignment vertical="center" wrapText="1"/>
    </xf>
    <xf numFmtId="0" fontId="39" fillId="0" borderId="10" xfId="0" applyFont="1" applyBorder="1" applyAlignment="1">
      <alignment vertical="center" wrapText="1"/>
    </xf>
    <xf numFmtId="10" fontId="35" fillId="9" borderId="15" xfId="0" applyNumberFormat="1" applyFont="1" applyFill="1" applyBorder="1" applyAlignment="1">
      <alignment horizontal="center" vertical="center" wrapText="1"/>
    </xf>
    <xf numFmtId="10" fontId="35" fillId="9" borderId="27" xfId="0" applyNumberFormat="1" applyFont="1" applyFill="1" applyBorder="1" applyAlignment="1">
      <alignment horizontal="center" vertical="center" wrapText="1"/>
    </xf>
    <xf numFmtId="9" fontId="39" fillId="0" borderId="28" xfId="0" applyNumberFormat="1" applyFont="1" applyBorder="1" applyAlignment="1">
      <alignment vertical="center" wrapText="1"/>
    </xf>
    <xf numFmtId="165" fontId="35" fillId="37" borderId="10" xfId="0" applyNumberFormat="1" applyFont="1" applyFill="1" applyBorder="1" applyAlignment="1">
      <alignment horizontal="center" vertical="center" wrapText="1"/>
    </xf>
    <xf numFmtId="165" fontId="35" fillId="12" borderId="10" xfId="0" applyNumberFormat="1" applyFont="1" applyFill="1" applyBorder="1" applyAlignment="1">
      <alignment horizontal="center" vertical="center" wrapText="1"/>
    </xf>
    <xf numFmtId="10" fontId="39" fillId="0" borderId="28" xfId="0" applyNumberFormat="1" applyFont="1" applyBorder="1" applyAlignment="1">
      <alignment vertical="center" wrapText="1"/>
    </xf>
    <xf numFmtId="165" fontId="35" fillId="12" borderId="15" xfId="0" applyNumberFormat="1" applyFont="1" applyFill="1" applyBorder="1" applyAlignment="1">
      <alignment horizontal="center" vertical="center" wrapText="1"/>
    </xf>
    <xf numFmtId="165" fontId="35" fillId="43" borderId="26" xfId="0" applyNumberFormat="1" applyFont="1" applyFill="1" applyBorder="1" applyAlignment="1">
      <alignment horizontal="center" vertical="center" wrapText="1"/>
    </xf>
    <xf numFmtId="0" fontId="41" fillId="13" borderId="9" xfId="0" applyFont="1" applyFill="1" applyBorder="1" applyAlignment="1">
      <alignment vertical="center" wrapText="1"/>
    </xf>
    <xf numFmtId="0" fontId="41" fillId="13" borderId="10" xfId="0" applyFont="1" applyFill="1" applyBorder="1" applyAlignment="1">
      <alignment vertical="center" wrapText="1"/>
    </xf>
    <xf numFmtId="0" fontId="39" fillId="0" borderId="6" xfId="0" applyFont="1" applyBorder="1" applyAlignment="1">
      <alignment wrapText="1"/>
    </xf>
    <xf numFmtId="0" fontId="39" fillId="0" borderId="28" xfId="0" applyFont="1" applyBorder="1" applyAlignment="1">
      <alignment vertical="center" wrapText="1"/>
    </xf>
    <xf numFmtId="165" fontId="39" fillId="4" borderId="10" xfId="0" applyNumberFormat="1" applyFont="1" applyFill="1" applyBorder="1" applyAlignment="1">
      <alignment horizontal="center" vertical="center" wrapText="1"/>
    </xf>
    <xf numFmtId="165" fontId="35" fillId="36" borderId="26" xfId="0" applyNumberFormat="1" applyFont="1" applyFill="1" applyBorder="1" applyAlignment="1">
      <alignment horizontal="center" vertical="center" wrapText="1"/>
    </xf>
    <xf numFmtId="0" fontId="39" fillId="46" borderId="11" xfId="0" applyFont="1" applyFill="1" applyBorder="1" applyAlignment="1">
      <alignment vertical="center" wrapText="1"/>
    </xf>
    <xf numFmtId="0" fontId="39" fillId="0" borderId="11" xfId="0" applyFont="1" applyBorder="1" applyAlignment="1">
      <alignment wrapText="1"/>
    </xf>
    <xf numFmtId="0" fontId="39" fillId="0" borderId="6" xfId="0" applyFont="1" applyBorder="1" applyAlignment="1">
      <alignment horizontal="center" vertical="center" wrapText="1"/>
    </xf>
    <xf numFmtId="9" fontId="39" fillId="0" borderId="6" xfId="0" applyNumberFormat="1" applyFont="1" applyBorder="1" applyAlignment="1">
      <alignment horizontal="center" vertical="center" wrapText="1"/>
    </xf>
    <xf numFmtId="9" fontId="39" fillId="0" borderId="15" xfId="0" applyNumberFormat="1" applyFont="1" applyBorder="1" applyAlignment="1">
      <alignment horizontal="center" vertical="center" wrapText="1"/>
    </xf>
    <xf numFmtId="9" fontId="39" fillId="28" borderId="26" xfId="0" applyNumberFormat="1" applyFont="1" applyFill="1" applyBorder="1" applyAlignment="1">
      <alignment horizontal="center" vertical="center" wrapText="1"/>
    </xf>
    <xf numFmtId="0" fontId="39" fillId="0" borderId="12" xfId="0" applyFont="1" applyBorder="1" applyAlignment="1">
      <alignment wrapText="1"/>
    </xf>
    <xf numFmtId="0" fontId="39" fillId="15" borderId="11" xfId="0" applyFont="1" applyFill="1" applyBorder="1" applyAlignment="1">
      <alignment vertical="center" wrapText="1"/>
    </xf>
    <xf numFmtId="0" fontId="39" fillId="16" borderId="11" xfId="0" applyFont="1" applyFill="1" applyBorder="1" applyAlignment="1">
      <alignment vertical="center" wrapText="1"/>
    </xf>
    <xf numFmtId="0" fontId="40" fillId="22" borderId="26" xfId="0" applyFont="1" applyFill="1" applyBorder="1" applyAlignment="1"/>
    <xf numFmtId="0" fontId="39" fillId="33" borderId="11" xfId="0" applyFont="1" applyFill="1" applyBorder="1" applyAlignment="1">
      <alignment vertical="center" wrapText="1"/>
    </xf>
    <xf numFmtId="0" fontId="39" fillId="21" borderId="11" xfId="0" applyFont="1" applyFill="1" applyBorder="1" applyAlignment="1">
      <alignment wrapText="1"/>
    </xf>
    <xf numFmtId="10" fontId="35" fillId="9" borderId="10" xfId="0" applyNumberFormat="1" applyFont="1" applyFill="1" applyBorder="1" applyAlignment="1">
      <alignment horizontal="center" vertical="center" wrapText="1"/>
    </xf>
    <xf numFmtId="9" fontId="39" fillId="0" borderId="6" xfId="1" applyFont="1" applyBorder="1" applyAlignment="1">
      <alignment horizontal="center" vertical="center" wrapText="1"/>
    </xf>
    <xf numFmtId="0" fontId="39" fillId="0" borderId="23" xfId="0" applyFont="1" applyBorder="1" applyAlignment="1">
      <alignment horizontal="center" vertical="center" wrapText="1"/>
    </xf>
    <xf numFmtId="0" fontId="39" fillId="0" borderId="77" xfId="0" applyFont="1" applyBorder="1" applyAlignment="1">
      <alignment vertical="center" wrapText="1"/>
    </xf>
    <xf numFmtId="0" fontId="40" fillId="0" borderId="126"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80" xfId="0" applyFont="1" applyBorder="1" applyAlignment="1">
      <alignment horizontal="center" vertical="center" wrapText="1"/>
    </xf>
    <xf numFmtId="165" fontId="39" fillId="0" borderId="6" xfId="1" applyNumberFormat="1" applyFont="1" applyBorder="1" applyAlignment="1">
      <alignment vertical="center" wrapText="1"/>
    </xf>
    <xf numFmtId="10" fontId="35" fillId="35" borderId="10" xfId="0" applyNumberFormat="1" applyFont="1" applyFill="1" applyBorder="1" applyAlignment="1">
      <alignment horizontal="center" vertical="center" wrapText="1"/>
    </xf>
    <xf numFmtId="168" fontId="39" fillId="0" borderId="6" xfId="0" applyNumberFormat="1" applyFont="1" applyBorder="1" applyAlignment="1">
      <alignment horizontal="center" vertical="center" wrapText="1"/>
    </xf>
    <xf numFmtId="167" fontId="39" fillId="0" borderId="6" xfId="0" applyNumberFormat="1" applyFont="1" applyBorder="1" applyAlignment="1">
      <alignment horizontal="center" vertical="center" wrapText="1"/>
    </xf>
    <xf numFmtId="165" fontId="39" fillId="0" borderId="15" xfId="0" applyNumberFormat="1" applyFont="1" applyBorder="1" applyAlignment="1">
      <alignment horizontal="center" vertical="center" wrapText="1"/>
    </xf>
    <xf numFmtId="165" fontId="39" fillId="0" borderId="6" xfId="0" applyNumberFormat="1" applyFont="1" applyBorder="1" applyAlignment="1">
      <alignment horizontal="center" vertical="center" wrapText="1"/>
    </xf>
    <xf numFmtId="0" fontId="40" fillId="22" borderId="26" xfId="2" applyFont="1" applyFill="1" applyBorder="1" applyAlignment="1">
      <alignment horizontal="center" vertical="center"/>
    </xf>
    <xf numFmtId="10" fontId="39" fillId="0" borderId="6" xfId="0" applyNumberFormat="1" applyFont="1" applyBorder="1" applyAlignment="1">
      <alignment horizontal="center" vertical="center" wrapText="1"/>
    </xf>
    <xf numFmtId="0" fontId="39" fillId="0" borderId="11" xfId="0" applyFont="1" applyBorder="1" applyAlignment="1">
      <alignment vertical="center" wrapText="1"/>
    </xf>
    <xf numFmtId="10" fontId="39" fillId="0" borderId="15" xfId="0" applyNumberFormat="1" applyFont="1" applyBorder="1" applyAlignment="1">
      <alignment horizontal="center" vertical="center" wrapText="1"/>
    </xf>
    <xf numFmtId="170" fontId="39" fillId="0" borderId="6" xfId="0" applyNumberFormat="1" applyFont="1" applyBorder="1" applyAlignment="1">
      <alignment horizontal="center" vertical="center" wrapText="1"/>
    </xf>
    <xf numFmtId="9" fontId="39" fillId="22" borderId="26" xfId="0" applyNumberFormat="1" applyFont="1" applyFill="1" applyBorder="1" applyAlignment="1">
      <alignment horizontal="center" vertical="center" wrapText="1"/>
    </xf>
    <xf numFmtId="165" fontId="35" fillId="41" borderId="10" xfId="0" applyNumberFormat="1" applyFont="1" applyFill="1" applyBorder="1" applyAlignment="1">
      <alignment horizontal="center" vertical="center" wrapText="1"/>
    </xf>
    <xf numFmtId="165" fontId="35" fillId="39" borderId="15" xfId="0" applyNumberFormat="1" applyFont="1" applyFill="1" applyBorder="1" applyAlignment="1">
      <alignment horizontal="center" vertical="center" wrapText="1"/>
    </xf>
    <xf numFmtId="165" fontId="35" fillId="42" borderId="26" xfId="0" applyNumberFormat="1" applyFont="1" applyFill="1" applyBorder="1" applyAlignment="1">
      <alignment horizontal="center" vertical="center" wrapText="1"/>
    </xf>
    <xf numFmtId="0" fontId="39" fillId="0" borderId="28" xfId="0" applyFont="1" applyBorder="1" applyAlignment="1">
      <alignment wrapText="1"/>
    </xf>
    <xf numFmtId="0" fontId="39" fillId="0" borderId="10" xfId="0" applyFont="1" applyBorder="1" applyAlignment="1">
      <alignment horizontal="center" vertical="center" wrapText="1"/>
    </xf>
    <xf numFmtId="9" fontId="39" fillId="51" borderId="26" xfId="0" applyNumberFormat="1" applyFont="1" applyFill="1" applyBorder="1" applyAlignment="1">
      <alignment horizontal="left" vertical="center" wrapText="1"/>
    </xf>
    <xf numFmtId="0" fontId="39" fillId="22" borderId="11" xfId="0" applyFont="1" applyFill="1" applyBorder="1" applyAlignment="1">
      <alignment wrapText="1"/>
    </xf>
    <xf numFmtId="0" fontId="39" fillId="0" borderId="1" xfId="0" applyFont="1" applyBorder="1" applyAlignment="1">
      <alignment horizontal="right" wrapText="1"/>
    </xf>
    <xf numFmtId="0" fontId="39" fillId="0" borderId="24" xfId="0" applyFont="1" applyBorder="1" applyAlignment="1">
      <alignment wrapText="1"/>
    </xf>
    <xf numFmtId="0" fontId="39" fillId="0" borderId="17" xfId="0" applyFont="1" applyBorder="1" applyAlignment="1">
      <alignment wrapText="1"/>
    </xf>
    <xf numFmtId="0" fontId="39" fillId="0" borderId="26" xfId="0" applyFont="1" applyBorder="1" applyAlignment="1">
      <alignment wrapText="1"/>
    </xf>
    <xf numFmtId="9" fontId="35" fillId="9" borderId="130" xfId="0" applyNumberFormat="1" applyFont="1" applyFill="1" applyBorder="1" applyAlignment="1">
      <alignment horizontal="center" vertical="center" wrapText="1"/>
    </xf>
    <xf numFmtId="165" fontId="35" fillId="37" borderId="26" xfId="0" applyNumberFormat="1" applyFont="1" applyFill="1" applyBorder="1" applyAlignment="1">
      <alignment horizontal="center" vertical="center" wrapText="1"/>
    </xf>
    <xf numFmtId="165" fontId="35" fillId="12" borderId="26" xfId="0" applyNumberFormat="1" applyFont="1" applyFill="1" applyBorder="1" applyAlignment="1">
      <alignment horizontal="center" vertical="center" wrapText="1"/>
    </xf>
    <xf numFmtId="0" fontId="39" fillId="0" borderId="36" xfId="0" applyFont="1" applyBorder="1" applyAlignment="1">
      <alignment wrapText="1"/>
    </xf>
    <xf numFmtId="165" fontId="35" fillId="35" borderId="26" xfId="0" applyNumberFormat="1" applyFont="1" applyFill="1" applyBorder="1" applyAlignment="1">
      <alignment horizontal="center" vertical="center" wrapText="1"/>
    </xf>
    <xf numFmtId="0" fontId="39" fillId="0" borderId="26" xfId="0" applyFont="1" applyBorder="1" applyAlignment="1">
      <alignment vertical="center" wrapText="1"/>
    </xf>
    <xf numFmtId="165" fontId="39" fillId="4" borderId="26" xfId="0" applyNumberFormat="1" applyFont="1" applyFill="1" applyBorder="1" applyAlignment="1">
      <alignment horizontal="center" vertical="center" wrapText="1"/>
    </xf>
    <xf numFmtId="0" fontId="35" fillId="0" borderId="36" xfId="0" applyFont="1" applyBorder="1" applyAlignment="1">
      <alignment horizontal="center" vertical="center" wrapText="1"/>
    </xf>
    <xf numFmtId="9" fontId="39" fillId="0" borderId="26" xfId="0" applyNumberFormat="1" applyFont="1" applyBorder="1" applyAlignment="1">
      <alignment horizontal="center" vertical="center" wrapText="1"/>
    </xf>
    <xf numFmtId="165" fontId="39" fillId="0" borderId="26" xfId="0" applyNumberFormat="1" applyFont="1" applyBorder="1" applyAlignment="1">
      <alignment horizontal="center" vertical="center" wrapText="1"/>
    </xf>
    <xf numFmtId="9" fontId="39" fillId="28" borderId="53" xfId="0" applyNumberFormat="1" applyFont="1" applyFill="1" applyBorder="1" applyAlignment="1">
      <alignment horizontal="center" vertical="center" wrapText="1"/>
    </xf>
    <xf numFmtId="0" fontId="39" fillId="0" borderId="22" xfId="0" applyFont="1" applyBorder="1" applyAlignment="1">
      <alignment wrapText="1"/>
    </xf>
    <xf numFmtId="9" fontId="35" fillId="0" borderId="77" xfId="0" applyNumberFormat="1" applyFont="1" applyBorder="1" applyAlignment="1">
      <alignment horizontal="center" vertical="center" wrapText="1"/>
    </xf>
    <xf numFmtId="0" fontId="39" fillId="15" borderId="18" xfId="0" applyFont="1" applyFill="1" applyBorder="1" applyAlignment="1">
      <alignment vertical="center" wrapText="1"/>
    </xf>
    <xf numFmtId="0" fontId="39" fillId="33" borderId="18" xfId="0" applyFont="1" applyFill="1" applyBorder="1" applyAlignment="1">
      <alignment vertical="center" wrapText="1"/>
    </xf>
    <xf numFmtId="9" fontId="35" fillId="21" borderId="128" xfId="0" applyNumberFormat="1" applyFont="1" applyFill="1" applyBorder="1" applyAlignment="1">
      <alignment horizontal="center" vertical="center" wrapText="1"/>
    </xf>
    <xf numFmtId="0" fontId="39" fillId="22" borderId="1" xfId="0" applyFont="1" applyFill="1" applyBorder="1" applyAlignment="1">
      <alignment wrapText="1"/>
    </xf>
    <xf numFmtId="0" fontId="35" fillId="19" borderId="19" xfId="0" applyFont="1" applyFill="1" applyBorder="1" applyAlignment="1">
      <alignment horizontal="center" vertical="center" wrapText="1"/>
    </xf>
    <xf numFmtId="9" fontId="43" fillId="0" borderId="33" xfId="0" applyNumberFormat="1" applyFont="1" applyBorder="1" applyAlignment="1">
      <alignment horizontal="center" vertical="center"/>
    </xf>
    <xf numFmtId="0" fontId="40" fillId="0" borderId="26" xfId="0" applyFont="1" applyBorder="1" applyAlignment="1"/>
    <xf numFmtId="10" fontId="35" fillId="10" borderId="26" xfId="0" applyNumberFormat="1" applyFont="1" applyFill="1" applyBorder="1" applyAlignment="1">
      <alignment vertical="center" wrapText="1"/>
    </xf>
    <xf numFmtId="10" fontId="35" fillId="6" borderId="26" xfId="0" applyNumberFormat="1" applyFont="1" applyFill="1" applyBorder="1" applyAlignment="1">
      <alignment vertical="center" wrapText="1"/>
    </xf>
    <xf numFmtId="0" fontId="39" fillId="0" borderId="49" xfId="0" applyFont="1" applyBorder="1" applyAlignment="1">
      <alignment wrapText="1"/>
    </xf>
    <xf numFmtId="9" fontId="35" fillId="9" borderId="96" xfId="0" applyNumberFormat="1" applyFont="1" applyFill="1" applyBorder="1" applyAlignment="1">
      <alignment horizontal="center" vertical="center" wrapText="1"/>
    </xf>
    <xf numFmtId="9" fontId="35" fillId="9" borderId="36" xfId="0" applyNumberFormat="1" applyFont="1" applyFill="1" applyBorder="1" applyAlignment="1">
      <alignment horizontal="center" vertical="center" wrapText="1"/>
    </xf>
    <xf numFmtId="0" fontId="35" fillId="0" borderId="26" xfId="0" applyFont="1" applyBorder="1" applyAlignment="1">
      <alignment horizontal="center" vertical="center" wrapText="1"/>
    </xf>
    <xf numFmtId="0" fontId="39" fillId="21" borderId="49" xfId="0" applyFont="1" applyFill="1" applyBorder="1" applyAlignment="1">
      <alignment wrapText="1"/>
    </xf>
    <xf numFmtId="0" fontId="39" fillId="46" borderId="18" xfId="0" applyFont="1" applyFill="1" applyBorder="1" applyAlignment="1">
      <alignment vertical="center" wrapText="1"/>
    </xf>
    <xf numFmtId="0" fontId="39" fillId="0" borderId="50" xfId="0" applyFont="1" applyBorder="1" applyAlignment="1">
      <alignment wrapText="1"/>
    </xf>
    <xf numFmtId="0" fontId="39" fillId="0" borderId="27" xfId="0" applyFont="1" applyBorder="1" applyAlignment="1">
      <alignment wrapText="1"/>
    </xf>
    <xf numFmtId="0" fontId="39" fillId="0" borderId="132" xfId="0" applyFont="1" applyBorder="1" applyAlignment="1">
      <alignment wrapText="1"/>
    </xf>
    <xf numFmtId="0" fontId="39" fillId="15" borderId="49" xfId="0" applyFont="1" applyFill="1" applyBorder="1" applyAlignment="1">
      <alignment wrapText="1"/>
    </xf>
    <xf numFmtId="0" fontId="39" fillId="0" borderId="49" xfId="0" applyFont="1" applyBorder="1" applyAlignment="1">
      <alignment vertical="center"/>
    </xf>
    <xf numFmtId="0" fontId="39" fillId="22" borderId="22" xfId="0" applyFont="1" applyFill="1" applyBorder="1" applyAlignment="1">
      <alignment wrapText="1"/>
    </xf>
    <xf numFmtId="0" fontId="40" fillId="22" borderId="0" xfId="0" applyFont="1" applyFill="1" applyAlignment="1"/>
    <xf numFmtId="0" fontId="42" fillId="0" borderId="0" xfId="0" applyFont="1" applyAlignment="1">
      <alignment wrapText="1"/>
    </xf>
    <xf numFmtId="0" fontId="44" fillId="0" borderId="4" xfId="0" applyFont="1" applyBorder="1" applyAlignment="1">
      <alignment wrapText="1"/>
    </xf>
    <xf numFmtId="0" fontId="44" fillId="0" borderId="6" xfId="0" applyFont="1" applyBorder="1" applyAlignment="1">
      <alignment vertical="center" wrapText="1"/>
    </xf>
    <xf numFmtId="9" fontId="28" fillId="0" borderId="26" xfId="0" applyNumberFormat="1" applyFont="1" applyBorder="1" applyAlignment="1">
      <alignment horizontal="center" vertical="center" wrapText="1"/>
    </xf>
    <xf numFmtId="0" fontId="45" fillId="0" borderId="0" xfId="0" applyFont="1" applyAlignment="1"/>
    <xf numFmtId="0" fontId="45" fillId="0" borderId="27" xfId="0" applyFont="1" applyBorder="1" applyAlignment="1"/>
    <xf numFmtId="165" fontId="28" fillId="10" borderId="10" xfId="0" applyNumberFormat="1" applyFont="1" applyFill="1" applyBorder="1" applyAlignment="1">
      <alignment vertical="center" wrapText="1"/>
    </xf>
    <xf numFmtId="165" fontId="28" fillId="6" borderId="10" xfId="0" applyNumberFormat="1" applyFont="1" applyFill="1" applyBorder="1" applyAlignment="1">
      <alignment vertical="center" wrapText="1"/>
    </xf>
    <xf numFmtId="0" fontId="44" fillId="0" borderId="30" xfId="0" applyFont="1" applyBorder="1" applyAlignment="1">
      <alignment vertical="center" wrapText="1"/>
    </xf>
    <xf numFmtId="165" fontId="28" fillId="34" borderId="15" xfId="0" applyNumberFormat="1" applyFont="1" applyFill="1" applyBorder="1" applyAlignment="1">
      <alignment vertical="center" wrapText="1"/>
    </xf>
    <xf numFmtId="10" fontId="28" fillId="36" borderId="26" xfId="0" applyNumberFormat="1" applyFont="1" applyFill="1" applyBorder="1" applyAlignment="1">
      <alignment vertical="center" wrapText="1"/>
    </xf>
    <xf numFmtId="0" fontId="44" fillId="0" borderId="10" xfId="0" applyFont="1" applyBorder="1" applyAlignment="1">
      <alignment vertical="center" wrapText="1"/>
    </xf>
    <xf numFmtId="0" fontId="44" fillId="0" borderId="1" xfId="0" applyFont="1" applyBorder="1" applyAlignment="1">
      <alignment wrapText="1"/>
    </xf>
    <xf numFmtId="0" fontId="46" fillId="28" borderId="28" xfId="0" applyFont="1" applyFill="1" applyBorder="1" applyAlignment="1">
      <alignment horizontal="center" vertical="center" wrapText="1"/>
    </xf>
    <xf numFmtId="0" fontId="46" fillId="29" borderId="28" xfId="0" applyFont="1" applyFill="1" applyBorder="1" applyAlignment="1">
      <alignment horizontal="center" vertical="center" wrapText="1"/>
    </xf>
    <xf numFmtId="0" fontId="46" fillId="21" borderId="28" xfId="0" applyFont="1" applyFill="1" applyBorder="1" applyAlignment="1">
      <alignment horizontal="center" vertical="center" wrapText="1"/>
    </xf>
    <xf numFmtId="0" fontId="46" fillId="30" borderId="28" xfId="0" applyFont="1" applyFill="1" applyBorder="1" applyAlignment="1">
      <alignment horizontal="center" vertical="center" wrapText="1"/>
    </xf>
    <xf numFmtId="0" fontId="46" fillId="27" borderId="28" xfId="0" applyFont="1" applyFill="1" applyBorder="1" applyAlignment="1">
      <alignment horizontal="center" vertical="center" wrapText="1"/>
    </xf>
    <xf numFmtId="0" fontId="47" fillId="0" borderId="28" xfId="0" applyFont="1" applyBorder="1" applyAlignment="1">
      <alignment horizontal="center" vertical="center" wrapText="1"/>
    </xf>
    <xf numFmtId="0" fontId="48" fillId="0" borderId="37" xfId="0" applyFont="1" applyBorder="1" applyAlignment="1">
      <alignment vertical="center" wrapText="1"/>
    </xf>
    <xf numFmtId="0" fontId="48" fillId="28" borderId="37" xfId="0" applyFont="1" applyFill="1" applyBorder="1" applyAlignment="1">
      <alignment vertical="center" wrapText="1"/>
    </xf>
    <xf numFmtId="0" fontId="48" fillId="29" borderId="37" xfId="0" applyFont="1" applyFill="1" applyBorder="1" applyAlignment="1">
      <alignment vertical="center" wrapText="1"/>
    </xf>
    <xf numFmtId="0" fontId="48" fillId="21" borderId="37" xfId="0" applyFont="1" applyFill="1" applyBorder="1" applyAlignment="1">
      <alignment vertical="center" wrapText="1"/>
    </xf>
    <xf numFmtId="0" fontId="48" fillId="30" borderId="37" xfId="0" applyFont="1" applyFill="1" applyBorder="1" applyAlignment="1">
      <alignment vertical="center" wrapText="1"/>
    </xf>
    <xf numFmtId="0" fontId="48" fillId="27" borderId="37" xfId="0" applyFont="1" applyFill="1" applyBorder="1" applyAlignment="1">
      <alignment vertical="center" wrapText="1"/>
    </xf>
    <xf numFmtId="10" fontId="49" fillId="0" borderId="29" xfId="0" applyNumberFormat="1" applyFont="1" applyBorder="1" applyAlignment="1">
      <alignment horizontal="center" vertical="center" wrapText="1"/>
    </xf>
    <xf numFmtId="0" fontId="49" fillId="0" borderId="42" xfId="0" applyFont="1" applyBorder="1" applyAlignment="1">
      <alignment horizontal="center" vertical="center" wrapText="1"/>
    </xf>
    <xf numFmtId="10" fontId="49" fillId="0" borderId="15" xfId="1" applyNumberFormat="1" applyFont="1" applyBorder="1" applyAlignment="1">
      <alignment horizontal="center" vertical="center" wrapText="1"/>
    </xf>
    <xf numFmtId="0" fontId="50" fillId="0" borderId="26" xfId="0" applyFont="1" applyBorder="1" applyAlignment="1">
      <alignment horizontal="center" vertical="center" wrapText="1"/>
    </xf>
    <xf numFmtId="0" fontId="51" fillId="0" borderId="1" xfId="0" applyFont="1" applyBorder="1" applyAlignment="1">
      <alignment wrapText="1"/>
    </xf>
    <xf numFmtId="0" fontId="51" fillId="0" borderId="3" xfId="0" applyFont="1" applyBorder="1" applyAlignment="1">
      <alignment wrapText="1"/>
    </xf>
    <xf numFmtId="0" fontId="52" fillId="0" borderId="1" xfId="0" applyFont="1" applyBorder="1" applyAlignment="1">
      <alignment wrapText="1"/>
    </xf>
    <xf numFmtId="0" fontId="53" fillId="0" borderId="0" xfId="0" applyFont="1" applyAlignment="1"/>
    <xf numFmtId="0" fontId="51" fillId="0" borderId="24" xfId="0" applyFont="1" applyBorder="1" applyAlignment="1">
      <alignment wrapText="1"/>
    </xf>
    <xf numFmtId="0" fontId="52" fillId="3" borderId="56" xfId="0" applyFont="1" applyFill="1" applyBorder="1" applyAlignment="1">
      <alignment horizontal="center" vertical="center" wrapText="1"/>
    </xf>
    <xf numFmtId="0" fontId="52" fillId="4" borderId="23" xfId="0" applyFont="1" applyFill="1" applyBorder="1" applyAlignment="1">
      <alignment horizontal="center" vertical="center" wrapText="1"/>
    </xf>
    <xf numFmtId="0" fontId="52" fillId="4" borderId="13" xfId="0" applyFont="1" applyFill="1" applyBorder="1" applyAlignment="1">
      <alignment horizontal="center" vertical="center" wrapText="1"/>
    </xf>
    <xf numFmtId="0" fontId="52" fillId="5" borderId="13" xfId="0" applyFont="1" applyFill="1" applyBorder="1" applyAlignment="1">
      <alignment horizontal="center" vertical="center" wrapText="1"/>
    </xf>
    <xf numFmtId="0" fontId="52" fillId="6" borderId="14" xfId="0" applyFont="1" applyFill="1" applyBorder="1" applyAlignment="1">
      <alignment horizontal="center" vertical="center" wrapText="1"/>
    </xf>
    <xf numFmtId="0" fontId="52" fillId="4" borderId="8" xfId="0" applyFont="1" applyFill="1" applyBorder="1" applyAlignment="1">
      <alignment horizontal="center" vertical="center" wrapText="1"/>
    </xf>
    <xf numFmtId="0" fontId="52" fillId="5" borderId="8" xfId="0" applyFont="1" applyFill="1" applyBorder="1" applyAlignment="1">
      <alignment horizontal="center" vertical="center" wrapText="1"/>
    </xf>
    <xf numFmtId="0" fontId="52" fillId="5" borderId="9" xfId="0" applyFont="1" applyFill="1" applyBorder="1" applyAlignment="1">
      <alignment horizontal="center" vertical="center" wrapText="1"/>
    </xf>
    <xf numFmtId="0" fontId="52" fillId="52" borderId="26"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52" fillId="7" borderId="8" xfId="0" applyFont="1" applyFill="1" applyBorder="1" applyAlignment="1">
      <alignment horizontal="center" wrapText="1"/>
    </xf>
    <xf numFmtId="0" fontId="51" fillId="0" borderId="58" xfId="0" applyFont="1" applyBorder="1" applyAlignment="1">
      <alignment wrapText="1"/>
    </xf>
    <xf numFmtId="0" fontId="51" fillId="0" borderId="26" xfId="0" applyFont="1" applyBorder="1" applyAlignment="1">
      <alignment wrapText="1"/>
    </xf>
    <xf numFmtId="0" fontId="51" fillId="0" borderId="17" xfId="0" applyFont="1" applyBorder="1" applyAlignment="1">
      <alignment wrapText="1"/>
    </xf>
    <xf numFmtId="0" fontId="51" fillId="0" borderId="58" xfId="0" applyFont="1" applyBorder="1" applyAlignment="1">
      <alignment vertical="center" wrapText="1"/>
    </xf>
    <xf numFmtId="9" fontId="52" fillId="9" borderId="36" xfId="0" applyNumberFormat="1" applyFont="1" applyFill="1" applyBorder="1" applyAlignment="1">
      <alignment horizontal="center" vertical="center" wrapText="1"/>
    </xf>
    <xf numFmtId="9" fontId="52" fillId="9" borderId="26" xfId="0" applyNumberFormat="1" applyFont="1" applyFill="1" applyBorder="1" applyAlignment="1">
      <alignment horizontal="center" vertical="center" wrapText="1"/>
    </xf>
    <xf numFmtId="9" fontId="51" fillId="0" borderId="26" xfId="0" applyNumberFormat="1" applyFont="1" applyBorder="1" applyAlignment="1">
      <alignment vertical="center" wrapText="1"/>
    </xf>
    <xf numFmtId="165" fontId="52" fillId="38" borderId="26" xfId="0" applyNumberFormat="1" applyFont="1" applyFill="1" applyBorder="1" applyAlignment="1">
      <alignment horizontal="center" vertical="center" wrapText="1"/>
    </xf>
    <xf numFmtId="165" fontId="52" fillId="40" borderId="26" xfId="0" applyNumberFormat="1" applyFont="1" applyFill="1" applyBorder="1" applyAlignment="1">
      <alignment horizontal="center" vertical="center" wrapText="1"/>
    </xf>
    <xf numFmtId="165" fontId="52" fillId="37" borderId="26" xfId="0" applyNumberFormat="1" applyFont="1" applyFill="1" applyBorder="1" applyAlignment="1">
      <alignment horizontal="center" vertical="center" wrapText="1"/>
    </xf>
    <xf numFmtId="165" fontId="52" fillId="12" borderId="31" xfId="0" applyNumberFormat="1" applyFont="1" applyFill="1" applyBorder="1" applyAlignment="1">
      <alignment horizontal="center" vertical="center" wrapText="1"/>
    </xf>
    <xf numFmtId="165" fontId="52" fillId="37" borderId="47" xfId="0" applyNumberFormat="1" applyFont="1" applyFill="1" applyBorder="1" applyAlignment="1">
      <alignment horizontal="center" vertical="center" wrapText="1"/>
    </xf>
    <xf numFmtId="165" fontId="52" fillId="12" borderId="49" xfId="0" applyNumberFormat="1" applyFont="1" applyFill="1" applyBorder="1" applyAlignment="1">
      <alignment horizontal="center" vertical="center" wrapText="1"/>
    </xf>
    <xf numFmtId="165" fontId="52" fillId="43" borderId="26" xfId="0" applyNumberFormat="1" applyFont="1" applyFill="1" applyBorder="1" applyAlignment="1">
      <alignment horizontal="center" vertical="center" wrapText="1"/>
    </xf>
    <xf numFmtId="9" fontId="52" fillId="14" borderId="31" xfId="0" applyNumberFormat="1" applyFont="1" applyFill="1" applyBorder="1" applyAlignment="1">
      <alignment horizontal="center" vertical="center" wrapText="1"/>
    </xf>
    <xf numFmtId="0" fontId="52" fillId="0" borderId="32" xfId="0" applyFont="1" applyBorder="1" applyAlignment="1">
      <alignment wrapText="1"/>
    </xf>
    <xf numFmtId="0" fontId="51" fillId="0" borderId="32" xfId="0" applyFont="1" applyBorder="1" applyAlignment="1">
      <alignment wrapText="1"/>
    </xf>
    <xf numFmtId="165" fontId="52" fillId="35" borderId="32" xfId="0" applyNumberFormat="1" applyFont="1" applyFill="1" applyBorder="1" applyAlignment="1">
      <alignment horizontal="center" vertical="center" wrapText="1"/>
    </xf>
    <xf numFmtId="0" fontId="51" fillId="0" borderId="32" xfId="0" applyFont="1" applyBorder="1" applyAlignment="1">
      <alignment vertical="center" wrapText="1"/>
    </xf>
    <xf numFmtId="165" fontId="51" fillId="4" borderId="32" xfId="0" applyNumberFormat="1" applyFont="1" applyFill="1" applyBorder="1" applyAlignment="1">
      <alignment horizontal="center" vertical="center" wrapText="1"/>
    </xf>
    <xf numFmtId="165" fontId="51" fillId="4" borderId="16" xfId="0" applyNumberFormat="1" applyFont="1" applyFill="1" applyBorder="1" applyAlignment="1">
      <alignment horizontal="center" vertical="center" wrapText="1"/>
    </xf>
    <xf numFmtId="165" fontId="52" fillId="35" borderId="47" xfId="0" applyNumberFormat="1" applyFont="1" applyFill="1" applyBorder="1" applyAlignment="1">
      <alignment horizontal="center" vertical="center" wrapText="1"/>
    </xf>
    <xf numFmtId="165" fontId="52" fillId="35" borderId="49" xfId="0" applyNumberFormat="1" applyFont="1" applyFill="1" applyBorder="1" applyAlignment="1">
      <alignment horizontal="center" vertical="center" wrapText="1"/>
    </xf>
    <xf numFmtId="165" fontId="52" fillId="36" borderId="26" xfId="0" applyNumberFormat="1" applyFont="1" applyFill="1" applyBorder="1" applyAlignment="1">
      <alignment horizontal="center" vertical="center" wrapText="1"/>
    </xf>
    <xf numFmtId="0" fontId="51" fillId="15" borderId="60" xfId="0" applyFont="1" applyFill="1" applyBorder="1" applyAlignment="1">
      <alignment vertical="center" wrapText="1"/>
    </xf>
    <xf numFmtId="0" fontId="51" fillId="15" borderId="11" xfId="0" applyFont="1" applyFill="1" applyBorder="1" applyAlignment="1">
      <alignment vertical="center" wrapText="1"/>
    </xf>
    <xf numFmtId="0" fontId="51" fillId="0" borderId="59" xfId="0" applyFont="1" applyBorder="1" applyAlignment="1">
      <alignment wrapText="1"/>
    </xf>
    <xf numFmtId="9" fontId="52" fillId="0" borderId="6" xfId="0" applyNumberFormat="1" applyFont="1" applyBorder="1" applyAlignment="1">
      <alignment horizontal="center" vertical="center" wrapText="1"/>
    </xf>
    <xf numFmtId="0" fontId="52" fillId="0" borderId="16" xfId="0" applyFont="1" applyBorder="1" applyAlignment="1">
      <alignment horizontal="center" vertical="center" wrapText="1"/>
    </xf>
    <xf numFmtId="0" fontId="53" fillId="22" borderId="26" xfId="0" applyFont="1" applyFill="1" applyBorder="1" applyAlignment="1">
      <alignment horizontal="center" vertical="center"/>
    </xf>
    <xf numFmtId="167" fontId="51" fillId="0" borderId="16" xfId="0" applyNumberFormat="1" applyFont="1" applyBorder="1" applyAlignment="1">
      <alignment horizontal="center" vertical="center" wrapText="1"/>
    </xf>
    <xf numFmtId="0" fontId="51" fillId="0" borderId="16" xfId="0" applyFont="1" applyBorder="1" applyAlignment="1">
      <alignment horizontal="center" vertical="center" wrapText="1"/>
    </xf>
    <xf numFmtId="165" fontId="51" fillId="0" borderId="16" xfId="0" applyNumberFormat="1" applyFont="1" applyBorder="1" applyAlignment="1">
      <alignment horizontal="center" vertical="center" wrapText="1"/>
    </xf>
    <xf numFmtId="165" fontId="51" fillId="0" borderId="47" xfId="0" applyNumberFormat="1" applyFont="1" applyBorder="1" applyAlignment="1">
      <alignment horizontal="center" vertical="center" wrapText="1"/>
    </xf>
    <xf numFmtId="165" fontId="51" fillId="0" borderId="49" xfId="0" applyNumberFormat="1" applyFont="1" applyBorder="1" applyAlignment="1">
      <alignment horizontal="center" vertical="center" wrapText="1"/>
    </xf>
    <xf numFmtId="9" fontId="51" fillId="28" borderId="26" xfId="0" applyNumberFormat="1" applyFont="1" applyFill="1" applyBorder="1" applyAlignment="1">
      <alignment horizontal="center" vertical="center" wrapText="1"/>
    </xf>
    <xf numFmtId="9" fontId="51" fillId="0" borderId="16" xfId="0" applyNumberFormat="1" applyFont="1" applyBorder="1" applyAlignment="1">
      <alignment horizontal="center" vertical="center" wrapText="1"/>
    </xf>
    <xf numFmtId="2" fontId="51" fillId="0" borderId="16" xfId="0" applyNumberFormat="1" applyFont="1" applyBorder="1" applyAlignment="1">
      <alignment horizontal="center" vertical="center" wrapText="1"/>
    </xf>
    <xf numFmtId="10" fontId="51" fillId="0" borderId="49" xfId="0" applyNumberFormat="1" applyFont="1" applyBorder="1" applyAlignment="1">
      <alignment horizontal="center" vertical="center" wrapText="1"/>
    </xf>
    <xf numFmtId="0" fontId="52" fillId="0" borderId="16" xfId="0" applyFont="1" applyBorder="1" applyAlignment="1">
      <alignment wrapText="1"/>
    </xf>
    <xf numFmtId="0" fontId="51" fillId="0" borderId="16" xfId="0" applyFont="1" applyBorder="1" applyAlignment="1">
      <alignment wrapText="1"/>
    </xf>
    <xf numFmtId="165" fontId="52" fillId="35" borderId="16" xfId="0" applyNumberFormat="1" applyFont="1" applyFill="1" applyBorder="1" applyAlignment="1">
      <alignment horizontal="center" vertical="center" wrapText="1"/>
    </xf>
    <xf numFmtId="0" fontId="51" fillId="0" borderId="16" xfId="0" applyFont="1" applyBorder="1" applyAlignment="1">
      <alignment vertical="center" wrapText="1"/>
    </xf>
    <xf numFmtId="165" fontId="51" fillId="0" borderId="16" xfId="0" applyNumberFormat="1" applyFont="1" applyBorder="1" applyAlignment="1">
      <alignment horizontal="center" wrapText="1"/>
    </xf>
    <xf numFmtId="0" fontId="51" fillId="0" borderId="61" xfId="0" applyFont="1" applyBorder="1" applyAlignment="1">
      <alignment wrapText="1"/>
    </xf>
    <xf numFmtId="169" fontId="51" fillId="0" borderId="16" xfId="3" applyNumberFormat="1" applyFont="1" applyBorder="1" applyAlignment="1">
      <alignment horizontal="center" vertical="center" wrapText="1"/>
    </xf>
    <xf numFmtId="0" fontId="51" fillId="15" borderId="18" xfId="0" applyFont="1" applyFill="1" applyBorder="1" applyAlignment="1">
      <alignment vertical="center" wrapText="1"/>
    </xf>
    <xf numFmtId="0" fontId="51" fillId="0" borderId="45" xfId="0" applyFont="1" applyBorder="1" applyAlignment="1">
      <alignment wrapText="1"/>
    </xf>
    <xf numFmtId="169" fontId="51" fillId="0" borderId="16" xfId="3" applyNumberFormat="1" applyFont="1" applyBorder="1" applyAlignment="1">
      <alignment vertical="center" wrapText="1"/>
    </xf>
    <xf numFmtId="0" fontId="51" fillId="0" borderId="90" xfId="0" applyFont="1" applyBorder="1" applyAlignment="1">
      <alignment wrapText="1"/>
    </xf>
    <xf numFmtId="0" fontId="51" fillId="22" borderId="16" xfId="0" applyFont="1" applyFill="1" applyBorder="1" applyAlignment="1">
      <alignment horizontal="center" vertical="center" wrapText="1"/>
    </xf>
    <xf numFmtId="0" fontId="51" fillId="0" borderId="86" xfId="0" applyFont="1" applyBorder="1" applyAlignment="1">
      <alignment wrapText="1"/>
    </xf>
    <xf numFmtId="0" fontId="51" fillId="0" borderId="27" xfId="0" applyFont="1" applyBorder="1" applyAlignment="1">
      <alignment wrapText="1"/>
    </xf>
    <xf numFmtId="0" fontId="51" fillId="15" borderId="67" xfId="0" applyFont="1" applyFill="1" applyBorder="1" applyAlignment="1">
      <alignment vertical="center" wrapText="1"/>
    </xf>
    <xf numFmtId="0" fontId="51" fillId="15" borderId="19" xfId="0" applyFont="1" applyFill="1" applyBorder="1" applyAlignment="1">
      <alignment vertical="center" wrapText="1"/>
    </xf>
    <xf numFmtId="0" fontId="51" fillId="0" borderId="80" xfId="0" applyFont="1" applyBorder="1" applyAlignment="1">
      <alignment wrapText="1"/>
    </xf>
    <xf numFmtId="0" fontId="51" fillId="15" borderId="27" xfId="0" applyFont="1" applyFill="1" applyBorder="1" applyAlignment="1">
      <alignment vertical="center" wrapText="1"/>
    </xf>
    <xf numFmtId="0" fontId="51" fillId="15" borderId="75" xfId="0" applyFont="1" applyFill="1" applyBorder="1" applyAlignment="1">
      <alignment vertical="center" wrapText="1"/>
    </xf>
    <xf numFmtId="0" fontId="51" fillId="15" borderId="73" xfId="0" applyFont="1" applyFill="1" applyBorder="1" applyAlignment="1">
      <alignment vertical="center" wrapText="1"/>
    </xf>
    <xf numFmtId="0" fontId="51" fillId="15" borderId="74" xfId="0" applyFont="1" applyFill="1" applyBorder="1" applyAlignment="1">
      <alignment vertical="center" wrapText="1"/>
    </xf>
    <xf numFmtId="0" fontId="51" fillId="15" borderId="70" xfId="0" applyFont="1" applyFill="1" applyBorder="1" applyAlignment="1">
      <alignment vertical="center" wrapText="1"/>
    </xf>
    <xf numFmtId="0" fontId="51" fillId="15" borderId="71" xfId="0" applyFont="1" applyFill="1" applyBorder="1" applyAlignment="1">
      <alignment vertical="center" wrapText="1"/>
    </xf>
    <xf numFmtId="0" fontId="51" fillId="0" borderId="94" xfId="0" applyFont="1" applyBorder="1" applyAlignment="1">
      <alignment wrapText="1"/>
    </xf>
    <xf numFmtId="0" fontId="51" fillId="46" borderId="60" xfId="0" applyFont="1" applyFill="1" applyBorder="1" applyAlignment="1">
      <alignment vertical="center" wrapText="1"/>
    </xf>
    <xf numFmtId="0" fontId="51" fillId="46" borderId="18" xfId="0" applyFont="1" applyFill="1" applyBorder="1" applyAlignment="1">
      <alignment vertical="center" wrapText="1"/>
    </xf>
    <xf numFmtId="0" fontId="51" fillId="22" borderId="27" xfId="0" applyFont="1" applyFill="1" applyBorder="1" applyAlignment="1">
      <alignment wrapText="1"/>
    </xf>
    <xf numFmtId="9" fontId="52" fillId="22" borderId="6" xfId="0" applyNumberFormat="1" applyFont="1" applyFill="1" applyBorder="1" applyAlignment="1">
      <alignment horizontal="center" vertical="center" wrapText="1"/>
    </xf>
    <xf numFmtId="0" fontId="51" fillId="21" borderId="16" xfId="0" applyFont="1" applyFill="1" applyBorder="1" applyAlignment="1">
      <alignment horizontal="center" vertical="center" wrapText="1"/>
    </xf>
    <xf numFmtId="164" fontId="51" fillId="0" borderId="47" xfId="0" applyNumberFormat="1" applyFont="1" applyBorder="1" applyAlignment="1">
      <alignment horizontal="center" vertical="center" wrapText="1"/>
    </xf>
    <xf numFmtId="0" fontId="51" fillId="0" borderId="63" xfId="0" applyFont="1" applyBorder="1" applyAlignment="1">
      <alignment wrapText="1"/>
    </xf>
    <xf numFmtId="165" fontId="52" fillId="14" borderId="31" xfId="0" applyNumberFormat="1" applyFont="1" applyFill="1" applyBorder="1" applyAlignment="1">
      <alignment horizontal="center" vertical="center" wrapText="1"/>
    </xf>
    <xf numFmtId="0" fontId="51" fillId="0" borderId="69" xfId="0" applyFont="1" applyBorder="1" applyAlignment="1">
      <alignment wrapText="1"/>
    </xf>
    <xf numFmtId="0" fontId="51" fillId="0" borderId="81" xfId="0" applyFont="1" applyBorder="1" applyAlignment="1">
      <alignment wrapText="1"/>
    </xf>
    <xf numFmtId="0" fontId="51" fillId="0" borderId="78" xfId="0" applyFont="1" applyBorder="1" applyAlignment="1">
      <alignment wrapText="1"/>
    </xf>
    <xf numFmtId="9" fontId="51" fillId="22" borderId="26" xfId="0" applyNumberFormat="1" applyFont="1" applyFill="1" applyBorder="1" applyAlignment="1">
      <alignment horizontal="center" vertical="center" wrapText="1"/>
    </xf>
    <xf numFmtId="0" fontId="51" fillId="0" borderId="79" xfId="0" applyFont="1" applyBorder="1" applyAlignment="1">
      <alignment wrapText="1"/>
    </xf>
    <xf numFmtId="0" fontId="51" fillId="0" borderId="85" xfId="0" applyFont="1" applyBorder="1" applyAlignment="1">
      <alignment wrapText="1"/>
    </xf>
    <xf numFmtId="0" fontId="51" fillId="15" borderId="142" xfId="0" applyFont="1" applyFill="1" applyBorder="1" applyAlignment="1">
      <alignment vertical="center" wrapText="1"/>
    </xf>
    <xf numFmtId="0" fontId="51" fillId="15" borderId="143" xfId="0" applyFont="1" applyFill="1" applyBorder="1" applyAlignment="1">
      <alignment vertical="center" wrapText="1"/>
    </xf>
    <xf numFmtId="9" fontId="52" fillId="0" borderId="23" xfId="0" applyNumberFormat="1" applyFont="1" applyBorder="1" applyAlignment="1">
      <alignment horizontal="center" vertical="center" wrapText="1"/>
    </xf>
    <xf numFmtId="0" fontId="52" fillId="0" borderId="31" xfId="0" applyFont="1" applyBorder="1" applyAlignment="1">
      <alignment horizontal="center" vertical="center" wrapText="1"/>
    </xf>
    <xf numFmtId="9" fontId="52" fillId="0" borderId="30" xfId="0" applyNumberFormat="1" applyFont="1" applyBorder="1" applyAlignment="1">
      <alignment horizontal="center" vertical="center" wrapText="1"/>
    </xf>
    <xf numFmtId="9" fontId="52" fillId="0" borderId="28" xfId="0" applyNumberFormat="1" applyFont="1" applyBorder="1" applyAlignment="1">
      <alignment horizontal="center" vertical="center" wrapText="1"/>
    </xf>
    <xf numFmtId="0" fontId="51" fillId="0" borderId="91" xfId="0" applyFont="1" applyBorder="1" applyAlignment="1">
      <alignment vertical="center" wrapText="1"/>
    </xf>
    <xf numFmtId="9" fontId="52" fillId="9" borderId="31" xfId="0" applyNumberFormat="1" applyFont="1" applyFill="1" applyBorder="1" applyAlignment="1">
      <alignment horizontal="center" vertical="center" wrapText="1"/>
    </xf>
    <xf numFmtId="9" fontId="52" fillId="9" borderId="16" xfId="0" applyNumberFormat="1" applyFont="1" applyFill="1" applyBorder="1" applyAlignment="1">
      <alignment horizontal="center" vertical="center" wrapText="1"/>
    </xf>
    <xf numFmtId="165" fontId="52" fillId="44" borderId="16" xfId="0" applyNumberFormat="1" applyFont="1" applyFill="1" applyBorder="1" applyAlignment="1">
      <alignment horizontal="center" vertical="center" wrapText="1"/>
    </xf>
    <xf numFmtId="165" fontId="52" fillId="12" borderId="16" xfId="0" applyNumberFormat="1" applyFont="1" applyFill="1" applyBorder="1" applyAlignment="1">
      <alignment horizontal="center" vertical="center" wrapText="1"/>
    </xf>
    <xf numFmtId="165" fontId="52" fillId="37" borderId="16" xfId="0" applyNumberFormat="1" applyFont="1" applyFill="1" applyBorder="1" applyAlignment="1">
      <alignment horizontal="center" vertical="center" wrapText="1"/>
    </xf>
    <xf numFmtId="0" fontId="51" fillId="0" borderId="83" xfId="0" applyFont="1" applyBorder="1" applyAlignment="1">
      <alignment wrapText="1"/>
    </xf>
    <xf numFmtId="0" fontId="51" fillId="46" borderId="11" xfId="0" applyFont="1" applyFill="1" applyBorder="1" applyAlignment="1">
      <alignment vertical="center" wrapText="1"/>
    </xf>
    <xf numFmtId="0" fontId="51" fillId="22" borderId="59" xfId="0" applyFont="1" applyFill="1" applyBorder="1" applyAlignment="1">
      <alignment wrapText="1"/>
    </xf>
    <xf numFmtId="0" fontId="51" fillId="0" borderId="59" xfId="0" applyFont="1" applyBorder="1" applyAlignment="1">
      <alignment vertical="center" wrapText="1"/>
    </xf>
    <xf numFmtId="165" fontId="52" fillId="35" borderId="26" xfId="0" applyNumberFormat="1" applyFont="1" applyFill="1" applyBorder="1" applyAlignment="1">
      <alignment horizontal="center" vertical="center" wrapText="1"/>
    </xf>
    <xf numFmtId="165" fontId="51" fillId="0" borderId="16" xfId="1" applyNumberFormat="1" applyFont="1" applyBorder="1" applyAlignment="1">
      <alignment horizontal="center" vertical="center" wrapText="1"/>
    </xf>
    <xf numFmtId="165" fontId="52" fillId="39" borderId="16" xfId="0" applyNumberFormat="1" applyFont="1" applyFill="1" applyBorder="1" applyAlignment="1">
      <alignment horizontal="center" vertical="center" wrapText="1"/>
    </xf>
    <xf numFmtId="165" fontId="52" fillId="41" borderId="16" xfId="0" applyNumberFormat="1" applyFont="1" applyFill="1" applyBorder="1" applyAlignment="1">
      <alignment horizontal="center" vertical="center" wrapText="1"/>
    </xf>
    <xf numFmtId="165" fontId="52" fillId="41" borderId="47" xfId="0" applyNumberFormat="1" applyFont="1" applyFill="1" applyBorder="1" applyAlignment="1">
      <alignment horizontal="center" vertical="center" wrapText="1"/>
    </xf>
    <xf numFmtId="9" fontId="51" fillId="22" borderId="16" xfId="0" applyNumberFormat="1" applyFont="1" applyFill="1" applyBorder="1" applyAlignment="1">
      <alignment horizontal="center" vertical="center" wrapText="1"/>
    </xf>
    <xf numFmtId="9" fontId="51" fillId="21" borderId="16" xfId="0" applyNumberFormat="1" applyFont="1" applyFill="1" applyBorder="1" applyAlignment="1">
      <alignment horizontal="center" vertical="center" wrapText="1"/>
    </xf>
    <xf numFmtId="165" fontId="51" fillId="21" borderId="47" xfId="0" applyNumberFormat="1" applyFont="1" applyFill="1" applyBorder="1" applyAlignment="1">
      <alignment horizontal="center" vertical="center" wrapText="1"/>
    </xf>
    <xf numFmtId="0" fontId="51" fillId="0" borderId="62" xfId="0" applyFont="1" applyBorder="1" applyAlignment="1">
      <alignment vertical="center" wrapText="1"/>
    </xf>
    <xf numFmtId="0" fontId="51" fillId="0" borderId="62" xfId="0" applyFont="1" applyBorder="1" applyAlignment="1">
      <alignment wrapText="1"/>
    </xf>
    <xf numFmtId="0" fontId="51" fillId="0" borderId="62" xfId="0" applyFont="1" applyBorder="1" applyAlignment="1">
      <alignment horizontal="center" wrapText="1"/>
    </xf>
    <xf numFmtId="3" fontId="53" fillId="0" borderId="49" xfId="0" applyNumberFormat="1" applyFont="1" applyBorder="1" applyAlignment="1">
      <alignment horizontal="center" vertical="center" wrapText="1"/>
    </xf>
    <xf numFmtId="0" fontId="51" fillId="0" borderId="63" xfId="0" applyFont="1" applyBorder="1" applyAlignment="1">
      <alignment horizontal="center" wrapText="1"/>
    </xf>
    <xf numFmtId="0" fontId="53" fillId="0" borderId="49" xfId="0" applyFont="1" applyFill="1" applyBorder="1" applyAlignment="1">
      <alignment horizontal="center" vertical="center" wrapText="1"/>
    </xf>
    <xf numFmtId="10" fontId="51" fillId="0" borderId="16" xfId="0" applyNumberFormat="1" applyFont="1" applyBorder="1" applyAlignment="1">
      <alignment horizontal="center" vertical="center" wrapText="1"/>
    </xf>
    <xf numFmtId="0" fontId="51" fillId="0" borderId="59" xfId="0" applyFont="1" applyBorder="1" applyAlignment="1">
      <alignment horizontal="center" wrapText="1"/>
    </xf>
    <xf numFmtId="0" fontId="51" fillId="22" borderId="59" xfId="0" applyFont="1" applyFill="1" applyBorder="1" applyAlignment="1">
      <alignment horizontal="center" wrapText="1"/>
    </xf>
    <xf numFmtId="0" fontId="51" fillId="0" borderId="61" xfId="0" applyFont="1" applyBorder="1" applyAlignment="1">
      <alignment horizontal="center" wrapText="1"/>
    </xf>
    <xf numFmtId="0" fontId="51" fillId="46" borderId="73" xfId="0" applyFont="1" applyFill="1" applyBorder="1" applyAlignment="1">
      <alignment vertical="center" wrapText="1"/>
    </xf>
    <xf numFmtId="0" fontId="51" fillId="46" borderId="74" xfId="0" applyFont="1" applyFill="1" applyBorder="1" applyAlignment="1">
      <alignment vertical="center" wrapText="1"/>
    </xf>
    <xf numFmtId="0" fontId="51" fillId="0" borderId="27" xfId="0" applyFont="1" applyBorder="1" applyAlignment="1">
      <alignment horizontal="center" wrapText="1"/>
    </xf>
    <xf numFmtId="0" fontId="51" fillId="0" borderId="80" xfId="0" applyFont="1" applyBorder="1" applyAlignment="1">
      <alignment horizontal="center" wrapText="1"/>
    </xf>
    <xf numFmtId="0" fontId="51" fillId="0" borderId="78" xfId="0" applyFont="1" applyBorder="1" applyAlignment="1">
      <alignment horizontal="center" wrapText="1"/>
    </xf>
    <xf numFmtId="9" fontId="52" fillId="26" borderId="16" xfId="1" applyFont="1" applyFill="1" applyBorder="1" applyAlignment="1">
      <alignment horizontal="center" vertical="center" wrapText="1"/>
    </xf>
    <xf numFmtId="9" fontId="52" fillId="45" borderId="16" xfId="1" applyFont="1" applyFill="1" applyBorder="1" applyAlignment="1">
      <alignment horizontal="center" vertical="center" wrapText="1"/>
    </xf>
    <xf numFmtId="165" fontId="51" fillId="0" borderId="26" xfId="0" applyNumberFormat="1" applyFont="1" applyBorder="1" applyAlignment="1">
      <alignment horizontal="center" vertical="center" wrapText="1"/>
    </xf>
    <xf numFmtId="0" fontId="51" fillId="15" borderId="140" xfId="0" applyFont="1" applyFill="1" applyBorder="1" applyAlignment="1">
      <alignment vertical="center" wrapText="1"/>
    </xf>
    <xf numFmtId="0" fontId="51" fillId="0" borderId="79" xfId="0" applyFont="1" applyBorder="1" applyAlignment="1">
      <alignment horizontal="center" wrapText="1"/>
    </xf>
    <xf numFmtId="0" fontId="51" fillId="15" borderId="40" xfId="0" applyFont="1" applyFill="1" applyBorder="1" applyAlignment="1">
      <alignment vertical="center" wrapText="1"/>
    </xf>
    <xf numFmtId="0" fontId="56" fillId="0" borderId="26" xfId="0" applyFont="1" applyBorder="1" applyAlignment="1">
      <alignment horizontal="center" vertical="center" wrapText="1"/>
    </xf>
    <xf numFmtId="0" fontId="53" fillId="0" borderId="26" xfId="0" applyFont="1" applyBorder="1" applyAlignment="1">
      <alignment horizontal="center" vertical="center"/>
    </xf>
    <xf numFmtId="0" fontId="51" fillId="15" borderId="84" xfId="0" applyFont="1" applyFill="1" applyBorder="1" applyAlignment="1">
      <alignment vertical="center" wrapText="1"/>
    </xf>
    <xf numFmtId="0" fontId="51" fillId="15" borderId="21" xfId="0" applyFont="1" applyFill="1" applyBorder="1" applyAlignment="1">
      <alignment vertical="center" wrapText="1"/>
    </xf>
    <xf numFmtId="0" fontId="51" fillId="0" borderId="85" xfId="0" applyFont="1" applyBorder="1" applyAlignment="1">
      <alignment horizontal="center" wrapText="1"/>
    </xf>
    <xf numFmtId="0" fontId="51" fillId="0" borderId="25" xfId="0" applyFont="1" applyBorder="1" applyAlignment="1">
      <alignment horizontal="center" vertical="center" wrapText="1"/>
    </xf>
    <xf numFmtId="9" fontId="51" fillId="0" borderId="47" xfId="0" applyNumberFormat="1" applyFont="1" applyBorder="1" applyAlignment="1">
      <alignment horizontal="center" vertical="center" wrapText="1"/>
    </xf>
    <xf numFmtId="0" fontId="51" fillId="22" borderId="26" xfId="0" applyFont="1" applyFill="1" applyBorder="1" applyAlignment="1">
      <alignment horizontal="center" vertical="center" wrapText="1"/>
    </xf>
    <xf numFmtId="165" fontId="51" fillId="0" borderId="31" xfId="0" applyNumberFormat="1" applyFont="1" applyBorder="1" applyAlignment="1">
      <alignment horizontal="center" vertical="center" wrapText="1"/>
    </xf>
    <xf numFmtId="0" fontId="51" fillId="0" borderId="82" xfId="0" applyFont="1" applyBorder="1" applyAlignment="1">
      <alignment wrapText="1"/>
    </xf>
    <xf numFmtId="165" fontId="52" fillId="12" borderId="47" xfId="0" applyNumberFormat="1" applyFont="1" applyFill="1" applyBorder="1" applyAlignment="1">
      <alignment horizontal="center" vertical="center" wrapText="1"/>
    </xf>
    <xf numFmtId="0" fontId="51" fillId="22" borderId="26" xfId="0" applyFont="1" applyFill="1" applyBorder="1" applyAlignment="1">
      <alignment wrapText="1"/>
    </xf>
    <xf numFmtId="165" fontId="52" fillId="37" borderId="31" xfId="0" applyNumberFormat="1" applyFont="1" applyFill="1" applyBorder="1" applyAlignment="1">
      <alignment horizontal="center" vertical="center" wrapText="1"/>
    </xf>
    <xf numFmtId="0" fontId="51" fillId="22" borderId="26" xfId="0" applyFont="1" applyFill="1" applyBorder="1" applyAlignment="1">
      <alignment vertical="center" wrapText="1"/>
    </xf>
    <xf numFmtId="165" fontId="51" fillId="4" borderId="31" xfId="0" applyNumberFormat="1" applyFont="1" applyFill="1" applyBorder="1" applyAlignment="1">
      <alignment horizontal="center" vertical="center" wrapText="1"/>
    </xf>
    <xf numFmtId="0" fontId="57" fillId="22" borderId="26" xfId="0" applyFont="1" applyFill="1" applyBorder="1" applyAlignment="1">
      <alignment horizontal="center" vertical="center" wrapText="1"/>
    </xf>
    <xf numFmtId="0" fontId="52" fillId="0" borderId="25" xfId="0" applyFont="1" applyBorder="1" applyAlignment="1">
      <alignment horizontal="center" vertical="center" wrapText="1"/>
    </xf>
    <xf numFmtId="9" fontId="51" fillId="0" borderId="25" xfId="0" applyNumberFormat="1" applyFont="1" applyBorder="1" applyAlignment="1">
      <alignment horizontal="center" vertical="center" wrapText="1"/>
    </xf>
    <xf numFmtId="165" fontId="51" fillId="0" borderId="25" xfId="0" applyNumberFormat="1" applyFont="1" applyBorder="1" applyAlignment="1">
      <alignment horizontal="center" vertical="center" wrapText="1"/>
    </xf>
    <xf numFmtId="165" fontId="51" fillId="0" borderId="48" xfId="0" applyNumberFormat="1" applyFont="1" applyBorder="1" applyAlignment="1">
      <alignment horizontal="center" vertical="center" wrapText="1"/>
    </xf>
    <xf numFmtId="165" fontId="51" fillId="0" borderId="50" xfId="0" applyNumberFormat="1" applyFont="1" applyBorder="1" applyAlignment="1">
      <alignment horizontal="center" vertical="center" wrapText="1"/>
    </xf>
    <xf numFmtId="9" fontId="52" fillId="14" borderId="36" xfId="0" applyNumberFormat="1" applyFont="1" applyFill="1" applyBorder="1" applyAlignment="1">
      <alignment horizontal="center" vertical="center" wrapText="1"/>
    </xf>
    <xf numFmtId="0" fontId="52" fillId="0" borderId="26" xfId="0" applyFont="1" applyBorder="1" applyAlignment="1">
      <alignment horizontal="center" vertical="center" wrapText="1"/>
    </xf>
    <xf numFmtId="0" fontId="51" fillId="0" borderId="26" xfId="0" applyFont="1" applyBorder="1" applyAlignment="1">
      <alignment vertical="center" wrapText="1"/>
    </xf>
    <xf numFmtId="165" fontId="51" fillId="4" borderId="26" xfId="0" applyNumberFormat="1" applyFont="1" applyFill="1" applyBorder="1" applyAlignment="1">
      <alignment horizontal="center" vertical="center" wrapText="1"/>
    </xf>
    <xf numFmtId="9" fontId="51" fillId="0" borderId="26" xfId="0" applyNumberFormat="1" applyFont="1" applyBorder="1" applyAlignment="1">
      <alignment horizontal="center" vertical="center" wrapText="1"/>
    </xf>
    <xf numFmtId="0" fontId="51" fillId="15" borderId="64" xfId="0" applyFont="1" applyFill="1" applyBorder="1" applyAlignment="1">
      <alignment vertical="center" wrapText="1"/>
    </xf>
    <xf numFmtId="0" fontId="51" fillId="15" borderId="65" xfId="0" applyFont="1" applyFill="1" applyBorder="1" applyAlignment="1">
      <alignment vertical="center" wrapText="1"/>
    </xf>
    <xf numFmtId="0" fontId="51" fillId="0" borderId="66" xfId="0" applyFont="1" applyBorder="1" applyAlignment="1">
      <alignment wrapText="1"/>
    </xf>
    <xf numFmtId="0" fontId="51" fillId="0" borderId="22" xfId="0" applyFont="1" applyBorder="1" applyAlignment="1">
      <alignment wrapText="1"/>
    </xf>
    <xf numFmtId="0" fontId="52" fillId="0" borderId="22" xfId="0" applyFont="1" applyBorder="1" applyAlignment="1">
      <alignment wrapText="1"/>
    </xf>
    <xf numFmtId="0" fontId="54" fillId="0" borderId="0" xfId="0" applyFont="1" applyAlignment="1"/>
    <xf numFmtId="0" fontId="58" fillId="0" borderId="1" xfId="0" applyFont="1" applyBorder="1" applyAlignment="1">
      <alignment wrapText="1"/>
    </xf>
    <xf numFmtId="0" fontId="58" fillId="0" borderId="3" xfId="0" applyFont="1" applyBorder="1" applyAlignment="1">
      <alignment wrapText="1"/>
    </xf>
    <xf numFmtId="0" fontId="59" fillId="0" borderId="3" xfId="0" applyFont="1" applyBorder="1" applyAlignment="1">
      <alignment wrapText="1"/>
    </xf>
    <xf numFmtId="0" fontId="60" fillId="0" borderId="0" xfId="0" applyFont="1" applyAlignment="1"/>
    <xf numFmtId="0" fontId="58" fillId="0" borderId="24" xfId="0" applyFont="1" applyBorder="1" applyAlignment="1">
      <alignment wrapText="1"/>
    </xf>
    <xf numFmtId="0" fontId="59" fillId="3" borderId="56" xfId="0" applyFont="1" applyFill="1" applyBorder="1" applyAlignment="1">
      <alignment horizontal="center" vertical="center" wrapText="1"/>
    </xf>
    <xf numFmtId="0" fontId="59" fillId="4" borderId="36" xfId="0" applyFont="1" applyFill="1" applyBorder="1" applyAlignment="1">
      <alignment horizontal="center" vertical="center" wrapText="1"/>
    </xf>
    <xf numFmtId="0" fontId="59" fillId="4" borderId="26" xfId="0" applyFont="1" applyFill="1" applyBorder="1" applyAlignment="1">
      <alignment horizontal="center" vertical="center" wrapText="1"/>
    </xf>
    <xf numFmtId="0" fontId="59" fillId="4" borderId="13" xfId="0" applyFont="1" applyFill="1" applyBorder="1" applyAlignment="1">
      <alignment horizontal="center" vertical="center" wrapText="1"/>
    </xf>
    <xf numFmtId="0" fontId="59" fillId="5" borderId="13" xfId="0" applyFont="1" applyFill="1" applyBorder="1" applyAlignment="1">
      <alignment horizontal="center" vertical="center" wrapText="1"/>
    </xf>
    <xf numFmtId="0" fontId="59" fillId="6" borderId="14" xfId="0" applyFont="1" applyFill="1" applyBorder="1" applyAlignment="1">
      <alignment horizontal="center" vertical="center" wrapText="1"/>
    </xf>
    <xf numFmtId="0" fontId="59" fillId="4" borderId="8" xfId="0" applyFont="1" applyFill="1" applyBorder="1" applyAlignment="1">
      <alignment horizontal="center" vertical="center" wrapText="1"/>
    </xf>
    <xf numFmtId="0" fontId="59" fillId="5" borderId="8" xfId="0" applyFont="1" applyFill="1" applyBorder="1" applyAlignment="1">
      <alignment horizontal="center" vertical="center" wrapText="1"/>
    </xf>
    <xf numFmtId="0" fontId="59" fillId="5" borderId="9" xfId="0" applyFont="1" applyFill="1" applyBorder="1" applyAlignment="1">
      <alignment horizontal="center" vertical="center" wrapText="1"/>
    </xf>
    <xf numFmtId="0" fontId="59" fillId="52" borderId="26" xfId="0" applyFont="1" applyFill="1" applyBorder="1" applyAlignment="1">
      <alignment horizontal="center" vertical="center" wrapText="1"/>
    </xf>
    <xf numFmtId="0" fontId="59" fillId="4" borderId="10" xfId="0" applyFont="1" applyFill="1" applyBorder="1" applyAlignment="1">
      <alignment horizontal="center" vertical="center" wrapText="1"/>
    </xf>
    <xf numFmtId="0" fontId="59" fillId="7" borderId="8" xfId="0" applyFont="1" applyFill="1" applyBorder="1" applyAlignment="1">
      <alignment horizontal="center" wrapText="1"/>
    </xf>
    <xf numFmtId="0" fontId="58" fillId="0" borderId="58" xfId="0" applyFont="1" applyBorder="1" applyAlignment="1">
      <alignment wrapText="1"/>
    </xf>
    <xf numFmtId="0" fontId="58" fillId="0" borderId="17" xfId="0" applyFont="1" applyBorder="1" applyAlignment="1">
      <alignment wrapText="1"/>
    </xf>
    <xf numFmtId="9" fontId="59" fillId="9" borderId="36" xfId="0" applyNumberFormat="1" applyFont="1" applyFill="1" applyBorder="1" applyAlignment="1">
      <alignment horizontal="center" vertical="center" wrapText="1"/>
    </xf>
    <xf numFmtId="9" fontId="59" fillId="9" borderId="26" xfId="0" applyNumberFormat="1" applyFont="1" applyFill="1" applyBorder="1" applyAlignment="1">
      <alignment horizontal="center" vertical="center" wrapText="1"/>
    </xf>
    <xf numFmtId="165" fontId="58" fillId="0" borderId="26" xfId="0" applyNumberFormat="1" applyFont="1" applyBorder="1" applyAlignment="1">
      <alignment vertical="center" wrapText="1"/>
    </xf>
    <xf numFmtId="165" fontId="59" fillId="37" borderId="26" xfId="0" applyNumberFormat="1" applyFont="1" applyFill="1" applyBorder="1" applyAlignment="1">
      <alignment horizontal="center" vertical="center" wrapText="1"/>
    </xf>
    <xf numFmtId="165" fontId="59" fillId="12" borderId="26" xfId="0" applyNumberFormat="1" applyFont="1" applyFill="1" applyBorder="1" applyAlignment="1">
      <alignment horizontal="center" vertical="center" wrapText="1"/>
    </xf>
    <xf numFmtId="0" fontId="58" fillId="0" borderId="26" xfId="0" applyFont="1" applyBorder="1" applyAlignment="1">
      <alignment wrapText="1"/>
    </xf>
    <xf numFmtId="165" fontId="59" fillId="43" borderId="36" xfId="0" applyNumberFormat="1" applyFont="1" applyFill="1" applyBorder="1" applyAlignment="1">
      <alignment horizontal="center" vertical="center" wrapText="1"/>
    </xf>
    <xf numFmtId="0" fontId="58" fillId="0" borderId="59" xfId="0" applyFont="1" applyBorder="1" applyAlignment="1">
      <alignment wrapText="1"/>
    </xf>
    <xf numFmtId="9" fontId="59" fillId="14" borderId="36" xfId="0" applyNumberFormat="1" applyFont="1" applyFill="1" applyBorder="1" applyAlignment="1">
      <alignment horizontal="center" vertical="center" wrapText="1"/>
    </xf>
    <xf numFmtId="0" fontId="59" fillId="0" borderId="26" xfId="0" applyFont="1" applyBorder="1" applyAlignment="1">
      <alignment vertical="center" wrapText="1"/>
    </xf>
    <xf numFmtId="0" fontId="58" fillId="0" borderId="26" xfId="0" applyFont="1" applyBorder="1" applyAlignment="1">
      <alignment vertical="center" wrapText="1"/>
    </xf>
    <xf numFmtId="165" fontId="59" fillId="35" borderId="26" xfId="0" applyNumberFormat="1" applyFont="1" applyFill="1" applyBorder="1" applyAlignment="1">
      <alignment horizontal="center" vertical="center" wrapText="1"/>
    </xf>
    <xf numFmtId="0" fontId="58" fillId="0" borderId="26" xfId="0" applyFont="1" applyBorder="1" applyAlignment="1">
      <alignment horizontal="center" vertical="center" wrapText="1"/>
    </xf>
    <xf numFmtId="165" fontId="58" fillId="4" borderId="26" xfId="0" applyNumberFormat="1" applyFont="1" applyFill="1" applyBorder="1" applyAlignment="1">
      <alignment horizontal="center" vertical="center" wrapText="1"/>
    </xf>
    <xf numFmtId="165" fontId="59" fillId="36" borderId="36" xfId="0" applyNumberFormat="1" applyFont="1" applyFill="1" applyBorder="1" applyAlignment="1">
      <alignment horizontal="center" vertical="center" wrapText="1"/>
    </xf>
    <xf numFmtId="0" fontId="58" fillId="15" borderId="60" xfId="0" applyFont="1" applyFill="1" applyBorder="1" applyAlignment="1">
      <alignment vertical="center" wrapText="1"/>
    </xf>
    <xf numFmtId="0" fontId="58" fillId="15" borderId="11" xfId="0" applyFont="1" applyFill="1" applyBorder="1" applyAlignment="1">
      <alignment vertical="center" wrapText="1"/>
    </xf>
    <xf numFmtId="9" fontId="59" fillId="0" borderId="6" xfId="0" applyNumberFormat="1" applyFont="1" applyBorder="1" applyAlignment="1">
      <alignment horizontal="center" vertical="center" wrapText="1"/>
    </xf>
    <xf numFmtId="0" fontId="59" fillId="0" borderId="26" xfId="0" applyFont="1" applyBorder="1" applyAlignment="1">
      <alignment horizontal="center" vertical="center" wrapText="1"/>
    </xf>
    <xf numFmtId="9" fontId="58" fillId="0" borderId="26" xfId="0" applyNumberFormat="1" applyFont="1" applyBorder="1" applyAlignment="1">
      <alignment horizontal="center" vertical="center" wrapText="1"/>
    </xf>
    <xf numFmtId="9" fontId="58" fillId="0" borderId="26" xfId="0" applyNumberFormat="1" applyFont="1" applyBorder="1" applyAlignment="1">
      <alignment horizontal="center" wrapText="1"/>
    </xf>
    <xf numFmtId="10" fontId="58" fillId="0" borderId="26" xfId="0" applyNumberFormat="1" applyFont="1" applyBorder="1" applyAlignment="1">
      <alignment horizontal="center" vertical="center" wrapText="1"/>
    </xf>
    <xf numFmtId="9" fontId="58" fillId="28" borderId="36" xfId="0" applyNumberFormat="1" applyFont="1" applyFill="1" applyBorder="1" applyAlignment="1">
      <alignment horizontal="center" vertical="center" wrapText="1"/>
    </xf>
    <xf numFmtId="9" fontId="58" fillId="28" borderId="26" xfId="0" applyNumberFormat="1" applyFont="1" applyFill="1" applyBorder="1" applyAlignment="1">
      <alignment horizontal="center" vertical="center" wrapText="1"/>
    </xf>
    <xf numFmtId="0" fontId="58" fillId="46" borderId="60" xfId="0" applyFont="1" applyFill="1" applyBorder="1" applyAlignment="1">
      <alignment vertical="center" wrapText="1"/>
    </xf>
    <xf numFmtId="0" fontId="58" fillId="46" borderId="11" xfId="0" applyFont="1" applyFill="1" applyBorder="1" applyAlignment="1">
      <alignment vertical="center" wrapText="1"/>
    </xf>
    <xf numFmtId="0" fontId="58" fillId="0" borderId="61" xfId="0" applyFont="1" applyBorder="1" applyAlignment="1">
      <alignment wrapText="1"/>
    </xf>
    <xf numFmtId="0" fontId="58" fillId="15" borderId="18" xfId="0" applyFont="1" applyFill="1" applyBorder="1" applyAlignment="1">
      <alignment vertical="center" wrapText="1"/>
    </xf>
    <xf numFmtId="0" fontId="58" fillId="0" borderId="77" xfId="0" applyFont="1" applyBorder="1" applyAlignment="1">
      <alignment wrapText="1"/>
    </xf>
    <xf numFmtId="0" fontId="58" fillId="0" borderId="78" xfId="0" applyFont="1" applyBorder="1" applyAlignment="1">
      <alignment wrapText="1"/>
    </xf>
    <xf numFmtId="165" fontId="59" fillId="42" borderId="36" xfId="0" applyNumberFormat="1" applyFont="1" applyFill="1" applyBorder="1" applyAlignment="1">
      <alignment horizontal="center" vertical="center" wrapText="1"/>
    </xf>
    <xf numFmtId="0" fontId="59" fillId="0" borderId="26" xfId="0" applyFont="1" applyBorder="1" applyAlignment="1">
      <alignment wrapText="1"/>
    </xf>
    <xf numFmtId="0" fontId="58" fillId="18" borderId="24" xfId="0" applyFont="1" applyFill="1" applyBorder="1" applyAlignment="1">
      <alignment wrapText="1"/>
    </xf>
    <xf numFmtId="0" fontId="58" fillId="33" borderId="60" xfId="0" applyFont="1" applyFill="1" applyBorder="1" applyAlignment="1">
      <alignment vertical="center" wrapText="1"/>
    </xf>
    <xf numFmtId="0" fontId="58" fillId="33" borderId="18" xfId="0" applyFont="1" applyFill="1" applyBorder="1" applyAlignment="1">
      <alignment vertical="center" wrapText="1"/>
    </xf>
    <xf numFmtId="9" fontId="58" fillId="51" borderId="36" xfId="0" applyNumberFormat="1" applyFont="1" applyFill="1" applyBorder="1" applyAlignment="1">
      <alignment horizontal="center" vertical="center" wrapText="1"/>
    </xf>
    <xf numFmtId="0" fontId="58" fillId="21" borderId="78" xfId="0" applyFont="1" applyFill="1" applyBorder="1" applyAlignment="1">
      <alignment wrapText="1"/>
    </xf>
    <xf numFmtId="9" fontId="59" fillId="21" borderId="6" xfId="0" applyNumberFormat="1" applyFont="1" applyFill="1" applyBorder="1" applyAlignment="1">
      <alignment horizontal="center" vertical="center" wrapText="1"/>
    </xf>
    <xf numFmtId="0" fontId="58" fillId="46" borderId="18" xfId="0" applyFont="1" applyFill="1" applyBorder="1" applyAlignment="1">
      <alignment vertical="center" wrapText="1"/>
    </xf>
    <xf numFmtId="0" fontId="58" fillId="22" borderId="78" xfId="0" applyFont="1" applyFill="1" applyBorder="1" applyAlignment="1">
      <alignment wrapText="1"/>
    </xf>
    <xf numFmtId="9" fontId="59" fillId="22" borderId="6" xfId="0" applyNumberFormat="1" applyFont="1" applyFill="1" applyBorder="1" applyAlignment="1">
      <alignment horizontal="center" vertical="center" wrapText="1"/>
    </xf>
    <xf numFmtId="9" fontId="58" fillId="21" borderId="36" xfId="0" applyNumberFormat="1" applyFont="1" applyFill="1" applyBorder="1" applyAlignment="1">
      <alignment horizontal="center" vertical="center" wrapText="1"/>
    </xf>
    <xf numFmtId="9" fontId="58" fillId="22" borderId="36" xfId="0" applyNumberFormat="1" applyFont="1" applyFill="1" applyBorder="1" applyAlignment="1">
      <alignment horizontal="center" vertical="center" wrapText="1"/>
    </xf>
    <xf numFmtId="165" fontId="59" fillId="4" borderId="26" xfId="0" applyNumberFormat="1" applyFont="1" applyFill="1" applyBorder="1" applyAlignment="1">
      <alignment horizontal="center" vertical="center" wrapText="1"/>
    </xf>
    <xf numFmtId="0" fontId="58" fillId="0" borderId="78" xfId="0" applyFont="1" applyBorder="1" applyAlignment="1">
      <alignment horizontal="left" vertical="center" wrapText="1"/>
    </xf>
    <xf numFmtId="165" fontId="58" fillId="0" borderId="26" xfId="0" applyNumberFormat="1" applyFont="1" applyBorder="1" applyAlignment="1">
      <alignment horizontal="center" vertical="center" wrapText="1"/>
    </xf>
    <xf numFmtId="0" fontId="58" fillId="0" borderId="79" xfId="0" applyFont="1" applyBorder="1" applyAlignment="1">
      <alignment wrapText="1"/>
    </xf>
    <xf numFmtId="0" fontId="58" fillId="0" borderId="27" xfId="0" applyFont="1" applyBorder="1" applyAlignment="1">
      <alignment wrapText="1"/>
    </xf>
    <xf numFmtId="0" fontId="58" fillId="0" borderId="85" xfId="0" applyFont="1" applyBorder="1" applyAlignment="1">
      <alignment wrapText="1"/>
    </xf>
    <xf numFmtId="0" fontId="58" fillId="0" borderId="90" xfId="0" applyFont="1" applyBorder="1" applyAlignment="1">
      <alignment wrapText="1"/>
    </xf>
    <xf numFmtId="0" fontId="58" fillId="15" borderId="67" xfId="0" applyFont="1" applyFill="1" applyBorder="1" applyAlignment="1">
      <alignment vertical="center" wrapText="1"/>
    </xf>
    <xf numFmtId="0" fontId="58" fillId="15" borderId="19" xfId="0" applyFont="1" applyFill="1" applyBorder="1" applyAlignment="1">
      <alignment vertical="center" wrapText="1"/>
    </xf>
    <xf numFmtId="0" fontId="58" fillId="0" borderId="86" xfId="0" applyFont="1" applyBorder="1" applyAlignment="1">
      <alignment wrapText="1"/>
    </xf>
    <xf numFmtId="0" fontId="58" fillId="15" borderId="87" xfId="0" applyFont="1" applyFill="1" applyBorder="1" applyAlignment="1">
      <alignment vertical="center" wrapText="1"/>
    </xf>
    <xf numFmtId="0" fontId="58" fillId="15" borderId="88" xfId="0" applyFont="1" applyFill="1" applyBorder="1" applyAlignment="1">
      <alignment vertical="center" wrapText="1"/>
    </xf>
    <xf numFmtId="0" fontId="58" fillId="0" borderId="89" xfId="0" applyFont="1" applyBorder="1" applyAlignment="1">
      <alignment wrapText="1"/>
    </xf>
    <xf numFmtId="0" fontId="58" fillId="15" borderId="64" xfId="0" applyFont="1" applyFill="1" applyBorder="1" applyAlignment="1">
      <alignment vertical="center" wrapText="1"/>
    </xf>
    <xf numFmtId="0" fontId="58" fillId="15" borderId="76" xfId="0" applyFont="1" applyFill="1" applyBorder="1" applyAlignment="1">
      <alignment vertical="center" wrapText="1"/>
    </xf>
    <xf numFmtId="0" fontId="58" fillId="0" borderId="91" xfId="0" applyFont="1" applyBorder="1" applyAlignment="1">
      <alignment wrapText="1"/>
    </xf>
    <xf numFmtId="0" fontId="58" fillId="15" borderId="73" xfId="0" applyFont="1" applyFill="1" applyBorder="1" applyAlignment="1">
      <alignment vertical="center" wrapText="1"/>
    </xf>
    <xf numFmtId="0" fontId="58" fillId="15" borderId="74" xfId="0" applyFont="1" applyFill="1" applyBorder="1" applyAlignment="1">
      <alignment vertical="center" wrapText="1"/>
    </xf>
    <xf numFmtId="0" fontId="58" fillId="0" borderId="80" xfId="0" applyFont="1" applyBorder="1" applyAlignment="1">
      <alignment wrapText="1"/>
    </xf>
    <xf numFmtId="0" fontId="58" fillId="15" borderId="70" xfId="0" applyFont="1" applyFill="1" applyBorder="1" applyAlignment="1">
      <alignment vertical="center" wrapText="1"/>
    </xf>
    <xf numFmtId="0" fontId="58" fillId="15" borderId="71" xfId="0" applyFont="1" applyFill="1" applyBorder="1" applyAlignment="1">
      <alignment vertical="center" wrapText="1"/>
    </xf>
    <xf numFmtId="0" fontId="58" fillId="0" borderId="81" xfId="0" applyFont="1" applyBorder="1" applyAlignment="1">
      <alignment wrapText="1"/>
    </xf>
    <xf numFmtId="0" fontId="58" fillId="0" borderId="82" xfId="0" applyFont="1" applyBorder="1" applyAlignment="1">
      <alignment wrapText="1"/>
    </xf>
    <xf numFmtId="0" fontId="58" fillId="15" borderId="79" xfId="0" applyFont="1" applyFill="1" applyBorder="1" applyAlignment="1">
      <alignment vertical="center" wrapText="1"/>
    </xf>
    <xf numFmtId="0" fontId="58" fillId="46" borderId="67" xfId="0" applyFont="1" applyFill="1" applyBorder="1" applyAlignment="1">
      <alignment vertical="center" wrapText="1"/>
    </xf>
    <xf numFmtId="0" fontId="58" fillId="46" borderId="19" xfId="0" applyFont="1" applyFill="1" applyBorder="1" applyAlignment="1">
      <alignment vertical="center" wrapText="1"/>
    </xf>
    <xf numFmtId="0" fontId="58" fillId="46" borderId="70" xfId="0" applyFont="1" applyFill="1" applyBorder="1" applyAlignment="1">
      <alignment vertical="center" wrapText="1"/>
    </xf>
    <xf numFmtId="0" fontId="58" fillId="46" borderId="71" xfId="0" applyFont="1" applyFill="1" applyBorder="1" applyAlignment="1">
      <alignment vertical="center" wrapText="1"/>
    </xf>
    <xf numFmtId="2" fontId="58" fillId="0" borderId="26" xfId="0" applyNumberFormat="1" applyFont="1" applyBorder="1" applyAlignment="1">
      <alignment horizontal="center" vertical="center" wrapText="1"/>
    </xf>
    <xf numFmtId="0" fontId="58" fillId="46" borderId="73" xfId="0" applyFont="1" applyFill="1" applyBorder="1" applyAlignment="1">
      <alignment vertical="center" wrapText="1"/>
    </xf>
    <xf numFmtId="0" fontId="58" fillId="46" borderId="74" xfId="0" applyFont="1" applyFill="1" applyBorder="1" applyAlignment="1">
      <alignment vertical="center" wrapText="1"/>
    </xf>
    <xf numFmtId="0" fontId="58" fillId="15" borderId="84" xfId="0" applyFont="1" applyFill="1" applyBorder="1" applyAlignment="1">
      <alignment vertical="center" wrapText="1"/>
    </xf>
    <xf numFmtId="0" fontId="58" fillId="15" borderId="21" xfId="0" applyFont="1" applyFill="1" applyBorder="1" applyAlignment="1">
      <alignment vertical="center" wrapText="1"/>
    </xf>
    <xf numFmtId="0" fontId="58" fillId="15" borderId="27" xfId="0" applyFont="1" applyFill="1" applyBorder="1" applyAlignment="1">
      <alignment vertical="center" wrapText="1"/>
    </xf>
    <xf numFmtId="0" fontId="58" fillId="15" borderId="80" xfId="0" applyFont="1" applyFill="1" applyBorder="1" applyAlignment="1">
      <alignment vertical="center" wrapText="1"/>
    </xf>
    <xf numFmtId="0" fontId="58" fillId="0" borderId="22" xfId="0" applyFont="1" applyBorder="1" applyAlignment="1">
      <alignment wrapText="1"/>
    </xf>
    <xf numFmtId="0" fontId="59" fillId="0" borderId="22" xfId="0" applyFont="1" applyBorder="1" applyAlignment="1">
      <alignment wrapText="1"/>
    </xf>
    <xf numFmtId="0" fontId="59" fillId="0" borderId="1" xfId="0" applyFont="1" applyBorder="1" applyAlignment="1">
      <alignment wrapText="1"/>
    </xf>
    <xf numFmtId="0" fontId="58" fillId="0" borderId="1" xfId="0" applyFont="1" applyBorder="1" applyAlignment="1">
      <alignment horizontal="right" wrapText="1"/>
    </xf>
    <xf numFmtId="0" fontId="61" fillId="0" borderId="0" xfId="0" applyFont="1" applyAlignment="1"/>
    <xf numFmtId="0" fontId="63" fillId="0" borderId="24" xfId="0" applyFont="1" applyBorder="1" applyAlignment="1">
      <alignment wrapText="1"/>
    </xf>
    <xf numFmtId="0" fontId="63" fillId="0" borderId="58" xfId="0" applyFont="1" applyBorder="1" applyAlignment="1">
      <alignment wrapText="1"/>
    </xf>
    <xf numFmtId="9" fontId="64" fillId="0" borderId="36" xfId="0" applyNumberFormat="1" applyFont="1" applyBorder="1" applyAlignment="1">
      <alignment horizontal="center" vertical="center" wrapText="1"/>
    </xf>
    <xf numFmtId="0" fontId="65" fillId="0" borderId="26" xfId="0" applyFont="1" applyBorder="1" applyAlignment="1"/>
    <xf numFmtId="0" fontId="66" fillId="0" borderId="26" xfId="0" applyFont="1" applyBorder="1" applyAlignment="1"/>
    <xf numFmtId="165" fontId="64" fillId="10" borderId="26" xfId="0" applyNumberFormat="1" applyFont="1" applyFill="1" applyBorder="1" applyAlignment="1">
      <alignment vertical="center" wrapText="1"/>
    </xf>
    <xf numFmtId="165" fontId="64" fillId="6" borderId="26" xfId="0" applyNumberFormat="1" applyFont="1" applyFill="1" applyBorder="1" applyAlignment="1">
      <alignment vertical="center" wrapText="1"/>
    </xf>
    <xf numFmtId="165" fontId="63" fillId="0" borderId="26" xfId="0" applyNumberFormat="1" applyFont="1" applyBorder="1" applyAlignment="1">
      <alignment wrapText="1"/>
    </xf>
    <xf numFmtId="165" fontId="64" fillId="36" borderId="36" xfId="0" applyNumberFormat="1" applyFont="1" applyFill="1" applyBorder="1" applyAlignment="1">
      <alignment vertical="center" wrapText="1"/>
    </xf>
    <xf numFmtId="0" fontId="63" fillId="0" borderId="17" xfId="0" applyFont="1" applyBorder="1" applyAlignment="1">
      <alignment wrapText="1"/>
    </xf>
    <xf numFmtId="0" fontId="63" fillId="0" borderId="1" xfId="0" applyFont="1" applyBorder="1" applyAlignment="1">
      <alignment wrapText="1"/>
    </xf>
    <xf numFmtId="0" fontId="66" fillId="0" borderId="0" xfId="0" applyFont="1" applyAlignment="1"/>
    <xf numFmtId="10" fontId="64" fillId="37" borderId="10" xfId="0" applyNumberFormat="1" applyFont="1" applyFill="1" applyBorder="1" applyAlignment="1">
      <alignment vertical="center" wrapText="1"/>
    </xf>
    <xf numFmtId="10" fontId="64" fillId="6" borderId="10" xfId="0" applyNumberFormat="1" applyFont="1" applyFill="1" applyBorder="1" applyAlignment="1">
      <alignment vertical="center" wrapText="1"/>
    </xf>
    <xf numFmtId="0" fontId="63" fillId="0" borderId="26" xfId="0" applyFont="1" applyBorder="1" applyAlignment="1">
      <alignment wrapText="1"/>
    </xf>
    <xf numFmtId="165" fontId="64" fillId="10" borderId="15" xfId="0" applyNumberFormat="1" applyFont="1" applyFill="1" applyBorder="1" applyAlignment="1">
      <alignment vertical="center" wrapText="1"/>
    </xf>
    <xf numFmtId="165" fontId="64" fillId="6" borderId="10" xfId="0" applyNumberFormat="1" applyFont="1" applyFill="1" applyBorder="1" applyAlignment="1">
      <alignment vertical="center" wrapText="1"/>
    </xf>
    <xf numFmtId="165" fontId="64" fillId="6" borderId="15" xfId="0" applyNumberFormat="1" applyFont="1" applyFill="1" applyBorder="1" applyAlignment="1">
      <alignment vertical="center" wrapText="1"/>
    </xf>
    <xf numFmtId="165" fontId="64" fillId="42" borderId="26" xfId="0" applyNumberFormat="1" applyFont="1" applyFill="1" applyBorder="1" applyAlignment="1">
      <alignment vertical="center" wrapText="1"/>
    </xf>
    <xf numFmtId="9" fontId="58" fillId="28" borderId="36" xfId="0" applyNumberFormat="1" applyFont="1" applyFill="1" applyBorder="1" applyAlignment="1">
      <alignment horizontal="left" vertical="center" wrapText="1"/>
    </xf>
    <xf numFmtId="0" fontId="58" fillId="0" borderId="19" xfId="0" applyFont="1" applyBorder="1" applyAlignment="1">
      <alignment wrapText="1"/>
    </xf>
    <xf numFmtId="0" fontId="58" fillId="22" borderId="26" xfId="0" applyFont="1" applyFill="1" applyBorder="1" applyAlignment="1">
      <alignment wrapText="1"/>
    </xf>
    <xf numFmtId="0" fontId="59" fillId="19" borderId="36" xfId="0" applyFont="1" applyFill="1" applyBorder="1" applyAlignment="1">
      <alignment horizontal="center" vertical="center" wrapText="1"/>
    </xf>
    <xf numFmtId="0" fontId="58" fillId="0" borderId="36" xfId="0" applyFont="1" applyBorder="1" applyAlignment="1">
      <alignment wrapText="1"/>
    </xf>
    <xf numFmtId="0" fontId="58" fillId="0" borderId="10" xfId="0" applyFont="1" applyBorder="1" applyAlignment="1">
      <alignment wrapText="1"/>
    </xf>
    <xf numFmtId="0" fontId="58" fillId="0" borderId="8" xfId="0" applyFont="1" applyBorder="1" applyAlignment="1">
      <alignment wrapText="1"/>
    </xf>
    <xf numFmtId="9" fontId="58" fillId="0" borderId="26" xfId="0" applyNumberFormat="1" applyFont="1" applyBorder="1" applyAlignment="1">
      <alignment vertical="center" wrapText="1"/>
    </xf>
    <xf numFmtId="10" fontId="58" fillId="0" borderId="26" xfId="0" applyNumberFormat="1" applyFont="1" applyBorder="1" applyAlignment="1">
      <alignment vertical="center" wrapText="1"/>
    </xf>
    <xf numFmtId="10" fontId="59" fillId="37" borderId="26" xfId="0" applyNumberFormat="1" applyFont="1" applyFill="1" applyBorder="1" applyAlignment="1">
      <alignment horizontal="center" vertical="center" wrapText="1"/>
    </xf>
    <xf numFmtId="165" fontId="59" fillId="12" borderId="49" xfId="0" applyNumberFormat="1" applyFont="1" applyFill="1" applyBorder="1" applyAlignment="1">
      <alignment horizontal="center" vertical="center" wrapText="1"/>
    </xf>
    <xf numFmtId="165" fontId="59" fillId="42" borderId="26" xfId="0" applyNumberFormat="1" applyFont="1" applyFill="1" applyBorder="1" applyAlignment="1">
      <alignment horizontal="center" vertical="center" wrapText="1"/>
    </xf>
    <xf numFmtId="9" fontId="59" fillId="14" borderId="33" xfId="0" applyNumberFormat="1" applyFont="1" applyFill="1" applyBorder="1" applyAlignment="1">
      <alignment horizontal="center" vertical="center" wrapText="1"/>
    </xf>
    <xf numFmtId="165" fontId="59" fillId="35" borderId="49" xfId="0" applyNumberFormat="1" applyFont="1" applyFill="1" applyBorder="1" applyAlignment="1">
      <alignment horizontal="center" vertical="center" wrapText="1"/>
    </xf>
    <xf numFmtId="165" fontId="59" fillId="36" borderId="26" xfId="0" applyNumberFormat="1" applyFont="1" applyFill="1" applyBorder="1" applyAlignment="1">
      <alignment horizontal="center" vertical="center" wrapText="1"/>
    </xf>
    <xf numFmtId="0" fontId="58" fillId="15" borderId="59" xfId="0" applyFont="1" applyFill="1" applyBorder="1" applyAlignment="1">
      <alignment vertical="center" wrapText="1"/>
    </xf>
    <xf numFmtId="0" fontId="58" fillId="15" borderId="129" xfId="0" applyFont="1" applyFill="1" applyBorder="1" applyAlignment="1">
      <alignment vertical="center" wrapText="1"/>
    </xf>
    <xf numFmtId="9" fontId="59" fillId="0" borderId="77" xfId="0" applyNumberFormat="1" applyFont="1" applyBorder="1" applyAlignment="1">
      <alignment horizontal="center" vertical="center" wrapText="1"/>
    </xf>
    <xf numFmtId="0" fontId="59" fillId="0" borderId="36" xfId="0" applyFont="1" applyBorder="1" applyAlignment="1">
      <alignment horizontal="center" vertical="center" wrapText="1"/>
    </xf>
    <xf numFmtId="9" fontId="58" fillId="0" borderId="49" xfId="0" applyNumberFormat="1" applyFont="1" applyBorder="1" applyAlignment="1">
      <alignment horizontal="center" vertical="center" wrapText="1"/>
    </xf>
    <xf numFmtId="9" fontId="59" fillId="0" borderId="127" xfId="0" applyNumberFormat="1" applyFont="1" applyBorder="1" applyAlignment="1">
      <alignment horizontal="center" vertical="center" wrapText="1"/>
    </xf>
    <xf numFmtId="165" fontId="59" fillId="0" borderId="127" xfId="0" applyNumberFormat="1" applyFont="1" applyBorder="1" applyAlignment="1">
      <alignment horizontal="center" vertical="center" wrapText="1"/>
    </xf>
    <xf numFmtId="165" fontId="58" fillId="0" borderId="49" xfId="0" applyNumberFormat="1" applyFont="1" applyBorder="1" applyAlignment="1">
      <alignment horizontal="center" vertical="center" wrapText="1"/>
    </xf>
    <xf numFmtId="0" fontId="58" fillId="0" borderId="129" xfId="0" applyFont="1" applyBorder="1" applyAlignment="1">
      <alignment wrapText="1"/>
    </xf>
    <xf numFmtId="9" fontId="59" fillId="14" borderId="130" xfId="0" applyNumberFormat="1" applyFont="1" applyFill="1" applyBorder="1" applyAlignment="1">
      <alignment horizontal="center" vertical="center" wrapText="1"/>
    </xf>
    <xf numFmtId="0" fontId="58" fillId="0" borderId="36" xfId="0" applyFont="1" applyBorder="1" applyAlignment="1">
      <alignment horizontal="center" vertical="center" wrapText="1"/>
    </xf>
    <xf numFmtId="9" fontId="59" fillId="9" borderId="130" xfId="0" applyNumberFormat="1" applyFont="1" applyFill="1" applyBorder="1" applyAlignment="1">
      <alignment horizontal="center" vertical="center" wrapText="1"/>
    </xf>
    <xf numFmtId="9" fontId="58" fillId="51" borderId="26" xfId="0" applyNumberFormat="1" applyFont="1" applyFill="1" applyBorder="1" applyAlignment="1">
      <alignment horizontal="left" vertical="center" wrapText="1"/>
    </xf>
    <xf numFmtId="0" fontId="58" fillId="46" borderId="59" xfId="0" applyFont="1" applyFill="1" applyBorder="1" applyAlignment="1">
      <alignment vertical="center" wrapText="1"/>
    </xf>
    <xf numFmtId="0" fontId="58" fillId="22" borderId="26" xfId="0" applyFont="1" applyFill="1" applyBorder="1" applyAlignment="1">
      <alignment horizontal="center" vertical="center" wrapText="1"/>
    </xf>
    <xf numFmtId="9" fontId="58" fillId="51" borderId="26" xfId="0" applyNumberFormat="1" applyFont="1" applyFill="1" applyBorder="1" applyAlignment="1">
      <alignment horizontal="center" vertical="center" wrapText="1"/>
    </xf>
    <xf numFmtId="9" fontId="58" fillId="0" borderId="49" xfId="0" applyNumberFormat="1" applyFont="1" applyBorder="1" applyAlignment="1">
      <alignment horizontal="center" wrapText="1"/>
    </xf>
    <xf numFmtId="0" fontId="58" fillId="46" borderId="129" xfId="0" applyFont="1" applyFill="1" applyBorder="1" applyAlignment="1">
      <alignment vertical="center" wrapText="1"/>
    </xf>
    <xf numFmtId="9" fontId="59" fillId="22" borderId="127" xfId="0" applyNumberFormat="1" applyFont="1" applyFill="1" applyBorder="1" applyAlignment="1">
      <alignment horizontal="center" vertical="center" wrapText="1"/>
    </xf>
    <xf numFmtId="0" fontId="58" fillId="33" borderId="59" xfId="0" applyFont="1" applyFill="1" applyBorder="1" applyAlignment="1">
      <alignment vertical="center" wrapText="1"/>
    </xf>
    <xf numFmtId="0" fontId="58" fillId="33" borderId="129" xfId="0" applyFont="1" applyFill="1" applyBorder="1" applyAlignment="1">
      <alignment vertical="center" wrapText="1"/>
    </xf>
    <xf numFmtId="9" fontId="59" fillId="21" borderId="127" xfId="0" applyNumberFormat="1" applyFont="1" applyFill="1" applyBorder="1" applyAlignment="1">
      <alignment horizontal="center" vertical="center" wrapText="1"/>
    </xf>
    <xf numFmtId="0" fontId="58" fillId="22" borderId="129" xfId="0" applyFont="1" applyFill="1" applyBorder="1" applyAlignment="1">
      <alignment wrapText="1"/>
    </xf>
    <xf numFmtId="2" fontId="58" fillId="22" borderId="26" xfId="0" applyNumberFormat="1" applyFont="1" applyFill="1" applyBorder="1" applyAlignment="1">
      <alignment horizontal="center" vertical="center" wrapText="1"/>
    </xf>
    <xf numFmtId="9" fontId="58" fillId="22" borderId="26" xfId="0" applyNumberFormat="1" applyFont="1" applyFill="1" applyBorder="1" applyAlignment="1">
      <alignment horizontal="center" vertical="center" wrapText="1"/>
    </xf>
    <xf numFmtId="167" fontId="58" fillId="0" borderId="26" xfId="0" applyNumberFormat="1" applyFont="1" applyBorder="1" applyAlignment="1">
      <alignment horizontal="center" vertical="center" wrapText="1"/>
    </xf>
    <xf numFmtId="9" fontId="58" fillId="28" borderId="26" xfId="0" applyNumberFormat="1" applyFont="1" applyFill="1" applyBorder="1" applyAlignment="1">
      <alignment horizontal="left" wrapText="1"/>
    </xf>
    <xf numFmtId="0" fontId="50" fillId="0" borderId="26" xfId="0" applyFont="1" applyBorder="1" applyAlignment="1">
      <alignment horizontal="center" vertical="center"/>
    </xf>
    <xf numFmtId="10" fontId="59" fillId="12" borderId="49" xfId="0" applyNumberFormat="1" applyFont="1" applyFill="1" applyBorder="1" applyAlignment="1">
      <alignment horizontal="center" vertical="center" wrapText="1"/>
    </xf>
    <xf numFmtId="10" fontId="59" fillId="35" borderId="49" xfId="0" applyNumberFormat="1" applyFont="1" applyFill="1" applyBorder="1" applyAlignment="1">
      <alignment horizontal="center" vertical="center" wrapText="1"/>
    </xf>
    <xf numFmtId="0" fontId="58" fillId="0" borderId="129" xfId="0" applyFont="1" applyBorder="1" applyAlignment="1">
      <alignment vertical="center" wrapText="1"/>
    </xf>
    <xf numFmtId="9" fontId="58" fillId="28" borderId="26" xfId="0" applyNumberFormat="1" applyFont="1" applyFill="1" applyBorder="1" applyAlignment="1">
      <alignment horizontal="left" vertical="center" wrapText="1"/>
    </xf>
    <xf numFmtId="0" fontId="58" fillId="21" borderId="129" xfId="0" applyFont="1" applyFill="1" applyBorder="1" applyAlignment="1">
      <alignment vertical="center" wrapText="1"/>
    </xf>
    <xf numFmtId="0" fontId="58" fillId="21" borderId="129" xfId="0" applyFont="1" applyFill="1" applyBorder="1" applyAlignment="1">
      <alignment wrapText="1"/>
    </xf>
    <xf numFmtId="9" fontId="58" fillId="21" borderId="26" xfId="0" applyNumberFormat="1" applyFont="1" applyFill="1" applyBorder="1" applyAlignment="1">
      <alignment horizontal="left" vertical="center" wrapText="1"/>
    </xf>
    <xf numFmtId="0" fontId="50" fillId="15" borderId="16" xfId="0" applyFont="1" applyFill="1" applyBorder="1" applyAlignment="1">
      <alignment horizontal="center" vertical="center"/>
    </xf>
    <xf numFmtId="43" fontId="58" fillId="0" borderId="26" xfId="3" applyFont="1" applyBorder="1" applyAlignment="1">
      <alignment horizontal="center" vertical="center" wrapText="1"/>
    </xf>
    <xf numFmtId="0" fontId="58" fillId="22" borderId="129" xfId="0" applyFont="1" applyFill="1" applyBorder="1" applyAlignment="1">
      <alignment vertical="center" wrapText="1"/>
    </xf>
    <xf numFmtId="165" fontId="59" fillId="34" borderId="26" xfId="0" applyNumberFormat="1" applyFont="1" applyFill="1" applyBorder="1" applyAlignment="1">
      <alignment horizontal="left" vertical="center" wrapText="1"/>
    </xf>
    <xf numFmtId="0" fontId="60" fillId="0" borderId="26" xfId="0" applyFont="1" applyBorder="1" applyAlignment="1">
      <alignment horizontal="center" vertical="center"/>
    </xf>
    <xf numFmtId="10" fontId="58" fillId="0" borderId="49" xfId="0" applyNumberFormat="1" applyFont="1" applyBorder="1" applyAlignment="1">
      <alignment horizontal="center" vertical="center" wrapText="1"/>
    </xf>
    <xf numFmtId="167" fontId="60" fillId="0" borderId="26" xfId="0" applyNumberFormat="1" applyFont="1" applyBorder="1" applyAlignment="1">
      <alignment horizontal="center" vertical="center"/>
    </xf>
    <xf numFmtId="0" fontId="58" fillId="53" borderId="60" xfId="0" applyFont="1" applyFill="1" applyBorder="1" applyAlignment="1">
      <alignment vertical="center" wrapText="1"/>
    </xf>
    <xf numFmtId="0" fontId="58" fillId="53" borderId="59" xfId="0" applyFont="1" applyFill="1" applyBorder="1" applyAlignment="1">
      <alignment vertical="center" wrapText="1"/>
    </xf>
    <xf numFmtId="0" fontId="58" fillId="53" borderId="129" xfId="0" applyFont="1" applyFill="1" applyBorder="1" applyAlignment="1">
      <alignment vertical="center" wrapText="1"/>
    </xf>
    <xf numFmtId="9" fontId="59" fillId="54" borderId="127" xfId="0" applyNumberFormat="1" applyFont="1" applyFill="1" applyBorder="1" applyAlignment="1">
      <alignment horizontal="center" vertical="center" wrapText="1"/>
    </xf>
    <xf numFmtId="9" fontId="59" fillId="21" borderId="128" xfId="0" applyNumberFormat="1" applyFont="1" applyFill="1" applyBorder="1" applyAlignment="1">
      <alignment horizontal="center" vertical="center" wrapText="1"/>
    </xf>
    <xf numFmtId="0" fontId="58" fillId="0" borderId="141" xfId="0" applyFont="1" applyBorder="1" applyAlignment="1">
      <alignment wrapText="1"/>
    </xf>
    <xf numFmtId="0" fontId="60" fillId="22" borderId="26" xfId="0" applyFont="1" applyFill="1" applyBorder="1" applyAlignment="1"/>
    <xf numFmtId="0" fontId="67" fillId="0" borderId="24" xfId="0" applyFont="1" applyBorder="1" applyAlignment="1">
      <alignment wrapText="1"/>
    </xf>
    <xf numFmtId="0" fontId="67" fillId="0" borderId="36" xfId="0" applyFont="1" applyBorder="1" applyAlignment="1">
      <alignment wrapText="1"/>
    </xf>
    <xf numFmtId="9" fontId="69" fillId="0" borderId="26" xfId="0" applyNumberFormat="1" applyFont="1" applyBorder="1" applyAlignment="1">
      <alignment horizontal="center" vertical="center"/>
    </xf>
    <xf numFmtId="0" fontId="70" fillId="0" borderId="26" xfId="0" applyFont="1" applyBorder="1" applyAlignment="1"/>
    <xf numFmtId="165" fontId="68" fillId="10" borderId="26" xfId="0" applyNumberFormat="1" applyFont="1" applyFill="1" applyBorder="1" applyAlignment="1">
      <alignment vertical="center" wrapText="1"/>
    </xf>
    <xf numFmtId="165" fontId="68" fillId="6" borderId="26" xfId="0" applyNumberFormat="1" applyFont="1" applyFill="1" applyBorder="1" applyAlignment="1">
      <alignment vertical="center" wrapText="1"/>
    </xf>
    <xf numFmtId="165" fontId="67" fillId="0" borderId="26" xfId="0" applyNumberFormat="1" applyFont="1" applyBorder="1" applyAlignment="1">
      <alignment wrapText="1"/>
    </xf>
    <xf numFmtId="10" fontId="68" fillId="10" borderId="26" xfId="0" applyNumberFormat="1" applyFont="1" applyFill="1" applyBorder="1" applyAlignment="1">
      <alignment vertical="center" wrapText="1"/>
    </xf>
    <xf numFmtId="10" fontId="68" fillId="6" borderId="49" xfId="0" applyNumberFormat="1" applyFont="1" applyFill="1" applyBorder="1" applyAlignment="1">
      <alignment vertical="center" wrapText="1"/>
    </xf>
    <xf numFmtId="10" fontId="68" fillId="36" borderId="26" xfId="0" applyNumberFormat="1" applyFont="1" applyFill="1" applyBorder="1" applyAlignment="1">
      <alignment vertical="center" wrapText="1"/>
    </xf>
    <xf numFmtId="0" fontId="67" fillId="0" borderId="10" xfId="0" applyFont="1" applyBorder="1" applyAlignment="1">
      <alignment wrapText="1"/>
    </xf>
    <xf numFmtId="0" fontId="67" fillId="0" borderId="8" xfId="0" applyFont="1" applyBorder="1" applyAlignment="1">
      <alignment wrapText="1"/>
    </xf>
    <xf numFmtId="0" fontId="67" fillId="0" borderId="1" xfId="0" applyFont="1" applyBorder="1" applyAlignment="1">
      <alignment wrapText="1"/>
    </xf>
    <xf numFmtId="0" fontId="70" fillId="0" borderId="0" xfId="0" applyFont="1" applyAlignment="1"/>
    <xf numFmtId="0" fontId="59" fillId="19" borderId="74" xfId="0" applyFont="1" applyFill="1" applyBorder="1" applyAlignment="1">
      <alignment horizontal="center" vertical="center" wrapText="1"/>
    </xf>
    <xf numFmtId="0" fontId="59" fillId="4" borderId="134" xfId="0" applyFont="1" applyFill="1" applyBorder="1" applyAlignment="1">
      <alignment horizontal="center" vertical="center" wrapText="1"/>
    </xf>
    <xf numFmtId="0" fontId="58" fillId="0" borderId="4" xfId="0" applyFont="1" applyBorder="1" applyAlignment="1">
      <alignment wrapText="1"/>
    </xf>
    <xf numFmtId="0" fontId="58" fillId="0" borderId="21" xfId="0" applyFont="1" applyBorder="1" applyAlignment="1">
      <alignment wrapText="1"/>
    </xf>
    <xf numFmtId="0" fontId="58" fillId="0" borderId="18" xfId="0" applyFont="1" applyBorder="1" applyAlignment="1">
      <alignment wrapText="1"/>
    </xf>
    <xf numFmtId="165" fontId="59" fillId="9" borderId="36" xfId="0" applyNumberFormat="1" applyFont="1" applyFill="1" applyBorder="1" applyAlignment="1">
      <alignment horizontal="center" vertical="center" wrapText="1"/>
    </xf>
    <xf numFmtId="165" fontId="59" fillId="39" borderId="26" xfId="0" applyNumberFormat="1" applyFont="1" applyFill="1" applyBorder="1" applyAlignment="1">
      <alignment horizontal="center" vertical="center" wrapText="1"/>
    </xf>
    <xf numFmtId="9" fontId="59" fillId="14" borderId="126" xfId="0" applyNumberFormat="1" applyFont="1" applyFill="1" applyBorder="1" applyAlignment="1">
      <alignment horizontal="center" vertical="center" wrapText="1"/>
    </xf>
    <xf numFmtId="9" fontId="59" fillId="0" borderId="128" xfId="0" applyNumberFormat="1" applyFont="1" applyBorder="1" applyAlignment="1">
      <alignment horizontal="center" vertical="center" wrapText="1"/>
    </xf>
    <xf numFmtId="9" fontId="59" fillId="14" borderId="45" xfId="0" applyNumberFormat="1" applyFont="1" applyFill="1" applyBorder="1" applyAlignment="1">
      <alignment horizontal="center" vertical="center" wrapText="1"/>
    </xf>
    <xf numFmtId="9" fontId="59" fillId="14" borderId="131" xfId="0" applyNumberFormat="1" applyFont="1" applyFill="1" applyBorder="1" applyAlignment="1">
      <alignment horizontal="center" vertical="center" wrapText="1"/>
    </xf>
    <xf numFmtId="0" fontId="58" fillId="0" borderId="29" xfId="0" applyFont="1" applyBorder="1" applyAlignment="1">
      <alignment wrapText="1"/>
    </xf>
    <xf numFmtId="0" fontId="58" fillId="33" borderId="11" xfId="0" applyFont="1" applyFill="1" applyBorder="1" applyAlignment="1">
      <alignment vertical="center" wrapText="1"/>
    </xf>
    <xf numFmtId="0" fontId="58" fillId="21" borderId="29" xfId="0" applyFont="1" applyFill="1" applyBorder="1" applyAlignment="1">
      <alignment wrapText="1"/>
    </xf>
    <xf numFmtId="0" fontId="58" fillId="51" borderId="26" xfId="0" applyFont="1" applyFill="1" applyBorder="1" applyAlignment="1">
      <alignment wrapText="1"/>
    </xf>
    <xf numFmtId="0" fontId="58" fillId="21" borderId="18" xfId="0" applyFont="1" applyFill="1" applyBorder="1" applyAlignment="1">
      <alignment wrapText="1"/>
    </xf>
    <xf numFmtId="43" fontId="59" fillId="0" borderId="36" xfId="3" applyFont="1" applyBorder="1" applyAlignment="1">
      <alignment horizontal="center" vertical="center" wrapText="1"/>
    </xf>
    <xf numFmtId="0" fontId="58" fillId="22" borderId="18" xfId="0" applyFont="1" applyFill="1" applyBorder="1" applyAlignment="1">
      <alignment wrapText="1"/>
    </xf>
    <xf numFmtId="0" fontId="58" fillId="28" borderId="26" xfId="0" applyFont="1" applyFill="1" applyBorder="1" applyAlignment="1">
      <alignment wrapText="1"/>
    </xf>
    <xf numFmtId="10" fontId="59" fillId="35" borderId="26" xfId="0" applyNumberFormat="1" applyFont="1" applyFill="1" applyBorder="1" applyAlignment="1">
      <alignment horizontal="center" vertical="center" wrapText="1"/>
    </xf>
    <xf numFmtId="3" fontId="50" fillId="22" borderId="26" xfId="0" applyNumberFormat="1" applyFont="1" applyFill="1" applyBorder="1" applyAlignment="1">
      <alignment horizontal="center" vertical="center" wrapText="1"/>
    </xf>
    <xf numFmtId="4" fontId="50" fillId="22" borderId="26" xfId="0" applyNumberFormat="1" applyFont="1" applyFill="1" applyBorder="1" applyAlignment="1">
      <alignment horizontal="center" vertical="center" wrapText="1"/>
    </xf>
    <xf numFmtId="166" fontId="58" fillId="0" borderId="17" xfId="0" applyNumberFormat="1" applyFont="1" applyBorder="1" applyAlignment="1">
      <alignment wrapText="1"/>
    </xf>
    <xf numFmtId="9" fontId="59" fillId="0" borderId="45" xfId="0" applyNumberFormat="1" applyFont="1" applyBorder="1" applyAlignment="1">
      <alignment horizontal="center" vertical="center" wrapText="1"/>
    </xf>
    <xf numFmtId="3" fontId="50" fillId="22" borderId="33" xfId="0" applyNumberFormat="1" applyFont="1" applyFill="1" applyBorder="1" applyAlignment="1">
      <alignment horizontal="center" vertical="center" wrapText="1"/>
    </xf>
    <xf numFmtId="9" fontId="58" fillId="21" borderId="26" xfId="0" applyNumberFormat="1" applyFont="1" applyFill="1" applyBorder="1" applyAlignment="1">
      <alignment horizontal="center" vertical="center" wrapText="1"/>
    </xf>
    <xf numFmtId="0" fontId="58" fillId="21" borderId="26" xfId="0" applyFont="1" applyFill="1" applyBorder="1" applyAlignment="1">
      <alignment horizontal="center" vertical="center" wrapText="1"/>
    </xf>
    <xf numFmtId="9" fontId="58" fillId="28" borderId="33" xfId="0" applyNumberFormat="1" applyFont="1" applyFill="1" applyBorder="1" applyAlignment="1">
      <alignment horizontal="center" vertical="center" wrapText="1"/>
    </xf>
    <xf numFmtId="9" fontId="58" fillId="28" borderId="53" xfId="0" applyNumberFormat="1" applyFont="1" applyFill="1" applyBorder="1" applyAlignment="1">
      <alignment horizontal="center" vertical="center" wrapText="1"/>
    </xf>
    <xf numFmtId="0" fontId="44" fillId="0" borderId="21" xfId="0" applyFont="1" applyBorder="1" applyAlignment="1">
      <alignment wrapText="1"/>
    </xf>
    <xf numFmtId="9" fontId="28" fillId="0" borderId="131" xfId="0" applyNumberFormat="1" applyFont="1" applyBorder="1" applyAlignment="1">
      <alignment horizontal="center" vertical="center" wrapText="1"/>
    </xf>
    <xf numFmtId="0" fontId="45" fillId="0" borderId="125" xfId="0" applyFont="1" applyBorder="1" applyAlignment="1"/>
    <xf numFmtId="0" fontId="45" fillId="0" borderId="53" xfId="0" applyFont="1" applyBorder="1" applyAlignment="1"/>
    <xf numFmtId="10" fontId="28" fillId="10" borderId="53" xfId="0" applyNumberFormat="1" applyFont="1" applyFill="1" applyBorder="1" applyAlignment="1">
      <alignment vertical="center" wrapText="1"/>
    </xf>
    <xf numFmtId="10" fontId="28" fillId="6" borderId="53" xfId="0" applyNumberFormat="1" applyFont="1" applyFill="1" applyBorder="1" applyAlignment="1">
      <alignment vertical="center" wrapText="1"/>
    </xf>
    <xf numFmtId="0" fontId="44" fillId="0" borderId="53" xfId="0" applyFont="1" applyBorder="1" applyAlignment="1">
      <alignment wrapText="1"/>
    </xf>
    <xf numFmtId="0" fontId="44" fillId="0" borderId="26" xfId="0" applyFont="1" applyBorder="1" applyAlignment="1">
      <alignment wrapText="1"/>
    </xf>
    <xf numFmtId="0" fontId="44" fillId="0" borderId="17" xfId="0" applyFont="1" applyBorder="1" applyAlignment="1">
      <alignment wrapText="1"/>
    </xf>
    <xf numFmtId="165" fontId="52" fillId="4" borderId="16" xfId="0" applyNumberFormat="1" applyFont="1" applyFill="1" applyBorder="1" applyAlignment="1">
      <alignment horizontal="center" vertical="center" wrapText="1"/>
    </xf>
    <xf numFmtId="0" fontId="51" fillId="22" borderId="63" xfId="0" applyFont="1" applyFill="1" applyBorder="1" applyAlignment="1">
      <alignment vertical="center" wrapText="1"/>
    </xf>
    <xf numFmtId="43" fontId="52" fillId="0" borderId="16" xfId="3" applyFont="1" applyBorder="1" applyAlignment="1">
      <alignment horizontal="center" vertical="center" wrapText="1"/>
    </xf>
    <xf numFmtId="165" fontId="31" fillId="25" borderId="16" xfId="0" applyNumberFormat="1" applyFont="1" applyFill="1" applyBorder="1" applyAlignment="1">
      <alignment horizontal="center" vertical="center"/>
    </xf>
    <xf numFmtId="0" fontId="73" fillId="0" borderId="33" xfId="0" applyFont="1" applyBorder="1" applyAlignment="1"/>
    <xf numFmtId="0" fontId="74" fillId="21" borderId="33" xfId="0" applyFont="1" applyFill="1" applyBorder="1" applyAlignment="1">
      <alignment horizontal="center" vertical="center" wrapText="1"/>
    </xf>
    <xf numFmtId="0" fontId="75" fillId="4" borderId="13" xfId="0" applyFont="1" applyFill="1" applyBorder="1" applyAlignment="1">
      <alignment horizontal="center" vertical="center" wrapText="1"/>
    </xf>
    <xf numFmtId="0" fontId="76" fillId="5" borderId="13" xfId="0" applyFont="1" applyFill="1" applyBorder="1" applyAlignment="1">
      <alignment horizontal="center" vertical="center" wrapText="1"/>
    </xf>
    <xf numFmtId="0" fontId="77" fillId="4" borderId="13" xfId="0" applyFont="1" applyFill="1" applyBorder="1" applyAlignment="1">
      <alignment horizontal="center" vertical="center" wrapText="1"/>
    </xf>
    <xf numFmtId="0" fontId="74" fillId="21" borderId="26" xfId="0" applyFont="1" applyFill="1" applyBorder="1" applyAlignment="1">
      <alignment horizontal="center" vertical="center" wrapText="1"/>
    </xf>
    <xf numFmtId="0" fontId="74" fillId="21" borderId="36" xfId="0" applyFont="1" applyFill="1" applyBorder="1" applyAlignment="1">
      <alignment horizontal="center" vertical="center" wrapText="1"/>
    </xf>
    <xf numFmtId="0" fontId="78" fillId="0" borderId="114" xfId="0" applyFont="1" applyBorder="1" applyAlignment="1">
      <alignment wrapText="1"/>
    </xf>
    <xf numFmtId="0" fontId="79" fillId="22" borderId="115" xfId="0" applyFont="1" applyFill="1" applyBorder="1" applyAlignment="1">
      <alignment wrapText="1"/>
    </xf>
    <xf numFmtId="165" fontId="80" fillId="21" borderId="113" xfId="1" applyNumberFormat="1" applyFont="1" applyFill="1" applyBorder="1" applyAlignment="1">
      <alignment horizontal="center" vertical="center" wrapText="1"/>
    </xf>
    <xf numFmtId="165" fontId="81" fillId="45" borderId="113" xfId="1" applyNumberFormat="1" applyFont="1" applyFill="1" applyBorder="1" applyAlignment="1">
      <alignment horizontal="center" vertical="center" wrapText="1"/>
    </xf>
    <xf numFmtId="165" fontId="81" fillId="26" borderId="113" xfId="1" applyNumberFormat="1" applyFont="1" applyFill="1" applyBorder="1" applyAlignment="1">
      <alignment horizontal="center" vertical="center" wrapText="1"/>
    </xf>
    <xf numFmtId="0" fontId="35" fillId="2" borderId="5" xfId="0" applyFont="1" applyFill="1" applyBorder="1" applyAlignment="1">
      <alignment horizontal="center" vertical="center" wrapText="1"/>
    </xf>
    <xf numFmtId="0" fontId="39" fillId="0" borderId="6" xfId="0" applyFont="1" applyBorder="1"/>
    <xf numFmtId="0" fontId="28" fillId="8" borderId="5" xfId="0" applyFont="1" applyFill="1" applyBorder="1" applyAlignment="1">
      <alignment horizontal="left" vertical="center" wrapText="1"/>
    </xf>
    <xf numFmtId="0" fontId="44" fillId="0" borderId="6" xfId="0" applyFont="1" applyBorder="1"/>
    <xf numFmtId="0" fontId="35" fillId="11" borderId="5" xfId="0" applyFont="1" applyFill="1" applyBorder="1" applyAlignment="1">
      <alignment horizontal="center" vertical="center" wrapText="1"/>
    </xf>
    <xf numFmtId="0" fontId="41" fillId="13" borderId="5" xfId="0" applyFont="1" applyFill="1" applyBorder="1" applyAlignment="1">
      <alignment vertical="center" wrapText="1"/>
    </xf>
    <xf numFmtId="0" fontId="35" fillId="17" borderId="5" xfId="0" applyFont="1" applyFill="1" applyBorder="1" applyAlignment="1">
      <alignment horizontal="center" vertical="center" wrapText="1"/>
    </xf>
    <xf numFmtId="0" fontId="52" fillId="2" borderId="54" xfId="0" applyFont="1" applyFill="1" applyBorder="1" applyAlignment="1">
      <alignment horizontal="center" vertical="center" wrapText="1"/>
    </xf>
    <xf numFmtId="0" fontId="51" fillId="0" borderId="93" xfId="0" applyFont="1" applyBorder="1"/>
    <xf numFmtId="0" fontId="64" fillId="8" borderId="57" xfId="0" applyFont="1" applyFill="1" applyBorder="1" applyAlignment="1">
      <alignment horizontal="center" vertical="center" wrapText="1"/>
    </xf>
    <xf numFmtId="0" fontId="63" fillId="0" borderId="10" xfId="0" applyFont="1" applyBorder="1"/>
    <xf numFmtId="0" fontId="52" fillId="11" borderId="57" xfId="0" applyFont="1" applyFill="1" applyBorder="1" applyAlignment="1">
      <alignment vertical="center" wrapText="1"/>
    </xf>
    <xf numFmtId="0" fontId="51" fillId="0" borderId="10" xfId="0" applyFont="1" applyBorder="1"/>
    <xf numFmtId="0" fontId="55" fillId="13" borderId="57" xfId="0" applyFont="1" applyFill="1" applyBorder="1" applyAlignment="1">
      <alignment vertical="center" wrapText="1"/>
    </xf>
    <xf numFmtId="0" fontId="51" fillId="0" borderId="15" xfId="0" applyFont="1" applyBorder="1"/>
    <xf numFmtId="0" fontId="55" fillId="13" borderId="72" xfId="0" applyFont="1" applyFill="1" applyBorder="1" applyAlignment="1">
      <alignment vertical="center" wrapText="1"/>
    </xf>
    <xf numFmtId="0" fontId="51" fillId="0" borderId="28" xfId="0" applyFont="1" applyBorder="1"/>
    <xf numFmtId="0" fontId="51" fillId="0" borderId="20" xfId="0" applyFont="1" applyBorder="1"/>
    <xf numFmtId="0" fontId="55" fillId="13" borderId="68" xfId="0" applyFont="1" applyFill="1" applyBorder="1" applyAlignment="1">
      <alignment vertical="center" wrapText="1"/>
    </xf>
    <xf numFmtId="0" fontId="51" fillId="0" borderId="52" xfId="0" applyFont="1" applyBorder="1"/>
    <xf numFmtId="0" fontId="52" fillId="11" borderId="68" xfId="0" applyFont="1" applyFill="1" applyBorder="1" applyAlignment="1">
      <alignment vertical="center" wrapText="1"/>
    </xf>
    <xf numFmtId="0" fontId="55" fillId="13" borderId="29" xfId="0" applyFont="1" applyFill="1" applyBorder="1" applyAlignment="1">
      <alignment vertical="center" wrapText="1"/>
    </xf>
    <xf numFmtId="0" fontId="51" fillId="0" borderId="75" xfId="0" applyFont="1" applyBorder="1"/>
    <xf numFmtId="0" fontId="59" fillId="2" borderId="54" xfId="0" applyFont="1" applyFill="1" applyBorder="1" applyAlignment="1">
      <alignment horizontal="center" vertical="center" wrapText="1"/>
    </xf>
    <xf numFmtId="0" fontId="59" fillId="2" borderId="55" xfId="0" applyFont="1" applyFill="1" applyBorder="1" applyAlignment="1">
      <alignment horizontal="center" vertical="center" wrapText="1"/>
    </xf>
    <xf numFmtId="0" fontId="62" fillId="13" borderId="57" xfId="0" applyFont="1" applyFill="1" applyBorder="1" applyAlignment="1">
      <alignment vertical="center" wrapText="1"/>
    </xf>
    <xf numFmtId="0" fontId="58" fillId="0" borderId="15" xfId="0" applyFont="1" applyBorder="1"/>
    <xf numFmtId="0" fontId="59" fillId="11" borderId="57" xfId="0" applyFont="1" applyFill="1" applyBorder="1" applyAlignment="1">
      <alignment vertical="center" wrapText="1"/>
    </xf>
    <xf numFmtId="0" fontId="58" fillId="0" borderId="10" xfId="0" applyFont="1" applyBorder="1"/>
    <xf numFmtId="0" fontId="62" fillId="13" borderId="29" xfId="0" applyFont="1" applyFill="1" applyBorder="1" applyAlignment="1">
      <alignment vertical="center" wrapText="1"/>
    </xf>
    <xf numFmtId="0" fontId="58" fillId="0" borderId="75" xfId="0" applyFont="1" applyBorder="1"/>
    <xf numFmtId="0" fontId="62" fillId="13" borderId="40" xfId="0" applyFont="1" applyFill="1" applyBorder="1" applyAlignment="1">
      <alignment vertical="center" wrapText="1"/>
    </xf>
    <xf numFmtId="0" fontId="58" fillId="0" borderId="0" xfId="0" applyFont="1" applyBorder="1"/>
    <xf numFmtId="0" fontId="59" fillId="11" borderId="29" xfId="0" applyFont="1" applyFill="1" applyBorder="1" applyAlignment="1">
      <alignment vertical="center" wrapText="1"/>
    </xf>
    <xf numFmtId="0" fontId="62" fillId="13" borderId="72" xfId="0" applyFont="1" applyFill="1" applyBorder="1" applyAlignment="1">
      <alignment vertical="center" wrapText="1"/>
    </xf>
    <xf numFmtId="0" fontId="58" fillId="0" borderId="20" xfId="0" applyFont="1" applyBorder="1"/>
    <xf numFmtId="0" fontId="58" fillId="0" borderId="58" xfId="0" applyFont="1" applyBorder="1"/>
    <xf numFmtId="0" fontId="59" fillId="2" borderId="95" xfId="0" applyFont="1" applyFill="1" applyBorder="1" applyAlignment="1">
      <alignment horizontal="center" vertical="center" wrapText="1"/>
    </xf>
    <xf numFmtId="0" fontId="71" fillId="8" borderId="57" xfId="0" applyFont="1" applyFill="1" applyBorder="1" applyAlignment="1">
      <alignment horizontal="center" vertical="center" wrapText="1"/>
    </xf>
    <xf numFmtId="0" fontId="72" fillId="0" borderId="58" xfId="0" applyFont="1" applyBorder="1"/>
    <xf numFmtId="0" fontId="59" fillId="11" borderId="9" xfId="0" applyFont="1" applyFill="1" applyBorder="1" applyAlignment="1">
      <alignment vertical="center" wrapText="1"/>
    </xf>
    <xf numFmtId="0" fontId="59" fillId="2" borderId="29" xfId="0" applyFont="1" applyFill="1" applyBorder="1" applyAlignment="1">
      <alignment horizontal="center" vertical="center" wrapText="1"/>
    </xf>
    <xf numFmtId="0" fontId="59" fillId="2" borderId="133" xfId="0" applyFont="1" applyFill="1" applyBorder="1" applyAlignment="1">
      <alignment horizontal="center" vertical="center" wrapText="1"/>
    </xf>
    <xf numFmtId="0" fontId="28" fillId="8" borderId="44" xfId="0" applyFont="1" applyFill="1" applyBorder="1" applyAlignment="1">
      <alignment horizontal="center" vertical="center" wrapText="1"/>
    </xf>
    <xf numFmtId="0" fontId="44" fillId="0" borderId="28" xfId="0" applyFont="1" applyBorder="1"/>
    <xf numFmtId="0" fontId="62" fillId="13" borderId="9" xfId="0" applyFont="1" applyFill="1" applyBorder="1" applyAlignment="1">
      <alignment vertical="center" wrapText="1"/>
    </xf>
    <xf numFmtId="0" fontId="39" fillId="0" borderId="15" xfId="0" applyFont="1" applyBorder="1"/>
    <xf numFmtId="0" fontId="35" fillId="8" borderId="5" xfId="0" applyFont="1" applyFill="1" applyBorder="1" applyAlignment="1">
      <alignment horizontal="center" vertical="center" wrapText="1"/>
    </xf>
    <xf numFmtId="0" fontId="35" fillId="11" borderId="5" xfId="0" applyFont="1" applyFill="1" applyBorder="1" applyAlignment="1">
      <alignment vertical="center" wrapText="1"/>
    </xf>
    <xf numFmtId="0" fontId="14" fillId="21" borderId="38" xfId="0" applyFont="1" applyFill="1" applyBorder="1" applyAlignment="1">
      <alignment horizontal="center" vertical="center" wrapText="1"/>
    </xf>
    <xf numFmtId="0" fontId="14" fillId="21" borderId="39" xfId="0" applyFont="1" applyFill="1" applyBorder="1" applyAlignment="1">
      <alignment horizontal="center" vertical="center" wrapText="1"/>
    </xf>
    <xf numFmtId="0" fontId="14" fillId="21" borderId="40" xfId="0" applyFont="1" applyFill="1" applyBorder="1" applyAlignment="1">
      <alignment horizontal="center" vertical="center" wrapText="1"/>
    </xf>
    <xf numFmtId="0" fontId="14" fillId="21" borderId="41" xfId="0" applyFont="1" applyFill="1" applyBorder="1" applyAlignment="1">
      <alignment horizontal="center" vertical="center" wrapText="1"/>
    </xf>
    <xf numFmtId="0" fontId="14" fillId="21" borderId="42" xfId="0" applyFont="1" applyFill="1" applyBorder="1" applyAlignment="1">
      <alignment horizontal="center" vertical="center" wrapText="1"/>
    </xf>
    <xf numFmtId="0" fontId="14" fillId="21" borderId="43" xfId="0" applyFont="1" applyFill="1" applyBorder="1" applyAlignment="1">
      <alignment horizontal="center" vertical="center" wrapText="1"/>
    </xf>
    <xf numFmtId="0" fontId="24" fillId="0" borderId="13" xfId="0" applyFont="1" applyBorder="1" applyAlignment="1">
      <alignment horizontal="justify" vertical="center" wrapText="1"/>
    </xf>
    <xf numFmtId="0" fontId="24" fillId="0" borderId="37" xfId="0" applyFont="1" applyBorder="1" applyAlignment="1">
      <alignment horizontal="justify" vertical="center" wrapText="1"/>
    </xf>
    <xf numFmtId="0" fontId="24" fillId="28" borderId="13" xfId="0" applyFont="1" applyFill="1" applyBorder="1" applyAlignment="1">
      <alignment horizontal="justify" vertical="center" wrapText="1"/>
    </xf>
    <xf numFmtId="0" fontId="24" fillId="28" borderId="37" xfId="0" applyFont="1" applyFill="1" applyBorder="1" applyAlignment="1">
      <alignment horizontal="justify" vertical="center" wrapText="1"/>
    </xf>
    <xf numFmtId="0" fontId="24" fillId="0" borderId="14" xfId="0" applyFont="1" applyBorder="1" applyAlignment="1">
      <alignment horizontal="justify" vertical="center" wrapText="1"/>
    </xf>
    <xf numFmtId="0" fontId="24" fillId="0" borderId="44" xfId="0" applyFont="1" applyBorder="1" applyAlignment="1">
      <alignment horizontal="justify" vertical="center" wrapText="1"/>
    </xf>
    <xf numFmtId="0" fontId="24" fillId="31" borderId="13" xfId="0" applyFont="1" applyFill="1" applyBorder="1" applyAlignment="1">
      <alignment horizontal="justify" vertical="center" wrapText="1"/>
    </xf>
    <xf numFmtId="0" fontId="24" fillId="31" borderId="37" xfId="0" applyFont="1" applyFill="1" applyBorder="1" applyAlignment="1">
      <alignment horizontal="justify" vertical="center" wrapText="1"/>
    </xf>
    <xf numFmtId="10" fontId="49" fillId="0" borderId="38" xfId="0" applyNumberFormat="1" applyFont="1" applyBorder="1" applyAlignment="1">
      <alignment horizontal="center" vertical="center" wrapText="1"/>
    </xf>
    <xf numFmtId="0" fontId="49" fillId="0" borderId="42" xfId="0" applyFont="1" applyBorder="1" applyAlignment="1">
      <alignment horizontal="center" vertical="center" wrapText="1"/>
    </xf>
    <xf numFmtId="0" fontId="49" fillId="0" borderId="38" xfId="0" applyFont="1" applyBorder="1" applyAlignment="1">
      <alignment horizontal="center" vertical="center" wrapText="1"/>
    </xf>
    <xf numFmtId="0" fontId="21" fillId="21" borderId="9" xfId="0" applyFont="1" applyFill="1" applyBorder="1" applyAlignment="1">
      <alignment horizontal="center" vertical="center" wrapText="1"/>
    </xf>
    <xf numFmtId="0" fontId="21" fillId="21" borderId="15" xfId="0" applyFont="1" applyFill="1" applyBorder="1" applyAlignment="1">
      <alignment horizontal="center" vertical="center" wrapText="1"/>
    </xf>
    <xf numFmtId="0" fontId="21" fillId="21" borderId="10" xfId="0" applyFont="1" applyFill="1" applyBorder="1" applyAlignment="1">
      <alignment horizontal="center" vertical="center" wrapText="1"/>
    </xf>
    <xf numFmtId="165" fontId="36" fillId="0" borderId="45" xfId="0" applyNumberFormat="1" applyFont="1" applyBorder="1" applyAlignment="1">
      <alignment horizontal="center" vertical="center" wrapText="1"/>
    </xf>
    <xf numFmtId="165" fontId="36" fillId="0" borderId="80" xfId="0" applyNumberFormat="1" applyFont="1" applyBorder="1" applyAlignment="1">
      <alignment horizontal="center" vertical="center" wrapText="1"/>
    </xf>
    <xf numFmtId="165" fontId="36" fillId="0" borderId="46" xfId="0" applyNumberFormat="1" applyFont="1" applyBorder="1" applyAlignment="1">
      <alignment horizontal="center" vertical="center" wrapText="1"/>
    </xf>
    <xf numFmtId="0" fontId="38" fillId="31" borderId="70" xfId="0" applyFont="1" applyFill="1" applyBorder="1" applyAlignment="1">
      <alignment horizontal="center" vertical="center" wrapText="1"/>
    </xf>
    <xf numFmtId="0" fontId="38" fillId="31" borderId="84" xfId="0" applyFont="1" applyFill="1" applyBorder="1" applyAlignment="1">
      <alignment horizontal="center" vertical="center" wrapText="1"/>
    </xf>
    <xf numFmtId="0" fontId="24" fillId="0" borderId="135" xfId="0" applyFont="1" applyBorder="1" applyAlignment="1">
      <alignment horizontal="justify" vertical="center" wrapText="1"/>
    </xf>
    <xf numFmtId="0" fontId="24" fillId="0" borderId="84" xfId="0" applyFont="1" applyBorder="1" applyAlignment="1">
      <alignment horizontal="justify" vertical="center" wrapText="1"/>
    </xf>
    <xf numFmtId="0" fontId="24" fillId="0" borderId="136" xfId="0" applyFont="1" applyBorder="1" applyAlignment="1">
      <alignment horizontal="justify" vertical="center" wrapText="1"/>
    </xf>
    <xf numFmtId="0" fontId="24" fillId="0" borderId="137" xfId="0" applyFont="1" applyBorder="1" applyAlignment="1">
      <alignment horizontal="justify" vertical="center" wrapText="1"/>
    </xf>
    <xf numFmtId="9" fontId="9" fillId="0" borderId="100" xfId="0" applyNumberFormat="1" applyFont="1" applyBorder="1" applyAlignment="1">
      <alignment horizontal="center" vertical="center"/>
    </xf>
    <xf numFmtId="9" fontId="9" fillId="0" borderId="26" xfId="0" applyNumberFormat="1" applyFont="1" applyBorder="1" applyAlignment="1">
      <alignment horizontal="center" vertical="center"/>
    </xf>
    <xf numFmtId="9" fontId="9" fillId="0" borderId="106" xfId="0" applyNumberFormat="1" applyFont="1" applyBorder="1" applyAlignment="1">
      <alignment horizontal="center" vertical="center"/>
    </xf>
    <xf numFmtId="9" fontId="9" fillId="0" borderId="34" xfId="0" applyNumberFormat="1" applyFont="1" applyBorder="1" applyAlignment="1">
      <alignment horizontal="center" vertical="center"/>
    </xf>
    <xf numFmtId="9" fontId="9" fillId="0" borderId="105" xfId="0" applyNumberFormat="1" applyFont="1" applyBorder="1" applyAlignment="1">
      <alignment horizontal="center" vertical="center"/>
    </xf>
    <xf numFmtId="9" fontId="9" fillId="0" borderId="108" xfId="0" applyNumberFormat="1" applyFont="1" applyBorder="1" applyAlignment="1">
      <alignment horizontal="center" vertical="center"/>
    </xf>
    <xf numFmtId="9" fontId="9" fillId="0" borderId="35" xfId="0" applyNumberFormat="1" applyFont="1" applyBorder="1" applyAlignment="1">
      <alignment horizontal="center" vertical="center"/>
    </xf>
    <xf numFmtId="9" fontId="9" fillId="0" borderId="109" xfId="0" applyNumberFormat="1" applyFont="1" applyBorder="1" applyAlignment="1">
      <alignment horizontal="center" vertical="center"/>
    </xf>
    <xf numFmtId="9" fontId="9" fillId="0" borderId="99" xfId="0" applyNumberFormat="1" applyFont="1" applyBorder="1" applyAlignment="1">
      <alignment horizontal="center" vertical="center"/>
    </xf>
    <xf numFmtId="0" fontId="14" fillId="21" borderId="96" xfId="0" applyFont="1" applyFill="1" applyBorder="1" applyAlignment="1">
      <alignment horizontal="center" vertical="center" wrapText="1"/>
    </xf>
    <xf numFmtId="0" fontId="14" fillId="21" borderId="97" xfId="0" applyFont="1" applyFill="1" applyBorder="1" applyAlignment="1">
      <alignment horizontal="center" vertical="center" wrapText="1"/>
    </xf>
  </cellXfs>
  <cellStyles count="4">
    <cellStyle name="Millares" xfId="3" builtinId="3"/>
    <cellStyle name="Normal" xfId="0" builtinId="0"/>
    <cellStyle name="Normal 2" xfId="2"/>
    <cellStyle name="Porcentaje" xfId="1" builtinId="5"/>
  </cellStyles>
  <dxfs count="2">
    <dxf>
      <fill>
        <patternFill patternType="solid">
          <fgColor rgb="FFCFE2F3"/>
          <bgColor rgb="FFCFE2F3"/>
        </patternFill>
      </fill>
    </dxf>
    <dxf>
      <fill>
        <patternFill patternType="solid">
          <fgColor rgb="FFCFE2F3"/>
          <bgColor rgb="FFCFE2F3"/>
        </patternFill>
      </fill>
    </dxf>
  </dxfs>
  <tableStyles count="0" defaultTableStyle="TableStyleMedium2" defaultPivotStyle="PivotStyleLight16"/>
  <colors>
    <mruColors>
      <color rgb="FFFF7C80"/>
      <color rgb="FFCC0066"/>
      <color rgb="FF6639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baseline="0">
                <a:solidFill>
                  <a:schemeClr val="tx2"/>
                </a:solidFill>
                <a:latin typeface="+mn-lt"/>
                <a:ea typeface="+mn-ea"/>
                <a:cs typeface="+mn-cs"/>
              </a:defRPr>
            </a:pPr>
            <a:r>
              <a:rPr lang="es-CO" sz="2800"/>
              <a:t>LOGRO OBTENIDO  CORTE DICIEMBRE  2024 RESPECTO AL CUATRIENIO. LINEAS ESTRATEGICAS.</a:t>
            </a:r>
          </a:p>
        </c:rich>
      </c:tx>
      <c:overlay val="0"/>
      <c:spPr>
        <a:noFill/>
        <a:ln>
          <a:noFill/>
        </a:ln>
        <a:effectLst/>
      </c:spPr>
      <c:txPr>
        <a:bodyPr rot="0" spcFirstLastPara="1" vertOverflow="ellipsis" vert="horz" wrap="square" anchor="ctr" anchorCtr="1"/>
        <a:lstStyle/>
        <a:p>
          <a:pPr>
            <a:defRPr sz="2800" b="1" i="0" u="none" strike="noStrike" kern="1200" baseline="0">
              <a:solidFill>
                <a:schemeClr val="tx2"/>
              </a:solidFill>
              <a:latin typeface="+mn-lt"/>
              <a:ea typeface="+mn-ea"/>
              <a:cs typeface="+mn-cs"/>
            </a:defRPr>
          </a:pPr>
          <a:endParaRPr lang="es-CO"/>
        </a:p>
      </c:txPr>
    </c:title>
    <c:autoTitleDeleted val="0"/>
    <c:plotArea>
      <c:layout/>
      <c:barChart>
        <c:barDir val="col"/>
        <c:grouping val="clustered"/>
        <c:varyColors val="0"/>
        <c:ser>
          <c:idx val="0"/>
          <c:order val="0"/>
          <c:tx>
            <c:strRef>
              <c:f>'SEGUIMIENTO DEL PLAN DE DESARRO'!$G$2</c:f>
              <c:strCache>
                <c:ptCount val="1"/>
                <c:pt idx="0">
                  <c:v>LOGRO ALCANZADO  CORTE DICIEMBRE  2024 RESPECTO AL CUATRIENIO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Pt>
            <c:idx val="0"/>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00-AB1B-4A44-8E69-583E8FE5124E}"/>
              </c:ext>
            </c:extLst>
          </c:dPt>
          <c:dPt>
            <c:idx val="1"/>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1-AB1B-4A44-8E69-583E8FE5124E}"/>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AB1B-4A44-8E69-583E8FE5124E}"/>
              </c:ext>
            </c:extLst>
          </c:dPt>
          <c:dPt>
            <c:idx val="3"/>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6-AB1B-4A44-8E69-583E8FE5124E}"/>
              </c:ext>
            </c:extLst>
          </c:dPt>
          <c:dPt>
            <c:idx val="4"/>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0C-AB1B-4A44-8E69-583E8FE5124E}"/>
              </c:ext>
            </c:extLst>
          </c:dPt>
          <c:dPt>
            <c:idx val="5"/>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10-AB1B-4A44-8E69-583E8FE5124E}"/>
              </c:ext>
            </c:extLst>
          </c:dPt>
          <c:dPt>
            <c:idx val="6"/>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11-AB1B-4A44-8E69-583E8FE5124E}"/>
              </c:ext>
            </c:extLst>
          </c:dPt>
          <c:dLbls>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'SEGUIMIENTO DEL PLAN DE DESARRO'!$B$3:$B$9</c:f>
              <c:strCache>
                <c:ptCount val="7"/>
                <c:pt idx="0">
                  <c:v>PLAN DE DESARROLLO CARTAGENA CIUDAD DE DERECHOS 2024 - 2027</c:v>
                </c:pt>
                <c:pt idx="1">
                  <c:v> SEGURIDAD HUMANA
</c:v>
                </c:pt>
                <c:pt idx="2">
                  <c:v> VIDA DIGNA
</c:v>
                </c:pt>
                <c:pt idx="3">
                  <c:v> DESARROLLO ECONÓMICO EQUITATIVO
</c:v>
                </c:pt>
                <c:pt idx="4">
                  <c:v>CARTAGENA CIUDAD CONECTADA Y SOSTENIBLE
</c:v>
                </c:pt>
                <c:pt idx="5">
                  <c:v> INNOVACIÓN PÚBLICA Y PARTICIPACIÓN CIUDADANA
</c:v>
                </c:pt>
                <c:pt idx="6">
                  <c:v>CAPÍTULO DE LOS PUEBLOS Y COMUNIDADES ÉTNICAS
</c:v>
                </c:pt>
              </c:strCache>
            </c:strRef>
          </c:cat>
          <c:val>
            <c:numRef>
              <c:f>'SEGUIMIENTO DEL PLAN DE DESARRO'!$G$3:$G$9</c:f>
              <c:numCache>
                <c:formatCode>0.0%</c:formatCode>
                <c:ptCount val="7"/>
                <c:pt idx="0">
                  <c:v>0.20145967486366223</c:v>
                </c:pt>
                <c:pt idx="1">
                  <c:v>0.25572550817069295</c:v>
                </c:pt>
                <c:pt idx="2">
                  <c:v>0.22381941312911002</c:v>
                </c:pt>
                <c:pt idx="3">
                  <c:v>0.23537004965661618</c:v>
                </c:pt>
                <c:pt idx="4">
                  <c:v>0.22160323916687383</c:v>
                </c:pt>
                <c:pt idx="5">
                  <c:v>0.21665121472005613</c:v>
                </c:pt>
                <c:pt idx="6">
                  <c:v>5.5588624338624326E-2</c:v>
                </c:pt>
              </c:numCache>
            </c:numRef>
          </c:val>
          <c:extLst xmlns:c16r2="http://schemas.microsoft.com/office/drawing/2015/06/chart">
            <c:ext xmlns:c16="http://schemas.microsoft.com/office/drawing/2014/chart" uri="{C3380CC4-5D6E-409C-BE32-E72D297353CC}">
              <c16:uniqueId val="{00000000-1806-4801-B684-B4D48E14E30B}"/>
            </c:ext>
          </c:extLst>
        </c:ser>
        <c:dLbls>
          <c:showLegendKey val="0"/>
          <c:showVal val="0"/>
          <c:showCatName val="0"/>
          <c:showSerName val="0"/>
          <c:showPercent val="0"/>
          <c:showBubbleSize val="0"/>
        </c:dLbls>
        <c:gapWidth val="100"/>
        <c:overlap val="-24"/>
        <c:axId val="442387424"/>
        <c:axId val="442383896"/>
      </c:barChart>
      <c:catAx>
        <c:axId val="44238742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2"/>
                </a:solidFill>
                <a:latin typeface="+mn-lt"/>
                <a:ea typeface="+mn-ea"/>
                <a:cs typeface="+mn-cs"/>
              </a:defRPr>
            </a:pPr>
            <a:endParaRPr lang="es-CO"/>
          </a:p>
        </c:txPr>
        <c:crossAx val="442383896"/>
        <c:crosses val="autoZero"/>
        <c:auto val="1"/>
        <c:lblAlgn val="ctr"/>
        <c:lblOffset val="100"/>
        <c:noMultiLvlLbl val="0"/>
      </c:catAx>
      <c:valAx>
        <c:axId val="442383896"/>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mn-lt"/>
                <a:ea typeface="+mn-ea"/>
                <a:cs typeface="+mn-cs"/>
              </a:defRPr>
            </a:pPr>
            <a:endParaRPr lang="es-CO"/>
          </a:p>
        </c:txPr>
        <c:crossAx val="442387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500" b="1" i="0" u="none" strike="noStrike" kern="1200" spc="0" baseline="0">
                <a:solidFill>
                  <a:schemeClr val="tx1">
                    <a:lumMod val="65000"/>
                    <a:lumOff val="35000"/>
                  </a:schemeClr>
                </a:solidFill>
                <a:latin typeface="+mn-lt"/>
                <a:ea typeface="+mn-ea"/>
                <a:cs typeface="+mn-cs"/>
              </a:defRPr>
            </a:pPr>
            <a:r>
              <a:rPr lang="es-CO"/>
              <a:t>LOGRO OBTENIDO A  DICIEMBRE  RESPECTO AL CUATRIENIO (PONDERADOR)</a:t>
            </a:r>
          </a:p>
        </c:rich>
      </c:tx>
      <c:overlay val="0"/>
      <c:spPr>
        <a:noFill/>
        <a:ln>
          <a:noFill/>
        </a:ln>
        <a:effectLst/>
      </c:spPr>
      <c:txPr>
        <a:bodyPr rot="0" spcFirstLastPara="1" vertOverflow="ellipsis" vert="horz" wrap="square" anchor="ctr" anchorCtr="1"/>
        <a:lstStyle/>
        <a:p>
          <a:pPr>
            <a:defRPr sz="25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'SEGUIMIENTO DEL PLAN DE DESARRO'!$J$2</c:f>
              <c:strCache>
                <c:ptCount val="1"/>
                <c:pt idx="0">
                  <c:v>LOGRO ALCANZADO DICIEMBRE RESPECTO AL CUATRIENIO (PONDERADOR)</c:v>
                </c:pt>
              </c:strCache>
            </c:strRef>
          </c:tx>
          <c:spPr>
            <a:solidFill>
              <a:schemeClr val="tx2">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 DEL PLAN DE DESARRO'!$B$3:$B$9</c:f>
              <c:strCache>
                <c:ptCount val="7"/>
                <c:pt idx="0">
                  <c:v>PLAN DE DESARROLLO CARTAGENA CIUDAD DE DERECHOS 2024 - 2027</c:v>
                </c:pt>
                <c:pt idx="1">
                  <c:v> SEGURIDAD HUMANA
</c:v>
                </c:pt>
                <c:pt idx="2">
                  <c:v> VIDA DIGNA
</c:v>
                </c:pt>
                <c:pt idx="3">
                  <c:v> DESARROLLO ECONÓMICO EQUITATIVO
</c:v>
                </c:pt>
                <c:pt idx="4">
                  <c:v>CARTAGENA CIUDAD CONECTADA Y SOSTENIBLE
</c:v>
                </c:pt>
                <c:pt idx="5">
                  <c:v> INNOVACIÓN PÚBLICA Y PARTICIPACIÓN CIUDADANA
</c:v>
                </c:pt>
                <c:pt idx="6">
                  <c:v>CAPÍTULO DE LOS PUEBLOS Y COMUNIDADES ÉTNICAS
</c:v>
                </c:pt>
              </c:strCache>
            </c:strRef>
          </c:cat>
          <c:val>
            <c:numRef>
              <c:f>'SEGUIMIENTO DEL PLAN DE DESARRO'!$J$3:$J$9</c:f>
              <c:numCache>
                <c:formatCode>0.0%</c:formatCode>
                <c:ptCount val="7"/>
                <c:pt idx="0">
                  <c:v>0.16340447598520494</c:v>
                </c:pt>
                <c:pt idx="1">
                  <c:v>0.20761825159703684</c:v>
                </c:pt>
                <c:pt idx="2">
                  <c:v>0.17746088840849381</c:v>
                </c:pt>
                <c:pt idx="3">
                  <c:v>0.19709284711832917</c:v>
                </c:pt>
                <c:pt idx="4">
                  <c:v>0.1858257807711004</c:v>
                </c:pt>
                <c:pt idx="5">
                  <c:v>0.19221658801626931</c:v>
                </c:pt>
                <c:pt idx="6">
                  <c:v>2.0212500000000001E-2</c:v>
                </c:pt>
              </c:numCache>
            </c:numRef>
          </c:val>
          <c:extLst xmlns:c16r2="http://schemas.microsoft.com/office/drawing/2015/06/chart">
            <c:ext xmlns:c16="http://schemas.microsoft.com/office/drawing/2014/chart" uri="{C3380CC4-5D6E-409C-BE32-E72D297353CC}">
              <c16:uniqueId val="{00000000-2341-443D-8CCB-8F9F997EF43D}"/>
            </c:ext>
          </c:extLst>
        </c:ser>
        <c:dLbls>
          <c:showLegendKey val="0"/>
          <c:showVal val="0"/>
          <c:showCatName val="0"/>
          <c:showSerName val="0"/>
          <c:showPercent val="0"/>
          <c:showBubbleSize val="0"/>
        </c:dLbls>
        <c:gapWidth val="219"/>
        <c:overlap val="-27"/>
        <c:axId val="442382720"/>
        <c:axId val="442380760"/>
      </c:barChart>
      <c:catAx>
        <c:axId val="442382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CO"/>
          </a:p>
        </c:txPr>
        <c:crossAx val="442380760"/>
        <c:crosses val="autoZero"/>
        <c:auto val="1"/>
        <c:lblAlgn val="ctr"/>
        <c:lblOffset val="100"/>
        <c:noMultiLvlLbl val="0"/>
      </c:catAx>
      <c:valAx>
        <c:axId val="44238076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500" b="0" i="0" u="none" strike="noStrike" kern="1200" baseline="0">
                <a:solidFill>
                  <a:schemeClr val="tx1">
                    <a:lumMod val="65000"/>
                    <a:lumOff val="35000"/>
                  </a:schemeClr>
                </a:solidFill>
                <a:latin typeface="+mn-lt"/>
                <a:ea typeface="+mn-ea"/>
                <a:cs typeface="+mn-cs"/>
              </a:defRPr>
            </a:pPr>
            <a:endParaRPr lang="es-CO"/>
          </a:p>
        </c:txPr>
        <c:crossAx val="442382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en-US"/>
              <a:t> </a:t>
            </a:r>
            <a:r>
              <a:rPr lang="es-ES" sz="2800" b="1" i="0" baseline="0">
                <a:effectLst/>
              </a:rPr>
              <a:t>EJECUCIÓN ALCANZADA  CORTE DICIEMBRE  RESPECTO A LO PROGRAMADO 2024. PLAN DE ACCIÓN, LINEAS ESTRATEGICAS.</a:t>
            </a:r>
            <a:endParaRPr lang="es-CO" sz="2800">
              <a:effectLst/>
            </a:endParaRPr>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'SEGUIMIENTO DEL PLAN DE DESARRO'!$E$2</c:f>
              <c:strCache>
                <c:ptCount val="1"/>
                <c:pt idx="0">
                  <c:v>LOGRO ALCANZADO  CORTE DICIEMBRE RESPECTO A LO PROGRAMADO 2024</c:v>
                </c:pt>
              </c:strCache>
            </c:strRef>
          </c:tx>
          <c:spPr>
            <a:solidFill>
              <a:srgbClr val="92D050"/>
            </a:solidFill>
            <a:ln>
              <a:noFill/>
            </a:ln>
            <a:effectLst/>
          </c:spPr>
          <c:invertIfNegative val="0"/>
          <c:dPt>
            <c:idx val="0"/>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03-746E-442A-BA2C-EF9F3CEFEA5F}"/>
              </c:ext>
            </c:extLst>
          </c:dPt>
          <c:dPt>
            <c:idx val="1"/>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04-746E-442A-BA2C-EF9F3CEFEA5F}"/>
              </c:ext>
            </c:extLst>
          </c:dPt>
          <c:dPt>
            <c:idx val="2"/>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05-746E-442A-BA2C-EF9F3CEFEA5F}"/>
              </c:ext>
            </c:extLst>
          </c:dPt>
          <c:dPt>
            <c:idx val="3"/>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7-746E-442A-BA2C-EF9F3CEFEA5F}"/>
              </c:ext>
            </c:extLst>
          </c:dPt>
          <c:dPt>
            <c:idx val="4"/>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09-746E-442A-BA2C-EF9F3CEFEA5F}"/>
              </c:ext>
            </c:extLst>
          </c:dPt>
          <c:dPt>
            <c:idx val="5"/>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A-746E-442A-BA2C-EF9F3CEFEA5F}"/>
              </c:ext>
            </c:extLst>
          </c:dPt>
          <c:dPt>
            <c:idx val="6"/>
            <c:invertIfNegative val="0"/>
            <c:bubble3D val="0"/>
            <c:spPr>
              <a:solidFill>
                <a:srgbClr val="FF7C80"/>
              </a:solidFill>
              <a:ln>
                <a:noFill/>
              </a:ln>
              <a:effectLst/>
            </c:spPr>
            <c:extLst xmlns:c16r2="http://schemas.microsoft.com/office/drawing/2015/06/chart">
              <c:ext xmlns:c16="http://schemas.microsoft.com/office/drawing/2014/chart" uri="{C3380CC4-5D6E-409C-BE32-E72D297353CC}">
                <c16:uniqueId val="{0000000B-746E-442A-BA2C-EF9F3CEFEA5F}"/>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 DEL PLAN DE DESARRO'!$B$3:$B$9</c:f>
              <c:strCache>
                <c:ptCount val="7"/>
                <c:pt idx="0">
                  <c:v>PLAN DE DESARROLLO CARTAGENA CIUDAD DE DERECHOS 2024 - 2027</c:v>
                </c:pt>
                <c:pt idx="1">
                  <c:v> SEGURIDAD HUMANA
</c:v>
                </c:pt>
                <c:pt idx="2">
                  <c:v> VIDA DIGNA
</c:v>
                </c:pt>
                <c:pt idx="3">
                  <c:v> DESARROLLO ECONÓMICO EQUITATIVO
</c:v>
                </c:pt>
                <c:pt idx="4">
                  <c:v>CARTAGENA CIUDAD CONECTADA Y SOSTENIBLE
</c:v>
                </c:pt>
                <c:pt idx="5">
                  <c:v> INNOVACIÓN PÚBLICA Y PARTICIPACIÓN CIUDADANA
</c:v>
                </c:pt>
                <c:pt idx="6">
                  <c:v>CAPÍTULO DE LOS PUEBLOS Y COMUNIDADES ÉTNICAS
</c:v>
                </c:pt>
              </c:strCache>
            </c:strRef>
          </c:cat>
          <c:val>
            <c:numRef>
              <c:f>'SEGUIMIENTO DEL PLAN DE DESARRO'!$E$3:$E$9</c:f>
              <c:numCache>
                <c:formatCode>0.0%</c:formatCode>
                <c:ptCount val="7"/>
                <c:pt idx="0">
                  <c:v>0.7941582819202514</c:v>
                </c:pt>
                <c:pt idx="1">
                  <c:v>0.84332704195548547</c:v>
                </c:pt>
                <c:pt idx="2">
                  <c:v>0.85198226383644504</c:v>
                </c:pt>
                <c:pt idx="3">
                  <c:v>0.9432222222222223</c:v>
                </c:pt>
                <c:pt idx="4">
                  <c:v>0.81130732140563089</c:v>
                </c:pt>
                <c:pt idx="5">
                  <c:v>0.9123330643239469</c:v>
                </c:pt>
                <c:pt idx="6">
                  <c:v>0.40277777777777779</c:v>
                </c:pt>
              </c:numCache>
            </c:numRef>
          </c:val>
          <c:extLst xmlns:c16r2="http://schemas.microsoft.com/office/drawing/2015/06/chart">
            <c:ext xmlns:c16="http://schemas.microsoft.com/office/drawing/2014/chart" uri="{C3380CC4-5D6E-409C-BE32-E72D297353CC}">
              <c16:uniqueId val="{00000000-E610-4568-8AC3-0EFEEDCD1FAB}"/>
            </c:ext>
          </c:extLst>
        </c:ser>
        <c:dLbls>
          <c:showLegendKey val="0"/>
          <c:showVal val="0"/>
          <c:showCatName val="0"/>
          <c:showSerName val="0"/>
          <c:showPercent val="0"/>
          <c:showBubbleSize val="0"/>
        </c:dLbls>
        <c:gapWidth val="219"/>
        <c:overlap val="-27"/>
        <c:axId val="436695280"/>
        <c:axId val="436696848"/>
      </c:barChart>
      <c:catAx>
        <c:axId val="43669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s-CO"/>
          </a:p>
        </c:txPr>
        <c:crossAx val="436696848"/>
        <c:crosses val="autoZero"/>
        <c:auto val="1"/>
        <c:lblAlgn val="ctr"/>
        <c:lblOffset val="100"/>
        <c:noMultiLvlLbl val="0"/>
      </c:catAx>
      <c:valAx>
        <c:axId val="4366968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CO"/>
          </a:p>
        </c:txPr>
        <c:crossAx val="436695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b="1"/>
              <a:t>AVANCE LINEAS ESTRATEGICAS VS EL PROGRAMADO PARA LA VIGENCIA 2024. ACUMULADO CUATRIENIO. CORTE DICIEMBRE 2024.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2.8972368292786106E-2"/>
          <c:y val="5.8358894508396597E-2"/>
          <c:w val="0.96246265467692504"/>
          <c:h val="0.75116292092930603"/>
        </c:manualLayout>
      </c:layout>
      <c:barChart>
        <c:barDir val="col"/>
        <c:grouping val="clustered"/>
        <c:varyColors val="0"/>
        <c:ser>
          <c:idx val="0"/>
          <c:order val="0"/>
          <c:tx>
            <c:strRef>
              <c:f>'SEGUIMIENTO DEL PLAN DE DESARRO'!$D$2</c:f>
              <c:strCache>
                <c:ptCount val="1"/>
                <c:pt idx="0">
                  <c:v>PROGRAMADO VIGENCIA  2024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 DEL PLAN DE DESARRO'!$B$3:$B$9</c:f>
              <c:strCache>
                <c:ptCount val="7"/>
                <c:pt idx="0">
                  <c:v>PLAN DE DESARROLLO CARTAGENA CIUDAD DE DERECHOS 2024 - 2027</c:v>
                </c:pt>
                <c:pt idx="1">
                  <c:v> SEGURIDAD HUMANA
</c:v>
                </c:pt>
                <c:pt idx="2">
                  <c:v> VIDA DIGNA
</c:v>
                </c:pt>
                <c:pt idx="3">
                  <c:v> DESARROLLO ECONÓMICO EQUITATIVO
</c:v>
                </c:pt>
                <c:pt idx="4">
                  <c:v>CARTAGENA CIUDAD CONECTADA Y SOSTENIBLE
</c:v>
                </c:pt>
                <c:pt idx="5">
                  <c:v> INNOVACIÓN PÚBLICA Y PARTICIPACIÓN CIUDADANA
</c:v>
                </c:pt>
                <c:pt idx="6">
                  <c:v>CAPÍTULO DE LOS PUEBLOS Y COMUNIDADES ÉTNICAS
</c:v>
                </c:pt>
              </c:strCache>
            </c:strRef>
          </c:cat>
          <c:val>
            <c:numRef>
              <c:f>'SEGUIMIENTO DEL PLAN DE DESARRO'!$D$3:$D$9</c:f>
              <c:numCache>
                <c:formatCode>0.0%</c:formatCode>
                <c:ptCount val="7"/>
                <c:pt idx="0">
                  <c:v>0.24849564390600812</c:v>
                </c:pt>
                <c:pt idx="1">
                  <c:v>0.27207414611233044</c:v>
                </c:pt>
                <c:pt idx="2">
                  <c:v>0.24836401517383822</c:v>
                </c:pt>
                <c:pt idx="3">
                  <c:v>0.25743535350812591</c:v>
                </c:pt>
                <c:pt idx="4">
                  <c:v>0.22580220358289729</c:v>
                </c:pt>
                <c:pt idx="5">
                  <c:v>0.23220555246626431</c:v>
                </c:pt>
                <c:pt idx="6">
                  <c:v>0.25509259259259259</c:v>
                </c:pt>
              </c:numCache>
            </c:numRef>
          </c:val>
          <c:extLst xmlns:c16r2="http://schemas.microsoft.com/office/drawing/2015/06/chart">
            <c:ext xmlns:c16="http://schemas.microsoft.com/office/drawing/2014/chart" uri="{C3380CC4-5D6E-409C-BE32-E72D297353CC}">
              <c16:uniqueId val="{00000000-BD3B-4D76-A2ED-7AE270E3EBB6}"/>
            </c:ext>
          </c:extLst>
        </c:ser>
        <c:ser>
          <c:idx val="1"/>
          <c:order val="1"/>
          <c:tx>
            <c:strRef>
              <c:f>'SEGUIMIENTO DEL PLAN DE DESARRO'!$G$2</c:f>
              <c:strCache>
                <c:ptCount val="1"/>
                <c:pt idx="0">
                  <c:v>LOGRO ALCANZADO  CORTE DICIEMBRE  2024 RESPECTO AL CUATRIENIO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 DEL PLAN DE DESARRO'!$B$3:$B$9</c:f>
              <c:strCache>
                <c:ptCount val="7"/>
                <c:pt idx="0">
                  <c:v>PLAN DE DESARROLLO CARTAGENA CIUDAD DE DERECHOS 2024 - 2027</c:v>
                </c:pt>
                <c:pt idx="1">
                  <c:v> SEGURIDAD HUMANA
</c:v>
                </c:pt>
                <c:pt idx="2">
                  <c:v> VIDA DIGNA
</c:v>
                </c:pt>
                <c:pt idx="3">
                  <c:v> DESARROLLO ECONÓMICO EQUITATIVO
</c:v>
                </c:pt>
                <c:pt idx="4">
                  <c:v>CARTAGENA CIUDAD CONECTADA Y SOSTENIBLE
</c:v>
                </c:pt>
                <c:pt idx="5">
                  <c:v> INNOVACIÓN PÚBLICA Y PARTICIPACIÓN CIUDADANA
</c:v>
                </c:pt>
                <c:pt idx="6">
                  <c:v>CAPÍTULO DE LOS PUEBLOS Y COMUNIDADES ÉTNICAS
</c:v>
                </c:pt>
              </c:strCache>
            </c:strRef>
          </c:cat>
          <c:val>
            <c:numRef>
              <c:f>'SEGUIMIENTO DEL PLAN DE DESARRO'!$G$3:$G$9</c:f>
              <c:numCache>
                <c:formatCode>0.0%</c:formatCode>
                <c:ptCount val="7"/>
                <c:pt idx="0">
                  <c:v>0.20145967486366223</c:v>
                </c:pt>
                <c:pt idx="1">
                  <c:v>0.25572550817069295</c:v>
                </c:pt>
                <c:pt idx="2">
                  <c:v>0.22381941312911002</c:v>
                </c:pt>
                <c:pt idx="3">
                  <c:v>0.23537004965661618</c:v>
                </c:pt>
                <c:pt idx="4">
                  <c:v>0.22160323916687383</c:v>
                </c:pt>
                <c:pt idx="5">
                  <c:v>0.21665121472005613</c:v>
                </c:pt>
                <c:pt idx="6">
                  <c:v>5.5588624338624326E-2</c:v>
                </c:pt>
              </c:numCache>
            </c:numRef>
          </c:val>
          <c:extLst xmlns:c16r2="http://schemas.microsoft.com/office/drawing/2015/06/chart">
            <c:ext xmlns:c16="http://schemas.microsoft.com/office/drawing/2014/chart" uri="{C3380CC4-5D6E-409C-BE32-E72D297353CC}">
              <c16:uniqueId val="{00000001-BD3B-4D76-A2ED-7AE270E3EBB6}"/>
            </c:ext>
          </c:extLst>
        </c:ser>
        <c:dLbls>
          <c:showLegendKey val="0"/>
          <c:showVal val="0"/>
          <c:showCatName val="0"/>
          <c:showSerName val="0"/>
          <c:showPercent val="0"/>
          <c:showBubbleSize val="0"/>
        </c:dLbls>
        <c:gapWidth val="219"/>
        <c:overlap val="-27"/>
        <c:axId val="554523592"/>
        <c:axId val="554522416"/>
      </c:barChart>
      <c:catAx>
        <c:axId val="554523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554522416"/>
        <c:crosses val="autoZero"/>
        <c:auto val="1"/>
        <c:lblAlgn val="ctr"/>
        <c:lblOffset val="100"/>
        <c:noMultiLvlLbl val="0"/>
      </c:catAx>
      <c:valAx>
        <c:axId val="5545224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554523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'SEGUIMIENTO DEL PLAN DE DESARRO'!$E$2</c:f>
              <c:strCache>
                <c:ptCount val="1"/>
                <c:pt idx="0">
                  <c:v>LOGRO ALCANZADO  CORTE DICIEMBRE RESPECTO A LO PROGRAMADO 2024</c:v>
                </c:pt>
              </c:strCache>
            </c:strRef>
          </c:tx>
          <c:spPr>
            <a:solidFill>
              <a:srgbClr val="92D050"/>
            </a:solidFill>
            <a:ln>
              <a:noFill/>
            </a:ln>
            <a:effectLst/>
            <a:sp3d/>
          </c:spPr>
          <c:invertIfNegative val="0"/>
          <c:dPt>
            <c:idx val="3"/>
            <c:invertIfNegative val="0"/>
            <c:bubble3D val="0"/>
            <c:spPr>
              <a:solidFill>
                <a:srgbClr val="00B050"/>
              </a:solidFill>
              <a:ln>
                <a:noFill/>
              </a:ln>
              <a:effectLst/>
              <a:sp3d/>
            </c:spPr>
            <c:extLst xmlns:c16r2="http://schemas.microsoft.com/office/drawing/2015/06/chart">
              <c:ext xmlns:c16="http://schemas.microsoft.com/office/drawing/2014/chart" uri="{C3380CC4-5D6E-409C-BE32-E72D297353CC}">
                <c16:uniqueId val="{00000005-12D5-4041-8330-EB23A71CD579}"/>
              </c:ext>
            </c:extLst>
          </c:dPt>
          <c:dPt>
            <c:idx val="5"/>
            <c:invertIfNegative val="0"/>
            <c:bubble3D val="0"/>
            <c:spPr>
              <a:solidFill>
                <a:srgbClr val="00B050"/>
              </a:solidFill>
              <a:ln>
                <a:noFill/>
              </a:ln>
              <a:effectLst/>
              <a:sp3d/>
            </c:spPr>
            <c:extLst xmlns:c16r2="http://schemas.microsoft.com/office/drawing/2015/06/chart">
              <c:ext xmlns:c16="http://schemas.microsoft.com/office/drawing/2014/chart" uri="{C3380CC4-5D6E-409C-BE32-E72D297353CC}">
                <c16:uniqueId val="{00000003-12D5-4041-8330-EB23A71CD579}"/>
              </c:ext>
            </c:extLst>
          </c:dPt>
          <c:dLbls>
            <c:dLbl>
              <c:idx val="0"/>
              <c:layout>
                <c:manualLayout>
                  <c:x val="7.246376811594203E-3"/>
                  <c:y val="-2.945990180032733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2D5-4041-8330-EB23A71CD579}"/>
                </c:ext>
                <c:ext xmlns:c15="http://schemas.microsoft.com/office/drawing/2012/chart" uri="{CE6537A1-D6FC-4f65-9D91-7224C49458BB}"/>
              </c:extLst>
            </c:dLbl>
            <c:dLbl>
              <c:idx val="1"/>
              <c:layout>
                <c:manualLayout>
                  <c:x val="1.2051096649795132E-2"/>
                  <c:y val="-4.028197381671701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12D5-4041-8330-EB23A71CD579}"/>
                </c:ext>
                <c:ext xmlns:c15="http://schemas.microsoft.com/office/drawing/2012/chart" uri="{CE6537A1-D6FC-4f65-9D91-7224C49458BB}"/>
              </c:extLst>
            </c:dLbl>
            <c:dLbl>
              <c:idx val="2"/>
              <c:layout>
                <c:manualLayout>
                  <c:x val="7.2306579898770785E-3"/>
                  <c:y val="-3.524672708962739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2D5-4041-8330-EB23A71CD579}"/>
                </c:ext>
                <c:ext xmlns:c15="http://schemas.microsoft.com/office/drawing/2012/chart" uri="{CE6537A1-D6FC-4f65-9D91-7224C49458BB}"/>
              </c:extLst>
            </c:dLbl>
            <c:dLbl>
              <c:idx val="3"/>
              <c:layout>
                <c:manualLayout>
                  <c:x val="1.2653651482284888E-2"/>
                  <c:y val="-1.510574018126889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2D5-4041-8330-EB23A71CD579}"/>
                </c:ext>
                <c:ext xmlns:c15="http://schemas.microsoft.com/office/drawing/2012/chart" uri="{CE6537A1-D6FC-4f65-9D91-7224C49458BB}"/>
              </c:extLst>
            </c:dLbl>
            <c:dLbl>
              <c:idx val="4"/>
              <c:layout>
                <c:manualLayout>
                  <c:x val="9.0383224873463487E-3"/>
                  <c:y val="-3.35683115139308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2D5-4041-8330-EB23A71CD579}"/>
                </c:ext>
                <c:ext xmlns:c15="http://schemas.microsoft.com/office/drawing/2012/chart" uri="{CE6537A1-D6FC-4f65-9D91-7224C49458BB}"/>
              </c:extLst>
            </c:dLbl>
            <c:dLbl>
              <c:idx val="5"/>
              <c:layout>
                <c:manualLayout>
                  <c:x val="4.2178838274282955E-3"/>
                  <c:y val="-3.692514266532393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2D5-4041-8330-EB23A71CD579}"/>
                </c:ext>
                <c:ext xmlns:c15="http://schemas.microsoft.com/office/drawing/2012/chart" uri="{CE6537A1-D6FC-4f65-9D91-7224C49458BB}"/>
              </c:extLst>
            </c:dLbl>
            <c:dLbl>
              <c:idx val="6"/>
              <c:layout>
                <c:manualLayout>
                  <c:x val="1.1448541817305374E-2"/>
                  <c:y val="-2.685464921114474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2D5-4041-8330-EB23A71CD579}"/>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 DEL PLAN DE DESARRO'!$B$3:$B$9</c:f>
              <c:strCache>
                <c:ptCount val="7"/>
                <c:pt idx="0">
                  <c:v>PLAN DE DESARROLLO CARTAGENA CIUDAD DE DERECHOS 2024 - 2027</c:v>
                </c:pt>
                <c:pt idx="1">
                  <c:v> SEGURIDAD HUMANA
</c:v>
                </c:pt>
                <c:pt idx="2">
                  <c:v> VIDA DIGNA
</c:v>
                </c:pt>
                <c:pt idx="3">
                  <c:v> DESARROLLO ECONÓMICO EQUITATIVO
</c:v>
                </c:pt>
                <c:pt idx="4">
                  <c:v>CARTAGENA CIUDAD CONECTADA Y SOSTENIBLE
</c:v>
                </c:pt>
                <c:pt idx="5">
                  <c:v> INNOVACIÓN PÚBLICA Y PARTICIPACIÓN CIUDADANA
</c:v>
                </c:pt>
                <c:pt idx="6">
                  <c:v>CAPÍTULO DE LOS PUEBLOS Y COMUNIDADES ÉTNICAS
</c:v>
                </c:pt>
              </c:strCache>
            </c:strRef>
          </c:cat>
          <c:val>
            <c:numRef>
              <c:f>'SEGUIMIENTO DEL PLAN DE DESARRO'!$E$3:$E$9</c:f>
              <c:numCache>
                <c:formatCode>0.0%</c:formatCode>
                <c:ptCount val="7"/>
                <c:pt idx="0">
                  <c:v>0.7941582819202514</c:v>
                </c:pt>
                <c:pt idx="1">
                  <c:v>0.84332704195548547</c:v>
                </c:pt>
                <c:pt idx="2">
                  <c:v>0.85198226383644504</c:v>
                </c:pt>
                <c:pt idx="3">
                  <c:v>0.9432222222222223</c:v>
                </c:pt>
                <c:pt idx="4">
                  <c:v>0.81130732140563089</c:v>
                </c:pt>
                <c:pt idx="5">
                  <c:v>0.9123330643239469</c:v>
                </c:pt>
                <c:pt idx="6">
                  <c:v>0.40277777777777779</c:v>
                </c:pt>
              </c:numCache>
            </c:numRef>
          </c:val>
          <c:extLst xmlns:c16r2="http://schemas.microsoft.com/office/drawing/2015/06/chart">
            <c:ext xmlns:c16="http://schemas.microsoft.com/office/drawing/2014/chart" uri="{C3380CC4-5D6E-409C-BE32-E72D297353CC}">
              <c16:uniqueId val="{00000000-12D5-4041-8330-EB23A71CD579}"/>
            </c:ext>
          </c:extLst>
        </c:ser>
        <c:dLbls>
          <c:showLegendKey val="0"/>
          <c:showVal val="0"/>
          <c:showCatName val="0"/>
          <c:showSerName val="0"/>
          <c:showPercent val="0"/>
          <c:showBubbleSize val="0"/>
        </c:dLbls>
        <c:gapWidth val="150"/>
        <c:shape val="box"/>
        <c:axId val="554520848"/>
        <c:axId val="554522808"/>
        <c:axId val="0"/>
      </c:bar3DChart>
      <c:catAx>
        <c:axId val="5545208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554522808"/>
        <c:crosses val="autoZero"/>
        <c:auto val="1"/>
        <c:lblAlgn val="ctr"/>
        <c:lblOffset val="100"/>
        <c:noMultiLvlLbl val="0"/>
      </c:catAx>
      <c:valAx>
        <c:axId val="5545228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CO"/>
          </a:p>
        </c:txPr>
        <c:crossAx val="554520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21</xdr:col>
      <xdr:colOff>184150</xdr:colOff>
      <xdr:row>1</xdr:row>
      <xdr:rowOff>479424</xdr:rowOff>
    </xdr:from>
    <xdr:to>
      <xdr:col>44</xdr:col>
      <xdr:colOff>44450</xdr:colOff>
      <xdr:row>8</xdr:row>
      <xdr:rowOff>1339849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266700</xdr:colOff>
      <xdr:row>9</xdr:row>
      <xdr:rowOff>168274</xdr:rowOff>
    </xdr:from>
    <xdr:to>
      <xdr:col>44</xdr:col>
      <xdr:colOff>965200</xdr:colOff>
      <xdr:row>52</xdr:row>
      <xdr:rowOff>38100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609600</xdr:colOff>
      <xdr:row>56</xdr:row>
      <xdr:rowOff>34924</xdr:rowOff>
    </xdr:from>
    <xdr:to>
      <xdr:col>44</xdr:col>
      <xdr:colOff>711200</xdr:colOff>
      <xdr:row>113</xdr:row>
      <xdr:rowOff>152400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1847850</xdr:colOff>
      <xdr:row>9</xdr:row>
      <xdr:rowOff>676274</xdr:rowOff>
    </xdr:from>
    <xdr:to>
      <xdr:col>8</xdr:col>
      <xdr:colOff>2926080</xdr:colOff>
      <xdr:row>45</xdr:row>
      <xdr:rowOff>106680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1625600</xdr:colOff>
      <xdr:row>49</xdr:row>
      <xdr:rowOff>139700</xdr:rowOff>
    </xdr:from>
    <xdr:to>
      <xdr:col>13</xdr:col>
      <xdr:colOff>711200</xdr:colOff>
      <xdr:row>87</xdr:row>
      <xdr:rowOff>177800</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1"/>
  <sheetViews>
    <sheetView zoomScale="30" zoomScaleNormal="30" workbookViewId="0">
      <pane xSplit="3" ySplit="2" topLeftCell="D3" activePane="bottomRight" state="frozen"/>
      <selection activeCell="K14" sqref="K14"/>
      <selection pane="topRight" activeCell="K14" sqref="K14"/>
      <selection pane="bottomLeft" activeCell="K14" sqref="K14"/>
      <selection pane="bottomRight" activeCell="E8" sqref="E8"/>
    </sheetView>
  </sheetViews>
  <sheetFormatPr baseColWidth="10" defaultColWidth="14.42578125" defaultRowHeight="15" customHeight="1" x14ac:dyDescent="0.35"/>
  <cols>
    <col min="1" max="1" width="3.5703125" style="134" customWidth="1"/>
    <col min="2" max="2" width="54.85546875" style="134" customWidth="1"/>
    <col min="3" max="3" width="72.42578125" style="134" customWidth="1"/>
    <col min="4" max="4" width="43.28515625" style="134" customWidth="1"/>
    <col min="5" max="5" width="40" style="134" customWidth="1"/>
    <col min="6" max="6" width="42.5703125" style="134" customWidth="1"/>
    <col min="7" max="7" width="35.85546875" style="134" customWidth="1"/>
    <col min="8" max="8" width="45.28515625" style="134" customWidth="1"/>
    <col min="9" max="9" width="41.140625" style="134" customWidth="1"/>
    <col min="10" max="10" width="42.28515625" style="134" customWidth="1"/>
    <col min="11" max="11" width="50.28515625" style="134" customWidth="1"/>
    <col min="12" max="12" width="39.7109375" style="134" customWidth="1"/>
    <col min="13" max="13" width="42.28515625" style="134" customWidth="1"/>
    <col min="14" max="14" width="39.42578125" style="134" customWidth="1"/>
    <col min="15" max="15" width="49.28515625" style="170" customWidth="1"/>
    <col min="16" max="16" width="32.85546875" style="134" hidden="1" customWidth="1"/>
    <col min="17" max="19" width="29.85546875" style="134" hidden="1" customWidth="1"/>
    <col min="20" max="20" width="31" style="134" customWidth="1"/>
    <col min="21" max="21" width="47.140625" style="134" hidden="1" customWidth="1"/>
    <col min="22" max="34" width="10.7109375" style="134" customWidth="1"/>
    <col min="35" max="16384" width="14.42578125" style="134"/>
  </cols>
  <sheetData>
    <row r="1" spans="1:27" ht="21" customHeight="1" thickBot="1" x14ac:dyDescent="0.4">
      <c r="A1" s="125"/>
      <c r="B1" s="126"/>
      <c r="C1" s="126"/>
      <c r="D1" s="126"/>
      <c r="E1" s="96"/>
      <c r="F1" s="96"/>
      <c r="G1" s="127"/>
      <c r="H1" s="127"/>
      <c r="I1" s="127"/>
      <c r="J1" s="128"/>
      <c r="K1" s="129"/>
      <c r="L1" s="127"/>
      <c r="M1" s="127"/>
      <c r="N1" s="130"/>
      <c r="O1" s="131"/>
      <c r="P1" s="132"/>
      <c r="Q1" s="133"/>
      <c r="R1" s="127"/>
      <c r="S1" s="127"/>
      <c r="T1" s="127"/>
      <c r="U1" s="133"/>
      <c r="V1" s="133"/>
      <c r="W1" s="133"/>
      <c r="X1" s="133"/>
      <c r="Y1" s="133"/>
      <c r="Z1" s="133"/>
      <c r="AA1" s="133"/>
    </row>
    <row r="2" spans="1:27" ht="223.15" customHeight="1" thickBot="1" x14ac:dyDescent="0.4">
      <c r="A2" s="135"/>
      <c r="B2" s="690" t="s">
        <v>0</v>
      </c>
      <c r="C2" s="691"/>
      <c r="D2" s="136" t="s">
        <v>1</v>
      </c>
      <c r="E2" s="97" t="s">
        <v>2</v>
      </c>
      <c r="F2" s="98" t="s">
        <v>3</v>
      </c>
      <c r="G2" s="98" t="s">
        <v>4</v>
      </c>
      <c r="H2" s="98" t="s">
        <v>5</v>
      </c>
      <c r="I2" s="137" t="s">
        <v>6</v>
      </c>
      <c r="J2" s="138" t="s">
        <v>1852</v>
      </c>
      <c r="K2" s="97" t="s">
        <v>8</v>
      </c>
      <c r="L2" s="139" t="s">
        <v>9</v>
      </c>
      <c r="M2" s="97" t="s">
        <v>1863</v>
      </c>
      <c r="N2" s="140" t="s">
        <v>1854</v>
      </c>
      <c r="O2" s="141" t="s">
        <v>1855</v>
      </c>
      <c r="P2" s="142" t="s">
        <v>7</v>
      </c>
      <c r="Q2" s="97" t="s">
        <v>8</v>
      </c>
      <c r="R2" s="139" t="s">
        <v>9</v>
      </c>
      <c r="S2" s="97" t="s">
        <v>10</v>
      </c>
      <c r="T2" s="143" t="s">
        <v>11</v>
      </c>
      <c r="U2" s="139" t="s">
        <v>12</v>
      </c>
      <c r="V2" s="133"/>
      <c r="W2" s="133"/>
      <c r="X2" s="133"/>
      <c r="Y2" s="133"/>
      <c r="Z2" s="133"/>
      <c r="AA2" s="133"/>
    </row>
    <row r="3" spans="1:27" s="242" customFormat="1" ht="96.6" customHeight="1" thickBot="1" x14ac:dyDescent="0.75">
      <c r="A3" s="239"/>
      <c r="B3" s="692" t="s">
        <v>1599</v>
      </c>
      <c r="C3" s="693"/>
      <c r="D3" s="240"/>
      <c r="E3" s="241">
        <v>0.3</v>
      </c>
      <c r="G3" s="243"/>
      <c r="H3" s="244">
        <f>+(H4+H31+H91+H130+H171)/5</f>
        <v>0.27207414611233044</v>
      </c>
      <c r="I3" s="245">
        <f>+(I4+I31+I91+I130+I171)/5</f>
        <v>0.20228226242652178</v>
      </c>
      <c r="J3" s="246"/>
      <c r="K3" s="244">
        <f>+(K4+K31+K91+K130+K171)/5</f>
        <v>0.84332704195548547</v>
      </c>
      <c r="L3" s="245">
        <f>+F4+F31+F91+F130+F171</f>
        <v>0.67132564143691997</v>
      </c>
      <c r="M3" s="244">
        <f>+(M4+M31+M91+M130+M171)/5</f>
        <v>0.25572550817069295</v>
      </c>
      <c r="N3" s="247">
        <f>+(N4+N31+N91+N130+N171)/5</f>
        <v>0.20761825159703684</v>
      </c>
      <c r="O3" s="248"/>
      <c r="P3" s="249"/>
      <c r="Q3" s="240"/>
      <c r="R3" s="240"/>
      <c r="S3" s="240"/>
      <c r="T3" s="240"/>
      <c r="U3" s="250"/>
      <c r="V3" s="250"/>
      <c r="W3" s="250"/>
      <c r="X3" s="250"/>
      <c r="Y3" s="250"/>
      <c r="Z3" s="250"/>
      <c r="AA3" s="250"/>
    </row>
    <row r="4" spans="1:27" ht="64.5" customHeight="1" thickBot="1" x14ac:dyDescent="0.4">
      <c r="A4" s="135"/>
      <c r="B4" s="694" t="s">
        <v>13</v>
      </c>
      <c r="C4" s="691"/>
      <c r="D4" s="144"/>
      <c r="E4" s="147">
        <v>0.25</v>
      </c>
      <c r="F4" s="148">
        <f>+E4*L4</f>
        <v>0.14989386792452827</v>
      </c>
      <c r="G4" s="149"/>
      <c r="H4" s="150">
        <f>+(H5+H12+H16+H23+H26)/5</f>
        <v>0.40844696306703598</v>
      </c>
      <c r="I4" s="151">
        <f>+(I5+I12+I16+I23+I26)/5</f>
        <v>0.37958117744760278</v>
      </c>
      <c r="J4" s="152"/>
      <c r="K4" s="150">
        <f>+(K5+K12+K16+K23+K26)/5</f>
        <v>0.82393081761006282</v>
      </c>
      <c r="L4" s="151">
        <f>+L5+L12+L16+L23+L26</f>
        <v>0.59957547169811309</v>
      </c>
      <c r="M4" s="150">
        <f>+(M5+M12+M16+M23+M26)/5</f>
        <v>0.40033301822466277</v>
      </c>
      <c r="N4" s="153">
        <f>+N5+N12+N16+N23+N26</f>
        <v>0.31744348640612269</v>
      </c>
      <c r="O4" s="154"/>
      <c r="P4" s="146"/>
      <c r="Q4" s="144"/>
      <c r="R4" s="144"/>
      <c r="S4" s="144"/>
      <c r="T4" s="144"/>
      <c r="U4" s="133"/>
      <c r="V4" s="133"/>
      <c r="W4" s="133"/>
      <c r="X4" s="133"/>
      <c r="Y4" s="133"/>
      <c r="Z4" s="133"/>
      <c r="AA4" s="133"/>
    </row>
    <row r="5" spans="1:27" ht="87.6" customHeight="1" thickBot="1" x14ac:dyDescent="0.4">
      <c r="A5" s="135"/>
      <c r="B5" s="155" t="s">
        <v>1600</v>
      </c>
      <c r="C5" s="156"/>
      <c r="D5" s="157"/>
      <c r="E5" s="99">
        <v>0.35</v>
      </c>
      <c r="F5" s="158"/>
      <c r="G5" s="144"/>
      <c r="H5" s="120">
        <f>+AVERAGE(H6:H11)</f>
        <v>0.37666666666666665</v>
      </c>
      <c r="I5" s="120">
        <f>+I6+I7+I8+I9+I10+I11</f>
        <v>0.26083333333333331</v>
      </c>
      <c r="J5" s="144"/>
      <c r="K5" s="159">
        <f>+AVERAGE(K6:K11)</f>
        <v>0.6</v>
      </c>
      <c r="L5" s="159">
        <f>+(L6+L7+L8+L9+L10+L11)*E5</f>
        <v>0.17499999999999999</v>
      </c>
      <c r="M5" s="120">
        <f>+AVERAGE(M6:M11)</f>
        <v>0.3</v>
      </c>
      <c r="N5" s="121">
        <f>+(N6+N7+N8+N9+N10+N11)*E5</f>
        <v>0.109375</v>
      </c>
      <c r="O5" s="160"/>
      <c r="P5" s="146"/>
      <c r="Q5" s="144"/>
      <c r="R5" s="144"/>
      <c r="S5" s="144"/>
      <c r="T5" s="144"/>
      <c r="U5" s="133"/>
      <c r="V5" s="133"/>
      <c r="W5" s="133"/>
      <c r="X5" s="133"/>
      <c r="Y5" s="133"/>
      <c r="Z5" s="133"/>
      <c r="AA5" s="133"/>
    </row>
    <row r="6" spans="1:27" ht="101.45" customHeight="1" thickBot="1" x14ac:dyDescent="0.4">
      <c r="A6" s="135"/>
      <c r="B6" s="161" t="s">
        <v>14</v>
      </c>
      <c r="C6" s="161" t="s">
        <v>15</v>
      </c>
      <c r="D6" s="162" t="s">
        <v>1562</v>
      </c>
      <c r="E6" s="100">
        <v>0.25</v>
      </c>
      <c r="F6" s="101">
        <v>3</v>
      </c>
      <c r="G6" s="163">
        <v>1</v>
      </c>
      <c r="H6" s="164">
        <f>+G6/F6</f>
        <v>0.33333333333333331</v>
      </c>
      <c r="I6" s="164">
        <f>+(G6/F6)*E6</f>
        <v>8.3333333333333329E-2</v>
      </c>
      <c r="J6" s="163">
        <v>3</v>
      </c>
      <c r="K6" s="164">
        <v>1</v>
      </c>
      <c r="L6" s="164">
        <f>+K6*E6</f>
        <v>0.25</v>
      </c>
      <c r="M6" s="164">
        <f>+J6/F6</f>
        <v>1</v>
      </c>
      <c r="N6" s="165">
        <f>+M6*E6</f>
        <v>0.25</v>
      </c>
      <c r="O6" s="166" t="s">
        <v>1598</v>
      </c>
      <c r="P6" s="146"/>
      <c r="Q6" s="144"/>
      <c r="R6" s="144"/>
      <c r="S6" s="144"/>
      <c r="T6" s="144"/>
      <c r="U6" s="133"/>
      <c r="V6" s="133"/>
      <c r="W6" s="133"/>
      <c r="X6" s="133"/>
      <c r="Y6" s="133"/>
      <c r="Z6" s="133"/>
      <c r="AA6" s="133"/>
    </row>
    <row r="7" spans="1:27" ht="101.45" customHeight="1" thickBot="1" x14ac:dyDescent="0.4">
      <c r="A7" s="167"/>
      <c r="B7" s="168" t="s">
        <v>17</v>
      </c>
      <c r="C7" s="168" t="s">
        <v>18</v>
      </c>
      <c r="D7" s="162" t="s">
        <v>1565</v>
      </c>
      <c r="E7" s="100">
        <v>0.05</v>
      </c>
      <c r="F7" s="101">
        <v>4</v>
      </c>
      <c r="G7" s="163">
        <v>1</v>
      </c>
      <c r="H7" s="164">
        <f>+G7/F7</f>
        <v>0.25</v>
      </c>
      <c r="I7" s="164">
        <f>+(G7/F7)*E7</f>
        <v>1.2500000000000001E-2</v>
      </c>
      <c r="J7" s="163">
        <v>1</v>
      </c>
      <c r="K7" s="164">
        <f>+(J7/G7)</f>
        <v>1</v>
      </c>
      <c r="L7" s="164">
        <f>+K7*E7</f>
        <v>0.05</v>
      </c>
      <c r="M7" s="164">
        <f>+J7/F7</f>
        <v>0.25</v>
      </c>
      <c r="N7" s="165">
        <f>+M7*E7</f>
        <v>1.2500000000000001E-2</v>
      </c>
      <c r="O7" s="166" t="s">
        <v>1862</v>
      </c>
      <c r="P7" s="146"/>
      <c r="Q7" s="144"/>
      <c r="R7" s="144"/>
      <c r="S7" s="144"/>
      <c r="T7" s="144"/>
      <c r="U7" s="133"/>
      <c r="V7" s="133"/>
      <c r="W7" s="133"/>
      <c r="X7" s="133"/>
      <c r="Y7" s="133"/>
      <c r="Z7" s="133"/>
      <c r="AA7" s="133"/>
    </row>
    <row r="8" spans="1:27" ht="101.45" customHeight="1" thickBot="1" x14ac:dyDescent="0.4">
      <c r="A8" s="135"/>
      <c r="B8" s="168" t="s">
        <v>19</v>
      </c>
      <c r="C8" s="168" t="s">
        <v>20</v>
      </c>
      <c r="D8" s="162" t="s">
        <v>16</v>
      </c>
      <c r="E8" s="100">
        <v>0.2</v>
      </c>
      <c r="F8" s="101">
        <v>20</v>
      </c>
      <c r="G8" s="163">
        <v>5</v>
      </c>
      <c r="H8" s="164">
        <f>+G8/F8</f>
        <v>0.25</v>
      </c>
      <c r="I8" s="164">
        <f>+(G8/F8)*E8</f>
        <v>0.05</v>
      </c>
      <c r="J8" s="163">
        <v>5</v>
      </c>
      <c r="K8" s="164">
        <f>+(J8/G8)</f>
        <v>1</v>
      </c>
      <c r="L8" s="164">
        <f>+K8*E8</f>
        <v>0.2</v>
      </c>
      <c r="M8" s="164">
        <f>+J8/F8</f>
        <v>0.25</v>
      </c>
      <c r="N8" s="165">
        <f>+M8*E8</f>
        <v>0.05</v>
      </c>
      <c r="O8" s="166" t="s">
        <v>1862</v>
      </c>
      <c r="P8" s="146"/>
      <c r="Q8" s="144"/>
      <c r="R8" s="144"/>
      <c r="S8" s="144"/>
      <c r="T8" s="144"/>
      <c r="U8" s="133"/>
      <c r="V8" s="133"/>
      <c r="W8" s="133"/>
      <c r="X8" s="133"/>
      <c r="Y8" s="133"/>
      <c r="Z8" s="133"/>
      <c r="AA8" s="133"/>
    </row>
    <row r="9" spans="1:27" ht="101.45" customHeight="1" thickBot="1" x14ac:dyDescent="0.4">
      <c r="A9" s="135"/>
      <c r="B9" s="168" t="s">
        <v>21</v>
      </c>
      <c r="C9" s="169" t="s">
        <v>22</v>
      </c>
      <c r="D9" s="162" t="s">
        <v>1562</v>
      </c>
      <c r="E9" s="100">
        <v>0.1</v>
      </c>
      <c r="F9" s="101">
        <v>1</v>
      </c>
      <c r="G9" s="163">
        <v>1</v>
      </c>
      <c r="H9" s="164">
        <f>+G9/F9</f>
        <v>1</v>
      </c>
      <c r="I9" s="164">
        <f>+(G9/F9)*E9</f>
        <v>0.1</v>
      </c>
      <c r="J9" s="163">
        <v>0</v>
      </c>
      <c r="K9" s="164">
        <f>+(J9/G9)</f>
        <v>0</v>
      </c>
      <c r="L9" s="164">
        <f>+K9*E9</f>
        <v>0</v>
      </c>
      <c r="M9" s="164">
        <f>+J9/F9</f>
        <v>0</v>
      </c>
      <c r="N9" s="165">
        <f>+M9*E9</f>
        <v>0</v>
      </c>
      <c r="O9" s="166" t="s">
        <v>1862</v>
      </c>
      <c r="P9" s="146"/>
      <c r="Q9" s="144"/>
      <c r="R9" s="144"/>
      <c r="S9" s="144"/>
      <c r="T9" s="144"/>
      <c r="U9" s="133"/>
      <c r="V9" s="133"/>
      <c r="W9" s="133"/>
      <c r="X9" s="133"/>
      <c r="Y9" s="133"/>
      <c r="Z9" s="133"/>
      <c r="AA9" s="133"/>
    </row>
    <row r="10" spans="1:27" ht="101.45" customHeight="1" thickBot="1" x14ac:dyDescent="0.4">
      <c r="A10" s="135"/>
      <c r="B10" s="168" t="s">
        <v>23</v>
      </c>
      <c r="C10" s="168" t="s">
        <v>24</v>
      </c>
      <c r="D10" s="162" t="s">
        <v>16</v>
      </c>
      <c r="E10" s="100">
        <v>0.1</v>
      </c>
      <c r="F10" s="101">
        <v>1</v>
      </c>
      <c r="G10" s="163">
        <v>0</v>
      </c>
      <c r="H10" s="164"/>
      <c r="I10" s="164"/>
      <c r="J10" s="163"/>
      <c r="K10" s="164"/>
      <c r="L10" s="164"/>
      <c r="M10" s="164"/>
      <c r="N10" s="165">
        <v>0</v>
      </c>
      <c r="O10" s="166" t="s">
        <v>1862</v>
      </c>
      <c r="P10" s="146"/>
      <c r="Q10" s="144"/>
      <c r="R10" s="144"/>
      <c r="S10" s="144"/>
      <c r="T10" s="144"/>
      <c r="U10" s="133"/>
      <c r="V10" s="133"/>
      <c r="W10" s="133"/>
      <c r="X10" s="133"/>
      <c r="Y10" s="133"/>
      <c r="Z10" s="133"/>
      <c r="AA10" s="133"/>
    </row>
    <row r="11" spans="1:27" ht="101.45" customHeight="1" thickBot="1" x14ac:dyDescent="0.4">
      <c r="A11" s="135"/>
      <c r="B11" s="161" t="s">
        <v>25</v>
      </c>
      <c r="C11" s="161" t="s">
        <v>26</v>
      </c>
      <c r="D11" s="162" t="s">
        <v>1883</v>
      </c>
      <c r="E11" s="100">
        <v>0.3</v>
      </c>
      <c r="F11" s="101">
        <v>40</v>
      </c>
      <c r="G11" s="163">
        <v>2</v>
      </c>
      <c r="H11" s="164">
        <f>+G11/F11</f>
        <v>0.05</v>
      </c>
      <c r="I11" s="164">
        <f>+(G11/F11)*E11</f>
        <v>1.4999999999999999E-2</v>
      </c>
      <c r="J11" s="163">
        <v>0</v>
      </c>
      <c r="K11" s="164">
        <f>+(J11/G11)</f>
        <v>0</v>
      </c>
      <c r="L11" s="164">
        <f>+K11*E11</f>
        <v>0</v>
      </c>
      <c r="M11" s="164">
        <f>+J11/F11</f>
        <v>0</v>
      </c>
      <c r="N11" s="165">
        <f>+M11*E11</f>
        <v>0</v>
      </c>
      <c r="O11" s="166" t="s">
        <v>1862</v>
      </c>
      <c r="P11" s="146"/>
      <c r="Q11" s="144"/>
      <c r="R11" s="144"/>
      <c r="S11" s="144"/>
      <c r="T11" s="144"/>
      <c r="U11" s="133"/>
      <c r="V11" s="133"/>
      <c r="W11" s="133"/>
      <c r="X11" s="133"/>
      <c r="Y11" s="133"/>
      <c r="Z11" s="133"/>
      <c r="AA11" s="133"/>
    </row>
    <row r="12" spans="1:27" ht="46.5" customHeight="1" thickBot="1" x14ac:dyDescent="0.4">
      <c r="A12" s="135"/>
      <c r="B12" s="695" t="s">
        <v>1601</v>
      </c>
      <c r="C12" s="691"/>
      <c r="D12" s="162"/>
      <c r="E12" s="102">
        <v>0.15</v>
      </c>
      <c r="F12" s="144"/>
      <c r="G12" s="144"/>
      <c r="H12" s="120">
        <v>0.66600000000000004</v>
      </c>
      <c r="I12" s="120">
        <f>+I13+I14+I15</f>
        <v>0.47499999999999998</v>
      </c>
      <c r="J12" s="144"/>
      <c r="K12" s="159">
        <f>+AVERAGE(K13:K15)</f>
        <v>1</v>
      </c>
      <c r="L12" s="159">
        <f>+(L13+L14+L15)*E12</f>
        <v>9.7499999999999989E-2</v>
      </c>
      <c r="M12" s="120">
        <v>0.66600000000000004</v>
      </c>
      <c r="N12" s="121">
        <f>+(N13+N14+N15)*E12</f>
        <v>7.1249999999999994E-2</v>
      </c>
      <c r="P12" s="146"/>
      <c r="Q12" s="144"/>
      <c r="R12" s="144"/>
      <c r="S12" s="144"/>
      <c r="T12" s="144"/>
      <c r="U12" s="133"/>
      <c r="V12" s="133"/>
      <c r="W12" s="133"/>
      <c r="X12" s="133"/>
      <c r="Y12" s="133"/>
      <c r="Z12" s="133"/>
      <c r="AA12" s="133"/>
    </row>
    <row r="13" spans="1:27" ht="118.15" customHeight="1" thickBot="1" x14ac:dyDescent="0.4">
      <c r="A13" s="135"/>
      <c r="B13" s="168" t="s">
        <v>27</v>
      </c>
      <c r="C13" s="168" t="s">
        <v>28</v>
      </c>
      <c r="D13" s="162" t="s">
        <v>16</v>
      </c>
      <c r="E13" s="100">
        <v>0.35</v>
      </c>
      <c r="F13" s="101">
        <v>1</v>
      </c>
      <c r="G13" s="163">
        <v>0</v>
      </c>
      <c r="H13" s="164"/>
      <c r="I13" s="164"/>
      <c r="J13" s="163"/>
      <c r="K13" s="164"/>
      <c r="L13" s="164"/>
      <c r="M13" s="164">
        <v>0</v>
      </c>
      <c r="N13" s="165"/>
      <c r="O13" s="166" t="s">
        <v>1862</v>
      </c>
      <c r="P13" s="146"/>
      <c r="Q13" s="144"/>
      <c r="R13" s="144"/>
      <c r="S13" s="144"/>
      <c r="T13" s="144"/>
      <c r="U13" s="133"/>
      <c r="V13" s="133"/>
      <c r="W13" s="133"/>
      <c r="X13" s="133"/>
      <c r="Y13" s="133"/>
      <c r="Z13" s="133"/>
      <c r="AA13" s="133"/>
    </row>
    <row r="14" spans="1:27" ht="91.9" customHeight="1" thickBot="1" x14ac:dyDescent="0.4">
      <c r="A14" s="135"/>
      <c r="B14" s="168" t="s">
        <v>29</v>
      </c>
      <c r="C14" s="168" t="s">
        <v>30</v>
      </c>
      <c r="D14" s="162" t="s">
        <v>16</v>
      </c>
      <c r="E14" s="100">
        <v>0.35</v>
      </c>
      <c r="F14" s="101">
        <v>2</v>
      </c>
      <c r="G14" s="163">
        <v>1</v>
      </c>
      <c r="H14" s="164">
        <f>+G14/F14</f>
        <v>0.5</v>
      </c>
      <c r="I14" s="164">
        <f>+(G14/F14)*E14</f>
        <v>0.17499999999999999</v>
      </c>
      <c r="J14" s="163">
        <v>1</v>
      </c>
      <c r="K14" s="164">
        <f>+(J14/G14)</f>
        <v>1</v>
      </c>
      <c r="L14" s="164">
        <f>+K14*E14</f>
        <v>0.35</v>
      </c>
      <c r="M14" s="164">
        <f>+J14/F14</f>
        <v>0.5</v>
      </c>
      <c r="N14" s="165">
        <f>+M14*E14</f>
        <v>0.17499999999999999</v>
      </c>
      <c r="O14" s="166" t="s">
        <v>1862</v>
      </c>
      <c r="P14" s="146"/>
      <c r="Q14" s="144"/>
      <c r="R14" s="144"/>
      <c r="S14" s="144"/>
      <c r="T14" s="144"/>
      <c r="U14" s="133"/>
      <c r="V14" s="133"/>
      <c r="W14" s="133"/>
      <c r="X14" s="133"/>
      <c r="Y14" s="133"/>
      <c r="Z14" s="133"/>
      <c r="AA14" s="133"/>
    </row>
    <row r="15" spans="1:27" ht="74.45" customHeight="1" thickBot="1" x14ac:dyDescent="0.4">
      <c r="A15" s="135"/>
      <c r="B15" s="168" t="s">
        <v>31</v>
      </c>
      <c r="C15" s="168" t="s">
        <v>32</v>
      </c>
      <c r="D15" s="162" t="s">
        <v>16</v>
      </c>
      <c r="E15" s="100">
        <v>0.3</v>
      </c>
      <c r="F15" s="101">
        <v>2</v>
      </c>
      <c r="G15" s="163">
        <v>2</v>
      </c>
      <c r="H15" s="164">
        <f>+G15/F15</f>
        <v>1</v>
      </c>
      <c r="I15" s="164">
        <f>+(G15/F15)*E15</f>
        <v>0.3</v>
      </c>
      <c r="J15" s="163">
        <v>2</v>
      </c>
      <c r="K15" s="164">
        <f>+(J15/G15)</f>
        <v>1</v>
      </c>
      <c r="L15" s="164">
        <f>+K15*E15</f>
        <v>0.3</v>
      </c>
      <c r="M15" s="164">
        <f>+J15/F15</f>
        <v>1</v>
      </c>
      <c r="N15" s="165">
        <f>+M15*E15</f>
        <v>0.3</v>
      </c>
      <c r="O15" s="166" t="s">
        <v>1598</v>
      </c>
      <c r="P15" s="146"/>
      <c r="Q15" s="144"/>
      <c r="R15" s="144"/>
      <c r="S15" s="144"/>
      <c r="T15" s="144"/>
      <c r="U15" s="133"/>
      <c r="V15" s="133"/>
      <c r="W15" s="133"/>
      <c r="X15" s="133"/>
      <c r="Y15" s="133"/>
      <c r="Z15" s="133"/>
      <c r="AA15" s="133"/>
    </row>
    <row r="16" spans="1:27" ht="103.9" customHeight="1" thickBot="1" x14ac:dyDescent="0.4">
      <c r="A16" s="135"/>
      <c r="B16" s="695" t="s">
        <v>1602</v>
      </c>
      <c r="C16" s="691"/>
      <c r="D16" s="162"/>
      <c r="E16" s="99">
        <v>0.3</v>
      </c>
      <c r="F16" s="144"/>
      <c r="G16" s="144"/>
      <c r="H16" s="120">
        <f>+AVERAGE(H17:H22)</f>
        <v>0.21866537089073543</v>
      </c>
      <c r="I16" s="120">
        <f>+I17+I18+I19+I20+I21+I22</f>
        <v>0.23116977612690295</v>
      </c>
      <c r="J16" s="144"/>
      <c r="K16" s="159">
        <f>+AVERAGE(K17:K22)</f>
        <v>0.51965408805031454</v>
      </c>
      <c r="L16" s="159">
        <f>+(L17+L18+L19+L20+L21+L22)*E16</f>
        <v>0.1270754716981132</v>
      </c>
      <c r="M16" s="120">
        <f>+AVERAGE(M17:M22)</f>
        <v>0.18898231334553608</v>
      </c>
      <c r="N16" s="121">
        <f>+(N17+N18+N19+N20+N21+N22)*E16</f>
        <v>3.7150208628344908E-2</v>
      </c>
      <c r="O16" s="160"/>
      <c r="P16" s="146"/>
      <c r="Q16" s="144"/>
      <c r="R16" s="144"/>
      <c r="S16" s="144"/>
      <c r="T16" s="144"/>
      <c r="U16" s="133"/>
      <c r="V16" s="133"/>
      <c r="W16" s="133"/>
      <c r="X16" s="133"/>
      <c r="Y16" s="133"/>
      <c r="Z16" s="133"/>
      <c r="AA16" s="133"/>
    </row>
    <row r="17" spans="1:27" ht="117" customHeight="1" thickBot="1" x14ac:dyDescent="0.4">
      <c r="A17" s="167"/>
      <c r="B17" s="171" t="s">
        <v>33</v>
      </c>
      <c r="C17" s="171" t="s">
        <v>34</v>
      </c>
      <c r="D17" s="172" t="s">
        <v>35</v>
      </c>
      <c r="E17" s="100">
        <v>0.1</v>
      </c>
      <c r="F17" s="101">
        <f>879*4</f>
        <v>3516</v>
      </c>
      <c r="G17" s="163">
        <v>219</v>
      </c>
      <c r="H17" s="164">
        <f t="shared" ref="H17:H22" si="0">+G17/F17</f>
        <v>6.2286689419795219E-2</v>
      </c>
      <c r="I17" s="164">
        <f t="shared" ref="I17:I22" si="1">+(G17/F17)*E17</f>
        <v>6.2286689419795219E-3</v>
      </c>
      <c r="J17" s="163">
        <v>484</v>
      </c>
      <c r="K17" s="164">
        <v>1</v>
      </c>
      <c r="L17" s="164">
        <f t="shared" ref="L17:L22" si="2">+K17*E17</f>
        <v>0.1</v>
      </c>
      <c r="M17" s="164">
        <f t="shared" ref="M17:M22" si="3">+J17/F17</f>
        <v>0.13765642775881684</v>
      </c>
      <c r="N17" s="165">
        <f t="shared" ref="N17:N22" si="4">+M17*E17</f>
        <v>1.3765642775881685E-2</v>
      </c>
      <c r="O17" s="166" t="s">
        <v>1862</v>
      </c>
      <c r="P17" s="146"/>
      <c r="Q17" s="144"/>
      <c r="R17" s="144"/>
      <c r="S17" s="144"/>
      <c r="T17" s="144"/>
      <c r="U17" s="133"/>
      <c r="V17" s="133"/>
      <c r="W17" s="133"/>
      <c r="X17" s="133"/>
      <c r="Y17" s="133"/>
      <c r="Z17" s="133"/>
      <c r="AA17" s="133"/>
    </row>
    <row r="18" spans="1:27" ht="117" customHeight="1" thickBot="1" x14ac:dyDescent="0.4">
      <c r="A18" s="135"/>
      <c r="B18" s="168" t="s">
        <v>36</v>
      </c>
      <c r="C18" s="168" t="s">
        <v>37</v>
      </c>
      <c r="D18" s="162" t="s">
        <v>35</v>
      </c>
      <c r="E18" s="100">
        <v>0.2</v>
      </c>
      <c r="F18" s="101">
        <v>849</v>
      </c>
      <c r="G18" s="163">
        <v>212</v>
      </c>
      <c r="H18" s="164">
        <f t="shared" si="0"/>
        <v>0.24970553592461719</v>
      </c>
      <c r="I18" s="164">
        <f t="shared" si="1"/>
        <v>4.9941107184923443E-2</v>
      </c>
      <c r="J18" s="163">
        <v>25</v>
      </c>
      <c r="K18" s="164">
        <f>+(J18/G18)</f>
        <v>0.11792452830188679</v>
      </c>
      <c r="L18" s="164">
        <f t="shared" si="2"/>
        <v>2.358490566037736E-2</v>
      </c>
      <c r="M18" s="164">
        <f t="shared" si="3"/>
        <v>2.9446407538280331E-2</v>
      </c>
      <c r="N18" s="165">
        <f t="shared" si="4"/>
        <v>5.8892815076560662E-3</v>
      </c>
      <c r="O18" s="166" t="s">
        <v>1862</v>
      </c>
      <c r="P18" s="146"/>
      <c r="Q18" s="144"/>
      <c r="R18" s="144"/>
      <c r="S18" s="144"/>
      <c r="T18" s="144"/>
      <c r="U18" s="133"/>
      <c r="V18" s="133"/>
      <c r="W18" s="133"/>
      <c r="X18" s="133"/>
      <c r="Y18" s="133"/>
      <c r="Z18" s="133"/>
      <c r="AA18" s="133"/>
    </row>
    <row r="19" spans="1:27" ht="117" customHeight="1" thickBot="1" x14ac:dyDescent="0.4">
      <c r="A19" s="135"/>
      <c r="B19" s="168" t="s">
        <v>38</v>
      </c>
      <c r="C19" s="168" t="s">
        <v>1166</v>
      </c>
      <c r="D19" s="162" t="s">
        <v>35</v>
      </c>
      <c r="E19" s="100">
        <v>0.2</v>
      </c>
      <c r="F19" s="101">
        <v>440</v>
      </c>
      <c r="G19" s="163">
        <v>110</v>
      </c>
      <c r="H19" s="164">
        <f t="shared" si="0"/>
        <v>0.25</v>
      </c>
      <c r="I19" s="164">
        <f t="shared" si="1"/>
        <v>0.05</v>
      </c>
      <c r="J19" s="163">
        <v>33</v>
      </c>
      <c r="K19" s="164">
        <v>1</v>
      </c>
      <c r="L19" s="164">
        <f t="shared" si="2"/>
        <v>0.2</v>
      </c>
      <c r="M19" s="164">
        <f t="shared" si="3"/>
        <v>7.4999999999999997E-2</v>
      </c>
      <c r="N19" s="165">
        <f t="shared" si="4"/>
        <v>1.4999999999999999E-2</v>
      </c>
      <c r="O19" s="166" t="s">
        <v>1862</v>
      </c>
      <c r="P19" s="146"/>
      <c r="Q19" s="144"/>
      <c r="R19" s="144"/>
      <c r="S19" s="144"/>
      <c r="T19" s="144"/>
      <c r="U19" s="133"/>
      <c r="V19" s="133"/>
      <c r="W19" s="133"/>
      <c r="X19" s="133"/>
      <c r="Y19" s="133"/>
      <c r="Z19" s="133"/>
      <c r="AA19" s="133"/>
    </row>
    <row r="20" spans="1:27" ht="117" customHeight="1" thickBot="1" x14ac:dyDescent="0.4">
      <c r="A20" s="135"/>
      <c r="B20" s="168" t="s">
        <v>39</v>
      </c>
      <c r="C20" s="168" t="s">
        <v>40</v>
      </c>
      <c r="D20" s="162" t="s">
        <v>35</v>
      </c>
      <c r="E20" s="100">
        <v>0.15</v>
      </c>
      <c r="F20" s="101">
        <v>120</v>
      </c>
      <c r="G20" s="163">
        <v>30</v>
      </c>
      <c r="H20" s="164">
        <f t="shared" si="0"/>
        <v>0.25</v>
      </c>
      <c r="I20" s="164">
        <f t="shared" si="1"/>
        <v>3.7499999999999999E-2</v>
      </c>
      <c r="J20" s="163">
        <v>0</v>
      </c>
      <c r="K20" s="164">
        <f>+(J20/G20)</f>
        <v>0</v>
      </c>
      <c r="L20" s="164">
        <f t="shared" si="2"/>
        <v>0</v>
      </c>
      <c r="M20" s="164">
        <f t="shared" si="3"/>
        <v>0</v>
      </c>
      <c r="N20" s="165">
        <f t="shared" si="4"/>
        <v>0</v>
      </c>
      <c r="O20" s="166" t="s">
        <v>1862</v>
      </c>
      <c r="P20" s="146"/>
      <c r="Q20" s="144"/>
      <c r="R20" s="144"/>
      <c r="S20" s="144"/>
      <c r="T20" s="144"/>
      <c r="U20" s="133"/>
      <c r="V20" s="133"/>
      <c r="W20" s="133"/>
      <c r="X20" s="133"/>
      <c r="Y20" s="133"/>
      <c r="Z20" s="133"/>
      <c r="AA20" s="133"/>
    </row>
    <row r="21" spans="1:27" ht="117" customHeight="1" thickBot="1" x14ac:dyDescent="0.4">
      <c r="A21" s="167"/>
      <c r="B21" s="168" t="s">
        <v>41</v>
      </c>
      <c r="C21" s="168" t="s">
        <v>42</v>
      </c>
      <c r="D21" s="162" t="s">
        <v>35</v>
      </c>
      <c r="E21" s="100">
        <v>0.25</v>
      </c>
      <c r="F21" s="101">
        <v>4</v>
      </c>
      <c r="G21" s="163">
        <v>1</v>
      </c>
      <c r="H21" s="164">
        <f t="shared" si="0"/>
        <v>0.25</v>
      </c>
      <c r="I21" s="164">
        <f t="shared" si="1"/>
        <v>6.25E-2</v>
      </c>
      <c r="J21" s="163">
        <v>0</v>
      </c>
      <c r="K21" s="164">
        <f>+(J21/G21)</f>
        <v>0</v>
      </c>
      <c r="L21" s="164">
        <f t="shared" si="2"/>
        <v>0</v>
      </c>
      <c r="M21" s="164">
        <f t="shared" si="3"/>
        <v>0</v>
      </c>
      <c r="N21" s="165">
        <f t="shared" si="4"/>
        <v>0</v>
      </c>
      <c r="O21" s="166" t="s">
        <v>1862</v>
      </c>
      <c r="P21" s="146"/>
      <c r="Q21" s="144"/>
      <c r="R21" s="144"/>
      <c r="S21" s="144"/>
      <c r="T21" s="144"/>
      <c r="U21" s="133"/>
      <c r="V21" s="133"/>
      <c r="W21" s="133"/>
      <c r="X21" s="133"/>
      <c r="Y21" s="133"/>
      <c r="Z21" s="133"/>
      <c r="AA21" s="133"/>
    </row>
    <row r="22" spans="1:27" ht="117" customHeight="1" thickBot="1" x14ac:dyDescent="0.4">
      <c r="A22" s="135"/>
      <c r="B22" s="171" t="s">
        <v>43</v>
      </c>
      <c r="C22" s="171" t="s">
        <v>44</v>
      </c>
      <c r="D22" s="172" t="s">
        <v>35</v>
      </c>
      <c r="E22" s="100">
        <v>0.1</v>
      </c>
      <c r="F22" s="101">
        <v>268</v>
      </c>
      <c r="G22" s="163">
        <v>67</v>
      </c>
      <c r="H22" s="164">
        <f t="shared" si="0"/>
        <v>0.25</v>
      </c>
      <c r="I22" s="164">
        <f t="shared" si="1"/>
        <v>2.5000000000000001E-2</v>
      </c>
      <c r="J22" s="163">
        <v>239</v>
      </c>
      <c r="K22" s="164">
        <v>1</v>
      </c>
      <c r="L22" s="164">
        <f t="shared" si="2"/>
        <v>0.1</v>
      </c>
      <c r="M22" s="164">
        <f t="shared" si="3"/>
        <v>0.89179104477611937</v>
      </c>
      <c r="N22" s="165">
        <f t="shared" si="4"/>
        <v>8.9179104477611945E-2</v>
      </c>
      <c r="O22" s="166" t="s">
        <v>1862</v>
      </c>
      <c r="P22" s="146"/>
      <c r="Q22" s="144"/>
      <c r="R22" s="144"/>
      <c r="S22" s="144"/>
      <c r="T22" s="144"/>
      <c r="U22" s="133"/>
      <c r="V22" s="133"/>
      <c r="W22" s="133"/>
      <c r="X22" s="133"/>
      <c r="Y22" s="133"/>
      <c r="Z22" s="133"/>
      <c r="AA22" s="133"/>
    </row>
    <row r="23" spans="1:27" ht="62.25" customHeight="1" thickBot="1" x14ac:dyDescent="0.4">
      <c r="A23" s="135"/>
      <c r="B23" s="695" t="s">
        <v>1603</v>
      </c>
      <c r="C23" s="691"/>
      <c r="D23" s="162"/>
      <c r="E23" s="99">
        <v>0.1</v>
      </c>
      <c r="F23" s="144"/>
      <c r="G23" s="163"/>
      <c r="H23" s="120">
        <f>+AVERAGE(H24:H25)</f>
        <v>0.625</v>
      </c>
      <c r="I23" s="120">
        <f>+I24+I25</f>
        <v>0.77499999999999991</v>
      </c>
      <c r="J23" s="144"/>
      <c r="K23" s="159">
        <f>+AVERAGE(K24:K25)</f>
        <v>1</v>
      </c>
      <c r="L23" s="159">
        <f>+(L24+L25)*E23</f>
        <v>0.1</v>
      </c>
      <c r="M23" s="120">
        <f>+AVERAGE(M24:M25)</f>
        <v>0.625</v>
      </c>
      <c r="N23" s="121">
        <f>+(N24+N25)*E23</f>
        <v>7.7499999999999999E-2</v>
      </c>
      <c r="O23" s="160"/>
      <c r="P23" s="146"/>
      <c r="Q23" s="144"/>
      <c r="R23" s="144"/>
      <c r="S23" s="144"/>
      <c r="T23" s="144"/>
      <c r="U23" s="133"/>
      <c r="V23" s="133"/>
      <c r="W23" s="133"/>
      <c r="X23" s="133"/>
      <c r="Y23" s="133"/>
      <c r="Z23" s="133"/>
      <c r="AA23" s="133"/>
    </row>
    <row r="24" spans="1:27" ht="94.9" customHeight="1" thickBot="1" x14ac:dyDescent="0.4">
      <c r="A24" s="135"/>
      <c r="B24" s="168" t="s">
        <v>45</v>
      </c>
      <c r="C24" s="168" t="s">
        <v>46</v>
      </c>
      <c r="D24" s="162" t="s">
        <v>47</v>
      </c>
      <c r="E24" s="100">
        <v>0.3</v>
      </c>
      <c r="F24" s="101">
        <v>4</v>
      </c>
      <c r="G24" s="163">
        <v>1</v>
      </c>
      <c r="H24" s="164">
        <f>+G24/F24</f>
        <v>0.25</v>
      </c>
      <c r="I24" s="164">
        <f>+(G24/F24)*E24</f>
        <v>7.4999999999999997E-2</v>
      </c>
      <c r="J24" s="163">
        <v>1</v>
      </c>
      <c r="K24" s="164">
        <f>+(J24/G24)</f>
        <v>1</v>
      </c>
      <c r="L24" s="164">
        <f>+K24*E24</f>
        <v>0.3</v>
      </c>
      <c r="M24" s="164">
        <f>+J24/F24</f>
        <v>0.25</v>
      </c>
      <c r="N24" s="165">
        <f>+M24*E24</f>
        <v>7.4999999999999997E-2</v>
      </c>
      <c r="O24" s="166" t="s">
        <v>1862</v>
      </c>
      <c r="P24" s="146"/>
      <c r="Q24" s="144"/>
      <c r="R24" s="144"/>
      <c r="S24" s="144"/>
      <c r="T24" s="144"/>
      <c r="U24" s="133"/>
      <c r="V24" s="133"/>
      <c r="W24" s="133"/>
      <c r="X24" s="133"/>
      <c r="Y24" s="133"/>
      <c r="Z24" s="133"/>
      <c r="AA24" s="133"/>
    </row>
    <row r="25" spans="1:27" ht="94.9" customHeight="1" thickBot="1" x14ac:dyDescent="0.4">
      <c r="A25" s="135"/>
      <c r="B25" s="168" t="s">
        <v>48</v>
      </c>
      <c r="C25" s="168" t="s">
        <v>49</v>
      </c>
      <c r="D25" s="162" t="s">
        <v>47</v>
      </c>
      <c r="E25" s="100">
        <v>0.7</v>
      </c>
      <c r="F25" s="101">
        <v>20</v>
      </c>
      <c r="G25" s="163">
        <v>20</v>
      </c>
      <c r="H25" s="164">
        <f>+G25/F25</f>
        <v>1</v>
      </c>
      <c r="I25" s="164">
        <f>+(G25/F25)*E25</f>
        <v>0.7</v>
      </c>
      <c r="J25" s="163">
        <v>23</v>
      </c>
      <c r="K25" s="164">
        <v>1</v>
      </c>
      <c r="L25" s="164">
        <f>+K25*E25</f>
        <v>0.7</v>
      </c>
      <c r="M25" s="164">
        <v>1</v>
      </c>
      <c r="N25" s="165">
        <f>+M25*E25</f>
        <v>0.7</v>
      </c>
      <c r="O25" s="166" t="s">
        <v>1598</v>
      </c>
      <c r="P25" s="146"/>
      <c r="Q25" s="144"/>
      <c r="R25" s="144"/>
      <c r="S25" s="144"/>
      <c r="T25" s="144"/>
      <c r="U25" s="133"/>
      <c r="V25" s="133"/>
      <c r="W25" s="133"/>
      <c r="X25" s="133"/>
      <c r="Y25" s="133"/>
      <c r="Z25" s="133"/>
      <c r="AA25" s="133"/>
    </row>
    <row r="26" spans="1:27" ht="94.9" customHeight="1" thickBot="1" x14ac:dyDescent="0.4">
      <c r="A26" s="135"/>
      <c r="B26" s="695" t="s">
        <v>1604</v>
      </c>
      <c r="C26" s="691"/>
      <c r="D26" s="162"/>
      <c r="E26" s="99">
        <v>0.1</v>
      </c>
      <c r="F26" s="144"/>
      <c r="G26" s="163"/>
      <c r="H26" s="120">
        <f>+AVERAGE(H27:H30)</f>
        <v>0.15590277777777778</v>
      </c>
      <c r="I26" s="120">
        <f>+I27+I28+I29+I30</f>
        <v>0.15590277777777778</v>
      </c>
      <c r="J26" s="144"/>
      <c r="K26" s="159">
        <f>+AVERAGE(K27:K30)</f>
        <v>1</v>
      </c>
      <c r="L26" s="159">
        <f>+(L27+L28+L29+L30)*E26</f>
        <v>0.1</v>
      </c>
      <c r="M26" s="120">
        <f>+AVERAGE(M27:M30)</f>
        <v>0.22168277777777778</v>
      </c>
      <c r="N26" s="121">
        <f>+(N27+N28+N29+N30)*E26</f>
        <v>2.216827777777778E-2</v>
      </c>
      <c r="O26" s="160"/>
      <c r="P26" s="146"/>
      <c r="Q26" s="144"/>
      <c r="R26" s="144"/>
      <c r="S26" s="144"/>
      <c r="T26" s="144"/>
      <c r="U26" s="133"/>
      <c r="V26" s="133"/>
      <c r="W26" s="133"/>
      <c r="X26" s="133"/>
      <c r="Y26" s="133"/>
      <c r="Z26" s="133"/>
      <c r="AA26" s="133"/>
    </row>
    <row r="27" spans="1:27" ht="94.9" customHeight="1" thickBot="1" x14ac:dyDescent="0.4">
      <c r="A27" s="135"/>
      <c r="B27" s="168" t="s">
        <v>50</v>
      </c>
      <c r="C27" s="168" t="s">
        <v>51</v>
      </c>
      <c r="D27" s="162" t="s">
        <v>52</v>
      </c>
      <c r="E27" s="100">
        <v>0.25</v>
      </c>
      <c r="F27" s="103">
        <v>100000</v>
      </c>
      <c r="G27" s="163">
        <v>20000</v>
      </c>
      <c r="H27" s="164">
        <f>+G27/F27</f>
        <v>0.2</v>
      </c>
      <c r="I27" s="164">
        <f>+(G27/F27)*E27</f>
        <v>0.05</v>
      </c>
      <c r="J27" s="163">
        <v>45062</v>
      </c>
      <c r="K27" s="164">
        <v>1</v>
      </c>
      <c r="L27" s="164">
        <f>+K27*E27</f>
        <v>0.25</v>
      </c>
      <c r="M27" s="164">
        <f>+J27/F27</f>
        <v>0.45062000000000002</v>
      </c>
      <c r="N27" s="165">
        <f>+M27*E27</f>
        <v>0.11265500000000001</v>
      </c>
      <c r="O27" s="166" t="s">
        <v>1862</v>
      </c>
      <c r="P27" s="146"/>
      <c r="Q27" s="144"/>
      <c r="R27" s="144"/>
      <c r="S27" s="144"/>
      <c r="T27" s="144"/>
      <c r="U27" s="133"/>
      <c r="V27" s="133"/>
      <c r="W27" s="133"/>
      <c r="X27" s="133"/>
      <c r="Y27" s="133"/>
      <c r="Z27" s="133"/>
      <c r="AA27" s="133"/>
    </row>
    <row r="28" spans="1:27" ht="94.9" customHeight="1" thickBot="1" x14ac:dyDescent="0.4">
      <c r="A28" s="135"/>
      <c r="B28" s="168" t="s">
        <v>53</v>
      </c>
      <c r="C28" s="168" t="s">
        <v>54</v>
      </c>
      <c r="D28" s="162" t="s">
        <v>52</v>
      </c>
      <c r="E28" s="100">
        <v>0.25</v>
      </c>
      <c r="F28" s="101">
        <v>400</v>
      </c>
      <c r="G28" s="163">
        <v>25</v>
      </c>
      <c r="H28" s="164">
        <f>+G28/F28</f>
        <v>6.25E-2</v>
      </c>
      <c r="I28" s="164">
        <f>+(G28/F28)*E28</f>
        <v>1.5625E-2</v>
      </c>
      <c r="J28" s="163">
        <v>30</v>
      </c>
      <c r="K28" s="164">
        <v>1</v>
      </c>
      <c r="L28" s="164">
        <f>+K28*E28</f>
        <v>0.25</v>
      </c>
      <c r="M28" s="164">
        <f>+J28/F28</f>
        <v>7.4999999999999997E-2</v>
      </c>
      <c r="N28" s="165">
        <f>+M28*E28</f>
        <v>1.8749999999999999E-2</v>
      </c>
      <c r="O28" s="166" t="s">
        <v>1862</v>
      </c>
      <c r="P28" s="146"/>
      <c r="Q28" s="144"/>
      <c r="R28" s="144"/>
      <c r="S28" s="144"/>
      <c r="T28" s="144"/>
      <c r="U28" s="133"/>
      <c r="V28" s="133"/>
      <c r="W28" s="133"/>
      <c r="X28" s="133"/>
      <c r="Y28" s="133"/>
      <c r="Z28" s="133"/>
      <c r="AA28" s="133"/>
    </row>
    <row r="29" spans="1:27" ht="94.9" customHeight="1" thickBot="1" x14ac:dyDescent="0.4">
      <c r="A29" s="135"/>
      <c r="B29" s="168" t="s">
        <v>55</v>
      </c>
      <c r="C29" s="168" t="s">
        <v>56</v>
      </c>
      <c r="D29" s="162" t="s">
        <v>52</v>
      </c>
      <c r="E29" s="100">
        <v>0.25</v>
      </c>
      <c r="F29" s="101">
        <v>1</v>
      </c>
      <c r="G29" s="163">
        <v>0.25</v>
      </c>
      <c r="H29" s="164">
        <f>+G29/F29</f>
        <v>0.25</v>
      </c>
      <c r="I29" s="164">
        <f>+(G29/F29)*E29</f>
        <v>6.25E-2</v>
      </c>
      <c r="J29" s="163">
        <v>0.25</v>
      </c>
      <c r="K29" s="164">
        <f>+(J29/G29)</f>
        <v>1</v>
      </c>
      <c r="L29" s="164">
        <f>+K29*E29</f>
        <v>0.25</v>
      </c>
      <c r="M29" s="164">
        <f>+J29/F29</f>
        <v>0.25</v>
      </c>
      <c r="N29" s="165">
        <f>+M29*E29</f>
        <v>6.25E-2</v>
      </c>
      <c r="O29" s="166" t="s">
        <v>1862</v>
      </c>
      <c r="P29" s="146"/>
      <c r="Q29" s="144"/>
      <c r="R29" s="144"/>
      <c r="S29" s="144"/>
      <c r="T29" s="144"/>
      <c r="U29" s="133"/>
      <c r="V29" s="133"/>
      <c r="W29" s="133"/>
      <c r="X29" s="133"/>
      <c r="Y29" s="133"/>
      <c r="Z29" s="133"/>
      <c r="AA29" s="133"/>
    </row>
    <row r="30" spans="1:27" ht="94.9" customHeight="1" thickBot="1" x14ac:dyDescent="0.4">
      <c r="A30" s="135"/>
      <c r="B30" s="168" t="s">
        <v>57</v>
      </c>
      <c r="C30" s="168" t="s">
        <v>58</v>
      </c>
      <c r="D30" s="162" t="s">
        <v>52</v>
      </c>
      <c r="E30" s="100">
        <v>0.25</v>
      </c>
      <c r="F30" s="101">
        <v>180</v>
      </c>
      <c r="G30" s="163">
        <v>20</v>
      </c>
      <c r="H30" s="164">
        <f>+G30/F30</f>
        <v>0.1111111111111111</v>
      </c>
      <c r="I30" s="164">
        <f>+(G30/F30)*E30</f>
        <v>2.7777777777777776E-2</v>
      </c>
      <c r="J30" s="163">
        <v>20</v>
      </c>
      <c r="K30" s="164">
        <f>+(J30/G30)</f>
        <v>1</v>
      </c>
      <c r="L30" s="164">
        <f>+K30*E30</f>
        <v>0.25</v>
      </c>
      <c r="M30" s="164">
        <f>+J30/F30</f>
        <v>0.1111111111111111</v>
      </c>
      <c r="N30" s="165">
        <f>+M30*E30</f>
        <v>2.7777777777777776E-2</v>
      </c>
      <c r="O30" s="166" t="s">
        <v>1862</v>
      </c>
      <c r="P30" s="146"/>
      <c r="Q30" s="144"/>
      <c r="R30" s="144"/>
      <c r="S30" s="144"/>
      <c r="T30" s="144"/>
      <c r="U30" s="133"/>
      <c r="V30" s="133"/>
      <c r="W30" s="133"/>
      <c r="X30" s="133"/>
      <c r="Y30" s="133"/>
      <c r="Z30" s="133"/>
      <c r="AA30" s="133"/>
    </row>
    <row r="31" spans="1:27" ht="94.9" customHeight="1" thickBot="1" x14ac:dyDescent="0.4">
      <c r="A31" s="135"/>
      <c r="B31" s="696" t="s">
        <v>59</v>
      </c>
      <c r="C31" s="691"/>
      <c r="D31" s="144"/>
      <c r="E31" s="173">
        <v>0.1</v>
      </c>
      <c r="F31" s="173">
        <f>+E31*L31</f>
        <v>6.4343375000000022E-2</v>
      </c>
      <c r="G31" s="144"/>
      <c r="H31" s="150">
        <f>+(H32+H36+H39+H44+H52+H57+H77+H87)/8</f>
        <v>0.24236111111111111</v>
      </c>
      <c r="I31" s="151">
        <f>+(I32+I36+I39+I44+I52+I57+I77+I87)/8</f>
        <v>0.1653125</v>
      </c>
      <c r="J31" s="144"/>
      <c r="K31" s="150">
        <f>+(K32+K36+K39+K44+K52+K57+K77+K87)/8</f>
        <v>0.90306155303030311</v>
      </c>
      <c r="L31" s="151">
        <f>+L32+L36+L39+L44+L52+L57+L77+L87</f>
        <v>0.64343375000000014</v>
      </c>
      <c r="M31" s="150">
        <f>+(M32+M36+M39+M44+M52+M57+M77+M87)/8</f>
        <v>0.25539455492424246</v>
      </c>
      <c r="N31" s="153">
        <f>+N32+N36+N39+N44+N52+N57+N77+N87</f>
        <v>0.19896443750000001</v>
      </c>
      <c r="O31" s="154"/>
      <c r="P31" s="146"/>
      <c r="Q31" s="144"/>
      <c r="R31" s="144"/>
      <c r="S31" s="144"/>
      <c r="T31" s="144"/>
      <c r="U31" s="133"/>
      <c r="V31" s="133"/>
      <c r="W31" s="133"/>
      <c r="X31" s="133"/>
      <c r="Y31" s="133"/>
      <c r="Z31" s="133"/>
      <c r="AA31" s="133"/>
    </row>
    <row r="32" spans="1:27" ht="94.9" customHeight="1" thickBot="1" x14ac:dyDescent="0.4">
      <c r="A32" s="135"/>
      <c r="B32" s="695" t="s">
        <v>1605</v>
      </c>
      <c r="C32" s="691"/>
      <c r="D32" s="157"/>
      <c r="E32" s="99">
        <v>0.15</v>
      </c>
      <c r="F32" s="144"/>
      <c r="G32" s="163"/>
      <c r="H32" s="120">
        <f>+AVERAGE(H33:H35)</f>
        <v>0.19999999999999998</v>
      </c>
      <c r="I32" s="120">
        <f>+I33+I34+I35</f>
        <v>0.19</v>
      </c>
      <c r="J32" s="163"/>
      <c r="K32" s="159">
        <f>+AVERAGE(K33:K35)</f>
        <v>1</v>
      </c>
      <c r="L32" s="159">
        <f>+(L33+L34+L35)*E32</f>
        <v>0.15</v>
      </c>
      <c r="M32" s="120">
        <f>+AVERAGE(M33:M35)</f>
        <v>0.36919999999999997</v>
      </c>
      <c r="N32" s="121">
        <f>+(N33+N34+N35)*E32</f>
        <v>6.1731000000000001E-2</v>
      </c>
      <c r="O32" s="160"/>
      <c r="P32" s="146"/>
      <c r="Q32" s="144"/>
      <c r="R32" s="144"/>
      <c r="S32" s="144"/>
      <c r="T32" s="144"/>
      <c r="U32" s="133"/>
      <c r="V32" s="133"/>
      <c r="W32" s="133"/>
      <c r="X32" s="133"/>
      <c r="Y32" s="133"/>
      <c r="Z32" s="133"/>
      <c r="AA32" s="133"/>
    </row>
    <row r="33" spans="1:27" ht="94.9" customHeight="1" thickBot="1" x14ac:dyDescent="0.4">
      <c r="A33" s="135"/>
      <c r="B33" s="168" t="s">
        <v>60</v>
      </c>
      <c r="C33" s="168" t="s">
        <v>61</v>
      </c>
      <c r="D33" s="162" t="s">
        <v>62</v>
      </c>
      <c r="E33" s="174">
        <v>0.4</v>
      </c>
      <c r="F33" s="101">
        <v>5000</v>
      </c>
      <c r="G33" s="163">
        <v>500</v>
      </c>
      <c r="H33" s="164">
        <f>+G33/F33</f>
        <v>0.1</v>
      </c>
      <c r="I33" s="164">
        <f>+(G33/F33)*E33</f>
        <v>4.0000000000000008E-2</v>
      </c>
      <c r="J33" s="163">
        <v>2113</v>
      </c>
      <c r="K33" s="164">
        <v>1</v>
      </c>
      <c r="L33" s="164">
        <f>+K33*E33</f>
        <v>0.4</v>
      </c>
      <c r="M33" s="164">
        <f>+J33/F33</f>
        <v>0.42259999999999998</v>
      </c>
      <c r="N33" s="165">
        <f>+M33*E33</f>
        <v>0.16904</v>
      </c>
      <c r="O33" s="166" t="s">
        <v>1862</v>
      </c>
      <c r="P33" s="146"/>
      <c r="Q33" s="144"/>
      <c r="R33" s="144"/>
      <c r="S33" s="144"/>
      <c r="T33" s="144"/>
      <c r="U33" s="133"/>
      <c r="V33" s="133"/>
      <c r="W33" s="133"/>
      <c r="X33" s="133"/>
      <c r="Y33" s="133"/>
      <c r="Z33" s="133"/>
      <c r="AA33" s="133"/>
    </row>
    <row r="34" spans="1:27" ht="94.9" customHeight="1" thickBot="1" x14ac:dyDescent="0.4">
      <c r="A34" s="135"/>
      <c r="B34" s="168" t="s">
        <v>63</v>
      </c>
      <c r="C34" s="168" t="s">
        <v>64</v>
      </c>
      <c r="D34" s="162" t="s">
        <v>62</v>
      </c>
      <c r="E34" s="174">
        <v>0.5</v>
      </c>
      <c r="F34" s="101">
        <v>200</v>
      </c>
      <c r="G34" s="163">
        <v>50</v>
      </c>
      <c r="H34" s="164">
        <f>+G34/F34</f>
        <v>0.25</v>
      </c>
      <c r="I34" s="164">
        <f>+(G34/F34)*E34</f>
        <v>0.125</v>
      </c>
      <c r="J34" s="163">
        <v>87</v>
      </c>
      <c r="K34" s="164">
        <v>1</v>
      </c>
      <c r="L34" s="164">
        <f>+K34*E34</f>
        <v>0.5</v>
      </c>
      <c r="M34" s="164">
        <f>+J34/F34</f>
        <v>0.435</v>
      </c>
      <c r="N34" s="165">
        <f>+M34*E34</f>
        <v>0.2175</v>
      </c>
      <c r="O34" s="166" t="s">
        <v>1862</v>
      </c>
      <c r="P34" s="146"/>
      <c r="Q34" s="144"/>
      <c r="R34" s="144"/>
      <c r="S34" s="144"/>
      <c r="T34" s="144"/>
      <c r="U34" s="133"/>
      <c r="V34" s="133"/>
      <c r="W34" s="133"/>
      <c r="X34" s="133"/>
      <c r="Y34" s="133"/>
      <c r="Z34" s="133"/>
      <c r="AA34" s="133"/>
    </row>
    <row r="35" spans="1:27" ht="94.9" customHeight="1" thickBot="1" x14ac:dyDescent="0.4">
      <c r="A35" s="135"/>
      <c r="B35" s="168" t="s">
        <v>65</v>
      </c>
      <c r="C35" s="168" t="s">
        <v>66</v>
      </c>
      <c r="D35" s="162" t="s">
        <v>62</v>
      </c>
      <c r="E35" s="174">
        <v>0.1</v>
      </c>
      <c r="F35" s="101">
        <v>4</v>
      </c>
      <c r="G35" s="163">
        <v>1</v>
      </c>
      <c r="H35" s="164">
        <f>+G35/F35</f>
        <v>0.25</v>
      </c>
      <c r="I35" s="164">
        <f>+(G35/F35)*E35</f>
        <v>2.5000000000000001E-2</v>
      </c>
      <c r="J35" s="163">
        <v>1</v>
      </c>
      <c r="K35" s="164">
        <f>+(J35/G35)</f>
        <v>1</v>
      </c>
      <c r="L35" s="164">
        <f>+K35*E35</f>
        <v>0.1</v>
      </c>
      <c r="M35" s="164">
        <f>+J35/F35</f>
        <v>0.25</v>
      </c>
      <c r="N35" s="165">
        <f>+M35*E35</f>
        <v>2.5000000000000001E-2</v>
      </c>
      <c r="O35" s="166" t="s">
        <v>1862</v>
      </c>
      <c r="P35" s="146"/>
      <c r="Q35" s="144"/>
      <c r="R35" s="144"/>
      <c r="S35" s="144"/>
      <c r="T35" s="144"/>
      <c r="U35" s="133"/>
      <c r="V35" s="133"/>
      <c r="W35" s="133"/>
      <c r="X35" s="133"/>
      <c r="Y35" s="133"/>
      <c r="Z35" s="133"/>
      <c r="AA35" s="133"/>
    </row>
    <row r="36" spans="1:27" ht="62.25" customHeight="1" thickBot="1" x14ac:dyDescent="0.4">
      <c r="A36" s="135"/>
      <c r="B36" s="695" t="s">
        <v>1606</v>
      </c>
      <c r="C36" s="691"/>
      <c r="D36" s="162"/>
      <c r="E36" s="99">
        <v>0.1</v>
      </c>
      <c r="F36" s="144"/>
      <c r="G36" s="144"/>
      <c r="H36" s="120">
        <f>+AVERAGE(H37:H38)</f>
        <v>0.25</v>
      </c>
      <c r="I36" s="120">
        <f>+I37+I38</f>
        <v>0.25</v>
      </c>
      <c r="J36" s="144"/>
      <c r="K36" s="159">
        <f>+AVERAGE(K37:K38)</f>
        <v>1</v>
      </c>
      <c r="L36" s="159">
        <f>+(L37+L38)*E36</f>
        <v>0.1</v>
      </c>
      <c r="M36" s="120">
        <f>+AVERAGE(M37:M38)</f>
        <v>0.33499999999999996</v>
      </c>
      <c r="N36" s="121">
        <f>+(N37+N38)*E36</f>
        <v>3.8600000000000002E-2</v>
      </c>
      <c r="O36" s="160"/>
      <c r="P36" s="146"/>
      <c r="Q36" s="144"/>
      <c r="R36" s="144"/>
      <c r="S36" s="144"/>
      <c r="T36" s="144"/>
      <c r="U36" s="133"/>
      <c r="V36" s="133"/>
      <c r="W36" s="133"/>
      <c r="X36" s="133"/>
      <c r="Y36" s="133"/>
      <c r="Z36" s="133"/>
      <c r="AA36" s="133"/>
    </row>
    <row r="37" spans="1:27" ht="103.15" customHeight="1" thickBot="1" x14ac:dyDescent="0.4">
      <c r="A37" s="135"/>
      <c r="B37" s="168" t="s">
        <v>67</v>
      </c>
      <c r="C37" s="168" t="s">
        <v>68</v>
      </c>
      <c r="D37" s="162" t="s">
        <v>62</v>
      </c>
      <c r="E37" s="100">
        <v>0.8</v>
      </c>
      <c r="F37" s="101">
        <v>200</v>
      </c>
      <c r="G37" s="163">
        <v>50</v>
      </c>
      <c r="H37" s="164">
        <f>+G37/F37</f>
        <v>0.25</v>
      </c>
      <c r="I37" s="164">
        <f>+(G37/F37)*E37</f>
        <v>0.2</v>
      </c>
      <c r="J37" s="163">
        <v>84</v>
      </c>
      <c r="K37" s="164">
        <v>1</v>
      </c>
      <c r="L37" s="164">
        <f>+K37*E37</f>
        <v>0.8</v>
      </c>
      <c r="M37" s="164">
        <f>+J37/F37</f>
        <v>0.42</v>
      </c>
      <c r="N37" s="165">
        <f>+M37*E37</f>
        <v>0.33600000000000002</v>
      </c>
      <c r="O37" s="166" t="s">
        <v>1862</v>
      </c>
      <c r="P37" s="146"/>
      <c r="Q37" s="144"/>
      <c r="R37" s="144"/>
      <c r="S37" s="144"/>
      <c r="T37" s="144"/>
      <c r="U37" s="133"/>
      <c r="V37" s="133"/>
      <c r="W37" s="133"/>
      <c r="X37" s="133"/>
      <c r="Y37" s="133"/>
      <c r="Z37" s="133"/>
      <c r="AA37" s="133"/>
    </row>
    <row r="38" spans="1:27" ht="84.6" customHeight="1" thickBot="1" x14ac:dyDescent="0.4">
      <c r="A38" s="135"/>
      <c r="B38" s="168" t="s">
        <v>69</v>
      </c>
      <c r="C38" s="168" t="s">
        <v>70</v>
      </c>
      <c r="D38" s="162" t="s">
        <v>62</v>
      </c>
      <c r="E38" s="100">
        <v>0.2</v>
      </c>
      <c r="F38" s="101">
        <v>4</v>
      </c>
      <c r="G38" s="163">
        <v>1</v>
      </c>
      <c r="H38" s="164">
        <f>+G38/F38</f>
        <v>0.25</v>
      </c>
      <c r="I38" s="164">
        <f>+(G38/F38)*E38</f>
        <v>0.05</v>
      </c>
      <c r="J38" s="163">
        <v>1</v>
      </c>
      <c r="K38" s="164">
        <f>+(J38/G38)</f>
        <v>1</v>
      </c>
      <c r="L38" s="164">
        <f>+K38*E38</f>
        <v>0.2</v>
      </c>
      <c r="M38" s="164">
        <f>+J38/F38</f>
        <v>0.25</v>
      </c>
      <c r="N38" s="165">
        <f>+M38*E38</f>
        <v>0.05</v>
      </c>
      <c r="O38" s="166" t="s">
        <v>1862</v>
      </c>
      <c r="P38" s="146"/>
      <c r="Q38" s="144"/>
      <c r="R38" s="144"/>
      <c r="S38" s="144"/>
      <c r="T38" s="144"/>
      <c r="U38" s="133"/>
      <c r="V38" s="133"/>
      <c r="W38" s="133"/>
      <c r="X38" s="133"/>
      <c r="Y38" s="133"/>
      <c r="Z38" s="133"/>
      <c r="AA38" s="133"/>
    </row>
    <row r="39" spans="1:27" ht="46.5" customHeight="1" thickBot="1" x14ac:dyDescent="0.4">
      <c r="A39" s="135"/>
      <c r="B39" s="695" t="s">
        <v>1607</v>
      </c>
      <c r="C39" s="691"/>
      <c r="D39" s="162"/>
      <c r="E39" s="99">
        <v>0.15</v>
      </c>
      <c r="F39" s="144"/>
      <c r="G39" s="163"/>
      <c r="H39" s="120">
        <f>+AVERAGE(H40:H43)</f>
        <v>0.18333333333333335</v>
      </c>
      <c r="I39" s="120">
        <f>+I40+I41+I42+I43</f>
        <v>0.18333333333333335</v>
      </c>
      <c r="J39" s="144"/>
      <c r="K39" s="159">
        <f>+AVERAGE(K40:K43)</f>
        <v>1</v>
      </c>
      <c r="L39" s="159">
        <f>+(L40+L41+L42+L43)*E39</f>
        <v>0.15</v>
      </c>
      <c r="M39" s="120">
        <f>+AVERAGE(M40:M43)</f>
        <v>0.27083333333333337</v>
      </c>
      <c r="N39" s="121">
        <f>+(N40+N41+N42+N43)*E39</f>
        <v>3.6874999999999998E-2</v>
      </c>
      <c r="O39" s="160"/>
      <c r="P39" s="146"/>
      <c r="Q39" s="144"/>
      <c r="R39" s="144"/>
      <c r="S39" s="144"/>
      <c r="T39" s="144"/>
      <c r="U39" s="133"/>
      <c r="V39" s="133"/>
      <c r="W39" s="133"/>
      <c r="X39" s="133"/>
      <c r="Y39" s="133"/>
      <c r="Z39" s="133"/>
      <c r="AA39" s="133"/>
    </row>
    <row r="40" spans="1:27" ht="55.15" customHeight="1" thickBot="1" x14ac:dyDescent="0.4">
      <c r="A40" s="135"/>
      <c r="B40" s="161" t="s">
        <v>71</v>
      </c>
      <c r="C40" s="161" t="s">
        <v>72</v>
      </c>
      <c r="D40" s="162" t="s">
        <v>16</v>
      </c>
      <c r="E40" s="100">
        <v>0.35</v>
      </c>
      <c r="F40" s="101">
        <v>4</v>
      </c>
      <c r="G40" s="163">
        <v>1</v>
      </c>
      <c r="H40" s="164">
        <f>+G40/F40</f>
        <v>0.25</v>
      </c>
      <c r="I40" s="164">
        <f>+(G40/F40)*E40</f>
        <v>8.7499999999999994E-2</v>
      </c>
      <c r="J40" s="163">
        <v>1</v>
      </c>
      <c r="K40" s="164">
        <f>+(J40/G40)</f>
        <v>1</v>
      </c>
      <c r="L40" s="164">
        <f>+K40*E40</f>
        <v>0.35</v>
      </c>
      <c r="M40" s="164">
        <f>+J40/F40</f>
        <v>0.25</v>
      </c>
      <c r="N40" s="165">
        <f>+M40*E40</f>
        <v>8.7499999999999994E-2</v>
      </c>
      <c r="O40" s="166" t="s">
        <v>1862</v>
      </c>
      <c r="P40" s="146"/>
      <c r="Q40" s="144"/>
      <c r="R40" s="144"/>
      <c r="S40" s="144"/>
      <c r="T40" s="144"/>
      <c r="U40" s="133"/>
      <c r="V40" s="133"/>
      <c r="W40" s="133"/>
      <c r="X40" s="133"/>
      <c r="Y40" s="133"/>
      <c r="Z40" s="133"/>
      <c r="AA40" s="133"/>
    </row>
    <row r="41" spans="1:27" ht="64.150000000000006" customHeight="1" thickBot="1" x14ac:dyDescent="0.4">
      <c r="A41" s="135"/>
      <c r="B41" s="168" t="s">
        <v>73</v>
      </c>
      <c r="C41" s="168" t="s">
        <v>74</v>
      </c>
      <c r="D41" s="162" t="s">
        <v>16</v>
      </c>
      <c r="E41" s="100">
        <v>0.25</v>
      </c>
      <c r="F41" s="101">
        <v>20</v>
      </c>
      <c r="G41" s="163">
        <v>3</v>
      </c>
      <c r="H41" s="164">
        <f>+G41/F41</f>
        <v>0.15</v>
      </c>
      <c r="I41" s="164">
        <f>+(G41/F41)*E41</f>
        <v>3.7499999999999999E-2</v>
      </c>
      <c r="J41" s="163">
        <v>5</v>
      </c>
      <c r="K41" s="164">
        <v>1</v>
      </c>
      <c r="L41" s="164">
        <f>+K41*E41</f>
        <v>0.25</v>
      </c>
      <c r="M41" s="164">
        <f>+J41/F41</f>
        <v>0.25</v>
      </c>
      <c r="N41" s="165">
        <f>+M41*E41</f>
        <v>6.25E-2</v>
      </c>
      <c r="O41" s="166" t="s">
        <v>1862</v>
      </c>
      <c r="P41" s="146"/>
      <c r="Q41" s="144"/>
      <c r="R41" s="144"/>
      <c r="S41" s="144"/>
      <c r="T41" s="144"/>
      <c r="U41" s="133"/>
      <c r="V41" s="133"/>
      <c r="W41" s="133"/>
      <c r="X41" s="133"/>
      <c r="Y41" s="133"/>
      <c r="Z41" s="133"/>
      <c r="AA41" s="133"/>
    </row>
    <row r="42" spans="1:27" ht="74.45" customHeight="1" thickBot="1" x14ac:dyDescent="0.4">
      <c r="A42" s="135"/>
      <c r="B42" s="168" t="s">
        <v>75</v>
      </c>
      <c r="C42" s="168" t="s">
        <v>76</v>
      </c>
      <c r="D42" s="162" t="s">
        <v>16</v>
      </c>
      <c r="E42" s="100">
        <v>0.25</v>
      </c>
      <c r="F42" s="101">
        <v>12</v>
      </c>
      <c r="G42" s="163">
        <v>1</v>
      </c>
      <c r="H42" s="164">
        <f>+G42/F42</f>
        <v>8.3333333333333329E-2</v>
      </c>
      <c r="I42" s="164">
        <f>+(G42/F42)*E42</f>
        <v>2.0833333333333332E-2</v>
      </c>
      <c r="J42" s="163">
        <v>1</v>
      </c>
      <c r="K42" s="164">
        <f>+(J42/G42)</f>
        <v>1</v>
      </c>
      <c r="L42" s="164">
        <f>+K42*E42</f>
        <v>0.25</v>
      </c>
      <c r="M42" s="164">
        <f>+J42/F42</f>
        <v>8.3333333333333329E-2</v>
      </c>
      <c r="N42" s="165">
        <f>+M42*E42</f>
        <v>2.0833333333333332E-2</v>
      </c>
      <c r="O42" s="166" t="s">
        <v>1862</v>
      </c>
      <c r="P42" s="146"/>
      <c r="Q42" s="144"/>
      <c r="R42" s="144"/>
      <c r="S42" s="144"/>
      <c r="T42" s="144"/>
      <c r="U42" s="133"/>
      <c r="V42" s="133"/>
      <c r="W42" s="133"/>
      <c r="X42" s="133"/>
      <c r="Y42" s="133"/>
      <c r="Z42" s="133"/>
      <c r="AA42" s="133"/>
    </row>
    <row r="43" spans="1:27" ht="55.9" customHeight="1" thickBot="1" x14ac:dyDescent="0.4">
      <c r="A43" s="135"/>
      <c r="B43" s="168" t="s">
        <v>77</v>
      </c>
      <c r="C43" s="168" t="s">
        <v>78</v>
      </c>
      <c r="D43" s="162" t="s">
        <v>35</v>
      </c>
      <c r="E43" s="100">
        <v>0.15</v>
      </c>
      <c r="F43" s="101">
        <v>8</v>
      </c>
      <c r="G43" s="163">
        <v>2</v>
      </c>
      <c r="H43" s="164">
        <f>+G43/F43</f>
        <v>0.25</v>
      </c>
      <c r="I43" s="164">
        <f>+(G43/F43)*E43</f>
        <v>3.7499999999999999E-2</v>
      </c>
      <c r="J43" s="175">
        <v>4</v>
      </c>
      <c r="K43" s="164">
        <v>1</v>
      </c>
      <c r="L43" s="164">
        <f>+K43*E43</f>
        <v>0.15</v>
      </c>
      <c r="M43" s="164">
        <f>+J43/F43</f>
        <v>0.5</v>
      </c>
      <c r="N43" s="165">
        <f>+M43*E43</f>
        <v>7.4999999999999997E-2</v>
      </c>
      <c r="O43" s="166" t="s">
        <v>1862</v>
      </c>
      <c r="P43" s="146"/>
      <c r="Q43" s="144"/>
      <c r="R43" s="144"/>
      <c r="S43" s="144"/>
      <c r="T43" s="144"/>
      <c r="U43" s="133"/>
      <c r="V43" s="133"/>
      <c r="W43" s="133"/>
      <c r="X43" s="133"/>
      <c r="Y43" s="133"/>
      <c r="Z43" s="133"/>
      <c r="AA43" s="133"/>
    </row>
    <row r="44" spans="1:27" ht="100.5" customHeight="1" thickBot="1" x14ac:dyDescent="0.4">
      <c r="A44" s="135"/>
      <c r="B44" s="695" t="s">
        <v>1608</v>
      </c>
      <c r="C44" s="691"/>
      <c r="D44" s="162"/>
      <c r="E44" s="99">
        <v>0.15</v>
      </c>
      <c r="F44" s="144"/>
      <c r="G44" s="163"/>
      <c r="H44" s="120">
        <f>+AVERAGE(H45:H51)</f>
        <v>0.30555555555555552</v>
      </c>
      <c r="I44" s="121">
        <f>+I45+I46+I47+I48+I49+I50+I51</f>
        <v>0.16666666666666666</v>
      </c>
      <c r="J44" s="176"/>
      <c r="K44" s="159">
        <f>+AVERAGE(K45:K51)</f>
        <v>0.33333333333333331</v>
      </c>
      <c r="L44" s="159">
        <f>+(L45+L46+L47+L48+L49+L50+L51)*E44</f>
        <v>1.4999999999999999E-2</v>
      </c>
      <c r="M44" s="120">
        <f>+AVERAGE(M45:M51)</f>
        <v>8.3333333333333329E-2</v>
      </c>
      <c r="N44" s="121">
        <f>+(N45+N46+N47+N48+N49+N50+N51)*E44</f>
        <v>3.7499999999999999E-3</v>
      </c>
      <c r="O44" s="160"/>
      <c r="P44" s="146"/>
      <c r="Q44" s="144"/>
      <c r="R44" s="144"/>
      <c r="S44" s="144"/>
      <c r="T44" s="144"/>
      <c r="U44" s="133"/>
      <c r="V44" s="133"/>
      <c r="W44" s="133"/>
      <c r="X44" s="133"/>
      <c r="Y44" s="133"/>
      <c r="Z44" s="133"/>
      <c r="AA44" s="133"/>
    </row>
    <row r="45" spans="1:27" ht="138" customHeight="1" thickBot="1" x14ac:dyDescent="0.4">
      <c r="A45" s="135"/>
      <c r="B45" s="168" t="s">
        <v>79</v>
      </c>
      <c r="C45" s="168" t="s">
        <v>80</v>
      </c>
      <c r="D45" s="162" t="s">
        <v>16</v>
      </c>
      <c r="E45" s="100">
        <v>0.25</v>
      </c>
      <c r="F45" s="101">
        <v>2</v>
      </c>
      <c r="G45" s="163">
        <v>1</v>
      </c>
      <c r="H45" s="164">
        <f t="shared" ref="H45:H51" si="5">+G45/F45</f>
        <v>0.5</v>
      </c>
      <c r="I45" s="165">
        <f t="shared" ref="I45:I51" si="6">+(G45/F45)*E45</f>
        <v>0.125</v>
      </c>
      <c r="J45" s="177">
        <v>0</v>
      </c>
      <c r="K45" s="164">
        <f t="shared" ref="K45:K51" si="7">+(J45/G45)</f>
        <v>0</v>
      </c>
      <c r="L45" s="164">
        <f>+K45*E45</f>
        <v>0</v>
      </c>
      <c r="M45" s="164">
        <f t="shared" ref="M45:M51" si="8">+J45/F45</f>
        <v>0</v>
      </c>
      <c r="N45" s="165">
        <f>+M45*E45</f>
        <v>0</v>
      </c>
      <c r="O45" s="166" t="s">
        <v>1862</v>
      </c>
      <c r="P45" s="146"/>
      <c r="Q45" s="144"/>
      <c r="R45" s="144"/>
      <c r="S45" s="144"/>
      <c r="T45" s="144"/>
      <c r="U45" s="133"/>
      <c r="V45" s="133"/>
      <c r="W45" s="133"/>
      <c r="X45" s="133"/>
      <c r="Y45" s="133"/>
      <c r="Z45" s="133"/>
      <c r="AA45" s="133"/>
    </row>
    <row r="46" spans="1:27" ht="138" customHeight="1" thickBot="1" x14ac:dyDescent="0.4">
      <c r="A46" s="135"/>
      <c r="B46" s="168" t="s">
        <v>81</v>
      </c>
      <c r="C46" s="168" t="s">
        <v>82</v>
      </c>
      <c r="D46" s="162" t="s">
        <v>16</v>
      </c>
      <c r="E46" s="100">
        <v>0.1</v>
      </c>
      <c r="F46" s="101">
        <v>1</v>
      </c>
      <c r="G46" s="163">
        <v>0</v>
      </c>
      <c r="H46" s="164"/>
      <c r="I46" s="165"/>
      <c r="J46" s="178"/>
      <c r="K46" s="164"/>
      <c r="L46" s="164"/>
      <c r="M46" s="164"/>
      <c r="N46" s="165"/>
      <c r="O46" s="166" t="s">
        <v>1862</v>
      </c>
      <c r="P46" s="146"/>
      <c r="Q46" s="144"/>
      <c r="R46" s="144"/>
      <c r="S46" s="144"/>
      <c r="T46" s="144"/>
      <c r="U46" s="133"/>
      <c r="V46" s="133"/>
      <c r="W46" s="133"/>
      <c r="X46" s="133"/>
      <c r="Y46" s="133"/>
      <c r="Z46" s="133"/>
      <c r="AA46" s="133"/>
    </row>
    <row r="47" spans="1:27" ht="138" customHeight="1" thickBot="1" x14ac:dyDescent="0.4">
      <c r="A47" s="135"/>
      <c r="B47" s="168" t="s">
        <v>83</v>
      </c>
      <c r="C47" s="168" t="s">
        <v>84</v>
      </c>
      <c r="D47" s="162" t="s">
        <v>16</v>
      </c>
      <c r="E47" s="100">
        <v>0.1</v>
      </c>
      <c r="F47" s="101">
        <v>1200</v>
      </c>
      <c r="G47" s="163">
        <v>200</v>
      </c>
      <c r="H47" s="164">
        <f t="shared" si="5"/>
        <v>0.16666666666666666</v>
      </c>
      <c r="I47" s="165">
        <f t="shared" si="6"/>
        <v>1.6666666666666666E-2</v>
      </c>
      <c r="J47" s="179">
        <v>0</v>
      </c>
      <c r="K47" s="164">
        <f t="shared" si="7"/>
        <v>0</v>
      </c>
      <c r="L47" s="164">
        <f>+K47*E47</f>
        <v>0</v>
      </c>
      <c r="M47" s="164">
        <f t="shared" si="8"/>
        <v>0</v>
      </c>
      <c r="N47" s="165">
        <f>+M47*E47</f>
        <v>0</v>
      </c>
      <c r="O47" s="166" t="s">
        <v>1862</v>
      </c>
      <c r="P47" s="146"/>
      <c r="Q47" s="144"/>
      <c r="R47" s="144"/>
      <c r="S47" s="144"/>
      <c r="T47" s="144"/>
      <c r="U47" s="133"/>
      <c r="V47" s="133"/>
      <c r="W47" s="133"/>
      <c r="X47" s="133"/>
      <c r="Y47" s="133"/>
      <c r="Z47" s="133"/>
      <c r="AA47" s="133"/>
    </row>
    <row r="48" spans="1:27" ht="138" customHeight="1" thickBot="1" x14ac:dyDescent="0.4">
      <c r="A48" s="135"/>
      <c r="B48" s="168" t="s">
        <v>85</v>
      </c>
      <c r="C48" s="168" t="s">
        <v>86</v>
      </c>
      <c r="D48" s="162" t="s">
        <v>16</v>
      </c>
      <c r="E48" s="100">
        <v>0.1</v>
      </c>
      <c r="F48" s="101">
        <v>1</v>
      </c>
      <c r="G48" s="163">
        <v>0</v>
      </c>
      <c r="H48" s="164"/>
      <c r="I48" s="165"/>
      <c r="J48" s="178"/>
      <c r="K48" s="164"/>
      <c r="L48" s="164"/>
      <c r="M48" s="164"/>
      <c r="N48" s="165"/>
      <c r="O48" s="166" t="s">
        <v>1862</v>
      </c>
      <c r="P48" s="146"/>
      <c r="Q48" s="144"/>
      <c r="R48" s="144"/>
      <c r="S48" s="144"/>
      <c r="T48" s="144"/>
      <c r="U48" s="133"/>
      <c r="V48" s="133"/>
      <c r="W48" s="133"/>
      <c r="X48" s="133"/>
      <c r="Y48" s="133"/>
      <c r="Z48" s="133"/>
      <c r="AA48" s="133"/>
    </row>
    <row r="49" spans="1:27" ht="138" customHeight="1" thickBot="1" x14ac:dyDescent="0.4">
      <c r="A49" s="135"/>
      <c r="B49" s="168" t="s">
        <v>87</v>
      </c>
      <c r="C49" s="168" t="s">
        <v>88</v>
      </c>
      <c r="D49" s="162" t="s">
        <v>16</v>
      </c>
      <c r="E49" s="100">
        <v>0.25</v>
      </c>
      <c r="F49" s="101">
        <v>5</v>
      </c>
      <c r="G49" s="163">
        <v>0</v>
      </c>
      <c r="H49" s="164"/>
      <c r="I49" s="165"/>
      <c r="J49" s="178"/>
      <c r="K49" s="164"/>
      <c r="L49" s="164"/>
      <c r="M49" s="164"/>
      <c r="N49" s="165"/>
      <c r="O49" s="166" t="s">
        <v>1862</v>
      </c>
      <c r="P49" s="146"/>
      <c r="Q49" s="144"/>
      <c r="R49" s="144"/>
      <c r="S49" s="144"/>
      <c r="T49" s="144"/>
      <c r="U49" s="133"/>
      <c r="V49" s="133"/>
      <c r="W49" s="133"/>
      <c r="X49" s="133"/>
      <c r="Y49" s="133"/>
      <c r="Z49" s="133"/>
      <c r="AA49" s="133"/>
    </row>
    <row r="50" spans="1:27" ht="138" customHeight="1" thickBot="1" x14ac:dyDescent="0.4">
      <c r="A50" s="135"/>
      <c r="B50" s="168" t="s">
        <v>89</v>
      </c>
      <c r="C50" s="168" t="s">
        <v>90</v>
      </c>
      <c r="D50" s="162" t="s">
        <v>16</v>
      </c>
      <c r="E50" s="100">
        <v>0.1</v>
      </c>
      <c r="F50" s="101">
        <v>5</v>
      </c>
      <c r="G50" s="163">
        <v>0</v>
      </c>
      <c r="H50" s="164"/>
      <c r="I50" s="165"/>
      <c r="J50" s="163"/>
      <c r="K50" s="164"/>
      <c r="L50" s="164"/>
      <c r="M50" s="164"/>
      <c r="N50" s="165"/>
      <c r="O50" s="166" t="s">
        <v>1862</v>
      </c>
      <c r="P50" s="146"/>
      <c r="Q50" s="144"/>
      <c r="R50" s="144"/>
      <c r="S50" s="144"/>
      <c r="T50" s="144"/>
      <c r="U50" s="133"/>
      <c r="V50" s="133"/>
      <c r="W50" s="133"/>
      <c r="X50" s="133"/>
      <c r="Y50" s="133"/>
      <c r="Z50" s="133"/>
      <c r="AA50" s="133"/>
    </row>
    <row r="51" spans="1:27" ht="138" customHeight="1" thickBot="1" x14ac:dyDescent="0.4">
      <c r="A51" s="135"/>
      <c r="B51" s="168" t="s">
        <v>91</v>
      </c>
      <c r="C51" s="168" t="s">
        <v>92</v>
      </c>
      <c r="D51" s="162" t="s">
        <v>16</v>
      </c>
      <c r="E51" s="100">
        <v>0.1</v>
      </c>
      <c r="F51" s="101">
        <f>33*4</f>
        <v>132</v>
      </c>
      <c r="G51" s="163">
        <v>33</v>
      </c>
      <c r="H51" s="164">
        <f t="shared" si="5"/>
        <v>0.25</v>
      </c>
      <c r="I51" s="164">
        <f t="shared" si="6"/>
        <v>2.5000000000000001E-2</v>
      </c>
      <c r="J51" s="163">
        <v>33</v>
      </c>
      <c r="K51" s="164">
        <f t="shared" si="7"/>
        <v>1</v>
      </c>
      <c r="L51" s="164">
        <f>+K51*E51</f>
        <v>0.1</v>
      </c>
      <c r="M51" s="164">
        <f t="shared" si="8"/>
        <v>0.25</v>
      </c>
      <c r="N51" s="165">
        <f>+M51*E51</f>
        <v>2.5000000000000001E-2</v>
      </c>
      <c r="O51" s="166" t="s">
        <v>1862</v>
      </c>
      <c r="P51" s="146"/>
      <c r="Q51" s="144"/>
      <c r="R51" s="144"/>
      <c r="S51" s="144"/>
      <c r="T51" s="144"/>
      <c r="U51" s="133"/>
      <c r="V51" s="133"/>
      <c r="W51" s="133"/>
      <c r="X51" s="133"/>
      <c r="Y51" s="133"/>
      <c r="Z51" s="133"/>
      <c r="AA51" s="133"/>
    </row>
    <row r="52" spans="1:27" ht="138" customHeight="1" thickBot="1" x14ac:dyDescent="0.4">
      <c r="A52" s="135"/>
      <c r="B52" s="695" t="s">
        <v>1609</v>
      </c>
      <c r="C52" s="691"/>
      <c r="D52" s="162"/>
      <c r="E52" s="99">
        <v>0.15</v>
      </c>
      <c r="F52" s="144"/>
      <c r="G52" s="144"/>
      <c r="H52" s="120">
        <f>+AVERAGE(H53:H56)</f>
        <v>0.25</v>
      </c>
      <c r="I52" s="120">
        <f>+I53+I54+I55+I56</f>
        <v>0.125</v>
      </c>
      <c r="J52" s="144"/>
      <c r="K52" s="159">
        <f>+AVERAGE(K53:K56)</f>
        <v>1</v>
      </c>
      <c r="L52" s="159">
        <f>+(L53+L54+L55+L56)*E52</f>
        <v>7.4999999999999997E-2</v>
      </c>
      <c r="M52" s="120">
        <f>+AVERAGE(M53:M56)</f>
        <v>0.26200000000000001</v>
      </c>
      <c r="N52" s="121">
        <f>+(N53+N54+N55+N56)*E52</f>
        <v>1.9650000000000001E-2</v>
      </c>
      <c r="O52" s="160"/>
      <c r="P52" s="146"/>
      <c r="Q52" s="144"/>
      <c r="R52" s="144"/>
      <c r="S52" s="144"/>
      <c r="T52" s="144"/>
      <c r="U52" s="133"/>
      <c r="V52" s="133"/>
      <c r="W52" s="133"/>
      <c r="X52" s="133"/>
      <c r="Y52" s="133"/>
      <c r="Z52" s="133"/>
      <c r="AA52" s="133"/>
    </row>
    <row r="53" spans="1:27" ht="138" customHeight="1" thickBot="1" x14ac:dyDescent="0.4">
      <c r="A53" s="135"/>
      <c r="B53" s="168" t="s">
        <v>93</v>
      </c>
      <c r="C53" s="168" t="s">
        <v>94</v>
      </c>
      <c r="D53" s="162" t="s">
        <v>16</v>
      </c>
      <c r="E53" s="100">
        <v>0.25</v>
      </c>
      <c r="F53" s="101">
        <v>2500</v>
      </c>
      <c r="G53" s="163">
        <v>0</v>
      </c>
      <c r="H53" s="164"/>
      <c r="I53" s="164"/>
      <c r="J53" s="163"/>
      <c r="K53" s="164"/>
      <c r="L53" s="164"/>
      <c r="M53" s="164"/>
      <c r="N53" s="165"/>
      <c r="O53" s="166" t="s">
        <v>1862</v>
      </c>
      <c r="P53" s="146"/>
      <c r="Q53" s="144"/>
      <c r="R53" s="144"/>
      <c r="S53" s="144"/>
      <c r="T53" s="144"/>
      <c r="U53" s="133"/>
      <c r="V53" s="133"/>
      <c r="W53" s="133"/>
      <c r="X53" s="133"/>
      <c r="Y53" s="133"/>
      <c r="Z53" s="133"/>
      <c r="AA53" s="133"/>
    </row>
    <row r="54" spans="1:27" ht="138" customHeight="1" thickBot="1" x14ac:dyDescent="0.4">
      <c r="A54" s="135"/>
      <c r="B54" s="168" t="s">
        <v>95</v>
      </c>
      <c r="C54" s="168" t="s">
        <v>96</v>
      </c>
      <c r="D54" s="162" t="s">
        <v>16</v>
      </c>
      <c r="E54" s="100">
        <v>0.25</v>
      </c>
      <c r="F54" s="101">
        <v>4</v>
      </c>
      <c r="G54" s="163">
        <v>0</v>
      </c>
      <c r="H54" s="164"/>
      <c r="I54" s="164"/>
      <c r="J54" s="163"/>
      <c r="K54" s="164"/>
      <c r="L54" s="164"/>
      <c r="M54" s="164"/>
      <c r="N54" s="165"/>
      <c r="O54" s="166" t="s">
        <v>1862</v>
      </c>
      <c r="P54" s="146"/>
      <c r="Q54" s="144"/>
      <c r="R54" s="144"/>
      <c r="S54" s="144"/>
      <c r="T54" s="144"/>
      <c r="U54" s="133"/>
      <c r="V54" s="133"/>
      <c r="W54" s="133"/>
      <c r="X54" s="133"/>
      <c r="Y54" s="133"/>
      <c r="Z54" s="133"/>
      <c r="AA54" s="133"/>
    </row>
    <row r="55" spans="1:27" ht="138" customHeight="1" thickBot="1" x14ac:dyDescent="0.4">
      <c r="A55" s="135"/>
      <c r="B55" s="168" t="s">
        <v>97</v>
      </c>
      <c r="C55" s="168" t="s">
        <v>98</v>
      </c>
      <c r="D55" s="162" t="s">
        <v>16</v>
      </c>
      <c r="E55" s="100">
        <v>0.25</v>
      </c>
      <c r="F55" s="101">
        <v>2500</v>
      </c>
      <c r="G55" s="163">
        <v>625</v>
      </c>
      <c r="H55" s="164">
        <f>+G55/F55</f>
        <v>0.25</v>
      </c>
      <c r="I55" s="164">
        <f>+(G55/F55)*E55</f>
        <v>6.25E-2</v>
      </c>
      <c r="J55" s="163">
        <v>685</v>
      </c>
      <c r="K55" s="164">
        <v>1</v>
      </c>
      <c r="L55" s="164">
        <f>+K55*E55</f>
        <v>0.25</v>
      </c>
      <c r="M55" s="164">
        <f>+J55/F55</f>
        <v>0.27400000000000002</v>
      </c>
      <c r="N55" s="165">
        <f>+M55*E55</f>
        <v>6.8500000000000005E-2</v>
      </c>
      <c r="O55" s="166" t="s">
        <v>1862</v>
      </c>
      <c r="P55" s="146"/>
      <c r="Q55" s="144"/>
      <c r="R55" s="144"/>
      <c r="S55" s="144"/>
      <c r="T55" s="144"/>
      <c r="U55" s="133"/>
      <c r="V55" s="133"/>
      <c r="W55" s="133"/>
      <c r="X55" s="133"/>
      <c r="Y55" s="133"/>
      <c r="Z55" s="133"/>
      <c r="AA55" s="133"/>
    </row>
    <row r="56" spans="1:27" ht="138" customHeight="1" thickBot="1" x14ac:dyDescent="0.4">
      <c r="A56" s="135"/>
      <c r="B56" s="168" t="s">
        <v>99</v>
      </c>
      <c r="C56" s="168" t="s">
        <v>100</v>
      </c>
      <c r="D56" s="162" t="s">
        <v>16</v>
      </c>
      <c r="E56" s="100">
        <v>0.25</v>
      </c>
      <c r="F56" s="101">
        <v>4</v>
      </c>
      <c r="G56" s="163">
        <v>1</v>
      </c>
      <c r="H56" s="164">
        <f>+G56/F56</f>
        <v>0.25</v>
      </c>
      <c r="I56" s="164">
        <f>+(G56/F56)*E56</f>
        <v>6.25E-2</v>
      </c>
      <c r="J56" s="163">
        <v>1</v>
      </c>
      <c r="K56" s="164">
        <f>+(J56/G56)</f>
        <v>1</v>
      </c>
      <c r="L56" s="164">
        <f>+K56*E56</f>
        <v>0.25</v>
      </c>
      <c r="M56" s="164">
        <f>+J56/F56</f>
        <v>0.25</v>
      </c>
      <c r="N56" s="165">
        <f>+M56*E56</f>
        <v>6.25E-2</v>
      </c>
      <c r="O56" s="166" t="s">
        <v>1862</v>
      </c>
      <c r="P56" s="146"/>
      <c r="Q56" s="144"/>
      <c r="R56" s="144"/>
      <c r="S56" s="144"/>
      <c r="T56" s="144"/>
      <c r="U56" s="133"/>
      <c r="V56" s="133"/>
      <c r="W56" s="133"/>
      <c r="X56" s="133"/>
      <c r="Y56" s="133"/>
      <c r="Z56" s="133"/>
      <c r="AA56" s="133"/>
    </row>
    <row r="57" spans="1:27" ht="72" customHeight="1" thickBot="1" x14ac:dyDescent="0.4">
      <c r="A57" s="135"/>
      <c r="B57" s="695" t="s">
        <v>1610</v>
      </c>
      <c r="C57" s="691"/>
      <c r="D57" s="162"/>
      <c r="E57" s="99">
        <v>0.1</v>
      </c>
      <c r="F57" s="144"/>
      <c r="G57" s="180"/>
      <c r="H57" s="120">
        <f>+AVERAGE(H58:H76)</f>
        <v>0.25</v>
      </c>
      <c r="I57" s="181">
        <f>+I58+I59+I60+I61+I62+I63+I64+I65+I66+I67+I68+I69+I70+I71+I72+I73+I74+I75+I76</f>
        <v>0.14500000000000005</v>
      </c>
      <c r="J57" s="144"/>
      <c r="K57" s="159">
        <f>+AVERAGE(K58:K76)</f>
        <v>0.9349090909090908</v>
      </c>
      <c r="L57" s="159">
        <f>+(L58+L59+L60+L61+L62+L63+L64+L65+L66+L67+L68+L69+L70+L71+L72+L73+L74+L75+L76)*E57</f>
        <v>5.0840000000000024E-2</v>
      </c>
      <c r="M57" s="120">
        <f>+AVERAGE(M58:M76)</f>
        <v>0.2337272727272727</v>
      </c>
      <c r="N57" s="121">
        <f>+(N58+N59+N60+N61+N62+N63+N64+N65+N66+N67+N68+N69+N70+N71+N72+N73+N74+N75+N76)*E57</f>
        <v>1.2710000000000006E-2</v>
      </c>
      <c r="O57" s="160"/>
      <c r="P57" s="146"/>
      <c r="Q57" s="144"/>
      <c r="R57" s="144"/>
      <c r="S57" s="144"/>
      <c r="T57" s="144"/>
      <c r="U57" s="133"/>
      <c r="V57" s="133"/>
      <c r="W57" s="133"/>
      <c r="X57" s="133"/>
      <c r="Y57" s="133"/>
      <c r="Z57" s="133"/>
      <c r="AA57" s="133"/>
    </row>
    <row r="58" spans="1:27" ht="132.6" customHeight="1" thickBot="1" x14ac:dyDescent="0.4">
      <c r="A58" s="135"/>
      <c r="B58" s="168" t="s">
        <v>101</v>
      </c>
      <c r="C58" s="168" t="s">
        <v>102</v>
      </c>
      <c r="D58" s="162" t="s">
        <v>16</v>
      </c>
      <c r="E58" s="118">
        <v>0.1</v>
      </c>
      <c r="F58" s="101">
        <v>1000</v>
      </c>
      <c r="G58" s="163">
        <v>0</v>
      </c>
      <c r="H58" s="164"/>
      <c r="I58" s="164"/>
      <c r="J58" s="163"/>
      <c r="K58" s="164"/>
      <c r="L58" s="164"/>
      <c r="M58" s="164"/>
      <c r="N58" s="165"/>
      <c r="O58" s="166" t="s">
        <v>1862</v>
      </c>
      <c r="P58" s="146"/>
      <c r="Q58" s="144"/>
      <c r="R58" s="144"/>
      <c r="S58" s="144"/>
      <c r="T58" s="144"/>
      <c r="U58" s="133"/>
      <c r="V58" s="133"/>
      <c r="W58" s="133"/>
      <c r="X58" s="133"/>
      <c r="Y58" s="133"/>
      <c r="Z58" s="133"/>
      <c r="AA58" s="133"/>
    </row>
    <row r="59" spans="1:27" ht="132.6" customHeight="1" thickBot="1" x14ac:dyDescent="0.4">
      <c r="A59" s="135"/>
      <c r="B59" s="168" t="s">
        <v>103</v>
      </c>
      <c r="C59" s="168" t="s">
        <v>104</v>
      </c>
      <c r="D59" s="162" t="s">
        <v>16</v>
      </c>
      <c r="E59" s="118">
        <v>0.1</v>
      </c>
      <c r="F59" s="101">
        <v>1000</v>
      </c>
      <c r="G59" s="163">
        <v>250</v>
      </c>
      <c r="H59" s="164">
        <f t="shared" ref="H59:H73" si="9">+G59/F59</f>
        <v>0.25</v>
      </c>
      <c r="I59" s="164">
        <f t="shared" ref="I59:I73" si="10">+(G59/F59)*E59</f>
        <v>2.5000000000000001E-2</v>
      </c>
      <c r="J59" s="163">
        <v>71</v>
      </c>
      <c r="K59" s="164">
        <f t="shared" ref="K59:K73" si="11">+(J59/G59)</f>
        <v>0.28399999999999997</v>
      </c>
      <c r="L59" s="164">
        <f>+K59*E59</f>
        <v>2.8399999999999998E-2</v>
      </c>
      <c r="M59" s="164">
        <f t="shared" ref="M59:M73" si="12">+J59/F59</f>
        <v>7.0999999999999994E-2</v>
      </c>
      <c r="N59" s="165">
        <f>+M59*E59</f>
        <v>7.0999999999999995E-3</v>
      </c>
      <c r="O59" s="166" t="s">
        <v>1862</v>
      </c>
      <c r="P59" s="146"/>
      <c r="Q59" s="144"/>
      <c r="R59" s="144"/>
      <c r="S59" s="144"/>
      <c r="T59" s="144"/>
      <c r="U59" s="133"/>
      <c r="V59" s="133"/>
      <c r="W59" s="133"/>
      <c r="X59" s="133"/>
      <c r="Y59" s="133"/>
      <c r="Z59" s="133"/>
      <c r="AA59" s="133"/>
    </row>
    <row r="60" spans="1:27" ht="132.6" customHeight="1" thickBot="1" x14ac:dyDescent="0.4">
      <c r="A60" s="135"/>
      <c r="B60" s="161" t="s">
        <v>105</v>
      </c>
      <c r="C60" s="161" t="s">
        <v>106</v>
      </c>
      <c r="D60" s="162" t="s">
        <v>16</v>
      </c>
      <c r="E60" s="118">
        <v>0.1</v>
      </c>
      <c r="F60" s="104">
        <v>1</v>
      </c>
      <c r="G60" s="182">
        <f>0.0625*4</f>
        <v>0.25</v>
      </c>
      <c r="H60" s="164">
        <f t="shared" si="9"/>
        <v>0.25</v>
      </c>
      <c r="I60" s="164">
        <f t="shared" si="10"/>
        <v>2.5000000000000001E-2</v>
      </c>
      <c r="J60" s="183">
        <v>0.25</v>
      </c>
      <c r="K60" s="164">
        <f t="shared" si="11"/>
        <v>1</v>
      </c>
      <c r="L60" s="164">
        <f>+K60*E60</f>
        <v>0.1</v>
      </c>
      <c r="M60" s="164">
        <f t="shared" si="12"/>
        <v>0.25</v>
      </c>
      <c r="N60" s="184">
        <f>+M60*E60</f>
        <v>2.5000000000000001E-2</v>
      </c>
      <c r="O60" s="166" t="s">
        <v>1862</v>
      </c>
      <c r="P60" s="146"/>
      <c r="Q60" s="144"/>
      <c r="R60" s="144"/>
      <c r="S60" s="144"/>
      <c r="T60" s="144"/>
      <c r="U60" s="133"/>
      <c r="V60" s="133"/>
      <c r="W60" s="133"/>
      <c r="X60" s="133"/>
      <c r="Y60" s="133"/>
      <c r="Z60" s="133"/>
      <c r="AA60" s="133"/>
    </row>
    <row r="61" spans="1:27" ht="132.6" customHeight="1" thickBot="1" x14ac:dyDescent="0.4">
      <c r="A61" s="135"/>
      <c r="B61" s="161" t="s">
        <v>107</v>
      </c>
      <c r="C61" s="161" t="s">
        <v>108</v>
      </c>
      <c r="D61" s="162" t="s">
        <v>16</v>
      </c>
      <c r="E61" s="118">
        <v>0.1</v>
      </c>
      <c r="F61" s="104">
        <v>1</v>
      </c>
      <c r="G61" s="182">
        <f>0.0625*4</f>
        <v>0.25</v>
      </c>
      <c r="H61" s="164">
        <f t="shared" si="9"/>
        <v>0.25</v>
      </c>
      <c r="I61" s="164">
        <f t="shared" si="10"/>
        <v>2.5000000000000001E-2</v>
      </c>
      <c r="J61" s="183">
        <v>0.25</v>
      </c>
      <c r="K61" s="164">
        <f t="shared" si="11"/>
        <v>1</v>
      </c>
      <c r="L61" s="164">
        <f>+K61*E61</f>
        <v>0.1</v>
      </c>
      <c r="M61" s="164">
        <f t="shared" si="12"/>
        <v>0.25</v>
      </c>
      <c r="N61" s="184">
        <f>+M61*E61</f>
        <v>2.5000000000000001E-2</v>
      </c>
      <c r="O61" s="166" t="s">
        <v>1862</v>
      </c>
      <c r="P61" s="146"/>
      <c r="Q61" s="144"/>
      <c r="R61" s="144"/>
      <c r="S61" s="144"/>
      <c r="T61" s="144"/>
      <c r="U61" s="133"/>
      <c r="V61" s="133"/>
      <c r="W61" s="133"/>
      <c r="X61" s="133"/>
      <c r="Y61" s="133"/>
      <c r="Z61" s="133"/>
      <c r="AA61" s="133"/>
    </row>
    <row r="62" spans="1:27" ht="132.6" customHeight="1" thickBot="1" x14ac:dyDescent="0.4">
      <c r="A62" s="135"/>
      <c r="B62" s="168" t="s">
        <v>109</v>
      </c>
      <c r="C62" s="168" t="s">
        <v>110</v>
      </c>
      <c r="D62" s="162" t="s">
        <v>16</v>
      </c>
      <c r="E62" s="118">
        <v>0.05</v>
      </c>
      <c r="F62" s="101">
        <f>22*4</f>
        <v>88</v>
      </c>
      <c r="G62" s="163">
        <v>22</v>
      </c>
      <c r="H62" s="164">
        <f t="shared" si="9"/>
        <v>0.25</v>
      </c>
      <c r="I62" s="185">
        <f>+(G62/F62)*E62</f>
        <v>1.2500000000000001E-2</v>
      </c>
      <c r="J62" s="163">
        <v>22</v>
      </c>
      <c r="K62" s="164">
        <f t="shared" si="11"/>
        <v>1</v>
      </c>
      <c r="L62" s="164">
        <f>+K62*E62</f>
        <v>0.05</v>
      </c>
      <c r="M62" s="164">
        <f t="shared" si="12"/>
        <v>0.25</v>
      </c>
      <c r="N62" s="165">
        <f>+M62*E62</f>
        <v>1.2500000000000001E-2</v>
      </c>
      <c r="O62" s="166" t="s">
        <v>1862</v>
      </c>
      <c r="P62" s="146"/>
      <c r="Q62" s="144"/>
      <c r="R62" s="144"/>
      <c r="S62" s="144"/>
      <c r="T62" s="144"/>
      <c r="U62" s="133"/>
      <c r="V62" s="133"/>
      <c r="W62" s="133"/>
      <c r="X62" s="133"/>
      <c r="Y62" s="133"/>
      <c r="Z62" s="133"/>
      <c r="AA62" s="133"/>
    </row>
    <row r="63" spans="1:27" ht="132.6" customHeight="1" thickBot="1" x14ac:dyDescent="0.4">
      <c r="A63" s="135"/>
      <c r="B63" s="168" t="s">
        <v>111</v>
      </c>
      <c r="C63" s="168" t="s">
        <v>112</v>
      </c>
      <c r="D63" s="162" t="s">
        <v>16</v>
      </c>
      <c r="E63" s="118">
        <v>0.02</v>
      </c>
      <c r="F63" s="101">
        <v>1</v>
      </c>
      <c r="G63" s="163">
        <v>0</v>
      </c>
      <c r="H63" s="164"/>
      <c r="I63" s="164"/>
      <c r="J63" s="163"/>
      <c r="K63" s="164"/>
      <c r="L63" s="164"/>
      <c r="M63" s="164"/>
      <c r="N63" s="165"/>
      <c r="O63" s="166" t="s">
        <v>1862</v>
      </c>
      <c r="P63" s="146"/>
      <c r="Q63" s="144"/>
      <c r="R63" s="144"/>
      <c r="S63" s="144"/>
      <c r="T63" s="144"/>
      <c r="U63" s="133"/>
      <c r="V63" s="133"/>
      <c r="W63" s="133"/>
      <c r="X63" s="133"/>
      <c r="Y63" s="133"/>
      <c r="Z63" s="133"/>
      <c r="AA63" s="133"/>
    </row>
    <row r="64" spans="1:27" ht="132.6" customHeight="1" thickBot="1" x14ac:dyDescent="0.4">
      <c r="A64" s="135"/>
      <c r="B64" s="168" t="s">
        <v>113</v>
      </c>
      <c r="C64" s="168" t="s">
        <v>114</v>
      </c>
      <c r="D64" s="162" t="s">
        <v>16</v>
      </c>
      <c r="E64" s="118">
        <v>0.02</v>
      </c>
      <c r="F64" s="101">
        <v>1</v>
      </c>
      <c r="G64" s="163">
        <v>0</v>
      </c>
      <c r="H64" s="164"/>
      <c r="I64" s="164"/>
      <c r="J64" s="163"/>
      <c r="K64" s="164"/>
      <c r="L64" s="164"/>
      <c r="M64" s="164"/>
      <c r="N64" s="165"/>
      <c r="O64" s="166" t="s">
        <v>1862</v>
      </c>
      <c r="P64" s="146"/>
      <c r="Q64" s="144"/>
      <c r="R64" s="144"/>
      <c r="S64" s="144"/>
      <c r="T64" s="144"/>
      <c r="U64" s="133"/>
      <c r="V64" s="133"/>
      <c r="W64" s="133"/>
      <c r="X64" s="133"/>
      <c r="Y64" s="133"/>
      <c r="Z64" s="133"/>
      <c r="AA64" s="133"/>
    </row>
    <row r="65" spans="1:27" ht="132.6" customHeight="1" thickBot="1" x14ac:dyDescent="0.4">
      <c r="A65" s="135"/>
      <c r="B65" s="168" t="s">
        <v>115</v>
      </c>
      <c r="C65" s="168" t="s">
        <v>116</v>
      </c>
      <c r="D65" s="162" t="s">
        <v>16</v>
      </c>
      <c r="E65" s="118">
        <v>0.05</v>
      </c>
      <c r="F65" s="101">
        <v>1</v>
      </c>
      <c r="G65" s="163">
        <v>0</v>
      </c>
      <c r="H65" s="164"/>
      <c r="I65" s="164"/>
      <c r="J65" s="163"/>
      <c r="K65" s="164"/>
      <c r="L65" s="164"/>
      <c r="M65" s="164"/>
      <c r="N65" s="165"/>
      <c r="O65" s="166" t="s">
        <v>1862</v>
      </c>
      <c r="P65" s="146"/>
      <c r="Q65" s="144"/>
      <c r="R65" s="144"/>
      <c r="S65" s="144"/>
      <c r="T65" s="144"/>
      <c r="U65" s="133"/>
      <c r="V65" s="133"/>
      <c r="W65" s="133"/>
      <c r="X65" s="133"/>
      <c r="Y65" s="133"/>
      <c r="Z65" s="133"/>
      <c r="AA65" s="133"/>
    </row>
    <row r="66" spans="1:27" ht="132.6" customHeight="1" thickBot="1" x14ac:dyDescent="0.4">
      <c r="A66" s="135"/>
      <c r="B66" s="168" t="s">
        <v>117</v>
      </c>
      <c r="C66" s="168" t="s">
        <v>118</v>
      </c>
      <c r="D66" s="162" t="s">
        <v>16</v>
      </c>
      <c r="E66" s="118">
        <v>0.02</v>
      </c>
      <c r="F66" s="101">
        <v>4</v>
      </c>
      <c r="G66" s="163">
        <v>1</v>
      </c>
      <c r="H66" s="164">
        <f t="shared" si="9"/>
        <v>0.25</v>
      </c>
      <c r="I66" s="164">
        <f t="shared" si="10"/>
        <v>5.0000000000000001E-3</v>
      </c>
      <c r="J66" s="163">
        <v>1</v>
      </c>
      <c r="K66" s="164">
        <f>+(J66/G66)</f>
        <v>1</v>
      </c>
      <c r="L66" s="164">
        <f t="shared" ref="L66:L71" si="13">+K66*E66</f>
        <v>0.02</v>
      </c>
      <c r="M66" s="164">
        <f>+J66/F66</f>
        <v>0.25</v>
      </c>
      <c r="N66" s="165">
        <f t="shared" ref="N66:N71" si="14">+M66*E66</f>
        <v>5.0000000000000001E-3</v>
      </c>
      <c r="O66" s="166" t="s">
        <v>1862</v>
      </c>
      <c r="P66" s="146"/>
      <c r="Q66" s="144"/>
      <c r="R66" s="144"/>
      <c r="S66" s="144"/>
      <c r="T66" s="144"/>
      <c r="U66" s="133"/>
      <c r="V66" s="133"/>
      <c r="W66" s="133"/>
      <c r="X66" s="133"/>
      <c r="Y66" s="133"/>
      <c r="Z66" s="133"/>
      <c r="AA66" s="133"/>
    </row>
    <row r="67" spans="1:27" ht="132.6" customHeight="1" thickBot="1" x14ac:dyDescent="0.4">
      <c r="A67" s="135"/>
      <c r="B67" s="168" t="s">
        <v>119</v>
      </c>
      <c r="C67" s="168" t="s">
        <v>120</v>
      </c>
      <c r="D67" s="162" t="s">
        <v>16</v>
      </c>
      <c r="E67" s="118">
        <v>0.02</v>
      </c>
      <c r="F67" s="101">
        <v>4</v>
      </c>
      <c r="G67" s="163">
        <v>1</v>
      </c>
      <c r="H67" s="164">
        <f t="shared" si="9"/>
        <v>0.25</v>
      </c>
      <c r="I67" s="164">
        <f t="shared" si="10"/>
        <v>5.0000000000000001E-3</v>
      </c>
      <c r="J67" s="163">
        <v>1</v>
      </c>
      <c r="K67" s="164">
        <f>+(J67/G67)</f>
        <v>1</v>
      </c>
      <c r="L67" s="164">
        <f t="shared" si="13"/>
        <v>0.02</v>
      </c>
      <c r="M67" s="164">
        <f>+J67/F67</f>
        <v>0.25</v>
      </c>
      <c r="N67" s="165">
        <f t="shared" si="14"/>
        <v>5.0000000000000001E-3</v>
      </c>
      <c r="O67" s="166" t="s">
        <v>1862</v>
      </c>
      <c r="P67" s="146"/>
      <c r="Q67" s="144"/>
      <c r="R67" s="144"/>
      <c r="S67" s="144"/>
      <c r="T67" s="144"/>
      <c r="U67" s="133"/>
      <c r="V67" s="133"/>
      <c r="W67" s="133"/>
      <c r="X67" s="133"/>
      <c r="Y67" s="133"/>
      <c r="Z67" s="133"/>
      <c r="AA67" s="133"/>
    </row>
    <row r="68" spans="1:27" ht="132.6" customHeight="1" thickBot="1" x14ac:dyDescent="0.4">
      <c r="A68" s="135"/>
      <c r="B68" s="168" t="s">
        <v>121</v>
      </c>
      <c r="C68" s="168" t="s">
        <v>122</v>
      </c>
      <c r="D68" s="162" t="s">
        <v>16</v>
      </c>
      <c r="E68" s="118">
        <v>0.02</v>
      </c>
      <c r="F68" s="101">
        <v>4</v>
      </c>
      <c r="G68" s="163">
        <v>1</v>
      </c>
      <c r="H68" s="164">
        <f t="shared" si="9"/>
        <v>0.25</v>
      </c>
      <c r="I68" s="164">
        <f t="shared" si="10"/>
        <v>5.0000000000000001E-3</v>
      </c>
      <c r="J68" s="163">
        <v>1</v>
      </c>
      <c r="K68" s="164">
        <f>+(J68/G68)</f>
        <v>1</v>
      </c>
      <c r="L68" s="164">
        <f t="shared" si="13"/>
        <v>0.02</v>
      </c>
      <c r="M68" s="164">
        <f>+J68/F68</f>
        <v>0.25</v>
      </c>
      <c r="N68" s="165">
        <f t="shared" si="14"/>
        <v>5.0000000000000001E-3</v>
      </c>
      <c r="O68" s="166" t="s">
        <v>1862</v>
      </c>
      <c r="P68" s="146"/>
      <c r="Q68" s="144"/>
      <c r="R68" s="144"/>
      <c r="S68" s="144"/>
      <c r="T68" s="144"/>
      <c r="U68" s="133"/>
      <c r="V68" s="133"/>
      <c r="W68" s="133"/>
      <c r="X68" s="133"/>
      <c r="Y68" s="133"/>
      <c r="Z68" s="133"/>
      <c r="AA68" s="133"/>
    </row>
    <row r="69" spans="1:27" ht="132.6" customHeight="1" thickBot="1" x14ac:dyDescent="0.4">
      <c r="A69" s="135"/>
      <c r="B69" s="168" t="s">
        <v>123</v>
      </c>
      <c r="C69" s="168" t="s">
        <v>124</v>
      </c>
      <c r="D69" s="162" t="s">
        <v>16</v>
      </c>
      <c r="E69" s="118">
        <v>0.02</v>
      </c>
      <c r="F69" s="101">
        <v>4</v>
      </c>
      <c r="G69" s="163">
        <v>1</v>
      </c>
      <c r="H69" s="164">
        <f t="shared" si="9"/>
        <v>0.25</v>
      </c>
      <c r="I69" s="164">
        <f t="shared" si="10"/>
        <v>5.0000000000000001E-3</v>
      </c>
      <c r="J69" s="163">
        <v>1</v>
      </c>
      <c r="K69" s="164">
        <f t="shared" si="11"/>
        <v>1</v>
      </c>
      <c r="L69" s="164">
        <f t="shared" si="13"/>
        <v>0.02</v>
      </c>
      <c r="M69" s="164">
        <f t="shared" si="12"/>
        <v>0.25</v>
      </c>
      <c r="N69" s="165">
        <f t="shared" si="14"/>
        <v>5.0000000000000001E-3</v>
      </c>
      <c r="O69" s="166" t="s">
        <v>1862</v>
      </c>
      <c r="P69" s="146"/>
      <c r="Q69" s="144"/>
      <c r="R69" s="144"/>
      <c r="S69" s="144"/>
      <c r="T69" s="144"/>
      <c r="U69" s="133"/>
      <c r="V69" s="133"/>
      <c r="W69" s="133"/>
      <c r="X69" s="133"/>
      <c r="Y69" s="133"/>
      <c r="Z69" s="133"/>
      <c r="AA69" s="133"/>
    </row>
    <row r="70" spans="1:27" ht="132.6" customHeight="1" thickBot="1" x14ac:dyDescent="0.4">
      <c r="A70" s="135"/>
      <c r="B70" s="168" t="s">
        <v>125</v>
      </c>
      <c r="C70" s="168" t="s">
        <v>126</v>
      </c>
      <c r="D70" s="162" t="s">
        <v>16</v>
      </c>
      <c r="E70" s="118">
        <v>0.02</v>
      </c>
      <c r="F70" s="101">
        <v>4</v>
      </c>
      <c r="G70" s="163">
        <v>1</v>
      </c>
      <c r="H70" s="164">
        <f t="shared" si="9"/>
        <v>0.25</v>
      </c>
      <c r="I70" s="164">
        <f t="shared" si="10"/>
        <v>5.0000000000000001E-3</v>
      </c>
      <c r="J70" s="163">
        <v>1</v>
      </c>
      <c r="K70" s="164">
        <f t="shared" si="11"/>
        <v>1</v>
      </c>
      <c r="L70" s="164">
        <f t="shared" si="13"/>
        <v>0.02</v>
      </c>
      <c r="M70" s="164">
        <f t="shared" si="12"/>
        <v>0.25</v>
      </c>
      <c r="N70" s="165">
        <f t="shared" si="14"/>
        <v>5.0000000000000001E-3</v>
      </c>
      <c r="O70" s="166" t="s">
        <v>1862</v>
      </c>
      <c r="P70" s="146"/>
      <c r="Q70" s="144"/>
      <c r="R70" s="144"/>
      <c r="S70" s="144"/>
      <c r="T70" s="144"/>
      <c r="U70" s="133"/>
      <c r="V70" s="133"/>
      <c r="W70" s="133"/>
      <c r="X70" s="133"/>
      <c r="Y70" s="133"/>
      <c r="Z70" s="133"/>
      <c r="AA70" s="133"/>
    </row>
    <row r="71" spans="1:27" ht="132.6" customHeight="1" thickBot="1" x14ac:dyDescent="0.4">
      <c r="A71" s="135"/>
      <c r="B71" s="168" t="s">
        <v>127</v>
      </c>
      <c r="C71" s="168" t="s">
        <v>128</v>
      </c>
      <c r="D71" s="162" t="s">
        <v>16</v>
      </c>
      <c r="E71" s="118">
        <v>0.08</v>
      </c>
      <c r="F71" s="101">
        <v>8</v>
      </c>
      <c r="G71" s="163">
        <v>2</v>
      </c>
      <c r="H71" s="164">
        <f t="shared" si="9"/>
        <v>0.25</v>
      </c>
      <c r="I71" s="164">
        <f t="shared" si="10"/>
        <v>0.02</v>
      </c>
      <c r="J71" s="163">
        <v>2</v>
      </c>
      <c r="K71" s="164">
        <f t="shared" si="11"/>
        <v>1</v>
      </c>
      <c r="L71" s="164">
        <f t="shared" si="13"/>
        <v>0.08</v>
      </c>
      <c r="M71" s="164">
        <f t="shared" si="12"/>
        <v>0.25</v>
      </c>
      <c r="N71" s="165">
        <f t="shared" si="14"/>
        <v>0.02</v>
      </c>
      <c r="O71" s="166" t="s">
        <v>1862</v>
      </c>
      <c r="P71" s="146"/>
      <c r="Q71" s="144"/>
      <c r="R71" s="144"/>
      <c r="S71" s="144"/>
      <c r="T71" s="144"/>
      <c r="U71" s="133"/>
      <c r="V71" s="133"/>
      <c r="W71" s="133"/>
      <c r="X71" s="133"/>
      <c r="Y71" s="133"/>
      <c r="Z71" s="133"/>
      <c r="AA71" s="133"/>
    </row>
    <row r="72" spans="1:27" ht="132.6" customHeight="1" thickBot="1" x14ac:dyDescent="0.4">
      <c r="A72" s="135"/>
      <c r="B72" s="168" t="s">
        <v>129</v>
      </c>
      <c r="C72" s="168" t="s">
        <v>130</v>
      </c>
      <c r="D72" s="162" t="s">
        <v>16</v>
      </c>
      <c r="E72" s="118">
        <v>0.05</v>
      </c>
      <c r="F72" s="101">
        <v>4</v>
      </c>
      <c r="G72" s="163">
        <v>0</v>
      </c>
      <c r="H72" s="164"/>
      <c r="I72" s="164"/>
      <c r="J72" s="163"/>
      <c r="K72" s="164"/>
      <c r="L72" s="164"/>
      <c r="M72" s="164"/>
      <c r="N72" s="165"/>
      <c r="O72" s="166" t="s">
        <v>1862</v>
      </c>
      <c r="P72" s="146"/>
      <c r="Q72" s="144"/>
      <c r="R72" s="144"/>
      <c r="S72" s="144"/>
      <c r="T72" s="144"/>
      <c r="U72" s="133"/>
      <c r="V72" s="133"/>
      <c r="W72" s="133"/>
      <c r="X72" s="133"/>
      <c r="Y72" s="133"/>
      <c r="Z72" s="133"/>
      <c r="AA72" s="133"/>
    </row>
    <row r="73" spans="1:27" ht="132.6" customHeight="1" thickBot="1" x14ac:dyDescent="0.4">
      <c r="A73" s="135"/>
      <c r="B73" s="168" t="s">
        <v>131</v>
      </c>
      <c r="C73" s="168" t="s">
        <v>132</v>
      </c>
      <c r="D73" s="162" t="s">
        <v>16</v>
      </c>
      <c r="E73" s="118">
        <v>0.05</v>
      </c>
      <c r="F73" s="101">
        <v>8</v>
      </c>
      <c r="G73" s="163">
        <v>2</v>
      </c>
      <c r="H73" s="164">
        <f t="shared" si="9"/>
        <v>0.25</v>
      </c>
      <c r="I73" s="164">
        <f t="shared" si="10"/>
        <v>1.2500000000000001E-2</v>
      </c>
      <c r="J73" s="163">
        <v>2</v>
      </c>
      <c r="K73" s="164">
        <f t="shared" si="11"/>
        <v>1</v>
      </c>
      <c r="L73" s="164">
        <f>+K73*E73</f>
        <v>0.05</v>
      </c>
      <c r="M73" s="164">
        <f t="shared" si="12"/>
        <v>0.25</v>
      </c>
      <c r="N73" s="165">
        <f>+M73*E73</f>
        <v>1.2500000000000001E-2</v>
      </c>
      <c r="O73" s="166" t="s">
        <v>1862</v>
      </c>
      <c r="P73" s="146"/>
      <c r="Q73" s="144"/>
      <c r="R73" s="144"/>
      <c r="S73" s="144"/>
      <c r="T73" s="144"/>
      <c r="U73" s="133"/>
      <c r="V73" s="133"/>
      <c r="W73" s="133"/>
      <c r="X73" s="133"/>
      <c r="Y73" s="133"/>
      <c r="Z73" s="133"/>
      <c r="AA73" s="133"/>
    </row>
    <row r="74" spans="1:27" ht="132.6" customHeight="1" thickBot="1" x14ac:dyDescent="0.4">
      <c r="A74" s="135"/>
      <c r="B74" s="168" t="s">
        <v>133</v>
      </c>
      <c r="C74" s="168" t="s">
        <v>134</v>
      </c>
      <c r="D74" s="162" t="s">
        <v>16</v>
      </c>
      <c r="E74" s="118">
        <v>0.02</v>
      </c>
      <c r="F74" s="101">
        <v>2</v>
      </c>
      <c r="G74" s="163">
        <v>0</v>
      </c>
      <c r="H74" s="164"/>
      <c r="I74" s="164"/>
      <c r="J74" s="163"/>
      <c r="K74" s="164"/>
      <c r="L74" s="164"/>
      <c r="M74" s="164"/>
      <c r="N74" s="165"/>
      <c r="O74" s="166" t="s">
        <v>1862</v>
      </c>
      <c r="P74" s="146"/>
      <c r="Q74" s="144"/>
      <c r="R74" s="144"/>
      <c r="S74" s="144"/>
      <c r="T74" s="144"/>
      <c r="U74" s="133"/>
      <c r="V74" s="133"/>
      <c r="W74" s="133"/>
      <c r="X74" s="133"/>
      <c r="Y74" s="133"/>
      <c r="Z74" s="133"/>
      <c r="AA74" s="133"/>
    </row>
    <row r="75" spans="1:27" ht="132.6" customHeight="1" thickBot="1" x14ac:dyDescent="0.4">
      <c r="A75" s="135"/>
      <c r="B75" s="168" t="s">
        <v>135</v>
      </c>
      <c r="C75" s="168" t="s">
        <v>136</v>
      </c>
      <c r="D75" s="162" t="s">
        <v>16</v>
      </c>
      <c r="E75" s="118">
        <v>0.08</v>
      </c>
      <c r="F75" s="101">
        <v>1</v>
      </c>
      <c r="G75" s="163">
        <v>0</v>
      </c>
      <c r="H75" s="164"/>
      <c r="I75" s="164"/>
      <c r="J75" s="163"/>
      <c r="K75" s="164"/>
      <c r="L75" s="164"/>
      <c r="M75" s="164"/>
      <c r="N75" s="165"/>
      <c r="O75" s="166" t="s">
        <v>1862</v>
      </c>
      <c r="P75" s="146"/>
      <c r="Q75" s="144"/>
      <c r="R75" s="144"/>
      <c r="S75" s="144"/>
      <c r="T75" s="144"/>
      <c r="U75" s="133"/>
      <c r="V75" s="133"/>
      <c r="W75" s="133"/>
      <c r="X75" s="133"/>
      <c r="Y75" s="133"/>
      <c r="Z75" s="133"/>
      <c r="AA75" s="133"/>
    </row>
    <row r="76" spans="1:27" ht="132.6" customHeight="1" thickBot="1" x14ac:dyDescent="0.4">
      <c r="A76" s="135"/>
      <c r="B76" s="168" t="s">
        <v>137</v>
      </c>
      <c r="C76" s="168" t="s">
        <v>138</v>
      </c>
      <c r="D76" s="162" t="s">
        <v>16</v>
      </c>
      <c r="E76" s="118">
        <v>0.08</v>
      </c>
      <c r="F76" s="101">
        <v>1</v>
      </c>
      <c r="G76" s="163">
        <v>0</v>
      </c>
      <c r="H76" s="164"/>
      <c r="I76" s="164"/>
      <c r="J76" s="163"/>
      <c r="K76" s="164"/>
      <c r="L76" s="164"/>
      <c r="M76" s="164"/>
      <c r="N76" s="165"/>
      <c r="O76" s="166" t="s">
        <v>1862</v>
      </c>
      <c r="P76" s="146"/>
      <c r="Q76" s="144"/>
      <c r="R76" s="144"/>
      <c r="S76" s="144"/>
      <c r="T76" s="144"/>
      <c r="U76" s="133"/>
      <c r="V76" s="133"/>
      <c r="W76" s="133"/>
      <c r="X76" s="133"/>
      <c r="Y76" s="133"/>
      <c r="Z76" s="133"/>
      <c r="AA76" s="133"/>
    </row>
    <row r="77" spans="1:27" ht="42.75" customHeight="1" thickBot="1" x14ac:dyDescent="0.4">
      <c r="A77" s="135"/>
      <c r="B77" s="695" t="s">
        <v>1611</v>
      </c>
      <c r="C77" s="691"/>
      <c r="D77" s="162"/>
      <c r="E77" s="99">
        <v>0.1</v>
      </c>
      <c r="F77" s="144"/>
      <c r="G77" s="144"/>
      <c r="H77" s="120">
        <f>+AVERAGE(H78:H86)</f>
        <v>0.25</v>
      </c>
      <c r="I77" s="120">
        <f>+I78+I79+I80+I81+I82+I83+I84+I85+I86</f>
        <v>0.13750000000000001</v>
      </c>
      <c r="J77" s="144"/>
      <c r="K77" s="159">
        <f>+AVERAGE(K78:K86)</f>
        <v>0.95625000000000004</v>
      </c>
      <c r="L77" s="159">
        <f>+(L78+L79+L80+L81+L82+L83+L84+L85+L86)*E77</f>
        <v>5.2593749999999995E-2</v>
      </c>
      <c r="M77" s="120">
        <f>+AVERAGE(M78:M86)</f>
        <v>0.23906250000000001</v>
      </c>
      <c r="N77" s="121">
        <f>+(N78+N79+N80+N81+N82+N83+N84+N85+N86)*E77</f>
        <v>1.3148437499999999E-2</v>
      </c>
      <c r="O77" s="160"/>
      <c r="P77" s="146"/>
      <c r="Q77" s="144"/>
      <c r="R77" s="144"/>
      <c r="S77" s="144"/>
      <c r="T77" s="144"/>
      <c r="U77" s="133"/>
      <c r="V77" s="133"/>
      <c r="W77" s="133"/>
      <c r="X77" s="133"/>
      <c r="Y77" s="133"/>
      <c r="Z77" s="133"/>
      <c r="AA77" s="133"/>
    </row>
    <row r="78" spans="1:27" ht="79.900000000000006" customHeight="1" thickBot="1" x14ac:dyDescent="0.4">
      <c r="A78" s="135"/>
      <c r="B78" s="168" t="s">
        <v>139</v>
      </c>
      <c r="C78" s="168" t="s">
        <v>140</v>
      </c>
      <c r="D78" s="162" t="s">
        <v>16</v>
      </c>
      <c r="E78" s="100">
        <v>0.11</v>
      </c>
      <c r="F78" s="101">
        <v>8</v>
      </c>
      <c r="G78" s="163">
        <v>0</v>
      </c>
      <c r="H78" s="164"/>
      <c r="I78" s="164"/>
      <c r="J78" s="163"/>
      <c r="K78" s="164"/>
      <c r="L78" s="164"/>
      <c r="M78" s="164"/>
      <c r="N78" s="165"/>
      <c r="O78" s="166" t="s">
        <v>1862</v>
      </c>
      <c r="P78" s="146"/>
      <c r="Q78" s="144"/>
      <c r="R78" s="144"/>
      <c r="S78" s="144"/>
      <c r="T78" s="144"/>
      <c r="U78" s="133"/>
      <c r="V78" s="133"/>
      <c r="W78" s="133"/>
      <c r="X78" s="133"/>
      <c r="Y78" s="133"/>
      <c r="Z78" s="133"/>
      <c r="AA78" s="133"/>
    </row>
    <row r="79" spans="1:27" ht="62.45" customHeight="1" thickBot="1" x14ac:dyDescent="0.4">
      <c r="A79" s="135"/>
      <c r="B79" s="168" t="s">
        <v>141</v>
      </c>
      <c r="C79" s="168" t="s">
        <v>142</v>
      </c>
      <c r="D79" s="162" t="s">
        <v>16</v>
      </c>
      <c r="E79" s="100">
        <v>0.11</v>
      </c>
      <c r="F79" s="101">
        <f>64*4</f>
        <v>256</v>
      </c>
      <c r="G79" s="163">
        <v>64</v>
      </c>
      <c r="H79" s="164">
        <f t="shared" ref="H79:H86" si="15">+G79/F79</f>
        <v>0.25</v>
      </c>
      <c r="I79" s="164">
        <f t="shared" ref="I79:I86" si="16">+(G79/F79)*E79</f>
        <v>2.75E-2</v>
      </c>
      <c r="J79" s="163">
        <v>50</v>
      </c>
      <c r="K79" s="164">
        <f>+(J79/G79)</f>
        <v>0.78125</v>
      </c>
      <c r="L79" s="164">
        <f>+K79*E79</f>
        <v>8.59375E-2</v>
      </c>
      <c r="M79" s="164">
        <f>+J79/F79</f>
        <v>0.1953125</v>
      </c>
      <c r="N79" s="165">
        <f>+M79*E79</f>
        <v>2.1484375E-2</v>
      </c>
      <c r="O79" s="166" t="s">
        <v>1862</v>
      </c>
      <c r="P79" s="146"/>
      <c r="Q79" s="144"/>
      <c r="R79" s="144"/>
      <c r="S79" s="144"/>
      <c r="T79" s="144"/>
      <c r="U79" s="133"/>
      <c r="V79" s="133"/>
      <c r="W79" s="133"/>
      <c r="X79" s="133"/>
      <c r="Y79" s="133"/>
      <c r="Z79" s="133"/>
      <c r="AA79" s="133"/>
    </row>
    <row r="80" spans="1:27" ht="56.45" customHeight="1" thickBot="1" x14ac:dyDescent="0.4">
      <c r="A80" s="135"/>
      <c r="B80" s="168" t="s">
        <v>143</v>
      </c>
      <c r="C80" s="168" t="s">
        <v>144</v>
      </c>
      <c r="D80" s="162" t="s">
        <v>16</v>
      </c>
      <c r="E80" s="100">
        <v>0.11</v>
      </c>
      <c r="F80" s="101">
        <v>9</v>
      </c>
      <c r="G80" s="163">
        <v>0</v>
      </c>
      <c r="H80" s="164"/>
      <c r="I80" s="164"/>
      <c r="J80" s="163"/>
      <c r="K80" s="164"/>
      <c r="L80" s="164"/>
      <c r="M80" s="164"/>
      <c r="N80" s="165"/>
      <c r="O80" s="166" t="s">
        <v>1862</v>
      </c>
      <c r="P80" s="146"/>
      <c r="Q80" s="144"/>
      <c r="R80" s="144"/>
      <c r="S80" s="144"/>
      <c r="T80" s="144"/>
      <c r="U80" s="133"/>
      <c r="V80" s="133"/>
      <c r="W80" s="133"/>
      <c r="X80" s="133"/>
      <c r="Y80" s="133"/>
      <c r="Z80" s="133"/>
      <c r="AA80" s="133"/>
    </row>
    <row r="81" spans="1:27" ht="79.150000000000006" customHeight="1" thickBot="1" x14ac:dyDescent="0.4">
      <c r="A81" s="135"/>
      <c r="B81" s="168" t="s">
        <v>145</v>
      </c>
      <c r="C81" s="168" t="s">
        <v>146</v>
      </c>
      <c r="D81" s="162" t="s">
        <v>16</v>
      </c>
      <c r="E81" s="100">
        <v>0.12</v>
      </c>
      <c r="F81" s="101">
        <v>1</v>
      </c>
      <c r="G81" s="163">
        <v>0</v>
      </c>
      <c r="H81" s="164"/>
      <c r="I81" s="164"/>
      <c r="J81" s="163"/>
      <c r="K81" s="164"/>
      <c r="L81" s="164"/>
      <c r="M81" s="164"/>
      <c r="N81" s="165"/>
      <c r="O81" s="166" t="s">
        <v>1862</v>
      </c>
      <c r="P81" s="146"/>
      <c r="Q81" s="144"/>
      <c r="R81" s="144"/>
      <c r="S81" s="144"/>
      <c r="T81" s="144"/>
      <c r="U81" s="133"/>
      <c r="V81" s="133"/>
      <c r="W81" s="133"/>
      <c r="X81" s="133"/>
      <c r="Y81" s="133"/>
      <c r="Z81" s="133"/>
      <c r="AA81" s="133"/>
    </row>
    <row r="82" spans="1:27" ht="63" customHeight="1" thickBot="1" x14ac:dyDescent="0.4">
      <c r="A82" s="135"/>
      <c r="B82" s="168" t="s">
        <v>147</v>
      </c>
      <c r="C82" s="168" t="s">
        <v>148</v>
      </c>
      <c r="D82" s="162" t="s">
        <v>16</v>
      </c>
      <c r="E82" s="100">
        <v>0.11</v>
      </c>
      <c r="F82" s="101">
        <v>4</v>
      </c>
      <c r="G82" s="163">
        <v>1</v>
      </c>
      <c r="H82" s="164">
        <f t="shared" si="15"/>
        <v>0.25</v>
      </c>
      <c r="I82" s="164">
        <f t="shared" si="16"/>
        <v>2.75E-2</v>
      </c>
      <c r="J82" s="163">
        <v>1</v>
      </c>
      <c r="K82" s="164">
        <f>+(J82/G82)</f>
        <v>1</v>
      </c>
      <c r="L82" s="164">
        <f>+K82*E82</f>
        <v>0.11</v>
      </c>
      <c r="M82" s="164">
        <f>+J82/F82</f>
        <v>0.25</v>
      </c>
      <c r="N82" s="165">
        <f>+M82*E82</f>
        <v>2.75E-2</v>
      </c>
      <c r="O82" s="166" t="s">
        <v>1862</v>
      </c>
      <c r="P82" s="146"/>
      <c r="Q82" s="144"/>
      <c r="R82" s="144"/>
      <c r="S82" s="144"/>
      <c r="T82" s="144"/>
      <c r="U82" s="133"/>
      <c r="V82" s="133"/>
      <c r="W82" s="133"/>
      <c r="X82" s="133"/>
      <c r="Y82" s="133"/>
      <c r="Z82" s="133"/>
      <c r="AA82" s="133"/>
    </row>
    <row r="83" spans="1:27" ht="73.150000000000006" customHeight="1" thickBot="1" x14ac:dyDescent="0.4">
      <c r="A83" s="135"/>
      <c r="B83" s="168" t="s">
        <v>149</v>
      </c>
      <c r="C83" s="168" t="s">
        <v>150</v>
      </c>
      <c r="D83" s="162" t="s">
        <v>16</v>
      </c>
      <c r="E83" s="100">
        <v>0.11</v>
      </c>
      <c r="F83" s="101">
        <v>4</v>
      </c>
      <c r="G83" s="163">
        <v>1</v>
      </c>
      <c r="H83" s="164">
        <f t="shared" si="15"/>
        <v>0.25</v>
      </c>
      <c r="I83" s="164">
        <f t="shared" si="16"/>
        <v>2.75E-2</v>
      </c>
      <c r="J83" s="163">
        <v>1</v>
      </c>
      <c r="K83" s="164">
        <f>+(J83/G83)</f>
        <v>1</v>
      </c>
      <c r="L83" s="164">
        <f>+K83*E83</f>
        <v>0.11</v>
      </c>
      <c r="M83" s="164">
        <f>+J83/F83</f>
        <v>0.25</v>
      </c>
      <c r="N83" s="165">
        <f>+M83*E83</f>
        <v>2.75E-2</v>
      </c>
      <c r="O83" s="166" t="s">
        <v>1862</v>
      </c>
      <c r="P83" s="146"/>
      <c r="Q83" s="144"/>
      <c r="R83" s="144"/>
      <c r="S83" s="144"/>
      <c r="T83" s="144"/>
      <c r="U83" s="133"/>
      <c r="V83" s="133"/>
      <c r="W83" s="133"/>
      <c r="X83" s="133"/>
      <c r="Y83" s="133"/>
      <c r="Z83" s="133"/>
      <c r="AA83" s="133"/>
    </row>
    <row r="84" spans="1:27" ht="57" customHeight="1" thickBot="1" x14ac:dyDescent="0.4">
      <c r="A84" s="135"/>
      <c r="B84" s="168" t="s">
        <v>151</v>
      </c>
      <c r="C84" s="168" t="s">
        <v>152</v>
      </c>
      <c r="D84" s="162" t="s">
        <v>16</v>
      </c>
      <c r="E84" s="100">
        <v>0.11</v>
      </c>
      <c r="F84" s="101">
        <v>1</v>
      </c>
      <c r="G84" s="163">
        <v>0.25</v>
      </c>
      <c r="H84" s="164">
        <f t="shared" si="15"/>
        <v>0.25</v>
      </c>
      <c r="I84" s="164">
        <f t="shared" si="16"/>
        <v>2.75E-2</v>
      </c>
      <c r="J84" s="183">
        <v>0.25</v>
      </c>
      <c r="K84" s="164">
        <f>+(J84/G84)</f>
        <v>1</v>
      </c>
      <c r="L84" s="164">
        <f>+K84*E84</f>
        <v>0.11</v>
      </c>
      <c r="M84" s="164">
        <f>+J84/F84</f>
        <v>0.25</v>
      </c>
      <c r="N84" s="165">
        <f>+M84*E84</f>
        <v>2.75E-2</v>
      </c>
      <c r="O84" s="166" t="s">
        <v>1862</v>
      </c>
      <c r="P84" s="146"/>
      <c r="Q84" s="144"/>
      <c r="R84" s="144"/>
      <c r="S84" s="144"/>
      <c r="T84" s="144"/>
      <c r="U84" s="133"/>
      <c r="V84" s="133"/>
      <c r="W84" s="133"/>
      <c r="X84" s="133"/>
      <c r="Y84" s="133"/>
      <c r="Z84" s="133"/>
      <c r="AA84" s="133"/>
    </row>
    <row r="85" spans="1:27" ht="95.45" customHeight="1" thickBot="1" x14ac:dyDescent="0.4">
      <c r="A85" s="135"/>
      <c r="B85" s="168" t="s">
        <v>153</v>
      </c>
      <c r="C85" s="168" t="s">
        <v>154</v>
      </c>
      <c r="D85" s="162" t="s">
        <v>16</v>
      </c>
      <c r="E85" s="100">
        <v>0.11</v>
      </c>
      <c r="F85" s="101">
        <v>86</v>
      </c>
      <c r="G85" s="163">
        <v>0</v>
      </c>
      <c r="H85" s="164"/>
      <c r="I85" s="164"/>
      <c r="J85" s="163"/>
      <c r="K85" s="164"/>
      <c r="L85" s="164"/>
      <c r="M85" s="164"/>
      <c r="N85" s="165"/>
      <c r="O85" s="166" t="s">
        <v>1862</v>
      </c>
      <c r="P85" s="146"/>
      <c r="Q85" s="144"/>
      <c r="R85" s="144"/>
      <c r="S85" s="144"/>
      <c r="T85" s="144"/>
      <c r="U85" s="133"/>
      <c r="V85" s="133"/>
      <c r="W85" s="133"/>
      <c r="X85" s="133"/>
      <c r="Y85" s="133"/>
      <c r="Z85" s="133"/>
      <c r="AA85" s="133"/>
    </row>
    <row r="86" spans="1:27" ht="55.15" customHeight="1" thickBot="1" x14ac:dyDescent="0.4">
      <c r="A86" s="135"/>
      <c r="B86" s="168" t="s">
        <v>155</v>
      </c>
      <c r="C86" s="168" t="s">
        <v>156</v>
      </c>
      <c r="D86" s="162" t="s">
        <v>16</v>
      </c>
      <c r="E86" s="100">
        <v>0.11</v>
      </c>
      <c r="F86" s="101">
        <v>4</v>
      </c>
      <c r="G86" s="163">
        <v>1</v>
      </c>
      <c r="H86" s="164">
        <f t="shared" si="15"/>
        <v>0.25</v>
      </c>
      <c r="I86" s="164">
        <f t="shared" si="16"/>
        <v>2.75E-2</v>
      </c>
      <c r="J86" s="163">
        <v>1</v>
      </c>
      <c r="K86" s="164">
        <f>+(J86/G86)</f>
        <v>1</v>
      </c>
      <c r="L86" s="164">
        <f>+K86*E86</f>
        <v>0.11</v>
      </c>
      <c r="M86" s="164">
        <f>+J86/F86</f>
        <v>0.25</v>
      </c>
      <c r="N86" s="165">
        <f>+M86*E86</f>
        <v>2.75E-2</v>
      </c>
      <c r="O86" s="166" t="s">
        <v>1862</v>
      </c>
      <c r="P86" s="146"/>
      <c r="Q86" s="144"/>
      <c r="R86" s="144"/>
      <c r="S86" s="144"/>
      <c r="T86" s="144"/>
      <c r="U86" s="133"/>
      <c r="V86" s="133"/>
      <c r="W86" s="133"/>
      <c r="X86" s="133"/>
      <c r="Y86" s="133"/>
      <c r="Z86" s="133"/>
      <c r="AA86" s="133"/>
    </row>
    <row r="87" spans="1:27" ht="72" customHeight="1" thickBot="1" x14ac:dyDescent="0.4">
      <c r="A87" s="135"/>
      <c r="B87" s="695" t="s">
        <v>1612</v>
      </c>
      <c r="C87" s="691"/>
      <c r="D87" s="162"/>
      <c r="E87" s="99">
        <v>0.1</v>
      </c>
      <c r="F87" s="144"/>
      <c r="G87" s="144"/>
      <c r="H87" s="120">
        <f>+AVERAGE(H88:H90)</f>
        <v>0.25</v>
      </c>
      <c r="I87" s="120">
        <f>+I88+I89+I90</f>
        <v>0.125</v>
      </c>
      <c r="J87" s="144"/>
      <c r="K87" s="159">
        <f>+AVERAGE(K88:K90)</f>
        <v>1</v>
      </c>
      <c r="L87" s="159">
        <f>+(L88+L89+L90)*E87</f>
        <v>0.05</v>
      </c>
      <c r="M87" s="120">
        <f>+AVERAGE(M88:M90)</f>
        <v>0.25</v>
      </c>
      <c r="N87" s="121">
        <f>+(N88+N89+N90)*E87</f>
        <v>1.2500000000000001E-2</v>
      </c>
      <c r="O87" s="160"/>
      <c r="P87" s="146"/>
      <c r="Q87" s="144"/>
      <c r="R87" s="144"/>
      <c r="S87" s="144"/>
      <c r="T87" s="144"/>
      <c r="U87" s="133"/>
      <c r="V87" s="133"/>
      <c r="W87" s="133"/>
      <c r="X87" s="133"/>
      <c r="Y87" s="133"/>
      <c r="Z87" s="133"/>
      <c r="AA87" s="133"/>
    </row>
    <row r="88" spans="1:27" ht="126" customHeight="1" thickBot="1" x14ac:dyDescent="0.4">
      <c r="A88" s="135"/>
      <c r="B88" s="168" t="s">
        <v>157</v>
      </c>
      <c r="C88" s="168" t="s">
        <v>158</v>
      </c>
      <c r="D88" s="162" t="s">
        <v>16</v>
      </c>
      <c r="E88" s="100">
        <v>0.5</v>
      </c>
      <c r="F88" s="101">
        <v>1</v>
      </c>
      <c r="G88" s="163">
        <v>0</v>
      </c>
      <c r="H88" s="164"/>
      <c r="I88" s="164"/>
      <c r="J88" s="163"/>
      <c r="K88" s="164"/>
      <c r="L88" s="164"/>
      <c r="M88" s="164"/>
      <c r="N88" s="165"/>
      <c r="O88" s="166" t="s">
        <v>1862</v>
      </c>
      <c r="P88" s="146"/>
      <c r="Q88" s="144"/>
      <c r="R88" s="144"/>
      <c r="S88" s="144"/>
      <c r="T88" s="144"/>
      <c r="U88" s="133"/>
      <c r="V88" s="133"/>
      <c r="W88" s="133"/>
      <c r="X88" s="133"/>
      <c r="Y88" s="133"/>
      <c r="Z88" s="133"/>
      <c r="AA88" s="133"/>
    </row>
    <row r="89" spans="1:27" ht="71.45" customHeight="1" thickBot="1" x14ac:dyDescent="0.4">
      <c r="A89" s="135"/>
      <c r="B89" s="168" t="s">
        <v>159</v>
      </c>
      <c r="C89" s="168" t="s">
        <v>160</v>
      </c>
      <c r="D89" s="162" t="s">
        <v>16</v>
      </c>
      <c r="E89" s="100">
        <v>0.25</v>
      </c>
      <c r="F89" s="101">
        <v>600</v>
      </c>
      <c r="G89" s="163">
        <v>150</v>
      </c>
      <c r="H89" s="164">
        <f>+G89/F89</f>
        <v>0.25</v>
      </c>
      <c r="I89" s="164">
        <f>+(G89/F89)*E89</f>
        <v>6.25E-2</v>
      </c>
      <c r="J89" s="163">
        <v>150</v>
      </c>
      <c r="K89" s="164">
        <f>+(J89/G89)</f>
        <v>1</v>
      </c>
      <c r="L89" s="164">
        <f>+K89*E89</f>
        <v>0.25</v>
      </c>
      <c r="M89" s="164">
        <f>+J89/F89</f>
        <v>0.25</v>
      </c>
      <c r="N89" s="165">
        <f>+M89*E89</f>
        <v>6.25E-2</v>
      </c>
      <c r="O89" s="166" t="s">
        <v>1862</v>
      </c>
      <c r="P89" s="146"/>
      <c r="Q89" s="144"/>
      <c r="R89" s="144"/>
      <c r="S89" s="144"/>
      <c r="T89" s="144"/>
      <c r="U89" s="133"/>
      <c r="V89" s="133"/>
      <c r="W89" s="133"/>
      <c r="X89" s="133"/>
      <c r="Y89" s="133"/>
      <c r="Z89" s="133"/>
      <c r="AA89" s="133"/>
    </row>
    <row r="90" spans="1:27" ht="96.6" customHeight="1" thickBot="1" x14ac:dyDescent="0.4">
      <c r="A90" s="135"/>
      <c r="B90" s="161" t="s">
        <v>161</v>
      </c>
      <c r="C90" s="161" t="s">
        <v>162</v>
      </c>
      <c r="D90" s="162" t="s">
        <v>16</v>
      </c>
      <c r="E90" s="100">
        <v>0.25</v>
      </c>
      <c r="F90" s="101">
        <v>4</v>
      </c>
      <c r="G90" s="163">
        <v>1</v>
      </c>
      <c r="H90" s="164">
        <f>+G90/F90</f>
        <v>0.25</v>
      </c>
      <c r="I90" s="164">
        <f>+(G90/F90)*E90</f>
        <v>6.25E-2</v>
      </c>
      <c r="J90" s="163">
        <v>1</v>
      </c>
      <c r="K90" s="164">
        <f>+(J90/G90)</f>
        <v>1</v>
      </c>
      <c r="L90" s="164">
        <f>+K90*E90</f>
        <v>0.25</v>
      </c>
      <c r="M90" s="164">
        <f>+J90/F90</f>
        <v>0.25</v>
      </c>
      <c r="N90" s="165">
        <f>+M90*E90</f>
        <v>6.25E-2</v>
      </c>
      <c r="O90" s="166" t="s">
        <v>1862</v>
      </c>
      <c r="P90" s="146"/>
      <c r="Q90" s="144"/>
      <c r="R90" s="144"/>
      <c r="S90" s="144"/>
      <c r="T90" s="144"/>
      <c r="U90" s="133"/>
      <c r="V90" s="133"/>
      <c r="W90" s="133"/>
      <c r="X90" s="133"/>
      <c r="Y90" s="133"/>
      <c r="Z90" s="133"/>
      <c r="AA90" s="133"/>
    </row>
    <row r="91" spans="1:27" ht="93" customHeight="1" thickBot="1" x14ac:dyDescent="0.4">
      <c r="A91" s="135"/>
      <c r="B91" s="696" t="s">
        <v>163</v>
      </c>
      <c r="C91" s="691"/>
      <c r="D91" s="144"/>
      <c r="E91" s="173">
        <v>0.3</v>
      </c>
      <c r="F91" s="173">
        <f>+E91*L91</f>
        <v>0.22781794835632452</v>
      </c>
      <c r="G91" s="144"/>
      <c r="H91" s="150">
        <f>+(H92+H99+H102+H105+H125)/5</f>
        <v>0.23229102167182664</v>
      </c>
      <c r="I91" s="151">
        <f>+(I92+I99+I102+I105+I125)/5</f>
        <v>0.15700735294117646</v>
      </c>
      <c r="J91" s="144"/>
      <c r="K91" s="150">
        <f>+(K92+K99+K102+K105+K125)/5</f>
        <v>0.97477263894508703</v>
      </c>
      <c r="L91" s="151">
        <f>+L92+L99+L102+L105+L125</f>
        <v>0.75939316118774847</v>
      </c>
      <c r="M91" s="150">
        <f>+(M92+M99+M102+M105+M125)/5</f>
        <v>0.20515575037857808</v>
      </c>
      <c r="N91" s="153">
        <f>+N92+N99+N102+N105+N125</f>
        <v>0.19010083782604881</v>
      </c>
      <c r="O91" s="154"/>
      <c r="P91" s="146"/>
      <c r="Q91" s="144"/>
      <c r="R91" s="144"/>
      <c r="S91" s="144"/>
      <c r="T91" s="144"/>
      <c r="U91" s="133"/>
      <c r="V91" s="133"/>
      <c r="W91" s="133"/>
      <c r="X91" s="133"/>
      <c r="Y91" s="133"/>
      <c r="Z91" s="133"/>
      <c r="AA91" s="133"/>
    </row>
    <row r="92" spans="1:27" ht="57" customHeight="1" thickBot="1" x14ac:dyDescent="0.4">
      <c r="A92" s="135"/>
      <c r="B92" s="695" t="s">
        <v>1613</v>
      </c>
      <c r="C92" s="691"/>
      <c r="D92" s="157"/>
      <c r="E92" s="99">
        <v>0.35</v>
      </c>
      <c r="F92" s="144"/>
      <c r="G92" s="144"/>
      <c r="H92" s="120">
        <f>+AVERAGE(H93:H98)</f>
        <v>0.25</v>
      </c>
      <c r="I92" s="120">
        <f>+I93+I94+I95+I96+I97+I98</f>
        <v>0.16250000000000003</v>
      </c>
      <c r="J92" s="144"/>
      <c r="K92" s="119">
        <f>+AVERAGE(K93:K98)</f>
        <v>0.96129032258064517</v>
      </c>
      <c r="L92" s="119">
        <f>+(L93+L94+L95+L96+L97)*E92</f>
        <v>0.22411290322580646</v>
      </c>
      <c r="M92" s="120">
        <f>+AVERAGE(M93:M98)</f>
        <v>0.21293498207199635</v>
      </c>
      <c r="N92" s="121">
        <f>+(N93+N94+N95+N96+N97+N98)*E92</f>
        <v>5.944380429531565E-2</v>
      </c>
      <c r="O92" s="160"/>
      <c r="P92" s="146"/>
      <c r="Q92" s="144"/>
      <c r="R92" s="144"/>
      <c r="S92" s="144"/>
      <c r="T92" s="144"/>
      <c r="U92" s="133"/>
      <c r="V92" s="133"/>
      <c r="W92" s="133"/>
      <c r="X92" s="133"/>
      <c r="Y92" s="133"/>
      <c r="Z92" s="133"/>
      <c r="AA92" s="133"/>
    </row>
    <row r="93" spans="1:27" ht="151.9" customHeight="1" thickBot="1" x14ac:dyDescent="0.4">
      <c r="A93" s="135"/>
      <c r="B93" s="168" t="s">
        <v>164</v>
      </c>
      <c r="C93" s="168" t="s">
        <v>165</v>
      </c>
      <c r="D93" s="162" t="s">
        <v>166</v>
      </c>
      <c r="E93" s="100">
        <v>0.4</v>
      </c>
      <c r="F93" s="101">
        <v>2718220</v>
      </c>
      <c r="G93" s="163">
        <v>679555</v>
      </c>
      <c r="H93" s="164">
        <f>+G93/F93</f>
        <v>0.25</v>
      </c>
      <c r="I93" s="164">
        <f>+(G93/F93)*E93</f>
        <v>0.1</v>
      </c>
      <c r="J93" s="163">
        <v>699118</v>
      </c>
      <c r="K93" s="164">
        <v>1</v>
      </c>
      <c r="L93" s="164">
        <f>+K93*E93</f>
        <v>0.4</v>
      </c>
      <c r="M93" s="185">
        <f>+J93/F93</f>
        <v>0.25719698920617168</v>
      </c>
      <c r="N93" s="165">
        <f>+M93*E93</f>
        <v>0.10287879568246867</v>
      </c>
      <c r="O93" s="166" t="s">
        <v>1862</v>
      </c>
      <c r="P93" s="146"/>
      <c r="Q93" s="144"/>
      <c r="R93" s="144"/>
      <c r="S93" s="144"/>
      <c r="T93" s="144"/>
      <c r="U93" s="133"/>
      <c r="V93" s="133"/>
      <c r="W93" s="133"/>
      <c r="X93" s="133"/>
      <c r="Y93" s="133"/>
      <c r="Z93" s="133"/>
      <c r="AA93" s="133"/>
    </row>
    <row r="94" spans="1:27" ht="93" customHeight="1" thickBot="1" x14ac:dyDescent="0.4">
      <c r="A94" s="135"/>
      <c r="B94" s="168" t="s">
        <v>167</v>
      </c>
      <c r="C94" s="168" t="s">
        <v>168</v>
      </c>
      <c r="D94" s="162" t="s">
        <v>166</v>
      </c>
      <c r="E94" s="100">
        <v>0.1</v>
      </c>
      <c r="F94" s="101">
        <v>20000</v>
      </c>
      <c r="G94" s="163">
        <v>5000</v>
      </c>
      <c r="H94" s="164">
        <f>+G94/F94</f>
        <v>0.25</v>
      </c>
      <c r="I94" s="164">
        <f>+(G94/F94)*E94</f>
        <v>2.5000000000000001E-2</v>
      </c>
      <c r="J94" s="163">
        <v>6376</v>
      </c>
      <c r="K94" s="164">
        <v>1</v>
      </c>
      <c r="L94" s="164">
        <f>+K94*E94</f>
        <v>0.1</v>
      </c>
      <c r="M94" s="185">
        <f>+J94/F94</f>
        <v>0.31879999999999997</v>
      </c>
      <c r="N94" s="165">
        <f>+M94*E94</f>
        <v>3.1879999999999999E-2</v>
      </c>
      <c r="O94" s="166" t="s">
        <v>1862</v>
      </c>
      <c r="P94" s="146"/>
      <c r="Q94" s="144"/>
      <c r="R94" s="144"/>
      <c r="S94" s="144"/>
      <c r="T94" s="144"/>
      <c r="U94" s="133"/>
      <c r="V94" s="133"/>
      <c r="W94" s="133"/>
      <c r="X94" s="133"/>
      <c r="Y94" s="133"/>
      <c r="Z94" s="133"/>
      <c r="AA94" s="133"/>
    </row>
    <row r="95" spans="1:27" ht="73.150000000000006" customHeight="1" thickBot="1" x14ac:dyDescent="0.4">
      <c r="A95" s="135"/>
      <c r="B95" s="168" t="s">
        <v>169</v>
      </c>
      <c r="C95" s="168" t="s">
        <v>170</v>
      </c>
      <c r="D95" s="162" t="s">
        <v>166</v>
      </c>
      <c r="E95" s="100">
        <v>0.05</v>
      </c>
      <c r="F95" s="101">
        <v>568</v>
      </c>
      <c r="G95" s="163">
        <v>142</v>
      </c>
      <c r="H95" s="164">
        <f>+G95/F95</f>
        <v>0.25</v>
      </c>
      <c r="I95" s="164">
        <f>+(G95/F95)*E95</f>
        <v>1.2500000000000001E-2</v>
      </c>
      <c r="J95" s="163">
        <v>142</v>
      </c>
      <c r="K95" s="164">
        <f>+(J95/G95)</f>
        <v>1</v>
      </c>
      <c r="L95" s="164">
        <f>+K95*E95</f>
        <v>0.05</v>
      </c>
      <c r="M95" s="185">
        <f>+J95/F95</f>
        <v>0.25</v>
      </c>
      <c r="N95" s="165">
        <f>+M95*E95</f>
        <v>1.2500000000000001E-2</v>
      </c>
      <c r="O95" s="166" t="s">
        <v>1862</v>
      </c>
      <c r="P95" s="146"/>
      <c r="Q95" s="144"/>
      <c r="R95" s="144"/>
      <c r="S95" s="144"/>
      <c r="T95" s="144"/>
      <c r="U95" s="133"/>
      <c r="V95" s="133"/>
      <c r="W95" s="133"/>
      <c r="X95" s="133"/>
      <c r="Y95" s="133"/>
      <c r="Z95" s="133"/>
      <c r="AA95" s="133"/>
    </row>
    <row r="96" spans="1:27" ht="70.150000000000006" customHeight="1" thickBot="1" x14ac:dyDescent="0.4">
      <c r="A96" s="135"/>
      <c r="B96" s="168" t="s">
        <v>171</v>
      </c>
      <c r="C96" s="168" t="s">
        <v>172</v>
      </c>
      <c r="D96" s="162" t="s">
        <v>166</v>
      </c>
      <c r="E96" s="100">
        <v>0.05</v>
      </c>
      <c r="F96" s="101">
        <v>248</v>
      </c>
      <c r="G96" s="163">
        <v>62</v>
      </c>
      <c r="H96" s="164">
        <f>+G96/F96</f>
        <v>0.25</v>
      </c>
      <c r="I96" s="164">
        <f>+(G96/F96)*E96</f>
        <v>1.2500000000000001E-2</v>
      </c>
      <c r="J96" s="163">
        <v>50</v>
      </c>
      <c r="K96" s="164">
        <f>+(J96/G96)</f>
        <v>0.80645161290322576</v>
      </c>
      <c r="L96" s="164">
        <f>+K96*E96</f>
        <v>4.0322580645161289E-2</v>
      </c>
      <c r="M96" s="185">
        <f>+J96/F96</f>
        <v>0.20161290322580644</v>
      </c>
      <c r="N96" s="165">
        <f>+M96*E96</f>
        <v>1.0080645161290322E-2</v>
      </c>
      <c r="O96" s="166" t="s">
        <v>1862</v>
      </c>
      <c r="P96" s="146"/>
      <c r="Q96" s="144"/>
      <c r="R96" s="144"/>
      <c r="S96" s="144"/>
      <c r="T96" s="144"/>
      <c r="U96" s="133"/>
      <c r="V96" s="133"/>
      <c r="W96" s="133"/>
      <c r="X96" s="133"/>
      <c r="Y96" s="133"/>
      <c r="Z96" s="133"/>
      <c r="AA96" s="133"/>
    </row>
    <row r="97" spans="1:27" ht="177" customHeight="1" thickBot="1" x14ac:dyDescent="0.4">
      <c r="A97" s="135"/>
      <c r="B97" s="168" t="s">
        <v>173</v>
      </c>
      <c r="C97" s="168" t="s">
        <v>174</v>
      </c>
      <c r="D97" s="162" t="s">
        <v>166</v>
      </c>
      <c r="E97" s="100">
        <v>0.05</v>
      </c>
      <c r="F97" s="101">
        <v>60</v>
      </c>
      <c r="G97" s="163">
        <v>15</v>
      </c>
      <c r="H97" s="164">
        <f>+G97/F97</f>
        <v>0.25</v>
      </c>
      <c r="I97" s="164">
        <f>+(G97/F97)*E97</f>
        <v>1.2500000000000001E-2</v>
      </c>
      <c r="J97" s="163">
        <v>15</v>
      </c>
      <c r="K97" s="164">
        <f>+(J97/G97)</f>
        <v>1</v>
      </c>
      <c r="L97" s="164">
        <f>+K97*E97</f>
        <v>0.05</v>
      </c>
      <c r="M97" s="185">
        <f>+J97/F97</f>
        <v>0.25</v>
      </c>
      <c r="N97" s="165">
        <f>+M97*E97</f>
        <v>1.2500000000000001E-2</v>
      </c>
      <c r="O97" s="166" t="s">
        <v>1862</v>
      </c>
      <c r="P97" s="146"/>
      <c r="Q97" s="144"/>
      <c r="R97" s="144"/>
      <c r="S97" s="144"/>
      <c r="T97" s="144"/>
      <c r="U97" s="133"/>
      <c r="V97" s="133"/>
      <c r="W97" s="133"/>
      <c r="X97" s="133"/>
      <c r="Y97" s="133"/>
      <c r="Z97" s="133"/>
      <c r="AA97" s="133"/>
    </row>
    <row r="98" spans="1:27" ht="90.6" customHeight="1" thickBot="1" x14ac:dyDescent="0.4">
      <c r="A98" s="135"/>
      <c r="B98" s="168" t="s">
        <v>175</v>
      </c>
      <c r="C98" s="168" t="s">
        <v>176</v>
      </c>
      <c r="D98" s="162" t="s">
        <v>177</v>
      </c>
      <c r="E98" s="100">
        <v>0.35</v>
      </c>
      <c r="F98" s="101">
        <v>2</v>
      </c>
      <c r="G98" s="163">
        <v>0</v>
      </c>
      <c r="H98" s="164"/>
      <c r="I98" s="164"/>
      <c r="J98" s="163"/>
      <c r="K98" s="164"/>
      <c r="L98" s="164"/>
      <c r="M98" s="164">
        <v>0</v>
      </c>
      <c r="N98" s="165">
        <v>0</v>
      </c>
      <c r="O98" s="166" t="s">
        <v>1862</v>
      </c>
      <c r="P98" s="146"/>
      <c r="Q98" s="144"/>
      <c r="R98" s="144"/>
      <c r="S98" s="144"/>
      <c r="T98" s="144"/>
      <c r="U98" s="133"/>
      <c r="V98" s="133"/>
      <c r="W98" s="133"/>
      <c r="X98" s="133"/>
      <c r="Y98" s="133"/>
      <c r="Z98" s="133"/>
      <c r="AA98" s="133"/>
    </row>
    <row r="99" spans="1:27" ht="42.75" customHeight="1" thickBot="1" x14ac:dyDescent="0.4">
      <c r="A99" s="135"/>
      <c r="B99" s="695" t="s">
        <v>1614</v>
      </c>
      <c r="C99" s="691"/>
      <c r="D99" s="157"/>
      <c r="E99" s="99">
        <v>0.1</v>
      </c>
      <c r="F99" s="144"/>
      <c r="G99" s="144"/>
      <c r="H99" s="120">
        <f>+AVERAGE(H100:H101)</f>
        <v>0.17499999999999999</v>
      </c>
      <c r="I99" s="120">
        <f>+I100+I101</f>
        <v>0.19</v>
      </c>
      <c r="J99" s="144"/>
      <c r="K99" s="119">
        <f>+AVERAGE(K100:K101)</f>
        <v>1</v>
      </c>
      <c r="L99" s="119">
        <f>+(L100+L101)*E99</f>
        <v>0.1</v>
      </c>
      <c r="M99" s="120">
        <f>+AVERAGE(M100:M101)</f>
        <v>0.19831666666666667</v>
      </c>
      <c r="N99" s="121">
        <f>+(N100+N101)*E99</f>
        <v>2.1048000000000001E-2</v>
      </c>
      <c r="O99" s="160"/>
      <c r="P99" s="146"/>
      <c r="Q99" s="144"/>
      <c r="R99" s="144"/>
      <c r="S99" s="144"/>
      <c r="T99" s="144"/>
      <c r="U99" s="133"/>
      <c r="V99" s="133"/>
      <c r="W99" s="133"/>
      <c r="X99" s="133"/>
      <c r="Y99" s="133"/>
      <c r="Z99" s="133"/>
      <c r="AA99" s="133"/>
    </row>
    <row r="100" spans="1:27" ht="123" customHeight="1" thickBot="1" x14ac:dyDescent="0.4">
      <c r="A100" s="135"/>
      <c r="B100" s="168" t="s">
        <v>178</v>
      </c>
      <c r="C100" s="168" t="s">
        <v>179</v>
      </c>
      <c r="D100" s="162" t="s">
        <v>166</v>
      </c>
      <c r="E100" s="100">
        <v>0.4</v>
      </c>
      <c r="F100" s="101">
        <v>10000</v>
      </c>
      <c r="G100" s="186">
        <v>1000</v>
      </c>
      <c r="H100" s="164">
        <f>+G100/F100</f>
        <v>0.1</v>
      </c>
      <c r="I100" s="164">
        <f>+(G100/F100)*E100</f>
        <v>4.0000000000000008E-2</v>
      </c>
      <c r="J100" s="163">
        <v>1375</v>
      </c>
      <c r="K100" s="164">
        <v>1</v>
      </c>
      <c r="L100" s="164">
        <f>+K100*E100</f>
        <v>0.4</v>
      </c>
      <c r="M100" s="164">
        <f>+J100/F100</f>
        <v>0.13750000000000001</v>
      </c>
      <c r="N100" s="165">
        <f>+M100*E100</f>
        <v>5.5000000000000007E-2</v>
      </c>
      <c r="O100" s="166" t="s">
        <v>1862</v>
      </c>
      <c r="P100" s="146"/>
      <c r="Q100" s="144"/>
      <c r="R100" s="144"/>
      <c r="S100" s="144"/>
      <c r="T100" s="144"/>
      <c r="U100" s="133"/>
      <c r="V100" s="133"/>
      <c r="W100" s="133"/>
      <c r="X100" s="133"/>
      <c r="Y100" s="133"/>
      <c r="Z100" s="133"/>
      <c r="AA100" s="133"/>
    </row>
    <row r="101" spans="1:27" ht="178.15" customHeight="1" thickBot="1" x14ac:dyDescent="0.4">
      <c r="A101" s="135"/>
      <c r="B101" s="168" t="s">
        <v>180</v>
      </c>
      <c r="C101" s="168" t="s">
        <v>181</v>
      </c>
      <c r="D101" s="162" t="s">
        <v>166</v>
      </c>
      <c r="E101" s="100">
        <v>0.6</v>
      </c>
      <c r="F101" s="101">
        <v>30000</v>
      </c>
      <c r="G101" s="186">
        <v>7500</v>
      </c>
      <c r="H101" s="164">
        <f>+G101/F101</f>
        <v>0.25</v>
      </c>
      <c r="I101" s="164">
        <f>+(G101/F101)*E101</f>
        <v>0.15</v>
      </c>
      <c r="J101" s="163">
        <v>7774</v>
      </c>
      <c r="K101" s="164">
        <v>1</v>
      </c>
      <c r="L101" s="164">
        <f>+K101*E101</f>
        <v>0.6</v>
      </c>
      <c r="M101" s="164">
        <f>+J101/F101</f>
        <v>0.25913333333333333</v>
      </c>
      <c r="N101" s="165">
        <f>+M101*E101</f>
        <v>0.15547999999999998</v>
      </c>
      <c r="O101" s="166" t="s">
        <v>1862</v>
      </c>
      <c r="P101" s="146"/>
      <c r="Q101" s="144"/>
      <c r="R101" s="144"/>
      <c r="S101" s="144"/>
      <c r="T101" s="144"/>
      <c r="U101" s="133"/>
      <c r="V101" s="133"/>
      <c r="W101" s="133"/>
      <c r="X101" s="133"/>
      <c r="Y101" s="133"/>
      <c r="Z101" s="133"/>
      <c r="AA101" s="133"/>
    </row>
    <row r="102" spans="1:27" ht="114.75" customHeight="1" thickBot="1" x14ac:dyDescent="0.4">
      <c r="A102" s="135"/>
      <c r="B102" s="695" t="s">
        <v>1615</v>
      </c>
      <c r="C102" s="691"/>
      <c r="D102" s="162"/>
      <c r="E102" s="99">
        <v>0.1</v>
      </c>
      <c r="F102" s="144"/>
      <c r="G102" s="144"/>
      <c r="H102" s="120">
        <f>+AVERAGE(H103:H104)</f>
        <v>0.25</v>
      </c>
      <c r="I102" s="120">
        <f>+I103+I104</f>
        <v>0.05</v>
      </c>
      <c r="J102" s="144"/>
      <c r="K102" s="119">
        <f>+AVERAGE(K103:K104)</f>
        <v>0.93103448275862066</v>
      </c>
      <c r="L102" s="119">
        <f>+(L103+L104)*E102</f>
        <v>1.8620689655172416E-2</v>
      </c>
      <c r="M102" s="120">
        <f>+AVERAGE(M103:M104)</f>
        <v>0.11637931034482758</v>
      </c>
      <c r="N102" s="121">
        <f>+(N103+N104)*E102</f>
        <v>4.6551724137931039E-3</v>
      </c>
      <c r="O102" s="160"/>
      <c r="P102" s="146"/>
      <c r="Q102" s="144"/>
      <c r="R102" s="144"/>
      <c r="S102" s="144"/>
      <c r="T102" s="144"/>
      <c r="U102" s="133"/>
      <c r="V102" s="133"/>
      <c r="W102" s="133"/>
      <c r="X102" s="133"/>
      <c r="Y102" s="133"/>
      <c r="Z102" s="133"/>
      <c r="AA102" s="133"/>
    </row>
    <row r="103" spans="1:27" ht="167.45" customHeight="1" thickBot="1" x14ac:dyDescent="0.4">
      <c r="A103" s="135"/>
      <c r="B103" s="168" t="s">
        <v>182</v>
      </c>
      <c r="C103" s="168" t="s">
        <v>183</v>
      </c>
      <c r="D103" s="162" t="s">
        <v>166</v>
      </c>
      <c r="E103" s="100">
        <v>0.2</v>
      </c>
      <c r="F103" s="101">
        <v>116</v>
      </c>
      <c r="G103" s="163">
        <v>29</v>
      </c>
      <c r="H103" s="164">
        <f>+G103/F103</f>
        <v>0.25</v>
      </c>
      <c r="I103" s="187">
        <f>+(G103/F103)*E103</f>
        <v>0.05</v>
      </c>
      <c r="J103" s="163">
        <v>27</v>
      </c>
      <c r="K103" s="187">
        <f>+(J103/G103)</f>
        <v>0.93103448275862066</v>
      </c>
      <c r="L103" s="187">
        <f>+K103*E103</f>
        <v>0.18620689655172415</v>
      </c>
      <c r="M103" s="164">
        <f>+J103/F103</f>
        <v>0.23275862068965517</v>
      </c>
      <c r="N103" s="184">
        <f>+M103*E103</f>
        <v>4.6551724137931037E-2</v>
      </c>
      <c r="O103" s="166" t="s">
        <v>1862</v>
      </c>
      <c r="P103" s="146"/>
      <c r="Q103" s="144"/>
      <c r="R103" s="144"/>
      <c r="S103" s="144"/>
      <c r="T103" s="144"/>
      <c r="U103" s="133"/>
      <c r="V103" s="133"/>
      <c r="W103" s="133"/>
      <c r="X103" s="133"/>
      <c r="Y103" s="133"/>
      <c r="Z103" s="133"/>
      <c r="AA103" s="133"/>
    </row>
    <row r="104" spans="1:27" ht="72" customHeight="1" thickBot="1" x14ac:dyDescent="0.4">
      <c r="A104" s="135"/>
      <c r="B104" s="168" t="s">
        <v>184</v>
      </c>
      <c r="C104" s="168" t="s">
        <v>185</v>
      </c>
      <c r="D104" s="162" t="s">
        <v>166</v>
      </c>
      <c r="E104" s="100">
        <v>0.8</v>
      </c>
      <c r="F104" s="101">
        <v>1</v>
      </c>
      <c r="G104" s="163">
        <v>0</v>
      </c>
      <c r="H104" s="164"/>
      <c r="I104" s="187"/>
      <c r="J104" s="163"/>
      <c r="K104" s="187"/>
      <c r="L104" s="187"/>
      <c r="M104" s="164">
        <v>0</v>
      </c>
      <c r="N104" s="184">
        <v>0</v>
      </c>
      <c r="O104" s="166" t="s">
        <v>1862</v>
      </c>
      <c r="P104" s="146"/>
      <c r="Q104" s="144"/>
      <c r="R104" s="144"/>
      <c r="S104" s="144"/>
      <c r="T104" s="144"/>
      <c r="U104" s="133"/>
      <c r="V104" s="133"/>
      <c r="W104" s="133"/>
      <c r="X104" s="133"/>
      <c r="Y104" s="133"/>
      <c r="Z104" s="133"/>
      <c r="AA104" s="133"/>
    </row>
    <row r="105" spans="1:27" ht="56.25" customHeight="1" thickBot="1" x14ac:dyDescent="0.4">
      <c r="A105" s="135"/>
      <c r="B105" s="695" t="s">
        <v>1616</v>
      </c>
      <c r="C105" s="691"/>
      <c r="D105" s="162"/>
      <c r="E105" s="99">
        <v>0.4</v>
      </c>
      <c r="F105" s="144"/>
      <c r="G105" s="163"/>
      <c r="H105" s="120">
        <f>+AVERAGE(H106:H124)</f>
        <v>0.23645510835913311</v>
      </c>
      <c r="I105" s="120">
        <f>+I106+I107+I108+I109+I110+I111+I112+I113+I114+I115+I116+I117+I118+I119+I120+I121+I122+I123+I124</f>
        <v>0.2325367647058823</v>
      </c>
      <c r="J105" s="144"/>
      <c r="K105" s="119">
        <f>+AVERAGE(K106:K124)</f>
        <v>0.98153838938616911</v>
      </c>
      <c r="L105" s="119">
        <f>+(L106+L107+L108+L109+L110+L111+L112+L113+L114+L115+L116+L117+L118+L119+L120+L121+L122+L123+L124)*E105</f>
        <v>0.38665956830676951</v>
      </c>
      <c r="M105" s="120">
        <f>+AVERAGE(M106:M124)</f>
        <v>0.24814779280939966</v>
      </c>
      <c r="N105" s="121">
        <f>+(N106+N107+N108+N109+N110+N111+N112+N113+N114+N115+N116+N117+N118+N119+N120+N121+N122+N123+N124)*E105</f>
        <v>9.7453861116940044E-2</v>
      </c>
      <c r="O105" s="160"/>
      <c r="P105" s="146"/>
      <c r="Q105" s="144"/>
      <c r="R105" s="144"/>
      <c r="S105" s="144"/>
      <c r="T105" s="144"/>
      <c r="U105" s="133"/>
      <c r="V105" s="133"/>
      <c r="W105" s="133"/>
      <c r="X105" s="133"/>
      <c r="Y105" s="133"/>
      <c r="Z105" s="133"/>
      <c r="AA105" s="133"/>
    </row>
    <row r="106" spans="1:27" ht="137.44999999999999" customHeight="1" thickBot="1" x14ac:dyDescent="0.4">
      <c r="A106" s="135"/>
      <c r="B106" s="168" t="s">
        <v>186</v>
      </c>
      <c r="C106" s="168" t="s">
        <v>187</v>
      </c>
      <c r="D106" s="162" t="s">
        <v>166</v>
      </c>
      <c r="E106" s="122">
        <v>3.7499999999999999E-2</v>
      </c>
      <c r="F106" s="101">
        <v>4</v>
      </c>
      <c r="G106" s="163">
        <v>1</v>
      </c>
      <c r="H106" s="164">
        <f t="shared" ref="H106:H124" si="17">+G106/F106</f>
        <v>0.25</v>
      </c>
      <c r="I106" s="187">
        <f t="shared" ref="I106:I124" si="18">+(G106/F106)*E106</f>
        <v>9.3749999999999997E-3</v>
      </c>
      <c r="J106" s="163">
        <v>1</v>
      </c>
      <c r="K106" s="187">
        <f t="shared" ref="K106:K123" si="19">+(J106/G106)</f>
        <v>1</v>
      </c>
      <c r="L106" s="187">
        <f t="shared" ref="L106:L124" si="20">+K106*E106</f>
        <v>3.7499999999999999E-2</v>
      </c>
      <c r="M106" s="185">
        <f t="shared" ref="M106:M124" si="21">+J106/F106</f>
        <v>0.25</v>
      </c>
      <c r="N106" s="184">
        <f t="shared" ref="N106:N123" si="22">+M106*E106</f>
        <v>9.3749999999999997E-3</v>
      </c>
      <c r="O106" s="166" t="s">
        <v>1862</v>
      </c>
      <c r="P106" s="146"/>
      <c r="Q106" s="144"/>
      <c r="R106" s="144"/>
      <c r="S106" s="144"/>
      <c r="T106" s="144"/>
      <c r="U106" s="133"/>
      <c r="V106" s="133"/>
      <c r="W106" s="133"/>
      <c r="X106" s="133"/>
      <c r="Y106" s="133"/>
      <c r="Z106" s="133"/>
      <c r="AA106" s="133"/>
    </row>
    <row r="107" spans="1:27" ht="79.150000000000006" customHeight="1" thickBot="1" x14ac:dyDescent="0.4">
      <c r="A107" s="135"/>
      <c r="B107" s="168" t="s">
        <v>188</v>
      </c>
      <c r="C107" s="168" t="s">
        <v>189</v>
      </c>
      <c r="D107" s="162" t="s">
        <v>166</v>
      </c>
      <c r="E107" s="122">
        <v>3.7499999999999999E-2</v>
      </c>
      <c r="F107" s="101">
        <f>700*4</f>
        <v>2800</v>
      </c>
      <c r="G107" s="163">
        <v>700</v>
      </c>
      <c r="H107" s="164">
        <f t="shared" si="17"/>
        <v>0.25</v>
      </c>
      <c r="I107" s="187">
        <f t="shared" si="18"/>
        <v>9.3749999999999997E-3</v>
      </c>
      <c r="J107" s="163">
        <v>700</v>
      </c>
      <c r="K107" s="187">
        <f t="shared" si="19"/>
        <v>1</v>
      </c>
      <c r="L107" s="187">
        <f t="shared" si="20"/>
        <v>3.7499999999999999E-2</v>
      </c>
      <c r="M107" s="187">
        <f t="shared" si="21"/>
        <v>0.25</v>
      </c>
      <c r="N107" s="184">
        <f t="shared" si="22"/>
        <v>9.3749999999999997E-3</v>
      </c>
      <c r="O107" s="166" t="s">
        <v>1862</v>
      </c>
      <c r="P107" s="146"/>
      <c r="Q107" s="144"/>
      <c r="R107" s="144"/>
      <c r="S107" s="144"/>
      <c r="T107" s="144"/>
      <c r="U107" s="133"/>
      <c r="V107" s="133"/>
      <c r="W107" s="133"/>
      <c r="X107" s="133"/>
      <c r="Y107" s="133"/>
      <c r="Z107" s="133"/>
      <c r="AA107" s="133"/>
    </row>
    <row r="108" spans="1:27" ht="103.15" customHeight="1" thickBot="1" x14ac:dyDescent="0.4">
      <c r="A108" s="135"/>
      <c r="B108" s="168" t="s">
        <v>190</v>
      </c>
      <c r="C108" s="168" t="s">
        <v>191</v>
      </c>
      <c r="D108" s="162" t="s">
        <v>166</v>
      </c>
      <c r="E108" s="122">
        <v>3.7499999999999999E-2</v>
      </c>
      <c r="F108" s="101">
        <f>2100*4</f>
        <v>8400</v>
      </c>
      <c r="G108" s="163">
        <v>2100</v>
      </c>
      <c r="H108" s="164">
        <f t="shared" si="17"/>
        <v>0.25</v>
      </c>
      <c r="I108" s="187">
        <f t="shared" si="18"/>
        <v>9.3749999999999997E-3</v>
      </c>
      <c r="J108" s="163">
        <v>1955</v>
      </c>
      <c r="K108" s="187">
        <f t="shared" si="19"/>
        <v>0.93095238095238098</v>
      </c>
      <c r="L108" s="187">
        <f t="shared" si="20"/>
        <v>3.4910714285714288E-2</v>
      </c>
      <c r="M108" s="187">
        <f t="shared" si="21"/>
        <v>0.23273809523809524</v>
      </c>
      <c r="N108" s="184">
        <f t="shared" si="22"/>
        <v>8.727678571428572E-3</v>
      </c>
      <c r="O108" s="166" t="s">
        <v>1862</v>
      </c>
      <c r="P108" s="146"/>
      <c r="Q108" s="144"/>
      <c r="R108" s="144"/>
      <c r="S108" s="144"/>
      <c r="T108" s="144"/>
      <c r="U108" s="133"/>
      <c r="V108" s="133"/>
      <c r="W108" s="133"/>
      <c r="X108" s="133"/>
      <c r="Y108" s="133"/>
      <c r="Z108" s="133"/>
      <c r="AA108" s="133"/>
    </row>
    <row r="109" spans="1:27" ht="113.45" customHeight="1" thickBot="1" x14ac:dyDescent="0.4">
      <c r="A109" s="135"/>
      <c r="B109" s="168" t="s">
        <v>192</v>
      </c>
      <c r="C109" s="168" t="s">
        <v>193</v>
      </c>
      <c r="D109" s="162" t="s">
        <v>166</v>
      </c>
      <c r="E109" s="122">
        <v>3.7499999999999999E-2</v>
      </c>
      <c r="F109" s="101">
        <f>7600*4</f>
        <v>30400</v>
      </c>
      <c r="G109" s="163">
        <v>7600</v>
      </c>
      <c r="H109" s="164">
        <f t="shared" si="17"/>
        <v>0.25</v>
      </c>
      <c r="I109" s="187">
        <f t="shared" si="18"/>
        <v>9.3749999999999997E-3</v>
      </c>
      <c r="J109" s="163">
        <v>11360</v>
      </c>
      <c r="K109" s="187">
        <v>1</v>
      </c>
      <c r="L109" s="187">
        <f t="shared" si="20"/>
        <v>3.7499999999999999E-2</v>
      </c>
      <c r="M109" s="185">
        <f>+J109/F109</f>
        <v>0.37368421052631579</v>
      </c>
      <c r="N109" s="165">
        <f t="shared" si="22"/>
        <v>1.4013157894736842E-2</v>
      </c>
      <c r="O109" s="166" t="s">
        <v>1862</v>
      </c>
      <c r="P109" s="146"/>
      <c r="Q109" s="144"/>
      <c r="R109" s="144"/>
      <c r="S109" s="144"/>
      <c r="T109" s="144"/>
      <c r="U109" s="133"/>
      <c r="V109" s="133"/>
      <c r="W109" s="133"/>
      <c r="X109" s="133"/>
      <c r="Y109" s="133"/>
      <c r="Z109" s="133"/>
      <c r="AA109" s="133"/>
    </row>
    <row r="110" spans="1:27" ht="113.45" customHeight="1" thickBot="1" x14ac:dyDescent="0.4">
      <c r="A110" s="135"/>
      <c r="B110" s="168" t="s">
        <v>194</v>
      </c>
      <c r="C110" s="168" t="s">
        <v>195</v>
      </c>
      <c r="D110" s="188" t="s">
        <v>166</v>
      </c>
      <c r="E110" s="122">
        <v>0.1</v>
      </c>
      <c r="F110" s="101">
        <f>90000*4</f>
        <v>360000</v>
      </c>
      <c r="G110" s="163">
        <v>90000</v>
      </c>
      <c r="H110" s="164">
        <f t="shared" si="17"/>
        <v>0.25</v>
      </c>
      <c r="I110" s="187">
        <f t="shared" si="18"/>
        <v>2.5000000000000001E-2</v>
      </c>
      <c r="J110" s="163">
        <v>90021</v>
      </c>
      <c r="K110" s="187">
        <v>1</v>
      </c>
      <c r="L110" s="187">
        <f t="shared" si="20"/>
        <v>0.1</v>
      </c>
      <c r="M110" s="185">
        <f t="shared" si="21"/>
        <v>0.25005833333333333</v>
      </c>
      <c r="N110" s="189">
        <f t="shared" si="22"/>
        <v>2.5005833333333335E-2</v>
      </c>
      <c r="O110" s="166" t="s">
        <v>1862</v>
      </c>
      <c r="P110" s="146"/>
      <c r="Q110" s="144"/>
      <c r="R110" s="144"/>
      <c r="S110" s="144"/>
      <c r="T110" s="144"/>
      <c r="U110" s="133"/>
      <c r="V110" s="133"/>
      <c r="W110" s="133"/>
      <c r="X110" s="133"/>
      <c r="Y110" s="133"/>
      <c r="Z110" s="133"/>
      <c r="AA110" s="133"/>
    </row>
    <row r="111" spans="1:27" ht="115.9" customHeight="1" thickBot="1" x14ac:dyDescent="0.4">
      <c r="A111" s="135"/>
      <c r="B111" s="168" t="s">
        <v>196</v>
      </c>
      <c r="C111" s="168" t="s">
        <v>197</v>
      </c>
      <c r="D111" s="162" t="s">
        <v>166</v>
      </c>
      <c r="E111" s="122">
        <v>3.7499999999999999E-2</v>
      </c>
      <c r="F111" s="101">
        <f>17*4</f>
        <v>68</v>
      </c>
      <c r="G111" s="163">
        <v>17</v>
      </c>
      <c r="H111" s="164">
        <f t="shared" si="17"/>
        <v>0.25</v>
      </c>
      <c r="I111" s="187">
        <f t="shared" si="18"/>
        <v>9.3749999999999997E-3</v>
      </c>
      <c r="J111" s="190">
        <v>15</v>
      </c>
      <c r="K111" s="187">
        <f t="shared" ref="K111" si="23">+(J111/G111)</f>
        <v>0.88235294117647056</v>
      </c>
      <c r="L111" s="187">
        <f t="shared" ref="L111" si="24">+K111*E111</f>
        <v>3.3088235294117647E-2</v>
      </c>
      <c r="M111" s="164">
        <f t="shared" ref="M111" si="25">+J111/F111</f>
        <v>0.22058823529411764</v>
      </c>
      <c r="N111" s="184">
        <f t="shared" ref="N111" si="26">+M111*E111</f>
        <v>8.2720588235294119E-3</v>
      </c>
      <c r="O111" s="166" t="s">
        <v>1862</v>
      </c>
      <c r="P111" s="146"/>
      <c r="Q111" s="144"/>
      <c r="R111" s="144"/>
      <c r="S111" s="144"/>
      <c r="T111" s="144"/>
      <c r="U111" s="133"/>
      <c r="V111" s="133"/>
      <c r="W111" s="133"/>
      <c r="X111" s="133"/>
      <c r="Y111" s="133"/>
      <c r="Z111" s="133"/>
      <c r="AA111" s="133"/>
    </row>
    <row r="112" spans="1:27" ht="152.44999999999999" customHeight="1" thickBot="1" x14ac:dyDescent="0.4">
      <c r="A112" s="135"/>
      <c r="B112" s="168" t="s">
        <v>198</v>
      </c>
      <c r="C112" s="168" t="s">
        <v>199</v>
      </c>
      <c r="D112" s="162" t="s">
        <v>166</v>
      </c>
      <c r="E112" s="122">
        <v>3.7499999999999999E-2</v>
      </c>
      <c r="F112" s="101">
        <f>250*4</f>
        <v>1000</v>
      </c>
      <c r="G112" s="163">
        <v>250</v>
      </c>
      <c r="H112" s="164">
        <f t="shared" si="17"/>
        <v>0.25</v>
      </c>
      <c r="I112" s="187">
        <f>+(G112/F112)*E112</f>
        <v>9.3749999999999997E-3</v>
      </c>
      <c r="J112" s="163">
        <v>250</v>
      </c>
      <c r="K112" s="187">
        <f t="shared" si="19"/>
        <v>1</v>
      </c>
      <c r="L112" s="187">
        <f t="shared" si="20"/>
        <v>3.7499999999999999E-2</v>
      </c>
      <c r="M112" s="164">
        <f t="shared" si="21"/>
        <v>0.25</v>
      </c>
      <c r="N112" s="184">
        <f t="shared" si="22"/>
        <v>9.3749999999999997E-3</v>
      </c>
      <c r="O112" s="166" t="s">
        <v>1862</v>
      </c>
      <c r="P112" s="146"/>
      <c r="Q112" s="144"/>
      <c r="R112" s="144"/>
      <c r="S112" s="144"/>
      <c r="T112" s="144"/>
      <c r="U112" s="133"/>
      <c r="V112" s="133"/>
      <c r="W112" s="133"/>
      <c r="X112" s="133"/>
      <c r="Y112" s="133"/>
      <c r="Z112" s="133"/>
      <c r="AA112" s="133"/>
    </row>
    <row r="113" spans="1:27" ht="150" customHeight="1" thickBot="1" x14ac:dyDescent="0.4">
      <c r="A113" s="135"/>
      <c r="B113" s="168" t="s">
        <v>200</v>
      </c>
      <c r="C113" s="168" t="s">
        <v>201</v>
      </c>
      <c r="D113" s="162" t="s">
        <v>166</v>
      </c>
      <c r="E113" s="122">
        <v>3.7499999999999999E-2</v>
      </c>
      <c r="F113" s="101">
        <v>17</v>
      </c>
      <c r="G113" s="163">
        <v>2</v>
      </c>
      <c r="H113" s="164">
        <f t="shared" si="17"/>
        <v>0.11764705882352941</v>
      </c>
      <c r="I113" s="187">
        <f t="shared" si="18"/>
        <v>4.4117647058823529E-3</v>
      </c>
      <c r="J113" s="163">
        <v>2</v>
      </c>
      <c r="K113" s="187">
        <f t="shared" si="19"/>
        <v>1</v>
      </c>
      <c r="L113" s="187">
        <f t="shared" si="20"/>
        <v>3.7499999999999999E-2</v>
      </c>
      <c r="M113" s="164">
        <f t="shared" si="21"/>
        <v>0.11764705882352941</v>
      </c>
      <c r="N113" s="184">
        <f t="shared" si="22"/>
        <v>4.4117647058823529E-3</v>
      </c>
      <c r="O113" s="166" t="s">
        <v>1862</v>
      </c>
      <c r="P113" s="146"/>
      <c r="Q113" s="144"/>
      <c r="R113" s="144"/>
      <c r="S113" s="144"/>
      <c r="T113" s="144"/>
      <c r="U113" s="133"/>
      <c r="V113" s="133"/>
      <c r="W113" s="133"/>
      <c r="X113" s="133"/>
      <c r="Y113" s="133"/>
      <c r="Z113" s="133"/>
      <c r="AA113" s="133"/>
    </row>
    <row r="114" spans="1:27" ht="164.45" customHeight="1" thickBot="1" x14ac:dyDescent="0.4">
      <c r="A114" s="135"/>
      <c r="B114" s="168" t="s">
        <v>202</v>
      </c>
      <c r="C114" s="168" t="s">
        <v>203</v>
      </c>
      <c r="D114" s="162" t="s">
        <v>166</v>
      </c>
      <c r="E114" s="122">
        <v>3.7499999999999999E-2</v>
      </c>
      <c r="F114" s="101">
        <v>160</v>
      </c>
      <c r="G114" s="163">
        <v>40</v>
      </c>
      <c r="H114" s="164">
        <f t="shared" si="17"/>
        <v>0.25</v>
      </c>
      <c r="I114" s="187">
        <f t="shared" si="18"/>
        <v>9.3749999999999997E-3</v>
      </c>
      <c r="J114" s="163">
        <v>40</v>
      </c>
      <c r="K114" s="187">
        <v>1</v>
      </c>
      <c r="L114" s="187">
        <f t="shared" si="20"/>
        <v>3.7499999999999999E-2</v>
      </c>
      <c r="M114" s="164">
        <f t="shared" si="21"/>
        <v>0.25</v>
      </c>
      <c r="N114" s="184">
        <f t="shared" si="22"/>
        <v>9.3749999999999997E-3</v>
      </c>
      <c r="O114" s="166" t="s">
        <v>1862</v>
      </c>
      <c r="P114" s="146"/>
      <c r="Q114" s="144"/>
      <c r="R114" s="144"/>
      <c r="S114" s="144"/>
      <c r="T114" s="144"/>
      <c r="U114" s="133"/>
      <c r="V114" s="133"/>
      <c r="W114" s="133"/>
      <c r="X114" s="133"/>
      <c r="Y114" s="133"/>
      <c r="Z114" s="133"/>
      <c r="AA114" s="133"/>
    </row>
    <row r="115" spans="1:27" ht="80.45" customHeight="1" thickBot="1" x14ac:dyDescent="0.4">
      <c r="A115" s="135"/>
      <c r="B115" s="168" t="s">
        <v>204</v>
      </c>
      <c r="C115" s="168" t="s">
        <v>205</v>
      </c>
      <c r="D115" s="162" t="s">
        <v>166</v>
      </c>
      <c r="E115" s="122">
        <v>3.7499999999999999E-2</v>
      </c>
      <c r="F115" s="101">
        <v>14000</v>
      </c>
      <c r="G115" s="163">
        <v>3500</v>
      </c>
      <c r="H115" s="164">
        <f t="shared" si="17"/>
        <v>0.25</v>
      </c>
      <c r="I115" s="187">
        <f t="shared" si="18"/>
        <v>9.3749999999999997E-3</v>
      </c>
      <c r="J115" s="163">
        <v>3500</v>
      </c>
      <c r="K115" s="187">
        <f t="shared" si="19"/>
        <v>1</v>
      </c>
      <c r="L115" s="187">
        <f t="shared" si="20"/>
        <v>3.7499999999999999E-2</v>
      </c>
      <c r="M115" s="164">
        <f t="shared" si="21"/>
        <v>0.25</v>
      </c>
      <c r="N115" s="184">
        <f t="shared" si="22"/>
        <v>9.3749999999999997E-3</v>
      </c>
      <c r="O115" s="166" t="s">
        <v>1862</v>
      </c>
      <c r="P115" s="146"/>
      <c r="Q115" s="144"/>
      <c r="R115" s="144"/>
      <c r="S115" s="144"/>
      <c r="T115" s="144"/>
      <c r="U115" s="133"/>
      <c r="V115" s="133"/>
      <c r="W115" s="133"/>
      <c r="X115" s="133"/>
      <c r="Y115" s="133"/>
      <c r="Z115" s="133"/>
      <c r="AA115" s="133"/>
    </row>
    <row r="116" spans="1:27" ht="91.9" customHeight="1" thickBot="1" x14ac:dyDescent="0.4">
      <c r="A116" s="135"/>
      <c r="B116" s="168" t="s">
        <v>206</v>
      </c>
      <c r="C116" s="168" t="s">
        <v>207</v>
      </c>
      <c r="D116" s="162" t="s">
        <v>166</v>
      </c>
      <c r="E116" s="122">
        <v>3.7499999999999999E-2</v>
      </c>
      <c r="F116" s="101">
        <v>380</v>
      </c>
      <c r="G116" s="163">
        <v>95</v>
      </c>
      <c r="H116" s="164">
        <f t="shared" si="17"/>
        <v>0.25</v>
      </c>
      <c r="I116" s="187">
        <f t="shared" si="18"/>
        <v>9.3749999999999997E-3</v>
      </c>
      <c r="J116" s="163">
        <v>94</v>
      </c>
      <c r="K116" s="187">
        <f t="shared" si="19"/>
        <v>0.98947368421052628</v>
      </c>
      <c r="L116" s="187">
        <f t="shared" si="20"/>
        <v>3.7105263157894731E-2</v>
      </c>
      <c r="M116" s="164">
        <f t="shared" si="21"/>
        <v>0.24736842105263157</v>
      </c>
      <c r="N116" s="184">
        <f t="shared" si="22"/>
        <v>9.2763157894736829E-3</v>
      </c>
      <c r="O116" s="166" t="s">
        <v>1862</v>
      </c>
      <c r="P116" s="146"/>
      <c r="Q116" s="144"/>
      <c r="R116" s="144"/>
      <c r="S116" s="144"/>
      <c r="T116" s="144"/>
      <c r="U116" s="133"/>
      <c r="V116" s="133"/>
      <c r="W116" s="133"/>
      <c r="X116" s="133"/>
      <c r="Y116" s="133"/>
      <c r="Z116" s="133"/>
      <c r="AA116" s="133"/>
    </row>
    <row r="117" spans="1:27" ht="163.15" customHeight="1" thickBot="1" x14ac:dyDescent="0.4">
      <c r="A117" s="135"/>
      <c r="B117" s="168" t="s">
        <v>208</v>
      </c>
      <c r="C117" s="168" t="s">
        <v>209</v>
      </c>
      <c r="D117" s="162" t="s">
        <v>166</v>
      </c>
      <c r="E117" s="122">
        <v>3.7499999999999999E-2</v>
      </c>
      <c r="F117" s="101">
        <v>2700</v>
      </c>
      <c r="G117" s="163">
        <v>675</v>
      </c>
      <c r="H117" s="164">
        <f t="shared" si="17"/>
        <v>0.25</v>
      </c>
      <c r="I117" s="187">
        <f t="shared" si="18"/>
        <v>9.3749999999999997E-3</v>
      </c>
      <c r="J117" s="163">
        <v>674</v>
      </c>
      <c r="K117" s="187">
        <f t="shared" si="19"/>
        <v>0.99851851851851847</v>
      </c>
      <c r="L117" s="187">
        <f t="shared" si="20"/>
        <v>3.744444444444444E-2</v>
      </c>
      <c r="M117" s="164">
        <f t="shared" si="21"/>
        <v>0.24962962962962962</v>
      </c>
      <c r="N117" s="184">
        <f t="shared" si="22"/>
        <v>9.36111111111111E-3</v>
      </c>
      <c r="O117" s="166" t="s">
        <v>1862</v>
      </c>
      <c r="P117" s="146"/>
      <c r="Q117" s="144"/>
      <c r="R117" s="144"/>
      <c r="S117" s="144"/>
      <c r="T117" s="144"/>
      <c r="U117" s="133"/>
      <c r="V117" s="133"/>
      <c r="W117" s="133"/>
      <c r="X117" s="133"/>
      <c r="Y117" s="133"/>
      <c r="Z117" s="133"/>
      <c r="AA117" s="133"/>
    </row>
    <row r="118" spans="1:27" ht="100.15" customHeight="1" thickBot="1" x14ac:dyDescent="0.4">
      <c r="A118" s="135"/>
      <c r="B118" s="168" t="s">
        <v>210</v>
      </c>
      <c r="C118" s="168" t="s">
        <v>211</v>
      </c>
      <c r="D118" s="162" t="s">
        <v>166</v>
      </c>
      <c r="E118" s="122">
        <v>0.2</v>
      </c>
      <c r="F118" s="101">
        <v>59184</v>
      </c>
      <c r="G118" s="163">
        <v>14796</v>
      </c>
      <c r="H118" s="164">
        <f t="shared" si="17"/>
        <v>0.25</v>
      </c>
      <c r="I118" s="187">
        <f t="shared" si="18"/>
        <v>0.05</v>
      </c>
      <c r="J118" s="163">
        <v>12957</v>
      </c>
      <c r="K118" s="187">
        <f t="shared" si="19"/>
        <v>0.87570965125709654</v>
      </c>
      <c r="L118" s="187">
        <f t="shared" si="20"/>
        <v>0.17514193025141933</v>
      </c>
      <c r="M118" s="164">
        <f t="shared" si="21"/>
        <v>0.21892741281427414</v>
      </c>
      <c r="N118" s="165">
        <f t="shared" si="22"/>
        <v>4.3785482562854833E-2</v>
      </c>
      <c r="O118" s="166" t="s">
        <v>1862</v>
      </c>
      <c r="P118" s="146"/>
      <c r="Q118" s="144"/>
      <c r="R118" s="144"/>
      <c r="S118" s="144"/>
      <c r="T118" s="144"/>
      <c r="U118" s="133"/>
      <c r="V118" s="133"/>
      <c r="W118" s="133"/>
      <c r="X118" s="133"/>
      <c r="Y118" s="133"/>
      <c r="Z118" s="133"/>
      <c r="AA118" s="133"/>
    </row>
    <row r="119" spans="1:27" ht="94.9" customHeight="1" thickBot="1" x14ac:dyDescent="0.4">
      <c r="A119" s="135"/>
      <c r="B119" s="168" t="s">
        <v>212</v>
      </c>
      <c r="C119" s="168" t="s">
        <v>213</v>
      </c>
      <c r="D119" s="162" t="s">
        <v>166</v>
      </c>
      <c r="E119" s="122">
        <v>3.7499999999999999E-2</v>
      </c>
      <c r="F119" s="101">
        <v>28</v>
      </c>
      <c r="G119" s="163">
        <v>7</v>
      </c>
      <c r="H119" s="164">
        <f t="shared" si="17"/>
        <v>0.25</v>
      </c>
      <c r="I119" s="187">
        <f t="shared" si="18"/>
        <v>9.3749999999999997E-3</v>
      </c>
      <c r="J119" s="163">
        <v>7</v>
      </c>
      <c r="K119" s="187">
        <f t="shared" si="19"/>
        <v>1</v>
      </c>
      <c r="L119" s="187">
        <f t="shared" si="20"/>
        <v>3.7499999999999999E-2</v>
      </c>
      <c r="M119" s="164">
        <f t="shared" si="21"/>
        <v>0.25</v>
      </c>
      <c r="N119" s="165">
        <f t="shared" si="22"/>
        <v>9.3749999999999997E-3</v>
      </c>
      <c r="O119" s="166" t="s">
        <v>1862</v>
      </c>
      <c r="P119" s="146"/>
      <c r="Q119" s="144"/>
      <c r="R119" s="144"/>
      <c r="S119" s="144"/>
      <c r="T119" s="144"/>
      <c r="U119" s="133"/>
      <c r="V119" s="133"/>
      <c r="W119" s="133"/>
      <c r="X119" s="133"/>
      <c r="Y119" s="133"/>
      <c r="Z119" s="133"/>
      <c r="AA119" s="133"/>
    </row>
    <row r="120" spans="1:27" ht="153.6" customHeight="1" thickBot="1" x14ac:dyDescent="0.4">
      <c r="A120" s="135"/>
      <c r="B120" s="168" t="s">
        <v>214</v>
      </c>
      <c r="C120" s="168" t="s">
        <v>215</v>
      </c>
      <c r="D120" s="162" t="s">
        <v>166</v>
      </c>
      <c r="E120" s="122">
        <v>0.1</v>
      </c>
      <c r="F120" s="101">
        <v>32</v>
      </c>
      <c r="G120" s="163">
        <v>4</v>
      </c>
      <c r="H120" s="164">
        <f t="shared" si="17"/>
        <v>0.125</v>
      </c>
      <c r="I120" s="187">
        <f t="shared" si="18"/>
        <v>1.2500000000000001E-2</v>
      </c>
      <c r="J120" s="163">
        <v>8</v>
      </c>
      <c r="K120" s="187">
        <v>1</v>
      </c>
      <c r="L120" s="187">
        <f t="shared" si="20"/>
        <v>0.1</v>
      </c>
      <c r="M120" s="164">
        <f>+J120/F120</f>
        <v>0.25</v>
      </c>
      <c r="N120" s="165">
        <f t="shared" si="22"/>
        <v>2.5000000000000001E-2</v>
      </c>
      <c r="O120" s="166" t="s">
        <v>1864</v>
      </c>
      <c r="P120" s="146"/>
      <c r="Q120" s="144"/>
      <c r="R120" s="144"/>
      <c r="S120" s="144"/>
      <c r="T120" s="144"/>
      <c r="U120" s="133"/>
      <c r="V120" s="133"/>
      <c r="W120" s="133"/>
      <c r="X120" s="133"/>
      <c r="Y120" s="133"/>
      <c r="Z120" s="133"/>
      <c r="AA120" s="133"/>
    </row>
    <row r="121" spans="1:27" ht="176.45" customHeight="1" thickBot="1" x14ac:dyDescent="0.4">
      <c r="A121" s="135"/>
      <c r="B121" s="168" t="s">
        <v>216</v>
      </c>
      <c r="C121" s="168" t="s">
        <v>217</v>
      </c>
      <c r="D121" s="162" t="s">
        <v>166</v>
      </c>
      <c r="E121" s="122">
        <v>3.7499999999999999E-2</v>
      </c>
      <c r="F121" s="101">
        <f>72*4</f>
        <v>288</v>
      </c>
      <c r="G121" s="163">
        <v>72</v>
      </c>
      <c r="H121" s="164">
        <f t="shared" si="17"/>
        <v>0.25</v>
      </c>
      <c r="I121" s="187">
        <f t="shared" si="18"/>
        <v>9.3749999999999997E-3</v>
      </c>
      <c r="J121" s="163">
        <v>70</v>
      </c>
      <c r="K121" s="187">
        <f t="shared" si="19"/>
        <v>0.97222222222222221</v>
      </c>
      <c r="L121" s="187">
        <f t="shared" si="20"/>
        <v>3.6458333333333329E-2</v>
      </c>
      <c r="M121" s="164">
        <f t="shared" si="21"/>
        <v>0.24305555555555555</v>
      </c>
      <c r="N121" s="165">
        <f t="shared" si="22"/>
        <v>9.1145833333333322E-3</v>
      </c>
      <c r="O121" s="166" t="s">
        <v>1862</v>
      </c>
      <c r="P121" s="146"/>
      <c r="Q121" s="144"/>
      <c r="R121" s="144"/>
      <c r="S121" s="144"/>
      <c r="T121" s="144"/>
      <c r="U121" s="133"/>
      <c r="V121" s="133"/>
      <c r="W121" s="133"/>
      <c r="X121" s="133"/>
      <c r="Y121" s="133"/>
      <c r="Z121" s="133"/>
      <c r="AA121" s="133"/>
    </row>
    <row r="122" spans="1:27" ht="114.6" customHeight="1" thickBot="1" x14ac:dyDescent="0.4">
      <c r="A122" s="135"/>
      <c r="B122" s="168" t="s">
        <v>218</v>
      </c>
      <c r="C122" s="168" t="s">
        <v>219</v>
      </c>
      <c r="D122" s="162" t="s">
        <v>166</v>
      </c>
      <c r="E122" s="122">
        <v>3.7499999999999999E-2</v>
      </c>
      <c r="F122" s="101">
        <v>300</v>
      </c>
      <c r="G122" s="163">
        <v>75</v>
      </c>
      <c r="H122" s="164">
        <f t="shared" si="17"/>
        <v>0.25</v>
      </c>
      <c r="I122" s="187">
        <f t="shared" si="18"/>
        <v>9.3749999999999997E-3</v>
      </c>
      <c r="J122" s="163">
        <v>75</v>
      </c>
      <c r="K122" s="187">
        <f t="shared" si="19"/>
        <v>1</v>
      </c>
      <c r="L122" s="187">
        <f t="shared" si="20"/>
        <v>3.7499999999999999E-2</v>
      </c>
      <c r="M122" s="164">
        <f t="shared" si="21"/>
        <v>0.25</v>
      </c>
      <c r="N122" s="165">
        <f t="shared" si="22"/>
        <v>9.3749999999999997E-3</v>
      </c>
      <c r="O122" s="191"/>
      <c r="P122" s="146"/>
      <c r="Q122" s="144"/>
      <c r="R122" s="144"/>
      <c r="S122" s="144"/>
      <c r="T122" s="144"/>
      <c r="U122" s="133"/>
      <c r="V122" s="133"/>
      <c r="W122" s="133"/>
      <c r="X122" s="133"/>
      <c r="Y122" s="133"/>
      <c r="Z122" s="133"/>
      <c r="AA122" s="133"/>
    </row>
    <row r="123" spans="1:27" ht="105.6" customHeight="1" thickBot="1" x14ac:dyDescent="0.4">
      <c r="A123" s="135"/>
      <c r="B123" s="168" t="s">
        <v>220</v>
      </c>
      <c r="C123" s="168" t="s">
        <v>221</v>
      </c>
      <c r="D123" s="162" t="s">
        <v>166</v>
      </c>
      <c r="E123" s="122">
        <v>3.7499999999999999E-2</v>
      </c>
      <c r="F123" s="101">
        <v>300</v>
      </c>
      <c r="G123" s="163">
        <v>75</v>
      </c>
      <c r="H123" s="164">
        <f t="shared" si="17"/>
        <v>0.25</v>
      </c>
      <c r="I123" s="187">
        <f t="shared" si="18"/>
        <v>9.3749999999999997E-3</v>
      </c>
      <c r="J123" s="163">
        <v>75</v>
      </c>
      <c r="K123" s="187">
        <f t="shared" si="19"/>
        <v>1</v>
      </c>
      <c r="L123" s="187">
        <f t="shared" si="20"/>
        <v>3.7499999999999999E-2</v>
      </c>
      <c r="M123" s="164">
        <f t="shared" si="21"/>
        <v>0.25</v>
      </c>
      <c r="N123" s="165">
        <f t="shared" si="22"/>
        <v>9.3749999999999997E-3</v>
      </c>
      <c r="O123" s="166" t="s">
        <v>1862</v>
      </c>
      <c r="P123" s="146"/>
      <c r="Q123" s="144"/>
      <c r="R123" s="144"/>
      <c r="S123" s="144"/>
      <c r="T123" s="144"/>
      <c r="U123" s="133"/>
      <c r="V123" s="133"/>
      <c r="W123" s="133"/>
      <c r="X123" s="133"/>
      <c r="Y123" s="133"/>
      <c r="Z123" s="133"/>
      <c r="AA123" s="133"/>
    </row>
    <row r="124" spans="1:27" ht="92.45" customHeight="1" thickBot="1" x14ac:dyDescent="0.4">
      <c r="A124" s="135"/>
      <c r="B124" s="168" t="s">
        <v>222</v>
      </c>
      <c r="C124" s="168" t="s">
        <v>223</v>
      </c>
      <c r="D124" s="162" t="s">
        <v>166</v>
      </c>
      <c r="E124" s="122">
        <v>3.7499999999999999E-2</v>
      </c>
      <c r="F124" s="101">
        <v>720</v>
      </c>
      <c r="G124" s="163">
        <v>180</v>
      </c>
      <c r="H124" s="164">
        <f t="shared" si="17"/>
        <v>0.25</v>
      </c>
      <c r="I124" s="187">
        <f t="shared" si="18"/>
        <v>9.3749999999999997E-3</v>
      </c>
      <c r="J124" s="163">
        <v>224</v>
      </c>
      <c r="K124" s="187">
        <v>1</v>
      </c>
      <c r="L124" s="187">
        <f t="shared" si="20"/>
        <v>3.7499999999999999E-2</v>
      </c>
      <c r="M124" s="164">
        <f t="shared" si="21"/>
        <v>0.31111111111111112</v>
      </c>
      <c r="N124" s="184">
        <f>+M124*E124</f>
        <v>1.1666666666666667E-2</v>
      </c>
      <c r="O124" s="166" t="s">
        <v>1862</v>
      </c>
      <c r="P124" s="146"/>
      <c r="Q124" s="144"/>
      <c r="R124" s="144"/>
      <c r="S124" s="144"/>
      <c r="T124" s="144"/>
      <c r="U124" s="133"/>
      <c r="V124" s="133"/>
      <c r="W124" s="133"/>
      <c r="X124" s="133"/>
      <c r="Y124" s="133"/>
      <c r="Z124" s="133"/>
      <c r="AA124" s="133"/>
    </row>
    <row r="125" spans="1:27" ht="56.45" customHeight="1" thickBot="1" x14ac:dyDescent="0.4">
      <c r="A125" s="135"/>
      <c r="B125" s="695" t="s">
        <v>1617</v>
      </c>
      <c r="C125" s="691"/>
      <c r="D125" s="162"/>
      <c r="E125" s="99">
        <v>0.05</v>
      </c>
      <c r="F125" s="144"/>
      <c r="G125" s="163"/>
      <c r="H125" s="120">
        <f>+AVERAGE(H126:H129)</f>
        <v>0.25</v>
      </c>
      <c r="I125" s="120">
        <f>+I126+I127+I128+I129</f>
        <v>0.15</v>
      </c>
      <c r="J125" s="144"/>
      <c r="K125" s="119">
        <f>+AVERAGE(K126:K129)</f>
        <v>1</v>
      </c>
      <c r="L125" s="159">
        <f>+(L126+L127+L128+L129)*E125</f>
        <v>0.03</v>
      </c>
      <c r="M125" s="120">
        <f>+AVERAGE(M126:M129)</f>
        <v>0.25</v>
      </c>
      <c r="N125" s="121">
        <f>+(N126+N127+N128+N129)*E125</f>
        <v>7.4999999999999997E-3</v>
      </c>
      <c r="O125" s="160"/>
      <c r="P125" s="146"/>
      <c r="Q125" s="144"/>
      <c r="R125" s="144"/>
      <c r="S125" s="144"/>
      <c r="T125" s="144"/>
      <c r="U125" s="133"/>
      <c r="V125" s="133"/>
      <c r="W125" s="133"/>
      <c r="X125" s="133"/>
      <c r="Y125" s="133"/>
      <c r="Z125" s="133"/>
      <c r="AA125" s="133"/>
    </row>
    <row r="126" spans="1:27" ht="72" customHeight="1" thickBot="1" x14ac:dyDescent="0.4">
      <c r="A126" s="135"/>
      <c r="B126" s="168" t="s">
        <v>224</v>
      </c>
      <c r="C126" s="168" t="s">
        <v>225</v>
      </c>
      <c r="D126" s="162" t="s">
        <v>226</v>
      </c>
      <c r="E126" s="100">
        <v>0.1</v>
      </c>
      <c r="F126" s="101">
        <v>1</v>
      </c>
      <c r="G126" s="163">
        <v>0</v>
      </c>
      <c r="H126" s="164"/>
      <c r="I126" s="187"/>
      <c r="J126" s="163"/>
      <c r="K126" s="187"/>
      <c r="L126" s="187"/>
      <c r="M126" s="164"/>
      <c r="N126" s="165"/>
      <c r="O126" s="166" t="s">
        <v>1862</v>
      </c>
      <c r="P126" s="146"/>
      <c r="Q126" s="144"/>
      <c r="R126" s="144"/>
      <c r="S126" s="144"/>
      <c r="T126" s="144"/>
      <c r="U126" s="133"/>
      <c r="V126" s="133"/>
      <c r="W126" s="133"/>
      <c r="X126" s="133"/>
      <c r="Y126" s="133"/>
      <c r="Z126" s="133"/>
      <c r="AA126" s="133"/>
    </row>
    <row r="127" spans="1:27" ht="117" customHeight="1" thickBot="1" x14ac:dyDescent="0.4">
      <c r="A127" s="135"/>
      <c r="B127" s="171" t="s">
        <v>227</v>
      </c>
      <c r="C127" s="171" t="s">
        <v>228</v>
      </c>
      <c r="D127" s="162" t="s">
        <v>226</v>
      </c>
      <c r="E127" s="100">
        <v>0.6</v>
      </c>
      <c r="F127" s="101">
        <v>4</v>
      </c>
      <c r="G127" s="163">
        <v>1</v>
      </c>
      <c r="H127" s="164">
        <f>+G127/F127</f>
        <v>0.25</v>
      </c>
      <c r="I127" s="187">
        <f>+(G127/F127)*E127</f>
        <v>0.15</v>
      </c>
      <c r="J127" s="163">
        <v>1</v>
      </c>
      <c r="K127" s="187">
        <f>+(J127/G127)</f>
        <v>1</v>
      </c>
      <c r="L127" s="187">
        <f>+K127*E127</f>
        <v>0.6</v>
      </c>
      <c r="M127" s="164">
        <f>+J127/F127</f>
        <v>0.25</v>
      </c>
      <c r="N127" s="165">
        <f>+M127*E127</f>
        <v>0.15</v>
      </c>
      <c r="O127" s="166" t="s">
        <v>1862</v>
      </c>
      <c r="P127" s="146"/>
      <c r="Q127" s="144"/>
      <c r="R127" s="144"/>
      <c r="S127" s="144"/>
      <c r="T127" s="144"/>
      <c r="U127" s="133"/>
      <c r="V127" s="133"/>
      <c r="W127" s="133"/>
      <c r="X127" s="133"/>
      <c r="Y127" s="133"/>
      <c r="Z127" s="133"/>
      <c r="AA127" s="133"/>
    </row>
    <row r="128" spans="1:27" ht="90" customHeight="1" thickBot="1" x14ac:dyDescent="0.4">
      <c r="A128" s="135"/>
      <c r="B128" s="168" t="s">
        <v>229</v>
      </c>
      <c r="C128" s="168" t="s">
        <v>230</v>
      </c>
      <c r="D128" s="162" t="s">
        <v>226</v>
      </c>
      <c r="E128" s="100">
        <v>0.2</v>
      </c>
      <c r="F128" s="101">
        <v>1</v>
      </c>
      <c r="G128" s="163">
        <v>0</v>
      </c>
      <c r="H128" s="164"/>
      <c r="I128" s="187"/>
      <c r="J128" s="163"/>
      <c r="K128" s="187"/>
      <c r="L128" s="187"/>
      <c r="M128" s="164"/>
      <c r="N128" s="165"/>
      <c r="O128" s="166" t="s">
        <v>1862</v>
      </c>
      <c r="P128" s="146"/>
      <c r="Q128" s="144"/>
      <c r="R128" s="144"/>
      <c r="S128" s="144"/>
      <c r="T128" s="144"/>
      <c r="U128" s="133"/>
      <c r="V128" s="133"/>
      <c r="W128" s="133"/>
      <c r="X128" s="133"/>
      <c r="Y128" s="133"/>
      <c r="Z128" s="133"/>
      <c r="AA128" s="133"/>
    </row>
    <row r="129" spans="1:27" ht="63.75" thickBot="1" x14ac:dyDescent="0.4">
      <c r="A129" s="135"/>
      <c r="B129" s="168" t="s">
        <v>231</v>
      </c>
      <c r="C129" s="168" t="s">
        <v>232</v>
      </c>
      <c r="D129" s="162" t="s">
        <v>226</v>
      </c>
      <c r="E129" s="100">
        <v>0.1</v>
      </c>
      <c r="F129" s="101">
        <v>1</v>
      </c>
      <c r="G129" s="163">
        <v>0</v>
      </c>
      <c r="H129" s="164"/>
      <c r="I129" s="187"/>
      <c r="J129" s="163"/>
      <c r="K129" s="187"/>
      <c r="L129" s="187"/>
      <c r="M129" s="164"/>
      <c r="N129" s="165"/>
      <c r="O129" s="166" t="s">
        <v>1862</v>
      </c>
      <c r="P129" s="146"/>
      <c r="Q129" s="144"/>
      <c r="R129" s="144"/>
      <c r="S129" s="144"/>
      <c r="T129" s="144"/>
      <c r="U129" s="133"/>
      <c r="V129" s="133"/>
      <c r="W129" s="133"/>
      <c r="X129" s="133"/>
      <c r="Y129" s="133"/>
      <c r="Z129" s="133"/>
      <c r="AA129" s="133"/>
    </row>
    <row r="130" spans="1:27" ht="93" customHeight="1" thickBot="1" x14ac:dyDescent="0.4">
      <c r="A130" s="135"/>
      <c r="B130" s="696" t="s">
        <v>233</v>
      </c>
      <c r="C130" s="691"/>
      <c r="D130" s="144"/>
      <c r="E130" s="173">
        <v>0.2</v>
      </c>
      <c r="F130" s="173">
        <f>+E130*L130</f>
        <v>0.13438738197424893</v>
      </c>
      <c r="G130" s="144"/>
      <c r="H130" s="150">
        <f>+(H131+H140+H143+H148+H153+H160+H166)/6</f>
        <v>0.3193759495300631</v>
      </c>
      <c r="I130" s="192">
        <f>+(I131+I140+I143+I148+I153+I160+I166)/6</f>
        <v>0.17451004248744692</v>
      </c>
      <c r="J130" s="144"/>
      <c r="K130" s="150">
        <f>+(K131+K140+K143+K148+K153+K160+K166)/6</f>
        <v>0.73629960790547333</v>
      </c>
      <c r="L130" s="192">
        <f>+L131+L140+L143+L148+L153+L160+L166</f>
        <v>0.67193690987124466</v>
      </c>
      <c r="M130" s="150">
        <f>+(M131+M140+M143+M148+M153+M160+M166)/6</f>
        <v>0.24621230380461609</v>
      </c>
      <c r="N130" s="193">
        <f>+N131+N140+N143+N148+N153+N160+N166</f>
        <v>0.18458001541682623</v>
      </c>
      <c r="O130" s="194"/>
      <c r="P130" s="146"/>
      <c r="Q130" s="144"/>
      <c r="R130" s="144"/>
      <c r="S130" s="144"/>
      <c r="T130" s="144"/>
      <c r="U130" s="133"/>
      <c r="V130" s="133"/>
      <c r="W130" s="133"/>
      <c r="X130" s="133"/>
      <c r="Y130" s="133"/>
      <c r="Z130" s="133"/>
      <c r="AA130" s="133"/>
    </row>
    <row r="131" spans="1:27" ht="86.25" customHeight="1" thickBot="1" x14ac:dyDescent="0.4">
      <c r="A131" s="135"/>
      <c r="B131" s="695" t="s">
        <v>1618</v>
      </c>
      <c r="C131" s="691"/>
      <c r="D131" s="157"/>
      <c r="E131" s="99">
        <v>0.2</v>
      </c>
      <c r="F131" s="144"/>
      <c r="G131" s="163"/>
      <c r="H131" s="120">
        <f>+AVERAGE(H132:H139)</f>
        <v>0.33333333333333331</v>
      </c>
      <c r="I131" s="120">
        <f>+I132+I133+I134+I135+I136+I137+I138+I139</f>
        <v>0.21750000000000003</v>
      </c>
      <c r="J131" s="144"/>
      <c r="K131" s="119">
        <f>+AVERAGE(K132:K139)</f>
        <v>0.60613098076617389</v>
      </c>
      <c r="L131" s="159">
        <f>+(L132+L133+L134+L135+L136+L137+L138+L139)*E131</f>
        <v>9.023690987124465E-2</v>
      </c>
      <c r="M131" s="120">
        <f>+AVERAGE(M132:M139)</f>
        <v>0.22653274519154346</v>
      </c>
      <c r="N131" s="121">
        <f>+(N132+N133+N134+N135+N136+N137+N138+N139)*E131</f>
        <v>3.155922746781116E-2</v>
      </c>
      <c r="O131" s="160"/>
      <c r="P131" s="146"/>
      <c r="Q131" s="144"/>
      <c r="R131" s="144"/>
      <c r="S131" s="144"/>
      <c r="T131" s="144"/>
      <c r="U131" s="133"/>
      <c r="V131" s="133"/>
      <c r="W131" s="133"/>
      <c r="X131" s="133"/>
      <c r="Y131" s="133"/>
      <c r="Z131" s="133"/>
      <c r="AA131" s="133"/>
    </row>
    <row r="132" spans="1:27" ht="72.599999999999994" customHeight="1" thickBot="1" x14ac:dyDescent="0.4">
      <c r="A132" s="135"/>
      <c r="B132" s="168" t="s">
        <v>234</v>
      </c>
      <c r="C132" s="168" t="s">
        <v>235</v>
      </c>
      <c r="D132" s="162" t="s">
        <v>62</v>
      </c>
      <c r="E132" s="100">
        <v>0.15</v>
      </c>
      <c r="F132" s="101">
        <v>16776</v>
      </c>
      <c r="G132" s="163">
        <v>4194</v>
      </c>
      <c r="H132" s="164">
        <f t="shared" ref="H132:H139" si="27">+G132/F132</f>
        <v>0.25</v>
      </c>
      <c r="I132" s="164">
        <f t="shared" ref="I132:I139" si="28">+(G132/F132)*E132</f>
        <v>3.7499999999999999E-2</v>
      </c>
      <c r="J132" s="163">
        <v>3146</v>
      </c>
      <c r="K132" s="164">
        <f>+(J132/G132)</f>
        <v>0.75011921793037672</v>
      </c>
      <c r="L132" s="164">
        <f t="shared" ref="L132:L139" si="29">+K132*E132</f>
        <v>0.11251788268955651</v>
      </c>
      <c r="M132" s="164">
        <f t="shared" ref="M132:M139" si="30">+J132/F132</f>
        <v>0.18752980448259418</v>
      </c>
      <c r="N132" s="165">
        <f t="shared" ref="N132:N139" si="31">+M132*E132</f>
        <v>2.8129470672389127E-2</v>
      </c>
      <c r="O132" s="166" t="s">
        <v>1862</v>
      </c>
      <c r="P132" s="146"/>
      <c r="Q132" s="144"/>
      <c r="R132" s="144"/>
      <c r="S132" s="144"/>
      <c r="T132" s="144"/>
      <c r="U132" s="133"/>
      <c r="V132" s="133"/>
      <c r="W132" s="133"/>
      <c r="X132" s="133"/>
      <c r="Y132" s="133"/>
      <c r="Z132" s="133"/>
      <c r="AA132" s="133"/>
    </row>
    <row r="133" spans="1:27" ht="72.599999999999994" customHeight="1" thickBot="1" x14ac:dyDescent="0.4">
      <c r="A133" s="135"/>
      <c r="B133" s="168" t="s">
        <v>236</v>
      </c>
      <c r="C133" s="168" t="s">
        <v>237</v>
      </c>
      <c r="D133" s="162" t="s">
        <v>62</v>
      </c>
      <c r="E133" s="100">
        <v>0.15</v>
      </c>
      <c r="F133" s="101">
        <v>22724</v>
      </c>
      <c r="G133" s="163">
        <v>5681</v>
      </c>
      <c r="H133" s="164">
        <f t="shared" si="27"/>
        <v>0.25</v>
      </c>
      <c r="I133" s="164">
        <f t="shared" si="28"/>
        <v>3.7499999999999999E-2</v>
      </c>
      <c r="J133" s="163">
        <v>5681</v>
      </c>
      <c r="K133" s="164">
        <f t="shared" ref="K133:K139" si="32">+(J133/G133)</f>
        <v>1</v>
      </c>
      <c r="L133" s="164">
        <f t="shared" si="29"/>
        <v>0.15</v>
      </c>
      <c r="M133" s="164">
        <f t="shared" si="30"/>
        <v>0.25</v>
      </c>
      <c r="N133" s="165">
        <f t="shared" si="31"/>
        <v>3.7499999999999999E-2</v>
      </c>
      <c r="O133" s="166" t="s">
        <v>1862</v>
      </c>
      <c r="P133" s="146"/>
      <c r="Q133" s="144"/>
      <c r="R133" s="144"/>
      <c r="S133" s="144"/>
      <c r="T133" s="144"/>
      <c r="U133" s="133"/>
      <c r="V133" s="133"/>
      <c r="W133" s="133"/>
      <c r="X133" s="133"/>
      <c r="Y133" s="133"/>
      <c r="Z133" s="133"/>
      <c r="AA133" s="133"/>
    </row>
    <row r="134" spans="1:27" ht="72.599999999999994" customHeight="1" thickBot="1" x14ac:dyDescent="0.4">
      <c r="A134" s="135"/>
      <c r="B134" s="168" t="s">
        <v>238</v>
      </c>
      <c r="C134" s="168" t="s">
        <v>239</v>
      </c>
      <c r="D134" s="162" t="s">
        <v>62</v>
      </c>
      <c r="E134" s="100">
        <v>0.1</v>
      </c>
      <c r="F134" s="101">
        <f>150*4</f>
        <v>600</v>
      </c>
      <c r="G134" s="163">
        <v>150</v>
      </c>
      <c r="H134" s="164">
        <f t="shared" si="27"/>
        <v>0.25</v>
      </c>
      <c r="I134" s="164">
        <f t="shared" si="28"/>
        <v>2.5000000000000001E-2</v>
      </c>
      <c r="J134" s="163">
        <v>133</v>
      </c>
      <c r="K134" s="164">
        <f t="shared" si="32"/>
        <v>0.88666666666666671</v>
      </c>
      <c r="L134" s="164">
        <f t="shared" si="29"/>
        <v>8.8666666666666671E-2</v>
      </c>
      <c r="M134" s="164">
        <f t="shared" si="30"/>
        <v>0.22166666666666668</v>
      </c>
      <c r="N134" s="165">
        <f t="shared" si="31"/>
        <v>2.2166666666666668E-2</v>
      </c>
      <c r="O134" s="166" t="s">
        <v>1862</v>
      </c>
      <c r="P134" s="146"/>
      <c r="Q134" s="144"/>
      <c r="R134" s="144"/>
      <c r="S134" s="144"/>
      <c r="T134" s="144"/>
      <c r="U134" s="133"/>
      <c r="V134" s="133"/>
      <c r="W134" s="133"/>
      <c r="X134" s="133"/>
      <c r="Y134" s="133"/>
      <c r="Z134" s="133"/>
      <c r="AA134" s="133"/>
    </row>
    <row r="135" spans="1:27" ht="74.45" customHeight="1" thickBot="1" x14ac:dyDescent="0.4">
      <c r="A135" s="135"/>
      <c r="B135" s="168" t="s">
        <v>240</v>
      </c>
      <c r="C135" s="168" t="s">
        <v>241</v>
      </c>
      <c r="D135" s="162" t="s">
        <v>62</v>
      </c>
      <c r="E135" s="100">
        <v>0.25</v>
      </c>
      <c r="F135" s="101">
        <v>4</v>
      </c>
      <c r="G135" s="163">
        <v>1</v>
      </c>
      <c r="H135" s="164">
        <f t="shared" si="27"/>
        <v>0.25</v>
      </c>
      <c r="I135" s="164">
        <f t="shared" si="28"/>
        <v>6.25E-2</v>
      </c>
      <c r="J135" s="163">
        <v>0</v>
      </c>
      <c r="K135" s="164">
        <f t="shared" si="32"/>
        <v>0</v>
      </c>
      <c r="L135" s="164">
        <f t="shared" si="29"/>
        <v>0</v>
      </c>
      <c r="M135" s="164">
        <f t="shared" si="30"/>
        <v>0</v>
      </c>
      <c r="N135" s="165">
        <f t="shared" si="31"/>
        <v>0</v>
      </c>
      <c r="O135" s="166" t="s">
        <v>1862</v>
      </c>
      <c r="P135" s="146"/>
      <c r="Q135" s="144"/>
      <c r="R135" s="144"/>
      <c r="S135" s="144"/>
      <c r="T135" s="144"/>
      <c r="U135" s="133"/>
      <c r="V135" s="133"/>
      <c r="W135" s="133"/>
      <c r="X135" s="133"/>
      <c r="Y135" s="133"/>
      <c r="Z135" s="133"/>
      <c r="AA135" s="133"/>
    </row>
    <row r="136" spans="1:27" ht="82.9" customHeight="1" thickBot="1" x14ac:dyDescent="0.4">
      <c r="A136" s="135"/>
      <c r="B136" s="168" t="s">
        <v>242</v>
      </c>
      <c r="C136" s="168" t="s">
        <v>243</v>
      </c>
      <c r="D136" s="162" t="s">
        <v>62</v>
      </c>
      <c r="E136" s="100">
        <v>0.2</v>
      </c>
      <c r="F136" s="101">
        <v>1</v>
      </c>
      <c r="G136" s="163">
        <v>0</v>
      </c>
      <c r="H136" s="164"/>
      <c r="I136" s="164"/>
      <c r="J136" s="163"/>
      <c r="K136" s="164"/>
      <c r="L136" s="164"/>
      <c r="M136" s="164"/>
      <c r="N136" s="165">
        <v>0</v>
      </c>
      <c r="O136" s="166" t="s">
        <v>1862</v>
      </c>
      <c r="P136" s="146"/>
      <c r="Q136" s="144"/>
      <c r="R136" s="144"/>
      <c r="S136" s="144"/>
      <c r="T136" s="144"/>
      <c r="U136" s="133"/>
      <c r="V136" s="133"/>
      <c r="W136" s="133"/>
      <c r="X136" s="133"/>
      <c r="Y136" s="133"/>
      <c r="Z136" s="133"/>
      <c r="AA136" s="133"/>
    </row>
    <row r="137" spans="1:27" ht="80.45" customHeight="1" thickBot="1" x14ac:dyDescent="0.4">
      <c r="A137" s="135"/>
      <c r="B137" s="168" t="s">
        <v>244</v>
      </c>
      <c r="C137" s="168" t="s">
        <v>245</v>
      </c>
      <c r="D137" s="162" t="s">
        <v>62</v>
      </c>
      <c r="E137" s="100">
        <v>0.1</v>
      </c>
      <c r="F137" s="101">
        <v>10</v>
      </c>
      <c r="G137" s="163">
        <v>4</v>
      </c>
      <c r="H137" s="164">
        <f t="shared" si="27"/>
        <v>0.4</v>
      </c>
      <c r="I137" s="164">
        <f t="shared" si="28"/>
        <v>4.0000000000000008E-2</v>
      </c>
      <c r="J137" s="163">
        <v>7</v>
      </c>
      <c r="K137" s="164">
        <v>1</v>
      </c>
      <c r="L137" s="164">
        <f t="shared" si="29"/>
        <v>0.1</v>
      </c>
      <c r="M137" s="164">
        <f t="shared" si="30"/>
        <v>0.7</v>
      </c>
      <c r="N137" s="165">
        <f t="shared" si="31"/>
        <v>6.9999999999999993E-2</v>
      </c>
      <c r="O137" s="166" t="s">
        <v>1862</v>
      </c>
      <c r="P137" s="146"/>
      <c r="Q137" s="144"/>
      <c r="R137" s="144"/>
      <c r="S137" s="144"/>
      <c r="T137" s="144"/>
      <c r="U137" s="133"/>
      <c r="V137" s="133"/>
      <c r="W137" s="133"/>
      <c r="X137" s="133"/>
      <c r="Y137" s="133"/>
      <c r="Z137" s="133"/>
      <c r="AA137" s="133"/>
    </row>
    <row r="138" spans="1:27" ht="93.6" customHeight="1" thickBot="1" x14ac:dyDescent="0.4">
      <c r="A138" s="135"/>
      <c r="B138" s="168" t="s">
        <v>246</v>
      </c>
      <c r="C138" s="168" t="s">
        <v>247</v>
      </c>
      <c r="D138" s="162" t="s">
        <v>62</v>
      </c>
      <c r="E138" s="100">
        <v>2.5000000000000001E-2</v>
      </c>
      <c r="F138" s="101">
        <v>1</v>
      </c>
      <c r="G138" s="163">
        <v>0</v>
      </c>
      <c r="H138" s="164"/>
      <c r="I138" s="164"/>
      <c r="J138" s="163"/>
      <c r="K138" s="164"/>
      <c r="L138" s="164"/>
      <c r="M138" s="164"/>
      <c r="N138" s="165">
        <v>0</v>
      </c>
      <c r="O138" s="166" t="s">
        <v>1862</v>
      </c>
      <c r="P138" s="146"/>
      <c r="Q138" s="144"/>
      <c r="R138" s="144"/>
      <c r="S138" s="144"/>
      <c r="T138" s="144"/>
      <c r="U138" s="133"/>
      <c r="V138" s="133"/>
      <c r="W138" s="133"/>
      <c r="X138" s="133"/>
      <c r="Y138" s="133"/>
      <c r="Z138" s="133"/>
      <c r="AA138" s="133"/>
    </row>
    <row r="139" spans="1:27" ht="73.150000000000006" customHeight="1" thickBot="1" x14ac:dyDescent="0.4">
      <c r="A139" s="135"/>
      <c r="B139" s="168" t="s">
        <v>248</v>
      </c>
      <c r="C139" s="168" t="s">
        <v>249</v>
      </c>
      <c r="D139" s="162" t="s">
        <v>62</v>
      </c>
      <c r="E139" s="100">
        <v>2.5000000000000001E-2</v>
      </c>
      <c r="F139" s="101">
        <v>1</v>
      </c>
      <c r="G139" s="163">
        <v>0.6</v>
      </c>
      <c r="H139" s="164">
        <f t="shared" si="27"/>
        <v>0.6</v>
      </c>
      <c r="I139" s="164">
        <f t="shared" si="28"/>
        <v>1.4999999999999999E-2</v>
      </c>
      <c r="J139" s="163">
        <v>0</v>
      </c>
      <c r="K139" s="164">
        <f t="shared" si="32"/>
        <v>0</v>
      </c>
      <c r="L139" s="164">
        <f t="shared" si="29"/>
        <v>0</v>
      </c>
      <c r="M139" s="164">
        <f t="shared" si="30"/>
        <v>0</v>
      </c>
      <c r="N139" s="165">
        <f t="shared" si="31"/>
        <v>0</v>
      </c>
      <c r="O139" s="166" t="s">
        <v>1862</v>
      </c>
      <c r="P139" s="146"/>
      <c r="Q139" s="144"/>
      <c r="R139" s="144"/>
      <c r="S139" s="144"/>
      <c r="T139" s="144"/>
      <c r="U139" s="133"/>
      <c r="V139" s="133"/>
      <c r="W139" s="133"/>
      <c r="X139" s="133"/>
      <c r="Y139" s="133"/>
      <c r="Z139" s="133"/>
      <c r="AA139" s="133"/>
    </row>
    <row r="140" spans="1:27" ht="114.75" customHeight="1" thickBot="1" x14ac:dyDescent="0.4">
      <c r="A140" s="135"/>
      <c r="B140" s="695" t="s">
        <v>1619</v>
      </c>
      <c r="C140" s="691"/>
      <c r="D140" s="157"/>
      <c r="E140" s="99">
        <v>0.2</v>
      </c>
      <c r="F140" s="144"/>
      <c r="G140" s="144"/>
      <c r="H140" s="120">
        <f>+AVERAGE(H141:H142)</f>
        <v>0.23392236384704518</v>
      </c>
      <c r="I140" s="120">
        <f>+I141+I142</f>
        <v>0.22106025492468134</v>
      </c>
      <c r="J140" s="144"/>
      <c r="K140" s="159">
        <f>+AVERAGE(K141:K142)</f>
        <v>0.5</v>
      </c>
      <c r="L140" s="159">
        <f>+(L141+L142)*E140</f>
        <v>0.18000000000000002</v>
      </c>
      <c r="M140" s="120">
        <f>+AVERAGE(M141:M142)</f>
        <v>0.13789107763615296</v>
      </c>
      <c r="N140" s="121">
        <f>+(N141+N142)*E140</f>
        <v>4.9640787949015074E-2</v>
      </c>
      <c r="O140" s="160"/>
      <c r="P140" s="146"/>
      <c r="Q140" s="144"/>
      <c r="R140" s="144"/>
      <c r="S140" s="144"/>
      <c r="T140" s="144"/>
      <c r="U140" s="133"/>
      <c r="V140" s="133"/>
      <c r="W140" s="133"/>
      <c r="X140" s="133"/>
      <c r="Y140" s="133"/>
      <c r="Z140" s="133"/>
      <c r="AA140" s="133"/>
    </row>
    <row r="141" spans="1:27" ht="120" customHeight="1" thickBot="1" x14ac:dyDescent="0.4">
      <c r="A141" s="135"/>
      <c r="B141" s="168" t="s">
        <v>250</v>
      </c>
      <c r="C141" s="168" t="s">
        <v>251</v>
      </c>
      <c r="D141" s="162" t="s">
        <v>62</v>
      </c>
      <c r="E141" s="100">
        <v>0.9</v>
      </c>
      <c r="F141" s="101">
        <v>3452</v>
      </c>
      <c r="G141" s="163">
        <v>752</v>
      </c>
      <c r="H141" s="164">
        <f>+G141/F141</f>
        <v>0.21784472769409038</v>
      </c>
      <c r="I141" s="164">
        <f>+(G141/F141)*E141</f>
        <v>0.19606025492468135</v>
      </c>
      <c r="J141" s="163">
        <v>952</v>
      </c>
      <c r="K141" s="164">
        <v>1</v>
      </c>
      <c r="L141" s="164">
        <f>+K141*E141</f>
        <v>0.9</v>
      </c>
      <c r="M141" s="164">
        <f>+J141/F141</f>
        <v>0.27578215527230593</v>
      </c>
      <c r="N141" s="184">
        <f>+M141*E141</f>
        <v>0.24820393974507535</v>
      </c>
      <c r="O141" s="166" t="s">
        <v>1862</v>
      </c>
      <c r="P141" s="146"/>
      <c r="Q141" s="144"/>
      <c r="R141" s="144"/>
      <c r="S141" s="144"/>
      <c r="T141" s="144"/>
      <c r="U141" s="133"/>
      <c r="V141" s="133"/>
      <c r="W141" s="133"/>
      <c r="X141" s="133"/>
      <c r="Y141" s="133"/>
      <c r="Z141" s="133"/>
      <c r="AA141" s="133"/>
    </row>
    <row r="142" spans="1:27" ht="84.75" thickBot="1" x14ac:dyDescent="0.4">
      <c r="A142" s="135"/>
      <c r="B142" s="168" t="s">
        <v>252</v>
      </c>
      <c r="C142" s="168" t="s">
        <v>253</v>
      </c>
      <c r="D142" s="162" t="s">
        <v>62</v>
      </c>
      <c r="E142" s="100">
        <v>0.1</v>
      </c>
      <c r="F142" s="101">
        <v>4</v>
      </c>
      <c r="G142" s="163">
        <v>1</v>
      </c>
      <c r="H142" s="164">
        <f>+G142/F142</f>
        <v>0.25</v>
      </c>
      <c r="I142" s="164">
        <f>+(G142/F142)*E142</f>
        <v>2.5000000000000001E-2</v>
      </c>
      <c r="J142" s="163">
        <v>0</v>
      </c>
      <c r="K142" s="164">
        <f>+(J142/G142)</f>
        <v>0</v>
      </c>
      <c r="L142" s="164">
        <f>+K142*E142</f>
        <v>0</v>
      </c>
      <c r="M142" s="164">
        <f>+J142/F142</f>
        <v>0</v>
      </c>
      <c r="N142" s="165">
        <f>+M142*E142</f>
        <v>0</v>
      </c>
      <c r="O142" s="166" t="s">
        <v>1862</v>
      </c>
      <c r="P142" s="146"/>
      <c r="Q142" s="144"/>
      <c r="R142" s="144"/>
      <c r="S142" s="144"/>
      <c r="T142" s="144"/>
      <c r="U142" s="133"/>
      <c r="V142" s="133"/>
      <c r="W142" s="133"/>
      <c r="X142" s="133"/>
      <c r="Y142" s="133"/>
      <c r="Z142" s="133"/>
      <c r="AA142" s="133"/>
    </row>
    <row r="143" spans="1:27" ht="72" customHeight="1" thickBot="1" x14ac:dyDescent="0.4">
      <c r="A143" s="135"/>
      <c r="B143" s="695" t="s">
        <v>1620</v>
      </c>
      <c r="C143" s="691"/>
      <c r="D143" s="157"/>
      <c r="E143" s="99">
        <v>0.1</v>
      </c>
      <c r="F143" s="101"/>
      <c r="G143" s="144"/>
      <c r="H143" s="120">
        <f>+AVERAGE(H144:H147)</f>
        <v>0.25</v>
      </c>
      <c r="I143" s="120">
        <f>+I144+I145+I146+I147</f>
        <v>0.25</v>
      </c>
      <c r="J143" s="144"/>
      <c r="K143" s="159">
        <f>+AVERAGE(K144:K147)</f>
        <v>0.81166666666666665</v>
      </c>
      <c r="L143" s="159">
        <f>+(L144+L145+L146+L147)*E143</f>
        <v>7.9200000000000007E-2</v>
      </c>
      <c r="M143" s="120">
        <f>+AVERAGE(M144:M147)</f>
        <v>0.20291666666666666</v>
      </c>
      <c r="N143" s="121">
        <f>+(N144+N145+N146+N147)*E143</f>
        <v>1.9800000000000002E-2</v>
      </c>
      <c r="O143" s="160"/>
      <c r="P143" s="146"/>
      <c r="Q143" s="144"/>
      <c r="R143" s="144"/>
      <c r="S143" s="144"/>
      <c r="T143" s="144"/>
      <c r="U143" s="133"/>
      <c r="V143" s="133"/>
      <c r="W143" s="133"/>
      <c r="X143" s="133"/>
      <c r="Y143" s="133"/>
      <c r="Z143" s="133"/>
      <c r="AA143" s="133"/>
    </row>
    <row r="144" spans="1:27" ht="63.75" thickBot="1" x14ac:dyDescent="0.4">
      <c r="A144" s="135"/>
      <c r="B144" s="168" t="s">
        <v>254</v>
      </c>
      <c r="C144" s="168" t="s">
        <v>255</v>
      </c>
      <c r="D144" s="162" t="s">
        <v>62</v>
      </c>
      <c r="E144" s="100">
        <v>0.4</v>
      </c>
      <c r="F144" s="101">
        <v>200</v>
      </c>
      <c r="G144" s="163">
        <v>50</v>
      </c>
      <c r="H144" s="164">
        <f>+G144/F144</f>
        <v>0.25</v>
      </c>
      <c r="I144" s="164">
        <f>+(G144/F144)*E144</f>
        <v>0.1</v>
      </c>
      <c r="J144" s="163">
        <v>39</v>
      </c>
      <c r="K144" s="164">
        <f>+(J144/G144)</f>
        <v>0.78</v>
      </c>
      <c r="L144" s="164">
        <f>+K144*E144</f>
        <v>0.31200000000000006</v>
      </c>
      <c r="M144" s="164">
        <f>+J144/F144</f>
        <v>0.19500000000000001</v>
      </c>
      <c r="N144" s="165">
        <f>+M144*E144</f>
        <v>7.8000000000000014E-2</v>
      </c>
      <c r="O144" s="166" t="s">
        <v>1862</v>
      </c>
      <c r="P144" s="146"/>
      <c r="Q144" s="144"/>
      <c r="R144" s="144"/>
      <c r="S144" s="144"/>
      <c r="T144" s="144"/>
      <c r="U144" s="133"/>
      <c r="V144" s="133"/>
      <c r="W144" s="133"/>
      <c r="X144" s="133"/>
      <c r="Y144" s="133"/>
      <c r="Z144" s="133"/>
      <c r="AA144" s="133"/>
    </row>
    <row r="145" spans="1:27" ht="101.45" customHeight="1" thickBot="1" x14ac:dyDescent="0.4">
      <c r="A145" s="135"/>
      <c r="B145" s="168" t="s">
        <v>256</v>
      </c>
      <c r="C145" s="168" t="s">
        <v>257</v>
      </c>
      <c r="D145" s="162" t="s">
        <v>62</v>
      </c>
      <c r="E145" s="100">
        <v>0.1</v>
      </c>
      <c r="F145" s="101">
        <v>4</v>
      </c>
      <c r="G145" s="163">
        <v>1</v>
      </c>
      <c r="H145" s="164">
        <f>+G145/F145</f>
        <v>0.25</v>
      </c>
      <c r="I145" s="164">
        <f>+(G145/F145)*E145</f>
        <v>2.5000000000000001E-2</v>
      </c>
      <c r="J145" s="163">
        <v>1</v>
      </c>
      <c r="K145" s="164">
        <f>+(J145/G145)</f>
        <v>1</v>
      </c>
      <c r="L145" s="164">
        <f>+K145*E145</f>
        <v>0.1</v>
      </c>
      <c r="M145" s="164">
        <f>+J145/F145</f>
        <v>0.25</v>
      </c>
      <c r="N145" s="165">
        <f>+M145*E145</f>
        <v>2.5000000000000001E-2</v>
      </c>
      <c r="O145" s="166" t="s">
        <v>1862</v>
      </c>
      <c r="P145" s="146"/>
      <c r="Q145" s="144"/>
      <c r="R145" s="144"/>
      <c r="S145" s="144"/>
      <c r="T145" s="144"/>
      <c r="U145" s="133"/>
      <c r="V145" s="133"/>
      <c r="W145" s="133"/>
      <c r="X145" s="133"/>
      <c r="Y145" s="133"/>
      <c r="Z145" s="133"/>
      <c r="AA145" s="133"/>
    </row>
    <row r="146" spans="1:27" ht="101.45" customHeight="1" thickBot="1" x14ac:dyDescent="0.4">
      <c r="A146" s="135"/>
      <c r="B146" s="168" t="s">
        <v>258</v>
      </c>
      <c r="C146" s="168" t="s">
        <v>259</v>
      </c>
      <c r="D146" s="162" t="s">
        <v>62</v>
      </c>
      <c r="E146" s="100">
        <v>0.2</v>
      </c>
      <c r="F146" s="101">
        <v>20</v>
      </c>
      <c r="G146" s="163">
        <v>5</v>
      </c>
      <c r="H146" s="164">
        <f>+G146/F146</f>
        <v>0.25</v>
      </c>
      <c r="I146" s="164">
        <f>+(G146/F146)*E146</f>
        <v>0.05</v>
      </c>
      <c r="J146" s="163">
        <v>3</v>
      </c>
      <c r="K146" s="164">
        <f>+(J146/G146)</f>
        <v>0.6</v>
      </c>
      <c r="L146" s="164">
        <f>+K146*E146</f>
        <v>0.12</v>
      </c>
      <c r="M146" s="164">
        <f>+J146/F146</f>
        <v>0.15</v>
      </c>
      <c r="N146" s="165">
        <f>+M146*E146</f>
        <v>0.03</v>
      </c>
      <c r="O146" s="166" t="s">
        <v>1862</v>
      </c>
      <c r="P146" s="146"/>
      <c r="Q146" s="144"/>
      <c r="R146" s="144"/>
      <c r="S146" s="144"/>
      <c r="T146" s="144"/>
      <c r="U146" s="133"/>
      <c r="V146" s="133"/>
      <c r="W146" s="133"/>
      <c r="X146" s="133"/>
      <c r="Y146" s="133"/>
      <c r="Z146" s="133"/>
      <c r="AA146" s="133"/>
    </row>
    <row r="147" spans="1:27" ht="82.9" customHeight="1" thickBot="1" x14ac:dyDescent="0.4">
      <c r="A147" s="135"/>
      <c r="B147" s="168" t="s">
        <v>1568</v>
      </c>
      <c r="C147" s="238" t="s">
        <v>1569</v>
      </c>
      <c r="D147" s="195"/>
      <c r="E147" s="100">
        <v>0.3</v>
      </c>
      <c r="F147" s="105">
        <v>60</v>
      </c>
      <c r="G147" s="163">
        <v>15</v>
      </c>
      <c r="H147" s="164">
        <f>+G147/F147</f>
        <v>0.25</v>
      </c>
      <c r="I147" s="164">
        <f>+(G147/F147)*E147</f>
        <v>7.4999999999999997E-2</v>
      </c>
      <c r="J147" s="196">
        <v>13</v>
      </c>
      <c r="K147" s="164">
        <f>+(J147/G147)</f>
        <v>0.8666666666666667</v>
      </c>
      <c r="L147" s="164">
        <f>+K147*E147</f>
        <v>0.26</v>
      </c>
      <c r="M147" s="164">
        <f>+J147/F147</f>
        <v>0.21666666666666667</v>
      </c>
      <c r="N147" s="165">
        <f>+M147*E147</f>
        <v>6.5000000000000002E-2</v>
      </c>
      <c r="O147" s="166" t="s">
        <v>1862</v>
      </c>
      <c r="P147" s="146"/>
      <c r="Q147" s="146"/>
      <c r="R147" s="146"/>
      <c r="S147" s="146"/>
      <c r="T147" s="146"/>
      <c r="U147" s="133"/>
      <c r="V147" s="133"/>
      <c r="W147" s="133"/>
      <c r="X147" s="133"/>
      <c r="Y147" s="133"/>
      <c r="Z147" s="133"/>
      <c r="AA147" s="133"/>
    </row>
    <row r="148" spans="1:27" ht="86.25" customHeight="1" thickBot="1" x14ac:dyDescent="0.4">
      <c r="A148" s="135"/>
      <c r="B148" s="695" t="s">
        <v>1621</v>
      </c>
      <c r="C148" s="691"/>
      <c r="D148" s="157"/>
      <c r="E148" s="99">
        <v>0.2</v>
      </c>
      <c r="F148" s="101"/>
      <c r="G148" s="144"/>
      <c r="H148" s="120">
        <f>+AVERAGE(H149:H152)</f>
        <v>0.25</v>
      </c>
      <c r="I148" s="120">
        <f>+I149+I150+I151+I152</f>
        <v>0.15000000000000002</v>
      </c>
      <c r="J148" s="144"/>
      <c r="K148" s="159">
        <f>+AVERAGE(K149:K152)</f>
        <v>1</v>
      </c>
      <c r="L148" s="159">
        <f>+(L149+L150+L151+L152)*E148</f>
        <v>0.12000000000000002</v>
      </c>
      <c r="M148" s="120">
        <f>+AVERAGE(M149:M152)</f>
        <v>0.40833333333333338</v>
      </c>
      <c r="N148" s="121">
        <f>+(N149+N150+N151+N152)*E148</f>
        <v>4.4250000000000005E-2</v>
      </c>
      <c r="O148" s="160"/>
      <c r="P148" s="146"/>
      <c r="Q148" s="144"/>
      <c r="R148" s="144"/>
      <c r="S148" s="144"/>
      <c r="T148" s="144"/>
      <c r="U148" s="133"/>
      <c r="V148" s="133"/>
      <c r="W148" s="133"/>
      <c r="X148" s="133"/>
      <c r="Y148" s="133"/>
      <c r="Z148" s="133"/>
      <c r="AA148" s="133"/>
    </row>
    <row r="149" spans="1:27" ht="68.45" customHeight="1" thickBot="1" x14ac:dyDescent="0.4">
      <c r="A149" s="135"/>
      <c r="B149" s="168" t="s">
        <v>260</v>
      </c>
      <c r="C149" s="168" t="s">
        <v>261</v>
      </c>
      <c r="D149" s="162" t="s">
        <v>62</v>
      </c>
      <c r="E149" s="100">
        <v>0.05</v>
      </c>
      <c r="F149" s="101">
        <v>4</v>
      </c>
      <c r="G149" s="163">
        <v>1</v>
      </c>
      <c r="H149" s="164">
        <f>+G149/F149</f>
        <v>0.25</v>
      </c>
      <c r="I149" s="164">
        <f>+(G149/F149)*E149</f>
        <v>1.2500000000000001E-2</v>
      </c>
      <c r="J149" s="196">
        <v>1</v>
      </c>
      <c r="K149" s="164">
        <f>+(J149/G149)</f>
        <v>1</v>
      </c>
      <c r="L149" s="164">
        <f>+K149*E149</f>
        <v>0.05</v>
      </c>
      <c r="M149" s="164">
        <f>+J149/F149</f>
        <v>0.25</v>
      </c>
      <c r="N149" s="165">
        <f>+M149*E149</f>
        <v>1.2500000000000001E-2</v>
      </c>
      <c r="O149" s="166" t="s">
        <v>1862</v>
      </c>
      <c r="P149" s="146"/>
      <c r="Q149" s="144"/>
      <c r="R149" s="144"/>
      <c r="S149" s="144"/>
      <c r="T149" s="144"/>
      <c r="U149" s="133"/>
      <c r="V149" s="133"/>
      <c r="W149" s="133"/>
      <c r="X149" s="133"/>
      <c r="Y149" s="133"/>
      <c r="Z149" s="133"/>
      <c r="AA149" s="133"/>
    </row>
    <row r="150" spans="1:27" ht="84.6" customHeight="1" thickBot="1" x14ac:dyDescent="0.4">
      <c r="A150" s="135"/>
      <c r="B150" s="168" t="s">
        <v>262</v>
      </c>
      <c r="C150" s="168" t="s">
        <v>263</v>
      </c>
      <c r="D150" s="162" t="s">
        <v>62</v>
      </c>
      <c r="E150" s="100">
        <v>0.15</v>
      </c>
      <c r="F150" s="101">
        <v>40</v>
      </c>
      <c r="G150" s="163">
        <v>10</v>
      </c>
      <c r="H150" s="164">
        <f>+G150/F150</f>
        <v>0.25</v>
      </c>
      <c r="I150" s="164">
        <f>+(G150/F150)*E150</f>
        <v>3.7499999999999999E-2</v>
      </c>
      <c r="J150" s="196">
        <v>29</v>
      </c>
      <c r="K150" s="164">
        <v>1</v>
      </c>
      <c r="L150" s="164">
        <f>+K150*E150</f>
        <v>0.15</v>
      </c>
      <c r="M150" s="164">
        <f>+J150/F150</f>
        <v>0.72499999999999998</v>
      </c>
      <c r="N150" s="165">
        <f>+M150*E150</f>
        <v>0.10875</v>
      </c>
      <c r="O150" s="166" t="s">
        <v>1862</v>
      </c>
      <c r="P150" s="146"/>
      <c r="Q150" s="144"/>
      <c r="R150" s="144"/>
      <c r="S150" s="144"/>
      <c r="T150" s="144"/>
      <c r="U150" s="133"/>
      <c r="V150" s="133"/>
      <c r="W150" s="133"/>
      <c r="X150" s="133"/>
      <c r="Y150" s="133"/>
      <c r="Z150" s="133"/>
      <c r="AA150" s="133"/>
    </row>
    <row r="151" spans="1:27" ht="98.45" customHeight="1" thickBot="1" x14ac:dyDescent="0.4">
      <c r="A151" s="135"/>
      <c r="B151" s="171" t="s">
        <v>264</v>
      </c>
      <c r="C151" s="171" t="s">
        <v>265</v>
      </c>
      <c r="D151" s="172" t="s">
        <v>62</v>
      </c>
      <c r="E151" s="123">
        <v>0.4</v>
      </c>
      <c r="F151" s="101">
        <f>80*4</f>
        <v>320</v>
      </c>
      <c r="G151" s="163">
        <v>80</v>
      </c>
      <c r="H151" s="164">
        <f>+G151/F151</f>
        <v>0.25</v>
      </c>
      <c r="I151" s="164">
        <f>+(G151/F151)*E151</f>
        <v>0.1</v>
      </c>
      <c r="J151" s="196">
        <v>80</v>
      </c>
      <c r="K151" s="164">
        <f>+(J151/G151)</f>
        <v>1</v>
      </c>
      <c r="L151" s="164">
        <f>+K151*E151</f>
        <v>0.4</v>
      </c>
      <c r="M151" s="164">
        <f>+J151/F151</f>
        <v>0.25</v>
      </c>
      <c r="N151" s="165">
        <f>+M151*E151</f>
        <v>0.1</v>
      </c>
      <c r="O151" s="166" t="s">
        <v>1862</v>
      </c>
      <c r="P151" s="146"/>
      <c r="Q151" s="144"/>
      <c r="R151" s="144"/>
      <c r="S151" s="144"/>
      <c r="T151" s="144"/>
      <c r="U151" s="133"/>
      <c r="V151" s="133"/>
      <c r="W151" s="133"/>
      <c r="X151" s="133"/>
      <c r="Y151" s="133"/>
      <c r="Z151" s="133"/>
      <c r="AA151" s="133"/>
    </row>
    <row r="152" spans="1:27" ht="89.45" customHeight="1" thickBot="1" x14ac:dyDescent="0.4">
      <c r="A152" s="135"/>
      <c r="B152" s="168" t="s">
        <v>266</v>
      </c>
      <c r="C152" s="168" t="s">
        <v>267</v>
      </c>
      <c r="D152" s="162" t="s">
        <v>62</v>
      </c>
      <c r="E152" s="100">
        <v>0.4</v>
      </c>
      <c r="F152" s="101">
        <v>80</v>
      </c>
      <c r="G152" s="163">
        <v>0</v>
      </c>
      <c r="H152" s="164"/>
      <c r="I152" s="164"/>
      <c r="J152" s="196"/>
      <c r="K152" s="164"/>
      <c r="L152" s="164"/>
      <c r="M152" s="164"/>
      <c r="N152" s="165"/>
      <c r="O152" s="166" t="s">
        <v>1862</v>
      </c>
      <c r="P152" s="146"/>
      <c r="Q152" s="144"/>
      <c r="R152" s="144"/>
      <c r="S152" s="144"/>
      <c r="T152" s="144"/>
      <c r="U152" s="133"/>
      <c r="V152" s="133"/>
      <c r="W152" s="133"/>
      <c r="X152" s="133"/>
      <c r="Y152" s="133"/>
      <c r="Z152" s="133"/>
      <c r="AA152" s="133"/>
    </row>
    <row r="153" spans="1:27" ht="46.15" customHeight="1" thickBot="1" x14ac:dyDescent="0.4">
      <c r="A153" s="135"/>
      <c r="B153" s="695" t="s">
        <v>1622</v>
      </c>
      <c r="C153" s="691"/>
      <c r="D153" s="157"/>
      <c r="E153" s="99">
        <v>0.05</v>
      </c>
      <c r="F153" s="101"/>
      <c r="G153" s="144"/>
      <c r="H153" s="120">
        <f>+AVERAGE(H154:H159)</f>
        <v>0.625</v>
      </c>
      <c r="I153" s="120">
        <f>+I154+I155+I156+I157+I158+I159</f>
        <v>6.25E-2</v>
      </c>
      <c r="J153" s="144"/>
      <c r="K153" s="159">
        <f>+AVERAGE(K154:K159)</f>
        <v>0.5</v>
      </c>
      <c r="L153" s="159">
        <f>+(L154+L155+L156+L157+L158+L159)*E153</f>
        <v>2.5000000000000005E-3</v>
      </c>
      <c r="M153" s="120">
        <f>+AVERAGE(M154:M159)</f>
        <v>0.25</v>
      </c>
      <c r="N153" s="121">
        <f>+(N154+N155+N156+N157+N158+N159)*E153</f>
        <v>1.2500000000000002E-3</v>
      </c>
      <c r="O153" s="160"/>
      <c r="P153" s="146"/>
      <c r="Q153" s="144"/>
      <c r="R153" s="144"/>
      <c r="S153" s="144"/>
      <c r="T153" s="144"/>
      <c r="U153" s="133"/>
      <c r="V153" s="133"/>
      <c r="W153" s="133"/>
      <c r="X153" s="133"/>
      <c r="Y153" s="133"/>
      <c r="Z153" s="133"/>
      <c r="AA153" s="133"/>
    </row>
    <row r="154" spans="1:27" ht="69" customHeight="1" thickBot="1" x14ac:dyDescent="0.4">
      <c r="A154" s="135"/>
      <c r="B154" s="168" t="s">
        <v>268</v>
      </c>
      <c r="C154" s="168" t="s">
        <v>269</v>
      </c>
      <c r="D154" s="162" t="s">
        <v>16</v>
      </c>
      <c r="E154" s="100">
        <v>0.05</v>
      </c>
      <c r="F154" s="101">
        <v>1</v>
      </c>
      <c r="G154" s="163">
        <v>0</v>
      </c>
      <c r="H154" s="164"/>
      <c r="I154" s="164"/>
      <c r="J154" s="163"/>
      <c r="K154" s="164"/>
      <c r="L154" s="164"/>
      <c r="M154" s="164"/>
      <c r="N154" s="165">
        <v>0</v>
      </c>
      <c r="O154" s="166" t="s">
        <v>1862</v>
      </c>
      <c r="P154" s="146"/>
      <c r="Q154" s="144"/>
      <c r="R154" s="144"/>
      <c r="S154" s="144"/>
      <c r="T154" s="144"/>
      <c r="U154" s="133"/>
      <c r="V154" s="133"/>
      <c r="W154" s="133"/>
      <c r="X154" s="133"/>
      <c r="Y154" s="133"/>
      <c r="Z154" s="133"/>
      <c r="AA154" s="133"/>
    </row>
    <row r="155" spans="1:27" ht="73.900000000000006" customHeight="1" thickBot="1" x14ac:dyDescent="0.4">
      <c r="A155" s="135"/>
      <c r="B155" s="168" t="s">
        <v>270</v>
      </c>
      <c r="C155" s="168" t="s">
        <v>271</v>
      </c>
      <c r="D155" s="162" t="s">
        <v>16</v>
      </c>
      <c r="E155" s="100">
        <v>0.05</v>
      </c>
      <c r="F155" s="101">
        <v>8</v>
      </c>
      <c r="G155" s="163">
        <v>2</v>
      </c>
      <c r="H155" s="164">
        <f>+G155/F155</f>
        <v>0.25</v>
      </c>
      <c r="I155" s="164">
        <f>+(G155/F155)*E155</f>
        <v>1.2500000000000001E-2</v>
      </c>
      <c r="J155" s="163">
        <v>4</v>
      </c>
      <c r="K155" s="164">
        <v>1</v>
      </c>
      <c r="L155" s="164">
        <f>+K155*E155</f>
        <v>0.05</v>
      </c>
      <c r="M155" s="164">
        <f>+J155/F155</f>
        <v>0.5</v>
      </c>
      <c r="N155" s="165">
        <f>+M155*E155</f>
        <v>2.5000000000000001E-2</v>
      </c>
      <c r="O155" s="166" t="s">
        <v>1862</v>
      </c>
      <c r="P155" s="146"/>
      <c r="Q155" s="144"/>
      <c r="R155" s="144"/>
      <c r="S155" s="144"/>
      <c r="T155" s="144"/>
      <c r="U155" s="133"/>
      <c r="V155" s="133"/>
      <c r="W155" s="133"/>
      <c r="X155" s="133"/>
      <c r="Y155" s="133"/>
      <c r="Z155" s="133"/>
      <c r="AA155" s="133"/>
    </row>
    <row r="156" spans="1:27" ht="108" customHeight="1" thickBot="1" x14ac:dyDescent="0.4">
      <c r="A156" s="135"/>
      <c r="B156" s="168" t="s">
        <v>272</v>
      </c>
      <c r="C156" s="168" t="s">
        <v>273</v>
      </c>
      <c r="D156" s="162" t="s">
        <v>1570</v>
      </c>
      <c r="E156" s="100">
        <v>0.35</v>
      </c>
      <c r="F156" s="101">
        <v>3534</v>
      </c>
      <c r="G156" s="163">
        <v>0</v>
      </c>
      <c r="H156" s="164"/>
      <c r="I156" s="164"/>
      <c r="J156" s="163"/>
      <c r="K156" s="164"/>
      <c r="L156" s="164"/>
      <c r="M156" s="164"/>
      <c r="N156" s="165">
        <v>0</v>
      </c>
      <c r="O156" s="166" t="s">
        <v>1862</v>
      </c>
      <c r="P156" s="146"/>
      <c r="Q156" s="144"/>
      <c r="R156" s="144"/>
      <c r="S156" s="144"/>
      <c r="T156" s="144"/>
      <c r="U156" s="133"/>
      <c r="V156" s="133"/>
      <c r="W156" s="133"/>
      <c r="X156" s="133"/>
      <c r="Y156" s="133"/>
      <c r="Z156" s="133"/>
      <c r="AA156" s="133"/>
    </row>
    <row r="157" spans="1:27" ht="108.6" customHeight="1" thickBot="1" x14ac:dyDescent="0.4">
      <c r="A157" s="135"/>
      <c r="B157" s="168" t="s">
        <v>274</v>
      </c>
      <c r="C157" s="168" t="s">
        <v>275</v>
      </c>
      <c r="D157" s="162" t="s">
        <v>16</v>
      </c>
      <c r="E157" s="100">
        <v>0.25</v>
      </c>
      <c r="F157" s="101">
        <v>55</v>
      </c>
      <c r="G157" s="163">
        <v>0</v>
      </c>
      <c r="H157" s="164"/>
      <c r="I157" s="164"/>
      <c r="J157" s="163"/>
      <c r="K157" s="164"/>
      <c r="L157" s="164"/>
      <c r="M157" s="164"/>
      <c r="N157" s="165">
        <v>0</v>
      </c>
      <c r="O157" s="166" t="s">
        <v>1862</v>
      </c>
      <c r="P157" s="146"/>
      <c r="Q157" s="144"/>
      <c r="R157" s="144"/>
      <c r="S157" s="144"/>
      <c r="T157" s="144"/>
      <c r="U157" s="133"/>
      <c r="V157" s="133"/>
      <c r="W157" s="133"/>
      <c r="X157" s="133"/>
      <c r="Y157" s="133"/>
      <c r="Z157" s="133"/>
      <c r="AA157" s="133"/>
    </row>
    <row r="158" spans="1:27" ht="86.45" customHeight="1" thickBot="1" x14ac:dyDescent="0.4">
      <c r="A158" s="135"/>
      <c r="B158" s="171" t="s">
        <v>276</v>
      </c>
      <c r="C158" s="171" t="s">
        <v>277</v>
      </c>
      <c r="D158" s="172" t="s">
        <v>166</v>
      </c>
      <c r="E158" s="100">
        <v>0.05</v>
      </c>
      <c r="F158" s="101">
        <v>2</v>
      </c>
      <c r="G158" s="163">
        <v>2</v>
      </c>
      <c r="H158" s="164">
        <f>+G158/F158</f>
        <v>1</v>
      </c>
      <c r="I158" s="164">
        <f>+(G158/F158)*E158</f>
        <v>0.05</v>
      </c>
      <c r="J158" s="163">
        <v>0</v>
      </c>
      <c r="K158" s="164">
        <f>+(J158/G158)</f>
        <v>0</v>
      </c>
      <c r="L158" s="164">
        <f>+K158*E158</f>
        <v>0</v>
      </c>
      <c r="M158" s="164">
        <f>+J158/F158</f>
        <v>0</v>
      </c>
      <c r="N158" s="165">
        <f>+M158*E158</f>
        <v>0</v>
      </c>
      <c r="O158" s="197" t="s">
        <v>1876</v>
      </c>
      <c r="P158" s="146"/>
      <c r="Q158" s="144"/>
      <c r="R158" s="144"/>
      <c r="S158" s="144"/>
      <c r="T158" s="144"/>
      <c r="U158" s="133"/>
      <c r="V158" s="133"/>
      <c r="W158" s="133"/>
      <c r="X158" s="133"/>
      <c r="Y158" s="133"/>
      <c r="Z158" s="133"/>
      <c r="AA158" s="133"/>
    </row>
    <row r="159" spans="1:27" ht="106.9" customHeight="1" thickBot="1" x14ac:dyDescent="0.4">
      <c r="A159" s="135"/>
      <c r="B159" s="171" t="s">
        <v>278</v>
      </c>
      <c r="C159" s="171" t="s">
        <v>279</v>
      </c>
      <c r="D159" s="172" t="s">
        <v>1554</v>
      </c>
      <c r="E159" s="100">
        <v>0.25</v>
      </c>
      <c r="F159" s="101">
        <v>10600</v>
      </c>
      <c r="G159" s="163">
        <v>0</v>
      </c>
      <c r="H159" s="164"/>
      <c r="I159" s="164"/>
      <c r="J159" s="163"/>
      <c r="K159" s="164"/>
      <c r="L159" s="164"/>
      <c r="M159" s="164"/>
      <c r="N159" s="165">
        <v>0</v>
      </c>
      <c r="O159" s="166" t="s">
        <v>1862</v>
      </c>
      <c r="P159" s="146"/>
      <c r="Q159" s="144"/>
      <c r="R159" s="144"/>
      <c r="S159" s="144"/>
      <c r="T159" s="144"/>
      <c r="U159" s="133"/>
      <c r="V159" s="133"/>
      <c r="W159" s="133"/>
      <c r="X159" s="133"/>
      <c r="Y159" s="133"/>
      <c r="Z159" s="133"/>
      <c r="AA159" s="133"/>
    </row>
    <row r="160" spans="1:27" ht="28.5" customHeight="1" thickBot="1" x14ac:dyDescent="0.4">
      <c r="A160" s="135"/>
      <c r="B160" s="695" t="s">
        <v>1623</v>
      </c>
      <c r="C160" s="691"/>
      <c r="D160" s="157"/>
      <c r="E160" s="99">
        <v>0.2</v>
      </c>
      <c r="F160" s="101"/>
      <c r="G160" s="144"/>
      <c r="H160" s="120">
        <f>+AVERAGE(H161:H165)</f>
        <v>0.22400000000000003</v>
      </c>
      <c r="I160" s="120">
        <f>+I161+I162+I163+I164+I165</f>
        <v>0.14599999999999999</v>
      </c>
      <c r="J160" s="144"/>
      <c r="K160" s="159">
        <f>+AVERAGE(K161:K165)</f>
        <v>1</v>
      </c>
      <c r="L160" s="159">
        <f>+(L161+L162+L163+L164+L165)*E160</f>
        <v>0.19999999999999998</v>
      </c>
      <c r="M160" s="120">
        <f>+AVERAGE(M161:M165)</f>
        <v>0.25159999999999999</v>
      </c>
      <c r="N160" s="121">
        <f>+(N161+N162+N163+N164+N165)*E160</f>
        <v>3.8080000000000003E-2</v>
      </c>
      <c r="O160" s="160"/>
      <c r="P160" s="146"/>
      <c r="Q160" s="144"/>
      <c r="R160" s="144"/>
      <c r="S160" s="144"/>
      <c r="T160" s="144"/>
      <c r="U160" s="133"/>
      <c r="V160" s="133"/>
      <c r="W160" s="133"/>
      <c r="X160" s="133"/>
      <c r="Y160" s="133"/>
      <c r="Z160" s="133"/>
      <c r="AA160" s="133"/>
    </row>
    <row r="161" spans="1:27" ht="92.45" customHeight="1" thickBot="1" x14ac:dyDescent="0.4">
      <c r="A161" s="135"/>
      <c r="B161" s="168" t="s">
        <v>280</v>
      </c>
      <c r="C161" s="168" t="s">
        <v>281</v>
      </c>
      <c r="D161" s="162" t="s">
        <v>62</v>
      </c>
      <c r="E161" s="100">
        <v>0.3</v>
      </c>
      <c r="F161" s="101">
        <v>500</v>
      </c>
      <c r="G161" s="163">
        <v>10</v>
      </c>
      <c r="H161" s="164">
        <f>+G161/F161</f>
        <v>0.02</v>
      </c>
      <c r="I161" s="164">
        <f>+(G161/F161)*E161</f>
        <v>6.0000000000000001E-3</v>
      </c>
      <c r="J161" s="163">
        <v>64</v>
      </c>
      <c r="K161" s="164">
        <v>1</v>
      </c>
      <c r="L161" s="164">
        <f>+K161*E161</f>
        <v>0.3</v>
      </c>
      <c r="M161" s="164">
        <f>+J161/F161</f>
        <v>0.128</v>
      </c>
      <c r="N161" s="165">
        <f>+M161*E161</f>
        <v>3.8399999999999997E-2</v>
      </c>
      <c r="O161" s="166" t="s">
        <v>1862</v>
      </c>
      <c r="P161" s="146"/>
      <c r="Q161" s="144"/>
      <c r="R161" s="144"/>
      <c r="S161" s="144"/>
      <c r="T161" s="144"/>
      <c r="U161" s="133"/>
      <c r="V161" s="133"/>
      <c r="W161" s="133"/>
      <c r="X161" s="133"/>
      <c r="Y161" s="133"/>
      <c r="Z161" s="133"/>
      <c r="AA161" s="133"/>
    </row>
    <row r="162" spans="1:27" ht="96" customHeight="1" thickBot="1" x14ac:dyDescent="0.4">
      <c r="A162" s="135"/>
      <c r="B162" s="168" t="s">
        <v>282</v>
      </c>
      <c r="C162" s="168" t="s">
        <v>283</v>
      </c>
      <c r="D162" s="162" t="s">
        <v>62</v>
      </c>
      <c r="E162" s="100">
        <v>0.4</v>
      </c>
      <c r="F162" s="101">
        <v>200</v>
      </c>
      <c r="G162" s="163">
        <v>20</v>
      </c>
      <c r="H162" s="164">
        <f>+G162/F162</f>
        <v>0.1</v>
      </c>
      <c r="I162" s="164">
        <f>+(G162/F162)*E162</f>
        <v>4.0000000000000008E-2</v>
      </c>
      <c r="J162" s="163">
        <v>26</v>
      </c>
      <c r="K162" s="164">
        <v>1</v>
      </c>
      <c r="L162" s="164">
        <f>+K162*E162</f>
        <v>0.4</v>
      </c>
      <c r="M162" s="164">
        <f>+J162/F162</f>
        <v>0.13</v>
      </c>
      <c r="N162" s="165">
        <f>+M162*E162</f>
        <v>5.2000000000000005E-2</v>
      </c>
      <c r="O162" s="166" t="s">
        <v>1862</v>
      </c>
      <c r="P162" s="146"/>
      <c r="Q162" s="144"/>
      <c r="R162" s="144"/>
      <c r="S162" s="144"/>
      <c r="T162" s="144"/>
      <c r="U162" s="133"/>
      <c r="V162" s="133"/>
      <c r="W162" s="133"/>
      <c r="X162" s="133"/>
      <c r="Y162" s="133"/>
      <c r="Z162" s="133"/>
      <c r="AA162" s="133"/>
    </row>
    <row r="163" spans="1:27" ht="82.9" customHeight="1" thickBot="1" x14ac:dyDescent="0.4">
      <c r="A163" s="135"/>
      <c r="B163" s="168" t="s">
        <v>284</v>
      </c>
      <c r="C163" s="168" t="s">
        <v>285</v>
      </c>
      <c r="D163" s="162" t="s">
        <v>62</v>
      </c>
      <c r="E163" s="100">
        <v>0.1</v>
      </c>
      <c r="F163" s="101">
        <v>1</v>
      </c>
      <c r="G163" s="163">
        <v>0.5</v>
      </c>
      <c r="H163" s="164">
        <f>+G163/F163</f>
        <v>0.5</v>
      </c>
      <c r="I163" s="164">
        <f>+(G163/F163)*E163</f>
        <v>0.05</v>
      </c>
      <c r="J163" s="163">
        <v>0.5</v>
      </c>
      <c r="K163" s="164">
        <f>+(J163/G163)</f>
        <v>1</v>
      </c>
      <c r="L163" s="164">
        <f>+K163*E163</f>
        <v>0.1</v>
      </c>
      <c r="M163" s="164">
        <f>+J163/F163</f>
        <v>0.5</v>
      </c>
      <c r="N163" s="165">
        <f>+M163*E163</f>
        <v>0.05</v>
      </c>
      <c r="O163" s="166" t="s">
        <v>1862</v>
      </c>
      <c r="P163" s="146"/>
      <c r="Q163" s="144"/>
      <c r="R163" s="144"/>
      <c r="S163" s="144"/>
      <c r="T163" s="144"/>
      <c r="U163" s="133"/>
      <c r="V163" s="133"/>
      <c r="W163" s="133"/>
      <c r="X163" s="133"/>
      <c r="Y163" s="133"/>
      <c r="Z163" s="133"/>
      <c r="AA163" s="133"/>
    </row>
    <row r="164" spans="1:27" ht="127.15" customHeight="1" thickBot="1" x14ac:dyDescent="0.4">
      <c r="A164" s="135"/>
      <c r="B164" s="168" t="s">
        <v>286</v>
      </c>
      <c r="C164" s="168" t="s">
        <v>287</v>
      </c>
      <c r="D164" s="162" t="s">
        <v>62</v>
      </c>
      <c r="E164" s="100">
        <v>0.1</v>
      </c>
      <c r="F164" s="101">
        <v>8</v>
      </c>
      <c r="G164" s="163">
        <v>2</v>
      </c>
      <c r="H164" s="164">
        <f>+G164/F164</f>
        <v>0.25</v>
      </c>
      <c r="I164" s="164">
        <f>+(G164/F164)*E164</f>
        <v>2.5000000000000001E-2</v>
      </c>
      <c r="J164" s="163">
        <v>2</v>
      </c>
      <c r="K164" s="164">
        <f>+(J164/G164)</f>
        <v>1</v>
      </c>
      <c r="L164" s="164">
        <f>+K164*E164</f>
        <v>0.1</v>
      </c>
      <c r="M164" s="164">
        <f>+J164/F164</f>
        <v>0.25</v>
      </c>
      <c r="N164" s="165">
        <f>+M164*E164</f>
        <v>2.5000000000000001E-2</v>
      </c>
      <c r="O164" s="166" t="s">
        <v>1862</v>
      </c>
      <c r="P164" s="146"/>
      <c r="Q164" s="144"/>
      <c r="R164" s="144"/>
      <c r="S164" s="144"/>
      <c r="T164" s="144"/>
      <c r="U164" s="133"/>
      <c r="V164" s="133"/>
      <c r="W164" s="133"/>
      <c r="X164" s="133"/>
      <c r="Y164" s="133"/>
      <c r="Z164" s="133"/>
      <c r="AA164" s="133"/>
    </row>
    <row r="165" spans="1:27" ht="99" customHeight="1" thickBot="1" x14ac:dyDescent="0.4">
      <c r="A165" s="135"/>
      <c r="B165" s="168" t="s">
        <v>288</v>
      </c>
      <c r="C165" s="168" t="s">
        <v>289</v>
      </c>
      <c r="D165" s="162" t="s">
        <v>62</v>
      </c>
      <c r="E165" s="100">
        <v>0.1</v>
      </c>
      <c r="F165" s="101">
        <v>8</v>
      </c>
      <c r="G165" s="163">
        <v>2</v>
      </c>
      <c r="H165" s="164">
        <f>+G165/F165</f>
        <v>0.25</v>
      </c>
      <c r="I165" s="164">
        <f>+(G165/F165)*E165</f>
        <v>2.5000000000000001E-2</v>
      </c>
      <c r="J165" s="163">
        <v>2</v>
      </c>
      <c r="K165" s="164">
        <f>+(J165/G165)</f>
        <v>1</v>
      </c>
      <c r="L165" s="164">
        <f>+K165*E165</f>
        <v>0.1</v>
      </c>
      <c r="M165" s="164">
        <f>+J165/F165</f>
        <v>0.25</v>
      </c>
      <c r="N165" s="165">
        <f>+M165*E165</f>
        <v>2.5000000000000001E-2</v>
      </c>
      <c r="O165" s="166" t="s">
        <v>1862</v>
      </c>
      <c r="P165" s="146"/>
      <c r="Q165" s="144"/>
      <c r="R165" s="144"/>
      <c r="S165" s="144"/>
      <c r="T165" s="144"/>
      <c r="U165" s="133"/>
      <c r="V165" s="133"/>
      <c r="W165" s="133"/>
      <c r="X165" s="133"/>
      <c r="Y165" s="133"/>
      <c r="Z165" s="133"/>
      <c r="AA165" s="133"/>
    </row>
    <row r="166" spans="1:27" ht="28.5" customHeight="1" thickBot="1" x14ac:dyDescent="0.4">
      <c r="A166" s="135"/>
      <c r="B166" s="695" t="s">
        <v>1624</v>
      </c>
      <c r="C166" s="691"/>
      <c r="D166" s="157"/>
      <c r="E166" s="99">
        <v>0.05</v>
      </c>
      <c r="F166" s="101"/>
      <c r="G166" s="144"/>
      <c r="H166" s="120"/>
      <c r="I166" s="120"/>
      <c r="J166" s="144"/>
      <c r="K166" s="159"/>
      <c r="L166" s="159"/>
      <c r="M166" s="120"/>
      <c r="N166" s="121"/>
      <c r="O166" s="160"/>
      <c r="P166" s="146"/>
      <c r="Q166" s="144"/>
      <c r="R166" s="144"/>
      <c r="S166" s="144"/>
      <c r="T166" s="144"/>
      <c r="U166" s="133"/>
      <c r="V166" s="133"/>
      <c r="W166" s="133"/>
      <c r="X166" s="133"/>
      <c r="Y166" s="133"/>
      <c r="Z166" s="133"/>
      <c r="AA166" s="133"/>
    </row>
    <row r="167" spans="1:27" ht="131.44999999999999" customHeight="1" thickBot="1" x14ac:dyDescent="0.4">
      <c r="A167" s="135"/>
      <c r="B167" s="168" t="s">
        <v>290</v>
      </c>
      <c r="C167" s="168" t="s">
        <v>291</v>
      </c>
      <c r="D167" s="162" t="s">
        <v>62</v>
      </c>
      <c r="E167" s="100">
        <v>0.3</v>
      </c>
      <c r="F167" s="101">
        <v>4</v>
      </c>
      <c r="G167" s="163">
        <v>0</v>
      </c>
      <c r="H167" s="164"/>
      <c r="I167" s="164"/>
      <c r="J167" s="163"/>
      <c r="K167" s="164"/>
      <c r="L167" s="164"/>
      <c r="M167" s="164"/>
      <c r="N167" s="165"/>
      <c r="O167" s="166" t="s">
        <v>1862</v>
      </c>
      <c r="P167" s="146"/>
      <c r="Q167" s="144"/>
      <c r="R167" s="144"/>
      <c r="S167" s="144"/>
      <c r="T167" s="144"/>
      <c r="U167" s="133"/>
      <c r="V167" s="133"/>
      <c r="W167" s="133"/>
      <c r="X167" s="133"/>
      <c r="Y167" s="133"/>
      <c r="Z167" s="133"/>
      <c r="AA167" s="133"/>
    </row>
    <row r="168" spans="1:27" ht="131.44999999999999" customHeight="1" thickBot="1" x14ac:dyDescent="0.4">
      <c r="A168" s="135"/>
      <c r="B168" s="168" t="s">
        <v>292</v>
      </c>
      <c r="C168" s="168" t="s">
        <v>293</v>
      </c>
      <c r="D168" s="162" t="s">
        <v>62</v>
      </c>
      <c r="E168" s="100">
        <v>0.3</v>
      </c>
      <c r="F168" s="101">
        <v>1</v>
      </c>
      <c r="G168" s="163">
        <v>0</v>
      </c>
      <c r="H168" s="164"/>
      <c r="I168" s="164"/>
      <c r="J168" s="163"/>
      <c r="K168" s="164"/>
      <c r="L168" s="164"/>
      <c r="M168" s="164"/>
      <c r="N168" s="165"/>
      <c r="O168" s="166" t="s">
        <v>1862</v>
      </c>
      <c r="P168" s="146"/>
      <c r="Q168" s="144"/>
      <c r="R168" s="144"/>
      <c r="S168" s="144"/>
      <c r="T168" s="144"/>
      <c r="U168" s="133"/>
      <c r="V168" s="133"/>
      <c r="W168" s="133"/>
      <c r="X168" s="133"/>
      <c r="Y168" s="133"/>
      <c r="Z168" s="133"/>
      <c r="AA168" s="133"/>
    </row>
    <row r="169" spans="1:27" ht="131.44999999999999" customHeight="1" thickBot="1" x14ac:dyDescent="0.4">
      <c r="A169" s="135"/>
      <c r="B169" s="168" t="s">
        <v>294</v>
      </c>
      <c r="C169" s="168" t="s">
        <v>295</v>
      </c>
      <c r="D169" s="162" t="s">
        <v>62</v>
      </c>
      <c r="E169" s="100">
        <v>0.2</v>
      </c>
      <c r="F169" s="101">
        <v>4</v>
      </c>
      <c r="G169" s="163">
        <v>0</v>
      </c>
      <c r="H169" s="164"/>
      <c r="I169" s="164"/>
      <c r="J169" s="163"/>
      <c r="K169" s="164"/>
      <c r="L169" s="164"/>
      <c r="M169" s="164"/>
      <c r="N169" s="165"/>
      <c r="O169" s="166" t="s">
        <v>1862</v>
      </c>
      <c r="P169" s="146"/>
      <c r="Q169" s="144"/>
      <c r="R169" s="144"/>
      <c r="S169" s="144"/>
      <c r="T169" s="144"/>
      <c r="U169" s="133"/>
      <c r="V169" s="133"/>
      <c r="W169" s="133"/>
      <c r="X169" s="133"/>
      <c r="Y169" s="133"/>
      <c r="Z169" s="133"/>
      <c r="AA169" s="133"/>
    </row>
    <row r="170" spans="1:27" ht="131.44999999999999" customHeight="1" thickBot="1" x14ac:dyDescent="0.4">
      <c r="A170" s="135"/>
      <c r="B170" s="168" t="s">
        <v>296</v>
      </c>
      <c r="C170" s="168" t="s">
        <v>297</v>
      </c>
      <c r="D170" s="162" t="s">
        <v>62</v>
      </c>
      <c r="E170" s="100">
        <v>0.2</v>
      </c>
      <c r="F170" s="101">
        <v>1</v>
      </c>
      <c r="G170" s="163">
        <v>0</v>
      </c>
      <c r="H170" s="164"/>
      <c r="I170" s="164"/>
      <c r="J170" s="163"/>
      <c r="K170" s="164"/>
      <c r="L170" s="164"/>
      <c r="M170" s="164"/>
      <c r="N170" s="165"/>
      <c r="O170" s="166" t="s">
        <v>1862</v>
      </c>
      <c r="P170" s="146"/>
      <c r="Q170" s="144"/>
      <c r="R170" s="144"/>
      <c r="S170" s="144"/>
      <c r="T170" s="144"/>
      <c r="U170" s="133"/>
      <c r="V170" s="133"/>
      <c r="W170" s="133"/>
      <c r="X170" s="133"/>
      <c r="Y170" s="133"/>
      <c r="Z170" s="133"/>
      <c r="AA170" s="133"/>
    </row>
    <row r="171" spans="1:27" ht="93" customHeight="1" thickBot="1" x14ac:dyDescent="0.4">
      <c r="A171" s="135"/>
      <c r="B171" s="696" t="s">
        <v>298</v>
      </c>
      <c r="C171" s="691"/>
      <c r="D171" s="144"/>
      <c r="E171" s="173">
        <v>0.15</v>
      </c>
      <c r="F171" s="173">
        <f>+E171*L171</f>
        <v>9.4883068181818186E-2</v>
      </c>
      <c r="G171" s="144"/>
      <c r="H171" s="150">
        <f>+(H172+H175+H179+H184+H186+H192+H195+H199+H203+H206+H209)/11</f>
        <v>0.15789568518161531</v>
      </c>
      <c r="I171" s="151">
        <f>+(I172+I175+I179+I184+I186+I192+I195+I199+I203+I206+I209)/11</f>
        <v>0.13500023925638274</v>
      </c>
      <c r="J171" s="144"/>
      <c r="K171" s="150">
        <f>+(K172+K175+K179+K184+K186+K192+K195+K199+K203+K206+K209)/11</f>
        <v>0.77857059228650138</v>
      </c>
      <c r="L171" s="151">
        <f>+L172+L175+L179+L184+L186+L192+L195+L199+L203+L206+L209</f>
        <v>0.63255378787878791</v>
      </c>
      <c r="M171" s="150">
        <f>+(M172+M175+M179+M184+M186+M192+M195+M199+M203+M206+M209)/11</f>
        <v>0.17153191352136538</v>
      </c>
      <c r="N171" s="153">
        <f>+N172+N175+N179+N184+N186+N192+N195+N199+N203+N206+N209</f>
        <v>0.14700248083618644</v>
      </c>
      <c r="O171" s="154"/>
      <c r="P171" s="146"/>
      <c r="Q171" s="144"/>
      <c r="R171" s="144"/>
      <c r="S171" s="144"/>
      <c r="T171" s="144"/>
      <c r="U171" s="133"/>
      <c r="V171" s="133"/>
      <c r="W171" s="133"/>
      <c r="X171" s="133"/>
      <c r="Y171" s="133"/>
      <c r="Z171" s="133"/>
      <c r="AA171" s="133"/>
    </row>
    <row r="172" spans="1:27" ht="57" customHeight="1" thickBot="1" x14ac:dyDescent="0.4">
      <c r="A172" s="135"/>
      <c r="B172" s="695" t="s">
        <v>1625</v>
      </c>
      <c r="C172" s="691"/>
      <c r="D172" s="157"/>
      <c r="E172" s="99">
        <v>0.05</v>
      </c>
      <c r="F172" s="101"/>
      <c r="G172" s="144"/>
      <c r="H172" s="120">
        <f>+AVERAGE(H173:H174)</f>
        <v>0.125</v>
      </c>
      <c r="I172" s="120">
        <f>+I173+I174</f>
        <v>8.7499999999999994E-2</v>
      </c>
      <c r="J172" s="144"/>
      <c r="K172" s="159">
        <f>+AVERAGE(K173:K174)</f>
        <v>1</v>
      </c>
      <c r="L172" s="159">
        <f>+(L173+L174)*E172</f>
        <v>3.4999999999999996E-2</v>
      </c>
      <c r="M172" s="120">
        <f>+AVERAGE(M173:M174)</f>
        <v>0.161</v>
      </c>
      <c r="N172" s="121">
        <f>+(N173+N174)*E172</f>
        <v>5.6350000000000003E-3</v>
      </c>
      <c r="O172" s="160"/>
      <c r="P172" s="146"/>
      <c r="Q172" s="144"/>
      <c r="R172" s="144"/>
      <c r="S172" s="144"/>
      <c r="T172" s="144"/>
      <c r="U172" s="133"/>
      <c r="V172" s="133"/>
      <c r="W172" s="133"/>
      <c r="X172" s="133"/>
      <c r="Y172" s="133"/>
      <c r="Z172" s="133"/>
      <c r="AA172" s="133"/>
    </row>
    <row r="173" spans="1:27" ht="135" customHeight="1" thickBot="1" x14ac:dyDescent="0.4">
      <c r="A173" s="135"/>
      <c r="B173" s="168" t="s">
        <v>299</v>
      </c>
      <c r="C173" s="168" t="s">
        <v>300</v>
      </c>
      <c r="D173" s="162" t="s">
        <v>301</v>
      </c>
      <c r="E173" s="100">
        <v>0.7</v>
      </c>
      <c r="F173" s="101">
        <v>16000</v>
      </c>
      <c r="G173" s="163">
        <v>2000</v>
      </c>
      <c r="H173" s="164">
        <f>+G173/F173</f>
        <v>0.125</v>
      </c>
      <c r="I173" s="164">
        <f>+(G173/F173)*E173</f>
        <v>8.7499999999999994E-2</v>
      </c>
      <c r="J173" s="163">
        <v>2576</v>
      </c>
      <c r="K173" s="164">
        <v>1</v>
      </c>
      <c r="L173" s="164">
        <f>+K173*E173</f>
        <v>0.7</v>
      </c>
      <c r="M173" s="164">
        <f>+J173/F173</f>
        <v>0.161</v>
      </c>
      <c r="N173" s="165">
        <f>+M173*E173</f>
        <v>0.11269999999999999</v>
      </c>
      <c r="O173" s="166" t="s">
        <v>1862</v>
      </c>
      <c r="P173" s="146"/>
      <c r="Q173" s="144"/>
      <c r="R173" s="144"/>
      <c r="S173" s="144"/>
      <c r="T173" s="144"/>
      <c r="U173" s="133"/>
      <c r="V173" s="133"/>
      <c r="W173" s="133"/>
      <c r="X173" s="133"/>
      <c r="Y173" s="133"/>
      <c r="Z173" s="133"/>
      <c r="AA173" s="133"/>
    </row>
    <row r="174" spans="1:27" ht="135" customHeight="1" thickBot="1" x14ac:dyDescent="0.4">
      <c r="A174" s="135"/>
      <c r="B174" s="168" t="s">
        <v>302</v>
      </c>
      <c r="C174" s="168" t="s">
        <v>303</v>
      </c>
      <c r="D174" s="162" t="s">
        <v>301</v>
      </c>
      <c r="E174" s="100">
        <v>0.3</v>
      </c>
      <c r="F174" s="101">
        <v>2200</v>
      </c>
      <c r="G174" s="163">
        <v>0</v>
      </c>
      <c r="H174" s="164"/>
      <c r="I174" s="164"/>
      <c r="J174" s="163"/>
      <c r="K174" s="164"/>
      <c r="L174" s="164"/>
      <c r="M174" s="164"/>
      <c r="N174" s="165"/>
      <c r="O174" s="166" t="s">
        <v>1862</v>
      </c>
      <c r="P174" s="146"/>
      <c r="Q174" s="144"/>
      <c r="R174" s="144"/>
      <c r="S174" s="144"/>
      <c r="T174" s="144"/>
      <c r="U174" s="133"/>
      <c r="V174" s="133"/>
      <c r="W174" s="133"/>
      <c r="X174" s="133"/>
      <c r="Y174" s="133"/>
      <c r="Z174" s="133"/>
      <c r="AA174" s="133"/>
    </row>
    <row r="175" spans="1:27" ht="135" customHeight="1" thickBot="1" x14ac:dyDescent="0.4">
      <c r="A175" s="135"/>
      <c r="B175" s="695" t="s">
        <v>1626</v>
      </c>
      <c r="C175" s="691"/>
      <c r="D175" s="157"/>
      <c r="E175" s="99">
        <v>0.1</v>
      </c>
      <c r="F175" s="101"/>
      <c r="G175" s="163"/>
      <c r="H175" s="120">
        <f>+AVERAGE(H176:H178)</f>
        <v>0.30833333333333335</v>
      </c>
      <c r="I175" s="120">
        <f>+I176+I177+I178</f>
        <v>0.20500000000000002</v>
      </c>
      <c r="J175" s="144"/>
      <c r="K175" s="159">
        <f>+AVERAGE(K176:K178)</f>
        <v>1</v>
      </c>
      <c r="L175" s="159">
        <f>+(L176+L177+L178)*E175</f>
        <v>6.9999999999999993E-2</v>
      </c>
      <c r="M175" s="120">
        <f>+AVERAGE(M176:M178)</f>
        <v>0.383075</v>
      </c>
      <c r="N175" s="121">
        <f>+(N176+N177+N178)*E175</f>
        <v>2.6718500000000003E-2</v>
      </c>
      <c r="O175" s="160"/>
      <c r="P175" s="146"/>
      <c r="Q175" s="144"/>
      <c r="R175" s="144"/>
      <c r="S175" s="144"/>
      <c r="T175" s="144"/>
      <c r="U175" s="133"/>
      <c r="V175" s="133"/>
      <c r="W175" s="133"/>
      <c r="X175" s="133"/>
      <c r="Y175" s="133"/>
      <c r="Z175" s="133"/>
      <c r="AA175" s="133"/>
    </row>
    <row r="176" spans="1:27" ht="135" customHeight="1" thickBot="1" x14ac:dyDescent="0.4">
      <c r="A176" s="135"/>
      <c r="B176" s="168" t="s">
        <v>304</v>
      </c>
      <c r="C176" s="168" t="s">
        <v>305</v>
      </c>
      <c r="D176" s="162" t="s">
        <v>301</v>
      </c>
      <c r="E176" s="100">
        <v>0.4</v>
      </c>
      <c r="F176" s="101">
        <v>5000</v>
      </c>
      <c r="G176" s="163">
        <v>1000</v>
      </c>
      <c r="H176" s="164">
        <f>+G176/F176</f>
        <v>0.2</v>
      </c>
      <c r="I176" s="164">
        <f>+(G176/F176)*E176</f>
        <v>8.0000000000000016E-2</v>
      </c>
      <c r="J176" s="163">
        <v>1867</v>
      </c>
      <c r="K176" s="164">
        <v>1</v>
      </c>
      <c r="L176" s="164">
        <f>+K176*E176</f>
        <v>0.4</v>
      </c>
      <c r="M176" s="164">
        <f>+J176/F176</f>
        <v>0.37340000000000001</v>
      </c>
      <c r="N176" s="165">
        <f>+M176*E176</f>
        <v>0.14936000000000002</v>
      </c>
      <c r="O176" s="166" t="s">
        <v>1862</v>
      </c>
      <c r="P176" s="146"/>
      <c r="Q176" s="144"/>
      <c r="R176" s="144"/>
      <c r="S176" s="144"/>
      <c r="T176" s="144"/>
      <c r="U176" s="133"/>
      <c r="V176" s="133"/>
      <c r="W176" s="133"/>
      <c r="X176" s="133"/>
      <c r="Y176" s="133"/>
      <c r="Z176" s="133"/>
      <c r="AA176" s="133"/>
    </row>
    <row r="177" spans="1:27" ht="135" customHeight="1" thickBot="1" x14ac:dyDescent="0.4">
      <c r="A177" s="135"/>
      <c r="B177" s="168" t="s">
        <v>306</v>
      </c>
      <c r="C177" s="168" t="s">
        <v>307</v>
      </c>
      <c r="D177" s="162" t="s">
        <v>301</v>
      </c>
      <c r="E177" s="100">
        <v>0.3</v>
      </c>
      <c r="F177" s="101">
        <v>12000</v>
      </c>
      <c r="G177" s="163">
        <v>5000</v>
      </c>
      <c r="H177" s="164">
        <f>+G177/F177</f>
        <v>0.41666666666666669</v>
      </c>
      <c r="I177" s="164">
        <f>+(G177/F177)*E177</f>
        <v>0.125</v>
      </c>
      <c r="J177" s="163">
        <v>4713</v>
      </c>
      <c r="K177" s="164">
        <v>1</v>
      </c>
      <c r="L177" s="164">
        <f>+K177*E177</f>
        <v>0.3</v>
      </c>
      <c r="M177" s="164">
        <f>+J177/F177</f>
        <v>0.39274999999999999</v>
      </c>
      <c r="N177" s="165">
        <f>+M177*E177</f>
        <v>0.11782499999999999</v>
      </c>
      <c r="O177" s="166" t="s">
        <v>1862</v>
      </c>
      <c r="P177" s="146"/>
      <c r="Q177" s="144"/>
      <c r="R177" s="144"/>
      <c r="S177" s="144"/>
      <c r="T177" s="144"/>
      <c r="U177" s="133"/>
      <c r="V177" s="133"/>
      <c r="W177" s="133"/>
      <c r="X177" s="133"/>
      <c r="Y177" s="133"/>
      <c r="Z177" s="133"/>
      <c r="AA177" s="133"/>
    </row>
    <row r="178" spans="1:27" ht="135" customHeight="1" thickBot="1" x14ac:dyDescent="0.4">
      <c r="A178" s="135"/>
      <c r="B178" s="168" t="s">
        <v>308</v>
      </c>
      <c r="C178" s="168" t="s">
        <v>309</v>
      </c>
      <c r="D178" s="162" t="s">
        <v>301</v>
      </c>
      <c r="E178" s="100">
        <v>0.3</v>
      </c>
      <c r="F178" s="101">
        <v>1</v>
      </c>
      <c r="G178" s="163">
        <v>0</v>
      </c>
      <c r="H178" s="164"/>
      <c r="I178" s="164"/>
      <c r="J178" s="163"/>
      <c r="K178" s="164"/>
      <c r="L178" s="164"/>
      <c r="M178" s="164"/>
      <c r="N178" s="165"/>
      <c r="O178" s="166" t="s">
        <v>1862</v>
      </c>
      <c r="P178" s="146"/>
      <c r="Q178" s="144"/>
      <c r="R178" s="144"/>
      <c r="S178" s="144"/>
      <c r="T178" s="144"/>
      <c r="U178" s="133"/>
      <c r="V178" s="133"/>
      <c r="W178" s="133"/>
      <c r="X178" s="133"/>
      <c r="Y178" s="133"/>
      <c r="Z178" s="133"/>
      <c r="AA178" s="133"/>
    </row>
    <row r="179" spans="1:27" ht="135" customHeight="1" thickBot="1" x14ac:dyDescent="0.4">
      <c r="A179" s="135"/>
      <c r="B179" s="695" t="s">
        <v>1627</v>
      </c>
      <c r="C179" s="691"/>
      <c r="D179" s="157"/>
      <c r="E179" s="99">
        <v>0.1</v>
      </c>
      <c r="F179" s="101"/>
      <c r="G179" s="163"/>
      <c r="H179" s="120">
        <f>+AVERAGE(H180:H183)</f>
        <v>0.1752103260310604</v>
      </c>
      <c r="I179" s="120">
        <f>+I180+I181+I182+I183</f>
        <v>0.17445397511056257</v>
      </c>
      <c r="J179" s="163"/>
      <c r="K179" s="159">
        <f>+AVERAGE(K180:K183)</f>
        <v>0.62594318181818176</v>
      </c>
      <c r="L179" s="159">
        <f>+(L180+L181+L182+L183)*E179</f>
        <v>6.9720454545454544E-2</v>
      </c>
      <c r="M179" s="120">
        <f>+AVERAGE(M180:M183)</f>
        <v>0.1083654494497583</v>
      </c>
      <c r="N179" s="121">
        <f>+(N180+N181+N182+N183)*E179</f>
        <v>1.2047093098837808E-2</v>
      </c>
      <c r="O179" s="160"/>
      <c r="P179" s="146"/>
      <c r="Q179" s="144"/>
      <c r="R179" s="144"/>
      <c r="S179" s="144"/>
      <c r="T179" s="144"/>
      <c r="U179" s="133"/>
      <c r="V179" s="133"/>
      <c r="W179" s="133"/>
      <c r="X179" s="133"/>
      <c r="Y179" s="133"/>
      <c r="Z179" s="133"/>
      <c r="AA179" s="133"/>
    </row>
    <row r="180" spans="1:27" ht="135" customHeight="1" thickBot="1" x14ac:dyDescent="0.4">
      <c r="A180" s="135"/>
      <c r="B180" s="168" t="s">
        <v>310</v>
      </c>
      <c r="C180" s="168" t="s">
        <v>311</v>
      </c>
      <c r="D180" s="162" t="s">
        <v>301</v>
      </c>
      <c r="E180" s="100">
        <v>0.2</v>
      </c>
      <c r="F180" s="101">
        <v>5556</v>
      </c>
      <c r="G180" s="163">
        <v>1100</v>
      </c>
      <c r="H180" s="164">
        <f>+G180/F180</f>
        <v>0.19798416126709864</v>
      </c>
      <c r="I180" s="164">
        <f>+(G180/F180)*E180</f>
        <v>3.9596832253419728E-2</v>
      </c>
      <c r="J180" s="163">
        <v>272</v>
      </c>
      <c r="K180" s="164">
        <f>+(J180/G180)</f>
        <v>0.24727272727272728</v>
      </c>
      <c r="L180" s="164">
        <f>+K180*E180</f>
        <v>4.9454545454545459E-2</v>
      </c>
      <c r="M180" s="164">
        <f>+J180/F180</f>
        <v>4.8956083513318933E-2</v>
      </c>
      <c r="N180" s="165">
        <f>+M180*E180</f>
        <v>9.7912167026637867E-3</v>
      </c>
      <c r="O180" s="166" t="s">
        <v>1862</v>
      </c>
      <c r="P180" s="146"/>
      <c r="Q180" s="144"/>
      <c r="R180" s="144"/>
      <c r="S180" s="144"/>
      <c r="T180" s="144"/>
      <c r="U180" s="133"/>
      <c r="V180" s="133"/>
      <c r="W180" s="133"/>
      <c r="X180" s="133"/>
      <c r="Y180" s="133"/>
      <c r="Z180" s="133"/>
      <c r="AA180" s="133"/>
    </row>
    <row r="181" spans="1:27" ht="135" customHeight="1" thickBot="1" x14ac:dyDescent="0.4">
      <c r="A181" s="135"/>
      <c r="B181" s="168" t="s">
        <v>312</v>
      </c>
      <c r="C181" s="168" t="s">
        <v>313</v>
      </c>
      <c r="D181" s="162" t="s">
        <v>301</v>
      </c>
      <c r="E181" s="100">
        <v>0.3</v>
      </c>
      <c r="F181" s="101">
        <v>14000</v>
      </c>
      <c r="G181" s="163">
        <v>2000</v>
      </c>
      <c r="H181" s="164">
        <f>+G181/F181</f>
        <v>0.14285714285714285</v>
      </c>
      <c r="I181" s="164">
        <f>+(G181/F181)*E181</f>
        <v>4.2857142857142851E-2</v>
      </c>
      <c r="J181" s="163">
        <v>1929</v>
      </c>
      <c r="K181" s="164">
        <f>+(J181/G181)</f>
        <v>0.96450000000000002</v>
      </c>
      <c r="L181" s="164">
        <f>+K181*E181</f>
        <v>0.28935</v>
      </c>
      <c r="M181" s="164">
        <f>+J181/F181</f>
        <v>0.13778571428571429</v>
      </c>
      <c r="N181" s="165">
        <f>+M181*E181</f>
        <v>4.1335714285714288E-2</v>
      </c>
      <c r="O181" s="166" t="s">
        <v>1862</v>
      </c>
      <c r="P181" s="146"/>
      <c r="Q181" s="144"/>
      <c r="R181" s="144"/>
      <c r="S181" s="144"/>
      <c r="T181" s="144"/>
      <c r="U181" s="133"/>
      <c r="V181" s="133"/>
      <c r="W181" s="133"/>
      <c r="X181" s="133"/>
      <c r="Y181" s="133"/>
      <c r="Z181" s="133"/>
      <c r="AA181" s="133"/>
    </row>
    <row r="182" spans="1:27" ht="135" customHeight="1" thickBot="1" x14ac:dyDescent="0.4">
      <c r="A182" s="135"/>
      <c r="B182" s="168" t="s">
        <v>314</v>
      </c>
      <c r="C182" s="168" t="s">
        <v>315</v>
      </c>
      <c r="D182" s="162" t="s">
        <v>301</v>
      </c>
      <c r="E182" s="100">
        <v>0.2</v>
      </c>
      <c r="F182" s="101">
        <v>25000</v>
      </c>
      <c r="G182" s="163">
        <v>4000</v>
      </c>
      <c r="H182" s="164">
        <f>+G182/F182</f>
        <v>0.16</v>
      </c>
      <c r="I182" s="164">
        <f>+(G182/F182)*E182</f>
        <v>3.2000000000000001E-2</v>
      </c>
      <c r="J182" s="163">
        <v>1168</v>
      </c>
      <c r="K182" s="164">
        <f>+(J182/G182)</f>
        <v>0.29199999999999998</v>
      </c>
      <c r="L182" s="164">
        <f>+K182*E182</f>
        <v>5.8400000000000001E-2</v>
      </c>
      <c r="M182" s="164">
        <f>+J182/F182</f>
        <v>4.6719999999999998E-2</v>
      </c>
      <c r="N182" s="165">
        <f>+M182*E182</f>
        <v>9.3439999999999999E-3</v>
      </c>
      <c r="O182" s="166" t="s">
        <v>1862</v>
      </c>
      <c r="P182" s="146"/>
      <c r="Q182" s="144"/>
      <c r="R182" s="144"/>
      <c r="S182" s="144"/>
      <c r="T182" s="144"/>
      <c r="U182" s="133"/>
      <c r="V182" s="133"/>
      <c r="W182" s="133"/>
      <c r="X182" s="133"/>
      <c r="Y182" s="133"/>
      <c r="Z182" s="133"/>
      <c r="AA182" s="133"/>
    </row>
    <row r="183" spans="1:27" ht="135" customHeight="1" thickBot="1" x14ac:dyDescent="0.4">
      <c r="A183" s="135"/>
      <c r="B183" s="168" t="s">
        <v>316</v>
      </c>
      <c r="C183" s="168" t="s">
        <v>317</v>
      </c>
      <c r="D183" s="162" t="s">
        <v>301</v>
      </c>
      <c r="E183" s="100">
        <v>0.3</v>
      </c>
      <c r="F183" s="101">
        <v>50</v>
      </c>
      <c r="G183" s="163">
        <v>10</v>
      </c>
      <c r="H183" s="164">
        <f>+G183/F183</f>
        <v>0.2</v>
      </c>
      <c r="I183" s="164">
        <f>+(G183/F183)*E183</f>
        <v>0.06</v>
      </c>
      <c r="J183" s="163">
        <v>10</v>
      </c>
      <c r="K183" s="164">
        <f>+(J183/G183)</f>
        <v>1</v>
      </c>
      <c r="L183" s="164">
        <f>+K183*E183</f>
        <v>0.3</v>
      </c>
      <c r="M183" s="164">
        <f>+J183/F183</f>
        <v>0.2</v>
      </c>
      <c r="N183" s="165">
        <f>+M183*E183</f>
        <v>0.06</v>
      </c>
      <c r="O183" s="166" t="s">
        <v>1862</v>
      </c>
      <c r="P183" s="146"/>
      <c r="Q183" s="144"/>
      <c r="R183" s="144"/>
      <c r="S183" s="144"/>
      <c r="T183" s="144"/>
      <c r="U183" s="133"/>
      <c r="V183" s="133"/>
      <c r="W183" s="133"/>
      <c r="X183" s="133"/>
      <c r="Y183" s="133"/>
      <c r="Z183" s="133"/>
      <c r="AA183" s="133"/>
    </row>
    <row r="184" spans="1:27" ht="135" customHeight="1" thickBot="1" x14ac:dyDescent="0.4">
      <c r="A184" s="135"/>
      <c r="B184" s="695" t="s">
        <v>1628</v>
      </c>
      <c r="C184" s="691"/>
      <c r="D184" s="157"/>
      <c r="E184" s="99">
        <v>0.1</v>
      </c>
      <c r="F184" s="101"/>
      <c r="G184" s="163"/>
      <c r="H184" s="120">
        <f>+AVERAGE(H185)</f>
        <v>4.2000000000000003E-2</v>
      </c>
      <c r="I184" s="120">
        <f>+I185</f>
        <v>4.2000000000000003E-2</v>
      </c>
      <c r="J184" s="144"/>
      <c r="K184" s="159">
        <f>+AVERAGE(K185)</f>
        <v>0</v>
      </c>
      <c r="L184" s="159">
        <f>+(L185)*E184</f>
        <v>0</v>
      </c>
      <c r="M184" s="120">
        <f>+AVERAGE(M185)</f>
        <v>0</v>
      </c>
      <c r="N184" s="121">
        <f>+(N185)*E184</f>
        <v>0</v>
      </c>
      <c r="O184" s="160"/>
      <c r="P184" s="146"/>
      <c r="Q184" s="144"/>
      <c r="R184" s="144"/>
      <c r="S184" s="144"/>
      <c r="T184" s="144"/>
      <c r="U184" s="133"/>
      <c r="V184" s="133"/>
      <c r="W184" s="133"/>
      <c r="X184" s="133"/>
      <c r="Y184" s="133"/>
      <c r="Z184" s="133"/>
      <c r="AA184" s="133"/>
    </row>
    <row r="185" spans="1:27" ht="135" customHeight="1" thickBot="1" x14ac:dyDescent="0.4">
      <c r="A185" s="135"/>
      <c r="B185" s="168" t="s">
        <v>318</v>
      </c>
      <c r="C185" s="168" t="s">
        <v>319</v>
      </c>
      <c r="D185" s="162" t="s">
        <v>301</v>
      </c>
      <c r="E185" s="100">
        <v>1</v>
      </c>
      <c r="F185" s="101">
        <v>5000</v>
      </c>
      <c r="G185" s="163">
        <v>210</v>
      </c>
      <c r="H185" s="164">
        <f>+G185/F185</f>
        <v>4.2000000000000003E-2</v>
      </c>
      <c r="I185" s="164">
        <f>+(G185/F185)*E185</f>
        <v>4.2000000000000003E-2</v>
      </c>
      <c r="J185" s="163">
        <v>0</v>
      </c>
      <c r="K185" s="164">
        <f>+(J185/G185)</f>
        <v>0</v>
      </c>
      <c r="L185" s="164">
        <f>+K185*E185</f>
        <v>0</v>
      </c>
      <c r="M185" s="164">
        <f>+J185/F185</f>
        <v>0</v>
      </c>
      <c r="N185" s="165">
        <f>+M185*E185</f>
        <v>0</v>
      </c>
      <c r="O185" s="166" t="s">
        <v>1862</v>
      </c>
      <c r="P185" s="146"/>
      <c r="Q185" s="144"/>
      <c r="R185" s="144"/>
      <c r="S185" s="144"/>
      <c r="T185" s="144"/>
      <c r="U185" s="133"/>
      <c r="V185" s="133"/>
      <c r="W185" s="133"/>
      <c r="X185" s="133"/>
      <c r="Y185" s="133"/>
      <c r="Z185" s="133"/>
      <c r="AA185" s="133"/>
    </row>
    <row r="186" spans="1:27" ht="135" customHeight="1" thickBot="1" x14ac:dyDescent="0.4">
      <c r="A186" s="135"/>
      <c r="B186" s="695" t="s">
        <v>1629</v>
      </c>
      <c r="C186" s="691"/>
      <c r="D186" s="157"/>
      <c r="E186" s="99">
        <v>0.1</v>
      </c>
      <c r="F186" s="101"/>
      <c r="G186" s="163"/>
      <c r="H186" s="120">
        <f>+AVERAGE(H187:H191)</f>
        <v>0.13873355263157894</v>
      </c>
      <c r="I186" s="120">
        <f>+I187+I188+I189+I190+I191</f>
        <v>0.11001315789473685</v>
      </c>
      <c r="J186" s="144"/>
      <c r="K186" s="159">
        <f>+AVERAGE(K187:K191)</f>
        <v>1</v>
      </c>
      <c r="L186" s="159">
        <f>+(L187+L188+L189+L190+L191)*E186</f>
        <v>8.0000000000000016E-2</v>
      </c>
      <c r="M186" s="120">
        <f>+AVERAGE(M187:M191)</f>
        <v>0.18213075657894739</v>
      </c>
      <c r="N186" s="121">
        <f>+(N187+N188+N189+N190+N191)*E186</f>
        <v>1.4271164473684213E-2</v>
      </c>
      <c r="O186" s="160"/>
      <c r="P186" s="146"/>
      <c r="Q186" s="144"/>
      <c r="R186" s="144"/>
      <c r="S186" s="144"/>
      <c r="T186" s="144"/>
      <c r="U186" s="133"/>
      <c r="V186" s="133"/>
      <c r="W186" s="133"/>
      <c r="X186" s="133"/>
      <c r="Y186" s="133"/>
      <c r="Z186" s="133"/>
      <c r="AA186" s="133"/>
    </row>
    <row r="187" spans="1:27" ht="135" customHeight="1" thickBot="1" x14ac:dyDescent="0.4">
      <c r="A187" s="135"/>
      <c r="B187" s="168" t="s">
        <v>320</v>
      </c>
      <c r="C187" s="168" t="s">
        <v>321</v>
      </c>
      <c r="D187" s="162" t="s">
        <v>301</v>
      </c>
      <c r="E187" s="100">
        <v>0.24</v>
      </c>
      <c r="F187" s="101">
        <v>8000</v>
      </c>
      <c r="G187" s="163">
        <v>350</v>
      </c>
      <c r="H187" s="164">
        <f>+G187/F187</f>
        <v>4.3749999999999997E-2</v>
      </c>
      <c r="I187" s="164">
        <f>+(G187/F187)*E187</f>
        <v>1.0499999999999999E-2</v>
      </c>
      <c r="J187" s="163">
        <v>477</v>
      </c>
      <c r="K187" s="164">
        <v>1</v>
      </c>
      <c r="L187" s="164">
        <f>+K187*E187</f>
        <v>0.24</v>
      </c>
      <c r="M187" s="164">
        <f>+J187/F187</f>
        <v>5.9624999999999997E-2</v>
      </c>
      <c r="N187" s="165">
        <f>+M187*E187</f>
        <v>1.4309999999999998E-2</v>
      </c>
      <c r="O187" s="166" t="s">
        <v>1862</v>
      </c>
      <c r="P187" s="146"/>
      <c r="Q187" s="144"/>
      <c r="R187" s="144"/>
      <c r="S187" s="144"/>
      <c r="T187" s="144"/>
      <c r="U187" s="133"/>
      <c r="V187" s="133"/>
      <c r="W187" s="133"/>
      <c r="X187" s="133"/>
      <c r="Y187" s="133"/>
      <c r="Z187" s="133"/>
      <c r="AA187" s="133"/>
    </row>
    <row r="188" spans="1:27" ht="135" customHeight="1" thickBot="1" x14ac:dyDescent="0.4">
      <c r="A188" s="135"/>
      <c r="B188" s="168" t="s">
        <v>322</v>
      </c>
      <c r="C188" s="168" t="s">
        <v>323</v>
      </c>
      <c r="D188" s="162" t="s">
        <v>301</v>
      </c>
      <c r="E188" s="100">
        <v>0.2</v>
      </c>
      <c r="F188" s="101">
        <v>1</v>
      </c>
      <c r="G188" s="163">
        <v>0</v>
      </c>
      <c r="H188" s="164"/>
      <c r="I188" s="164"/>
      <c r="J188" s="163"/>
      <c r="K188" s="164"/>
      <c r="L188" s="164"/>
      <c r="M188" s="164"/>
      <c r="N188" s="165"/>
      <c r="O188" s="166" t="s">
        <v>1862</v>
      </c>
      <c r="P188" s="146"/>
      <c r="Q188" s="144"/>
      <c r="R188" s="144"/>
      <c r="S188" s="144"/>
      <c r="T188" s="144"/>
      <c r="U188" s="133"/>
      <c r="V188" s="133"/>
      <c r="W188" s="133"/>
      <c r="X188" s="133"/>
      <c r="Y188" s="133"/>
      <c r="Z188" s="133"/>
      <c r="AA188" s="133"/>
    </row>
    <row r="189" spans="1:27" ht="135" customHeight="1" thickBot="1" x14ac:dyDescent="0.4">
      <c r="A189" s="135"/>
      <c r="B189" s="168" t="s">
        <v>324</v>
      </c>
      <c r="C189" s="168" t="s">
        <v>325</v>
      </c>
      <c r="D189" s="162" t="s">
        <v>301</v>
      </c>
      <c r="E189" s="100">
        <v>0.18</v>
      </c>
      <c r="F189" s="101">
        <v>3800</v>
      </c>
      <c r="G189" s="163">
        <v>280</v>
      </c>
      <c r="H189" s="164">
        <f>+G189/F189</f>
        <v>7.3684210526315783E-2</v>
      </c>
      <c r="I189" s="164">
        <f>+(G189/F189)*E189</f>
        <v>1.326315789473684E-2</v>
      </c>
      <c r="J189" s="163">
        <v>529</v>
      </c>
      <c r="K189" s="164">
        <v>1</v>
      </c>
      <c r="L189" s="164">
        <f>+K189*E189</f>
        <v>0.18</v>
      </c>
      <c r="M189" s="164">
        <f>+J189/F189</f>
        <v>0.13921052631578948</v>
      </c>
      <c r="N189" s="165">
        <f>+M189*E189</f>
        <v>2.5057894736842105E-2</v>
      </c>
      <c r="O189" s="166" t="s">
        <v>1862</v>
      </c>
      <c r="P189" s="146"/>
      <c r="Q189" s="144"/>
      <c r="R189" s="144"/>
      <c r="S189" s="144"/>
      <c r="T189" s="144"/>
      <c r="U189" s="133"/>
      <c r="V189" s="133"/>
      <c r="W189" s="133"/>
      <c r="X189" s="133"/>
      <c r="Y189" s="133"/>
      <c r="Z189" s="133"/>
      <c r="AA189" s="133"/>
    </row>
    <row r="190" spans="1:27" ht="135" customHeight="1" thickBot="1" x14ac:dyDescent="0.4">
      <c r="A190" s="135"/>
      <c r="B190" s="168" t="s">
        <v>326</v>
      </c>
      <c r="C190" s="168" t="s">
        <v>327</v>
      </c>
      <c r="D190" s="162" t="s">
        <v>301</v>
      </c>
      <c r="E190" s="100">
        <v>0.2</v>
      </c>
      <c r="F190" s="101">
        <v>80</v>
      </c>
      <c r="G190" s="163">
        <v>30</v>
      </c>
      <c r="H190" s="164">
        <f>+G190/F190</f>
        <v>0.375</v>
      </c>
      <c r="I190" s="164">
        <f>+(G190/F190)*E190</f>
        <v>7.5000000000000011E-2</v>
      </c>
      <c r="J190" s="163">
        <v>32</v>
      </c>
      <c r="K190" s="164">
        <v>1</v>
      </c>
      <c r="L190" s="164">
        <f>+K190*E190</f>
        <v>0.2</v>
      </c>
      <c r="M190" s="164">
        <f>+J190/F190</f>
        <v>0.4</v>
      </c>
      <c r="N190" s="165">
        <f>+M190*E190</f>
        <v>8.0000000000000016E-2</v>
      </c>
      <c r="O190" s="166" t="s">
        <v>1862</v>
      </c>
      <c r="P190" s="146"/>
      <c r="Q190" s="144"/>
      <c r="R190" s="144"/>
      <c r="S190" s="144"/>
      <c r="T190" s="144"/>
      <c r="U190" s="133"/>
      <c r="V190" s="133"/>
      <c r="W190" s="133"/>
      <c r="X190" s="133"/>
      <c r="Y190" s="133"/>
      <c r="Z190" s="133"/>
      <c r="AA190" s="133"/>
    </row>
    <row r="191" spans="1:27" ht="135" customHeight="1" thickBot="1" x14ac:dyDescent="0.4">
      <c r="A191" s="135"/>
      <c r="B191" s="168" t="s">
        <v>328</v>
      </c>
      <c r="C191" s="168" t="s">
        <v>329</v>
      </c>
      <c r="D191" s="162" t="s">
        <v>301</v>
      </c>
      <c r="E191" s="100">
        <v>0.18</v>
      </c>
      <c r="F191" s="101">
        <v>3200</v>
      </c>
      <c r="G191" s="163">
        <v>200</v>
      </c>
      <c r="H191" s="164">
        <f>+G191/F191</f>
        <v>6.25E-2</v>
      </c>
      <c r="I191" s="164">
        <f>+(G191/F191)*E191</f>
        <v>1.125E-2</v>
      </c>
      <c r="J191" s="163">
        <v>415</v>
      </c>
      <c r="K191" s="164">
        <v>1</v>
      </c>
      <c r="L191" s="164">
        <f>+K191*E191</f>
        <v>0.18</v>
      </c>
      <c r="M191" s="164">
        <f>+J191/F191</f>
        <v>0.12968750000000001</v>
      </c>
      <c r="N191" s="165">
        <f>+M191*E191</f>
        <v>2.334375E-2</v>
      </c>
      <c r="O191" s="166" t="s">
        <v>1862</v>
      </c>
      <c r="P191" s="146"/>
      <c r="Q191" s="144"/>
      <c r="R191" s="144"/>
      <c r="S191" s="144"/>
      <c r="T191" s="144"/>
      <c r="U191" s="133"/>
      <c r="V191" s="133"/>
      <c r="W191" s="133"/>
      <c r="X191" s="133"/>
      <c r="Y191" s="133"/>
      <c r="Z191" s="133"/>
      <c r="AA191" s="133"/>
    </row>
    <row r="192" spans="1:27" ht="135" customHeight="1" thickBot="1" x14ac:dyDescent="0.4">
      <c r="A192" s="135"/>
      <c r="B192" s="695" t="s">
        <v>1630</v>
      </c>
      <c r="C192" s="691"/>
      <c r="D192" s="157"/>
      <c r="E192" s="99">
        <v>0.1</v>
      </c>
      <c r="F192" s="101"/>
      <c r="G192" s="163"/>
      <c r="H192" s="120">
        <f>+AVERAGE(H193:H194)</f>
        <v>1.2500000000000001E-2</v>
      </c>
      <c r="I192" s="120">
        <f>+I193+I194</f>
        <v>3.7499999999999999E-3</v>
      </c>
      <c r="J192" s="144"/>
      <c r="K192" s="159">
        <f>+AVERAGE(K193:K194)</f>
        <v>1</v>
      </c>
      <c r="L192" s="159">
        <f>+(L193+L194)*E192</f>
        <v>0.03</v>
      </c>
      <c r="M192" s="120">
        <f>+AVERAGE(M193:M194)</f>
        <v>1.2500000000000001E-2</v>
      </c>
      <c r="N192" s="121">
        <f>+(N193+N194)*E192</f>
        <v>3.7500000000000001E-4</v>
      </c>
      <c r="O192" s="160"/>
      <c r="P192" s="146"/>
      <c r="Q192" s="144"/>
      <c r="R192" s="144"/>
      <c r="S192" s="144"/>
      <c r="T192" s="144"/>
      <c r="U192" s="133"/>
      <c r="V192" s="133"/>
      <c r="W192" s="133"/>
      <c r="X192" s="133"/>
      <c r="Y192" s="133"/>
      <c r="Z192" s="133"/>
      <c r="AA192" s="133"/>
    </row>
    <row r="193" spans="1:27" ht="135" customHeight="1" thickBot="1" x14ac:dyDescent="0.4">
      <c r="A193" s="135"/>
      <c r="B193" s="168" t="s">
        <v>330</v>
      </c>
      <c r="C193" s="168" t="s">
        <v>331</v>
      </c>
      <c r="D193" s="162" t="s">
        <v>301</v>
      </c>
      <c r="E193" s="100">
        <v>0.3</v>
      </c>
      <c r="F193" s="101">
        <v>20000</v>
      </c>
      <c r="G193" s="163">
        <v>250</v>
      </c>
      <c r="H193" s="164">
        <f>+G193/F193</f>
        <v>1.2500000000000001E-2</v>
      </c>
      <c r="I193" s="164">
        <f>+(G193/F193)*E193</f>
        <v>3.7499999999999999E-3</v>
      </c>
      <c r="J193" s="163">
        <v>250</v>
      </c>
      <c r="K193" s="164">
        <f>+(J193/G193)</f>
        <v>1</v>
      </c>
      <c r="L193" s="164">
        <f>+K193*E193</f>
        <v>0.3</v>
      </c>
      <c r="M193" s="164">
        <f>+J193/F193</f>
        <v>1.2500000000000001E-2</v>
      </c>
      <c r="N193" s="165">
        <f>+M193*E193</f>
        <v>3.7499999999999999E-3</v>
      </c>
      <c r="O193" s="166" t="s">
        <v>1862</v>
      </c>
      <c r="P193" s="146"/>
      <c r="Q193" s="144"/>
      <c r="R193" s="144"/>
      <c r="S193" s="144"/>
      <c r="T193" s="144"/>
      <c r="U193" s="133"/>
      <c r="V193" s="133"/>
      <c r="W193" s="133"/>
      <c r="X193" s="133"/>
      <c r="Y193" s="133"/>
      <c r="Z193" s="133"/>
      <c r="AA193" s="133"/>
    </row>
    <row r="194" spans="1:27" ht="135" customHeight="1" thickBot="1" x14ac:dyDescent="0.4">
      <c r="A194" s="135"/>
      <c r="B194" s="168" t="s">
        <v>332</v>
      </c>
      <c r="C194" s="168" t="s">
        <v>333</v>
      </c>
      <c r="D194" s="162" t="s">
        <v>301</v>
      </c>
      <c r="E194" s="100">
        <v>0.7</v>
      </c>
      <c r="F194" s="101">
        <v>3000</v>
      </c>
      <c r="G194" s="163">
        <v>0</v>
      </c>
      <c r="H194" s="164"/>
      <c r="I194" s="164"/>
      <c r="J194" s="163"/>
      <c r="K194" s="164"/>
      <c r="L194" s="164"/>
      <c r="M194" s="164"/>
      <c r="N194" s="165"/>
      <c r="O194" s="166" t="s">
        <v>1862</v>
      </c>
      <c r="P194" s="146"/>
      <c r="Q194" s="144"/>
      <c r="R194" s="144"/>
      <c r="S194" s="144"/>
      <c r="T194" s="144"/>
      <c r="U194" s="133"/>
      <c r="V194" s="133"/>
      <c r="W194" s="133"/>
      <c r="X194" s="133"/>
      <c r="Y194" s="133"/>
      <c r="Z194" s="133"/>
      <c r="AA194" s="133"/>
    </row>
    <row r="195" spans="1:27" ht="135" customHeight="1" thickBot="1" x14ac:dyDescent="0.4">
      <c r="A195" s="135"/>
      <c r="B195" s="695" t="s">
        <v>1631</v>
      </c>
      <c r="C195" s="691"/>
      <c r="D195" s="157"/>
      <c r="E195" s="99">
        <v>0.1</v>
      </c>
      <c r="F195" s="101"/>
      <c r="G195" s="163"/>
      <c r="H195" s="120">
        <f>+AVERAGE(H196:H198)</f>
        <v>0.19771672771672774</v>
      </c>
      <c r="I195" s="120">
        <f>+I196+I197+I198</f>
        <v>0.19857509157509157</v>
      </c>
      <c r="J195" s="144"/>
      <c r="K195" s="159">
        <f>+AVERAGE(K196:K198)</f>
        <v>0.68</v>
      </c>
      <c r="L195" s="159">
        <f>+(L196+L197+L198)*E195</f>
        <v>7.9000000000000015E-2</v>
      </c>
      <c r="M195" s="120">
        <f>+AVERAGE(M196:M198)</f>
        <v>0.20072039072039072</v>
      </c>
      <c r="N195" s="121">
        <f>+(N196+N197+N198)*E195</f>
        <v>1.9708058608058607E-2</v>
      </c>
      <c r="O195" s="160"/>
      <c r="P195" s="146"/>
      <c r="Q195" s="144"/>
      <c r="R195" s="144"/>
      <c r="S195" s="144"/>
      <c r="T195" s="144"/>
      <c r="U195" s="133"/>
      <c r="V195" s="133"/>
      <c r="W195" s="133"/>
      <c r="X195" s="133"/>
      <c r="Y195" s="133"/>
      <c r="Z195" s="133"/>
      <c r="AA195" s="133"/>
    </row>
    <row r="196" spans="1:27" ht="135" customHeight="1" thickBot="1" x14ac:dyDescent="0.4">
      <c r="A196" s="135"/>
      <c r="B196" s="168" t="s">
        <v>334</v>
      </c>
      <c r="C196" s="168" t="s">
        <v>335</v>
      </c>
      <c r="D196" s="162" t="s">
        <v>301</v>
      </c>
      <c r="E196" s="100">
        <v>0.5</v>
      </c>
      <c r="F196" s="101">
        <v>1092</v>
      </c>
      <c r="G196" s="163">
        <v>200</v>
      </c>
      <c r="H196" s="164">
        <f>+G196/F196</f>
        <v>0.18315018315018314</v>
      </c>
      <c r="I196" s="164">
        <f>+(G196/F196)*E196</f>
        <v>9.1575091575091569E-2</v>
      </c>
      <c r="J196" s="163">
        <v>188</v>
      </c>
      <c r="K196" s="164">
        <f>+(J196/G196)</f>
        <v>0.94</v>
      </c>
      <c r="L196" s="164">
        <f>+K196*E196</f>
        <v>0.47</v>
      </c>
      <c r="M196" s="164">
        <f>+J196/F196</f>
        <v>0.17216117216117216</v>
      </c>
      <c r="N196" s="165">
        <f>+M196*E196</f>
        <v>8.608058608058608E-2</v>
      </c>
      <c r="O196" s="166" t="s">
        <v>1862</v>
      </c>
      <c r="P196" s="146"/>
      <c r="Q196" s="144"/>
      <c r="R196" s="144"/>
      <c r="S196" s="144"/>
      <c r="T196" s="144"/>
      <c r="U196" s="133"/>
      <c r="V196" s="133"/>
      <c r="W196" s="133"/>
      <c r="X196" s="133"/>
      <c r="Y196" s="133"/>
      <c r="Z196" s="133"/>
      <c r="AA196" s="133"/>
    </row>
    <row r="197" spans="1:27" ht="135" customHeight="1" thickBot="1" x14ac:dyDescent="0.4">
      <c r="A197" s="135"/>
      <c r="B197" s="168" t="s">
        <v>336</v>
      </c>
      <c r="C197" s="168" t="s">
        <v>337</v>
      </c>
      <c r="D197" s="162" t="s">
        <v>301</v>
      </c>
      <c r="E197" s="100">
        <v>0.3</v>
      </c>
      <c r="F197" s="101">
        <v>4</v>
      </c>
      <c r="G197" s="163">
        <v>1</v>
      </c>
      <c r="H197" s="164">
        <f>+G197/F197</f>
        <v>0.25</v>
      </c>
      <c r="I197" s="164">
        <f>+(G197/F197)*E197</f>
        <v>7.4999999999999997E-2</v>
      </c>
      <c r="J197" s="163">
        <v>1</v>
      </c>
      <c r="K197" s="164">
        <f>+(J197/G197)</f>
        <v>1</v>
      </c>
      <c r="L197" s="164">
        <f>+K197*E197</f>
        <v>0.3</v>
      </c>
      <c r="M197" s="164">
        <f>+J197/F197</f>
        <v>0.25</v>
      </c>
      <c r="N197" s="165">
        <f>+M197*E197</f>
        <v>7.4999999999999997E-2</v>
      </c>
      <c r="O197" s="166" t="s">
        <v>1862</v>
      </c>
      <c r="P197" s="146"/>
      <c r="Q197" s="144"/>
      <c r="R197" s="144"/>
      <c r="S197" s="144"/>
      <c r="T197" s="144"/>
      <c r="U197" s="133"/>
      <c r="V197" s="133"/>
      <c r="W197" s="133"/>
      <c r="X197" s="133"/>
      <c r="Y197" s="133"/>
      <c r="Z197" s="133"/>
      <c r="AA197" s="133"/>
    </row>
    <row r="198" spans="1:27" ht="135" customHeight="1" thickBot="1" x14ac:dyDescent="0.4">
      <c r="A198" s="135"/>
      <c r="B198" s="168" t="s">
        <v>338</v>
      </c>
      <c r="C198" s="168" t="s">
        <v>339</v>
      </c>
      <c r="D198" s="162" t="s">
        <v>301</v>
      </c>
      <c r="E198" s="100">
        <v>0.2</v>
      </c>
      <c r="F198" s="101">
        <v>150</v>
      </c>
      <c r="G198" s="163">
        <v>24</v>
      </c>
      <c r="H198" s="164">
        <f>+G198/F198</f>
        <v>0.16</v>
      </c>
      <c r="I198" s="164">
        <f>+(G198/F198)*E198</f>
        <v>3.2000000000000001E-2</v>
      </c>
      <c r="J198" s="163">
        <v>27</v>
      </c>
      <c r="K198" s="164">
        <v>0.1</v>
      </c>
      <c r="L198" s="164">
        <f>+K198*E198</f>
        <v>2.0000000000000004E-2</v>
      </c>
      <c r="M198" s="164">
        <f>+J198/F198</f>
        <v>0.18</v>
      </c>
      <c r="N198" s="165">
        <f>+M198*E198</f>
        <v>3.5999999999999997E-2</v>
      </c>
      <c r="O198" s="166" t="s">
        <v>1862</v>
      </c>
      <c r="P198" s="146"/>
      <c r="Q198" s="144"/>
      <c r="R198" s="144"/>
      <c r="S198" s="144"/>
      <c r="T198" s="144"/>
      <c r="U198" s="133"/>
      <c r="V198" s="133"/>
      <c r="W198" s="133"/>
      <c r="X198" s="133"/>
      <c r="Y198" s="133"/>
      <c r="Z198" s="133"/>
      <c r="AA198" s="133"/>
    </row>
    <row r="199" spans="1:27" ht="135" customHeight="1" thickBot="1" x14ac:dyDescent="0.4">
      <c r="A199" s="135"/>
      <c r="B199" s="695" t="s">
        <v>1632</v>
      </c>
      <c r="C199" s="691"/>
      <c r="D199" s="157"/>
      <c r="E199" s="99">
        <v>0.1</v>
      </c>
      <c r="F199" s="101"/>
      <c r="G199" s="163"/>
      <c r="H199" s="120">
        <f>+AVERAGE(H200:H202)</f>
        <v>0.14374999999999999</v>
      </c>
      <c r="I199" s="120">
        <f>+I200+I201+I202</f>
        <v>6.7500000000000004E-2</v>
      </c>
      <c r="J199" s="144"/>
      <c r="K199" s="159">
        <f>+AVERAGE(K200:K202)</f>
        <v>0.72222222222222221</v>
      </c>
      <c r="L199" s="159">
        <f>+(L200+L201+L202)*E199</f>
        <v>3.888888888888889E-2</v>
      </c>
      <c r="M199" s="120">
        <f>+AVERAGE(M200:M202)</f>
        <v>0.25741666666666668</v>
      </c>
      <c r="N199" s="121">
        <f>+(N200+N201+N202)*E199</f>
        <v>1.4611666666666665E-2</v>
      </c>
      <c r="O199" s="160"/>
      <c r="P199" s="146"/>
      <c r="Q199" s="144"/>
      <c r="R199" s="144"/>
      <c r="S199" s="144"/>
      <c r="T199" s="144"/>
      <c r="U199" s="133"/>
      <c r="V199" s="133"/>
      <c r="W199" s="133"/>
      <c r="X199" s="133"/>
      <c r="Y199" s="133"/>
      <c r="Z199" s="133"/>
      <c r="AA199" s="133"/>
    </row>
    <row r="200" spans="1:27" ht="135" customHeight="1" thickBot="1" x14ac:dyDescent="0.4">
      <c r="A200" s="135"/>
      <c r="B200" s="168" t="s">
        <v>340</v>
      </c>
      <c r="C200" s="168" t="s">
        <v>341</v>
      </c>
      <c r="D200" s="162" t="s">
        <v>301</v>
      </c>
      <c r="E200" s="100">
        <v>0.3</v>
      </c>
      <c r="F200" s="101">
        <v>10000</v>
      </c>
      <c r="G200" s="163">
        <v>1000</v>
      </c>
      <c r="H200" s="164">
        <f>+G200/F200</f>
        <v>0.1</v>
      </c>
      <c r="I200" s="164">
        <f>+(G200/F200)*E200</f>
        <v>0.03</v>
      </c>
      <c r="J200" s="163">
        <v>4315</v>
      </c>
      <c r="K200" s="164">
        <v>1</v>
      </c>
      <c r="L200" s="164">
        <f>+K200*E200</f>
        <v>0.3</v>
      </c>
      <c r="M200" s="164">
        <f>+J200/F200</f>
        <v>0.43149999999999999</v>
      </c>
      <c r="N200" s="165">
        <f>+M200*E200</f>
        <v>0.12944999999999998</v>
      </c>
      <c r="O200" s="166" t="s">
        <v>1862</v>
      </c>
      <c r="P200" s="146"/>
      <c r="Q200" s="144"/>
      <c r="R200" s="144"/>
      <c r="S200" s="144"/>
      <c r="T200" s="144"/>
      <c r="U200" s="133"/>
      <c r="V200" s="133"/>
      <c r="W200" s="133"/>
      <c r="X200" s="133"/>
      <c r="Y200" s="133"/>
      <c r="Z200" s="133"/>
      <c r="AA200" s="133"/>
    </row>
    <row r="201" spans="1:27" ht="135" customHeight="1" thickBot="1" x14ac:dyDescent="0.4">
      <c r="A201" s="135"/>
      <c r="B201" s="168" t="s">
        <v>342</v>
      </c>
      <c r="C201" s="168" t="s">
        <v>343</v>
      </c>
      <c r="D201" s="162" t="s">
        <v>301</v>
      </c>
      <c r="E201" s="100">
        <v>0.2</v>
      </c>
      <c r="F201" s="101">
        <v>96</v>
      </c>
      <c r="G201" s="163">
        <v>18</v>
      </c>
      <c r="H201" s="164">
        <f>+G201/F201</f>
        <v>0.1875</v>
      </c>
      <c r="I201" s="164">
        <f>+(G201/F201)*E201</f>
        <v>3.7500000000000006E-2</v>
      </c>
      <c r="J201" s="163">
        <v>8</v>
      </c>
      <c r="K201" s="164">
        <f>+(J201/G201)</f>
        <v>0.44444444444444442</v>
      </c>
      <c r="L201" s="164">
        <f>+K201*E201</f>
        <v>8.8888888888888892E-2</v>
      </c>
      <c r="M201" s="164">
        <f>+J201/F201</f>
        <v>8.3333333333333329E-2</v>
      </c>
      <c r="N201" s="165">
        <f>+M201*E201</f>
        <v>1.6666666666666666E-2</v>
      </c>
      <c r="O201" s="166" t="s">
        <v>1862</v>
      </c>
      <c r="P201" s="146"/>
      <c r="Q201" s="144"/>
      <c r="R201" s="144"/>
      <c r="S201" s="144"/>
      <c r="T201" s="144"/>
      <c r="U201" s="133"/>
      <c r="V201" s="133"/>
      <c r="W201" s="133"/>
      <c r="X201" s="133"/>
      <c r="Y201" s="133"/>
      <c r="Z201" s="133"/>
      <c r="AA201" s="133"/>
    </row>
    <row r="202" spans="1:27" ht="135" customHeight="1" thickBot="1" x14ac:dyDescent="0.4">
      <c r="A202" s="135"/>
      <c r="B202" s="168" t="s">
        <v>344</v>
      </c>
      <c r="C202" s="168" t="s">
        <v>345</v>
      </c>
      <c r="D202" s="162" t="s">
        <v>301</v>
      </c>
      <c r="E202" s="100">
        <v>0.5</v>
      </c>
      <c r="F202" s="101">
        <v>51000</v>
      </c>
      <c r="G202" s="163">
        <v>0</v>
      </c>
      <c r="H202" s="164"/>
      <c r="I202" s="164"/>
      <c r="J202" s="163"/>
      <c r="K202" s="164"/>
      <c r="L202" s="164"/>
      <c r="M202" s="164"/>
      <c r="N202" s="165"/>
      <c r="O202" s="166" t="s">
        <v>1862</v>
      </c>
      <c r="P202" s="146"/>
      <c r="Q202" s="144"/>
      <c r="R202" s="144"/>
      <c r="S202" s="144"/>
      <c r="T202" s="144"/>
      <c r="U202" s="133"/>
      <c r="V202" s="133"/>
      <c r="W202" s="133"/>
      <c r="X202" s="133"/>
      <c r="Y202" s="133"/>
      <c r="Z202" s="133"/>
      <c r="AA202" s="133"/>
    </row>
    <row r="203" spans="1:27" ht="135" customHeight="1" thickBot="1" x14ac:dyDescent="0.4">
      <c r="A203" s="135"/>
      <c r="B203" s="695" t="s">
        <v>1633</v>
      </c>
      <c r="C203" s="691"/>
      <c r="D203" s="157"/>
      <c r="E203" s="99">
        <v>0.1</v>
      </c>
      <c r="F203" s="101"/>
      <c r="G203" s="163"/>
      <c r="H203" s="120">
        <f>+AVERAGE(H204:H205)</f>
        <v>0.24264705882352941</v>
      </c>
      <c r="I203" s="120">
        <f>+I204+I205</f>
        <v>0.24044117647058824</v>
      </c>
      <c r="J203" s="144"/>
      <c r="K203" s="159">
        <f>+AVERAGE(K204:K205)</f>
        <v>1</v>
      </c>
      <c r="L203" s="159">
        <f>+(L204+L205)*E203</f>
        <v>0.1</v>
      </c>
      <c r="M203" s="120">
        <f>+AVERAGE(M204:M205)</f>
        <v>0.24264705882352941</v>
      </c>
      <c r="N203" s="121">
        <f>+(N204+N205)*E203</f>
        <v>2.4044117647058827E-2</v>
      </c>
      <c r="O203" s="160"/>
      <c r="P203" s="146"/>
      <c r="Q203" s="144"/>
      <c r="R203" s="144"/>
      <c r="S203" s="144"/>
      <c r="T203" s="144"/>
      <c r="U203" s="133"/>
      <c r="V203" s="133"/>
      <c r="W203" s="133"/>
      <c r="X203" s="133"/>
      <c r="Y203" s="133"/>
      <c r="Z203" s="133"/>
      <c r="AA203" s="133"/>
    </row>
    <row r="204" spans="1:27" ht="135" customHeight="1" thickBot="1" x14ac:dyDescent="0.4">
      <c r="A204" s="135"/>
      <c r="B204" s="168" t="s">
        <v>346</v>
      </c>
      <c r="C204" s="168" t="s">
        <v>347</v>
      </c>
      <c r="D204" s="162" t="s">
        <v>301</v>
      </c>
      <c r="E204" s="164">
        <v>0.65</v>
      </c>
      <c r="F204" s="101">
        <v>17</v>
      </c>
      <c r="G204" s="163">
        <v>4</v>
      </c>
      <c r="H204" s="185">
        <f>+G204/F204</f>
        <v>0.23529411764705882</v>
      </c>
      <c r="I204" s="164">
        <f>+(G204/F204)*E204</f>
        <v>0.15294117647058825</v>
      </c>
      <c r="J204" s="163">
        <v>4</v>
      </c>
      <c r="K204" s="164">
        <f>+(J204/G204)</f>
        <v>1</v>
      </c>
      <c r="L204" s="164">
        <f>+K204*E204</f>
        <v>0.65</v>
      </c>
      <c r="M204" s="164">
        <f>+J204/F204</f>
        <v>0.23529411764705882</v>
      </c>
      <c r="N204" s="165">
        <f>+M204*E204</f>
        <v>0.15294117647058825</v>
      </c>
      <c r="O204" s="166" t="s">
        <v>1862</v>
      </c>
      <c r="P204" s="146"/>
      <c r="Q204" s="144"/>
      <c r="R204" s="144"/>
      <c r="S204" s="144"/>
      <c r="T204" s="144"/>
      <c r="U204" s="133"/>
      <c r="V204" s="133"/>
      <c r="W204" s="133"/>
      <c r="X204" s="133"/>
      <c r="Y204" s="133"/>
      <c r="Z204" s="133"/>
      <c r="AA204" s="133"/>
    </row>
    <row r="205" spans="1:27" ht="135" customHeight="1" thickBot="1" x14ac:dyDescent="0.4">
      <c r="A205" s="135"/>
      <c r="B205" s="168" t="s">
        <v>348</v>
      </c>
      <c r="C205" s="168" t="s">
        <v>349</v>
      </c>
      <c r="D205" s="162" t="s">
        <v>301</v>
      </c>
      <c r="E205" s="164">
        <v>0.35</v>
      </c>
      <c r="F205" s="101">
        <v>4</v>
      </c>
      <c r="G205" s="163">
        <v>1</v>
      </c>
      <c r="H205" s="164">
        <f>+G205/F205</f>
        <v>0.25</v>
      </c>
      <c r="I205" s="164">
        <f>+(G205/F205)*E205</f>
        <v>8.7499999999999994E-2</v>
      </c>
      <c r="J205" s="163">
        <v>1</v>
      </c>
      <c r="K205" s="164">
        <f>+(J205/G205)</f>
        <v>1</v>
      </c>
      <c r="L205" s="164">
        <f>+K205*E205</f>
        <v>0.35</v>
      </c>
      <c r="M205" s="164">
        <f>+J205/F205</f>
        <v>0.25</v>
      </c>
      <c r="N205" s="165">
        <f>+M205*E205</f>
        <v>8.7499999999999994E-2</v>
      </c>
      <c r="O205" s="166" t="s">
        <v>1862</v>
      </c>
      <c r="P205" s="146"/>
      <c r="Q205" s="144"/>
      <c r="R205" s="144"/>
      <c r="S205" s="144"/>
      <c r="T205" s="144"/>
      <c r="U205" s="133"/>
      <c r="V205" s="133"/>
      <c r="W205" s="133"/>
      <c r="X205" s="133"/>
      <c r="Y205" s="133"/>
      <c r="Z205" s="133"/>
      <c r="AA205" s="133"/>
    </row>
    <row r="206" spans="1:27" ht="135" customHeight="1" thickBot="1" x14ac:dyDescent="0.4">
      <c r="A206" s="135"/>
      <c r="B206" s="695" t="s">
        <v>1635</v>
      </c>
      <c r="C206" s="691"/>
      <c r="D206" s="157"/>
      <c r="E206" s="99">
        <v>0.05</v>
      </c>
      <c r="F206" s="101"/>
      <c r="G206" s="163"/>
      <c r="H206" s="120">
        <f>+AVERAGE(H207:H208)</f>
        <v>0.20833333333333331</v>
      </c>
      <c r="I206" s="120">
        <f>+I207+I208</f>
        <v>0.2</v>
      </c>
      <c r="J206" s="144"/>
      <c r="K206" s="159">
        <f>+AVERAGE(K207:K208)</f>
        <v>0.53611111111111109</v>
      </c>
      <c r="L206" s="159">
        <f>+(L207+L208)*E206</f>
        <v>2.9944444444444447E-2</v>
      </c>
      <c r="M206" s="120">
        <f>+AVERAGE(M207:M208)</f>
        <v>9.8611111111111108E-2</v>
      </c>
      <c r="N206" s="121">
        <f>+(N207+N208)*E206</f>
        <v>5.3611111111111116E-3</v>
      </c>
      <c r="O206" s="160"/>
      <c r="P206" s="146"/>
      <c r="Q206" s="144"/>
      <c r="R206" s="144"/>
      <c r="S206" s="144"/>
      <c r="T206" s="144"/>
      <c r="U206" s="133"/>
      <c r="V206" s="133"/>
      <c r="W206" s="133"/>
      <c r="X206" s="133"/>
      <c r="Y206" s="133"/>
      <c r="Z206" s="133"/>
      <c r="AA206" s="133"/>
    </row>
    <row r="207" spans="1:27" ht="135" customHeight="1" thickBot="1" x14ac:dyDescent="0.4">
      <c r="A207" s="135"/>
      <c r="B207" s="168" t="s">
        <v>350</v>
      </c>
      <c r="C207" s="168" t="s">
        <v>351</v>
      </c>
      <c r="D207" s="162" t="s">
        <v>301</v>
      </c>
      <c r="E207" s="100">
        <v>0.6</v>
      </c>
      <c r="F207" s="101">
        <v>120</v>
      </c>
      <c r="G207" s="163">
        <v>20</v>
      </c>
      <c r="H207" s="164">
        <f>+G207/F207</f>
        <v>0.16666666666666666</v>
      </c>
      <c r="I207" s="164">
        <f>+(G207/F207)*E207</f>
        <v>9.9999999999999992E-2</v>
      </c>
      <c r="J207" s="163">
        <v>17</v>
      </c>
      <c r="K207" s="164">
        <f>+(J207/G207)</f>
        <v>0.85</v>
      </c>
      <c r="L207" s="164">
        <f>+K207*E207</f>
        <v>0.51</v>
      </c>
      <c r="M207" s="164">
        <f>+J207/F207</f>
        <v>0.14166666666666666</v>
      </c>
      <c r="N207" s="165">
        <f>+M207*E207</f>
        <v>8.4999999999999992E-2</v>
      </c>
      <c r="O207" s="166" t="s">
        <v>1862</v>
      </c>
      <c r="P207" s="146"/>
      <c r="Q207" s="144"/>
      <c r="R207" s="144"/>
      <c r="S207" s="144"/>
      <c r="T207" s="144"/>
      <c r="U207" s="133"/>
      <c r="V207" s="133"/>
      <c r="W207" s="133"/>
      <c r="X207" s="133"/>
      <c r="Y207" s="133"/>
      <c r="Z207" s="133"/>
      <c r="AA207" s="133"/>
    </row>
    <row r="208" spans="1:27" ht="135" customHeight="1" thickBot="1" x14ac:dyDescent="0.4">
      <c r="A208" s="135"/>
      <c r="B208" s="168" t="s">
        <v>352</v>
      </c>
      <c r="C208" s="168" t="s">
        <v>353</v>
      </c>
      <c r="D208" s="162" t="s">
        <v>301</v>
      </c>
      <c r="E208" s="100">
        <v>0.4</v>
      </c>
      <c r="F208" s="101">
        <v>72</v>
      </c>
      <c r="G208" s="163">
        <v>18</v>
      </c>
      <c r="H208" s="164">
        <f>+G208/F208</f>
        <v>0.25</v>
      </c>
      <c r="I208" s="164">
        <f>+(G208/F208)*E208</f>
        <v>0.1</v>
      </c>
      <c r="J208" s="163">
        <v>4</v>
      </c>
      <c r="K208" s="164">
        <f>+(J208/G208)</f>
        <v>0.22222222222222221</v>
      </c>
      <c r="L208" s="164">
        <f>+K208*E208</f>
        <v>8.8888888888888892E-2</v>
      </c>
      <c r="M208" s="164">
        <f>+J208/F208</f>
        <v>5.5555555555555552E-2</v>
      </c>
      <c r="N208" s="165">
        <f>+M208*E208</f>
        <v>2.2222222222222223E-2</v>
      </c>
      <c r="O208" s="166" t="s">
        <v>1862</v>
      </c>
      <c r="P208" s="146"/>
      <c r="Q208" s="144"/>
      <c r="R208" s="144"/>
      <c r="S208" s="144"/>
      <c r="T208" s="144"/>
      <c r="U208" s="133"/>
      <c r="V208" s="133"/>
      <c r="W208" s="133"/>
      <c r="X208" s="133"/>
      <c r="Y208" s="133"/>
      <c r="Z208" s="133"/>
      <c r="AA208" s="133"/>
    </row>
    <row r="209" spans="1:27" ht="135" customHeight="1" thickBot="1" x14ac:dyDescent="0.4">
      <c r="A209" s="135"/>
      <c r="B209" s="695" t="s">
        <v>1634</v>
      </c>
      <c r="C209" s="691"/>
      <c r="D209" s="157"/>
      <c r="E209" s="99">
        <v>0.1</v>
      </c>
      <c r="F209" s="101"/>
      <c r="G209" s="163"/>
      <c r="H209" s="120">
        <f>+AVERAGE(H210:H211)</f>
        <v>0.14262820512820512</v>
      </c>
      <c r="I209" s="120">
        <f>+I210+I211</f>
        <v>0.15576923076923077</v>
      </c>
      <c r="J209" s="144"/>
      <c r="K209" s="159">
        <f>+AVERAGE(K210:K211)</f>
        <v>1</v>
      </c>
      <c r="L209" s="159">
        <f>+(L210+L211)*E209</f>
        <v>0.1</v>
      </c>
      <c r="M209" s="120">
        <f>+AVERAGE(M210:M211)</f>
        <v>0.24038461538461539</v>
      </c>
      <c r="N209" s="121">
        <f>+(N210+N211)*E209</f>
        <v>2.4230769230769233E-2</v>
      </c>
      <c r="O209" s="160"/>
      <c r="P209" s="146"/>
      <c r="Q209" s="144"/>
      <c r="R209" s="144"/>
      <c r="S209" s="144"/>
      <c r="T209" s="144"/>
      <c r="U209" s="133"/>
      <c r="V209" s="133"/>
      <c r="W209" s="133"/>
      <c r="X209" s="133"/>
      <c r="Y209" s="133"/>
      <c r="Z209" s="133"/>
      <c r="AA209" s="133"/>
    </row>
    <row r="210" spans="1:27" ht="135" customHeight="1" thickBot="1" x14ac:dyDescent="0.4">
      <c r="A210" s="135"/>
      <c r="B210" s="161" t="s">
        <v>354</v>
      </c>
      <c r="C210" s="161" t="s">
        <v>355</v>
      </c>
      <c r="D210" s="198" t="s">
        <v>356</v>
      </c>
      <c r="E210" s="124">
        <v>0.4</v>
      </c>
      <c r="F210" s="101">
        <v>13</v>
      </c>
      <c r="G210" s="163">
        <v>1</v>
      </c>
      <c r="H210" s="164">
        <f>+G210/F210</f>
        <v>7.6923076923076927E-2</v>
      </c>
      <c r="I210" s="164">
        <f>+(G210/F210)*E210</f>
        <v>3.0769230769230771E-2</v>
      </c>
      <c r="J210" s="163">
        <v>3</v>
      </c>
      <c r="K210" s="164">
        <v>1</v>
      </c>
      <c r="L210" s="164">
        <f>+K210*E210</f>
        <v>0.4</v>
      </c>
      <c r="M210" s="164">
        <f>+J210/F210</f>
        <v>0.23076923076923078</v>
      </c>
      <c r="N210" s="165">
        <f>+M210*E210</f>
        <v>9.2307692307692313E-2</v>
      </c>
      <c r="O210" s="166" t="s">
        <v>1862</v>
      </c>
      <c r="P210" s="146"/>
      <c r="Q210" s="144"/>
      <c r="R210" s="144"/>
      <c r="S210" s="144"/>
      <c r="T210" s="144"/>
      <c r="U210" s="133"/>
      <c r="V210" s="133"/>
      <c r="W210" s="133"/>
      <c r="X210" s="133"/>
      <c r="Y210" s="133"/>
      <c r="Z210" s="133"/>
      <c r="AA210" s="133"/>
    </row>
    <row r="211" spans="1:27" ht="135" customHeight="1" thickBot="1" x14ac:dyDescent="0.4">
      <c r="A211" s="135"/>
      <c r="B211" s="161" t="s">
        <v>357</v>
      </c>
      <c r="C211" s="161" t="s">
        <v>358</v>
      </c>
      <c r="D211" s="198" t="s">
        <v>356</v>
      </c>
      <c r="E211" s="124">
        <v>0.6</v>
      </c>
      <c r="F211" s="101">
        <v>48</v>
      </c>
      <c r="G211" s="163">
        <v>10</v>
      </c>
      <c r="H211" s="164">
        <f>+G211/F211</f>
        <v>0.20833333333333334</v>
      </c>
      <c r="I211" s="164">
        <f>+(G211/F211)*E211</f>
        <v>0.125</v>
      </c>
      <c r="J211" s="163">
        <v>12</v>
      </c>
      <c r="K211" s="164">
        <v>1</v>
      </c>
      <c r="L211" s="164">
        <f>+K211*E211</f>
        <v>0.6</v>
      </c>
      <c r="M211" s="164">
        <f>+J211/F211</f>
        <v>0.25</v>
      </c>
      <c r="N211" s="165">
        <f>+M211*E211</f>
        <v>0.15</v>
      </c>
      <c r="O211" s="166" t="s">
        <v>1862</v>
      </c>
      <c r="P211" s="146"/>
      <c r="Q211" s="144"/>
      <c r="R211" s="144"/>
      <c r="S211" s="144"/>
      <c r="T211" s="144"/>
      <c r="U211" s="133"/>
      <c r="V211" s="133"/>
      <c r="W211" s="133"/>
      <c r="X211" s="133"/>
      <c r="Y211" s="133"/>
      <c r="Z211" s="133"/>
      <c r="AA211" s="133"/>
    </row>
    <row r="212" spans="1:27" ht="21" customHeight="1" thickBot="1" x14ac:dyDescent="0.4">
      <c r="A212" s="133"/>
      <c r="B212" s="133"/>
      <c r="C212" s="133"/>
      <c r="D212" s="133"/>
      <c r="E212" s="106"/>
      <c r="F212" s="106"/>
      <c r="G212" s="133"/>
      <c r="H212" s="133"/>
      <c r="I212" s="133"/>
      <c r="J212" s="133"/>
      <c r="K212" s="133"/>
      <c r="L212" s="133"/>
      <c r="M212" s="133"/>
      <c r="N212" s="133"/>
      <c r="O212" s="133"/>
      <c r="P212" s="133"/>
      <c r="Q212" s="133"/>
      <c r="R212" s="133"/>
      <c r="S212" s="133"/>
      <c r="T212" s="133"/>
      <c r="U212" s="133"/>
      <c r="V212" s="133"/>
      <c r="W212" s="133"/>
      <c r="X212" s="133"/>
      <c r="Y212" s="133"/>
      <c r="Z212" s="133"/>
      <c r="AA212" s="133"/>
    </row>
    <row r="213" spans="1:27" ht="21" customHeight="1" thickBot="1" x14ac:dyDescent="0.4">
      <c r="A213" s="133"/>
      <c r="B213" s="133"/>
      <c r="C213" s="133"/>
      <c r="D213" s="133"/>
      <c r="E213" s="106"/>
      <c r="F213" s="106"/>
      <c r="G213" s="133"/>
      <c r="H213" s="133"/>
      <c r="I213" s="133"/>
      <c r="J213" s="133"/>
      <c r="K213" s="133"/>
      <c r="L213" s="133"/>
      <c r="M213" s="133"/>
      <c r="N213" s="133"/>
      <c r="O213" s="133"/>
      <c r="P213" s="133"/>
      <c r="Q213" s="133"/>
      <c r="R213" s="133"/>
      <c r="S213" s="133"/>
      <c r="T213" s="133"/>
      <c r="U213" s="133"/>
      <c r="V213" s="133"/>
      <c r="W213" s="133"/>
      <c r="X213" s="133"/>
      <c r="Y213" s="133"/>
      <c r="Z213" s="133"/>
      <c r="AA213" s="133"/>
    </row>
    <row r="214" spans="1:27" ht="21" customHeight="1" thickBot="1" x14ac:dyDescent="0.4">
      <c r="A214" s="133"/>
      <c r="B214" s="199"/>
      <c r="C214" s="133"/>
      <c r="D214" s="133"/>
      <c r="E214" s="106"/>
      <c r="F214" s="106"/>
      <c r="G214" s="133"/>
      <c r="H214" s="133"/>
      <c r="I214" s="133"/>
      <c r="J214" s="133"/>
      <c r="K214" s="133"/>
      <c r="L214" s="133"/>
      <c r="M214" s="133"/>
      <c r="N214" s="133"/>
      <c r="O214" s="133"/>
      <c r="P214" s="133"/>
      <c r="Q214" s="133"/>
      <c r="R214" s="133"/>
      <c r="S214" s="133"/>
      <c r="T214" s="133"/>
      <c r="U214" s="133"/>
      <c r="V214" s="133"/>
      <c r="W214" s="133"/>
      <c r="X214" s="133"/>
      <c r="Y214" s="133"/>
      <c r="Z214" s="133"/>
      <c r="AA214" s="133"/>
    </row>
    <row r="215" spans="1:27" ht="21" customHeight="1" thickBot="1" x14ac:dyDescent="0.4">
      <c r="A215" s="133"/>
      <c r="B215" s="133"/>
      <c r="C215" s="133"/>
      <c r="D215" s="133"/>
      <c r="E215" s="106"/>
      <c r="F215" s="106"/>
      <c r="G215" s="133"/>
      <c r="H215" s="133"/>
      <c r="I215" s="133"/>
      <c r="J215" s="133"/>
      <c r="K215" s="133"/>
      <c r="L215" s="133"/>
      <c r="M215" s="133"/>
      <c r="N215" s="133"/>
      <c r="O215" s="133"/>
      <c r="P215" s="133"/>
      <c r="Q215" s="133"/>
      <c r="R215" s="133"/>
      <c r="S215" s="133"/>
      <c r="T215" s="133"/>
      <c r="U215" s="133"/>
      <c r="V215" s="133"/>
      <c r="W215" s="133"/>
      <c r="X215" s="133"/>
      <c r="Y215" s="133"/>
      <c r="Z215" s="133"/>
      <c r="AA215" s="133"/>
    </row>
    <row r="216" spans="1:27" ht="21" customHeight="1" thickBot="1" x14ac:dyDescent="0.4">
      <c r="A216" s="133"/>
      <c r="B216" s="133"/>
      <c r="C216" s="133"/>
      <c r="D216" s="133"/>
      <c r="E216" s="106"/>
      <c r="F216" s="106"/>
      <c r="G216" s="133"/>
      <c r="H216" s="133"/>
      <c r="I216" s="133"/>
      <c r="J216" s="133"/>
      <c r="K216" s="133"/>
      <c r="L216" s="133"/>
      <c r="M216" s="133"/>
      <c r="N216" s="133"/>
      <c r="O216" s="133"/>
      <c r="P216" s="133"/>
      <c r="Q216" s="133"/>
      <c r="R216" s="133"/>
      <c r="S216" s="133"/>
      <c r="T216" s="133"/>
      <c r="U216" s="133"/>
      <c r="V216" s="133"/>
      <c r="W216" s="133"/>
      <c r="X216" s="133"/>
      <c r="Y216" s="133"/>
      <c r="Z216" s="133"/>
      <c r="AA216" s="133"/>
    </row>
    <row r="217" spans="1:27" ht="21" customHeight="1" thickBot="1" x14ac:dyDescent="0.4">
      <c r="A217" s="133"/>
      <c r="B217" s="133"/>
      <c r="C217" s="133"/>
      <c r="D217" s="133"/>
      <c r="E217" s="106"/>
      <c r="F217" s="106"/>
      <c r="G217" s="133"/>
      <c r="H217" s="133"/>
      <c r="I217" s="133"/>
      <c r="J217" s="133"/>
      <c r="K217" s="133"/>
      <c r="L217" s="133"/>
      <c r="M217" s="133"/>
      <c r="N217" s="133"/>
      <c r="O217" s="133"/>
      <c r="P217" s="133"/>
      <c r="Q217" s="133"/>
      <c r="R217" s="133"/>
      <c r="S217" s="133"/>
      <c r="T217" s="133"/>
      <c r="U217" s="133"/>
      <c r="V217" s="133"/>
      <c r="W217" s="133"/>
      <c r="X217" s="133"/>
      <c r="Y217" s="133"/>
      <c r="Z217" s="133"/>
      <c r="AA217" s="133"/>
    </row>
    <row r="218" spans="1:27" ht="21" customHeight="1" thickBot="1" x14ac:dyDescent="0.4">
      <c r="A218" s="133"/>
      <c r="B218" s="133"/>
      <c r="C218" s="133"/>
      <c r="D218" s="133"/>
      <c r="E218" s="106"/>
      <c r="F218" s="106"/>
      <c r="G218" s="133"/>
      <c r="H218" s="133"/>
      <c r="I218" s="133"/>
      <c r="J218" s="133"/>
      <c r="K218" s="133"/>
      <c r="L218" s="133"/>
      <c r="M218" s="133"/>
      <c r="N218" s="133"/>
      <c r="O218" s="133"/>
      <c r="P218" s="133"/>
      <c r="Q218" s="133"/>
      <c r="R218" s="133"/>
      <c r="S218" s="133"/>
      <c r="T218" s="133"/>
      <c r="U218" s="133"/>
      <c r="V218" s="133"/>
      <c r="W218" s="133"/>
      <c r="X218" s="133"/>
      <c r="Y218" s="133"/>
      <c r="Z218" s="133"/>
      <c r="AA218" s="133"/>
    </row>
    <row r="219" spans="1:27" ht="21" customHeight="1" thickBot="1" x14ac:dyDescent="0.4">
      <c r="A219" s="133"/>
      <c r="B219" s="133"/>
      <c r="C219" s="133"/>
      <c r="D219" s="133"/>
      <c r="E219" s="106"/>
      <c r="F219" s="106"/>
      <c r="G219" s="133"/>
      <c r="H219" s="133"/>
      <c r="I219" s="133"/>
      <c r="J219" s="133"/>
      <c r="K219" s="133"/>
      <c r="L219" s="133"/>
      <c r="M219" s="133"/>
      <c r="N219" s="133"/>
      <c r="O219" s="133"/>
      <c r="P219" s="133"/>
      <c r="Q219" s="133"/>
      <c r="R219" s="133"/>
      <c r="S219" s="133"/>
      <c r="T219" s="133"/>
      <c r="U219" s="133"/>
      <c r="V219" s="133"/>
      <c r="W219" s="133"/>
      <c r="X219" s="133"/>
      <c r="Y219" s="133"/>
      <c r="Z219" s="133"/>
      <c r="AA219" s="133"/>
    </row>
    <row r="220" spans="1:27" ht="21" customHeight="1" thickBot="1" x14ac:dyDescent="0.4">
      <c r="A220" s="133"/>
      <c r="B220" s="133"/>
      <c r="C220" s="133"/>
      <c r="D220" s="133"/>
      <c r="E220" s="106"/>
      <c r="F220" s="106"/>
      <c r="G220" s="133"/>
      <c r="H220" s="133"/>
      <c r="I220" s="133"/>
      <c r="J220" s="133"/>
      <c r="K220" s="133"/>
      <c r="L220" s="133"/>
      <c r="M220" s="133"/>
      <c r="N220" s="133"/>
      <c r="O220" s="133"/>
      <c r="P220" s="133"/>
      <c r="Q220" s="133"/>
      <c r="R220" s="133"/>
      <c r="S220" s="133"/>
      <c r="T220" s="133"/>
      <c r="U220" s="133"/>
      <c r="V220" s="133"/>
      <c r="W220" s="133"/>
      <c r="X220" s="133"/>
      <c r="Y220" s="133"/>
      <c r="Z220" s="133"/>
      <c r="AA220" s="133"/>
    </row>
    <row r="221" spans="1:27" ht="21" customHeight="1" thickBot="1" x14ac:dyDescent="0.4">
      <c r="A221" s="133"/>
      <c r="B221" s="133"/>
      <c r="C221" s="133"/>
      <c r="D221" s="133"/>
      <c r="E221" s="106"/>
      <c r="F221" s="106"/>
      <c r="G221" s="133"/>
      <c r="H221" s="133"/>
      <c r="I221" s="133"/>
      <c r="J221" s="133"/>
      <c r="K221" s="133"/>
      <c r="L221" s="133"/>
      <c r="M221" s="133"/>
      <c r="N221" s="133"/>
      <c r="O221" s="133"/>
      <c r="P221" s="133"/>
      <c r="Q221" s="133"/>
      <c r="R221" s="133"/>
      <c r="S221" s="133"/>
      <c r="T221" s="133"/>
      <c r="U221" s="133"/>
      <c r="V221" s="133"/>
      <c r="W221" s="133"/>
      <c r="X221" s="133"/>
      <c r="Y221" s="133"/>
      <c r="Z221" s="133"/>
      <c r="AA221" s="133"/>
    </row>
    <row r="222" spans="1:27" ht="21" customHeight="1" thickBot="1" x14ac:dyDescent="0.4">
      <c r="A222" s="133"/>
      <c r="B222" s="133"/>
      <c r="C222" s="133"/>
      <c r="D222" s="133"/>
      <c r="E222" s="106"/>
      <c r="F222" s="106"/>
      <c r="G222" s="133"/>
      <c r="H222" s="133"/>
      <c r="I222" s="133"/>
      <c r="J222" s="133"/>
      <c r="K222" s="133"/>
      <c r="L222" s="133"/>
      <c r="M222" s="133"/>
      <c r="N222" s="133"/>
      <c r="O222" s="133"/>
      <c r="P222" s="133"/>
      <c r="Q222" s="133"/>
      <c r="R222" s="133"/>
      <c r="S222" s="133"/>
      <c r="T222" s="133"/>
      <c r="U222" s="133"/>
      <c r="V222" s="133"/>
      <c r="W222" s="133"/>
      <c r="X222" s="133"/>
      <c r="Y222" s="133"/>
      <c r="Z222" s="133"/>
      <c r="AA222" s="133"/>
    </row>
    <row r="223" spans="1:27" ht="21" customHeight="1" thickBot="1" x14ac:dyDescent="0.4">
      <c r="A223" s="133"/>
      <c r="B223" s="133"/>
      <c r="C223" s="133"/>
      <c r="D223" s="133"/>
      <c r="E223" s="106"/>
      <c r="F223" s="106"/>
      <c r="G223" s="133"/>
      <c r="H223" s="133"/>
      <c r="I223" s="133"/>
      <c r="J223" s="133"/>
      <c r="K223" s="133"/>
      <c r="L223" s="133"/>
      <c r="M223" s="133"/>
      <c r="N223" s="133"/>
      <c r="O223" s="133"/>
      <c r="P223" s="133"/>
      <c r="Q223" s="133"/>
      <c r="R223" s="133"/>
      <c r="S223" s="133"/>
      <c r="T223" s="133"/>
      <c r="U223" s="133"/>
      <c r="V223" s="133"/>
      <c r="W223" s="133"/>
      <c r="X223" s="133"/>
      <c r="Y223" s="133"/>
      <c r="Z223" s="133"/>
      <c r="AA223" s="133"/>
    </row>
    <row r="224" spans="1:27" ht="21" customHeight="1" thickBot="1" x14ac:dyDescent="0.4">
      <c r="A224" s="133"/>
      <c r="B224" s="133"/>
      <c r="C224" s="133"/>
      <c r="D224" s="133"/>
      <c r="E224" s="106"/>
      <c r="F224" s="106"/>
      <c r="G224" s="133"/>
      <c r="H224" s="133"/>
      <c r="I224" s="133"/>
      <c r="J224" s="133"/>
      <c r="K224" s="133"/>
      <c r="L224" s="133"/>
      <c r="M224" s="133"/>
      <c r="N224" s="133"/>
      <c r="O224" s="133"/>
      <c r="P224" s="133"/>
      <c r="Q224" s="133"/>
      <c r="R224" s="133"/>
      <c r="S224" s="133"/>
      <c r="T224" s="133"/>
      <c r="U224" s="133"/>
      <c r="V224" s="133"/>
      <c r="W224" s="133"/>
      <c r="X224" s="133"/>
      <c r="Y224" s="133"/>
      <c r="Z224" s="133"/>
      <c r="AA224" s="133"/>
    </row>
    <row r="225" spans="1:27" ht="21" customHeight="1" thickBot="1" x14ac:dyDescent="0.4">
      <c r="A225" s="133"/>
      <c r="B225" s="133"/>
      <c r="C225" s="133"/>
      <c r="D225" s="133"/>
      <c r="E225" s="106"/>
      <c r="F225" s="106"/>
      <c r="G225" s="133"/>
      <c r="H225" s="133"/>
      <c r="I225" s="133"/>
      <c r="J225" s="133"/>
      <c r="K225" s="133"/>
      <c r="L225" s="133"/>
      <c r="M225" s="133"/>
      <c r="N225" s="133"/>
      <c r="O225" s="133"/>
      <c r="P225" s="133"/>
      <c r="Q225" s="133"/>
      <c r="R225" s="133"/>
      <c r="S225" s="133"/>
      <c r="T225" s="133"/>
      <c r="U225" s="133"/>
      <c r="V225" s="133"/>
      <c r="W225" s="133"/>
      <c r="X225" s="133"/>
      <c r="Y225" s="133"/>
      <c r="Z225" s="133"/>
      <c r="AA225" s="133"/>
    </row>
    <row r="226" spans="1:27" ht="21" customHeight="1" thickBot="1" x14ac:dyDescent="0.4">
      <c r="A226" s="133"/>
      <c r="B226" s="133"/>
      <c r="C226" s="133"/>
      <c r="D226" s="133"/>
      <c r="E226" s="106"/>
      <c r="F226" s="106"/>
      <c r="G226" s="133"/>
      <c r="H226" s="133"/>
      <c r="I226" s="133"/>
      <c r="J226" s="133"/>
      <c r="K226" s="133"/>
      <c r="L226" s="133"/>
      <c r="M226" s="133"/>
      <c r="N226" s="133"/>
      <c r="O226" s="133"/>
      <c r="P226" s="133"/>
      <c r="Q226" s="133"/>
      <c r="R226" s="133"/>
      <c r="S226" s="133"/>
      <c r="T226" s="133"/>
      <c r="U226" s="133"/>
      <c r="V226" s="133"/>
      <c r="W226" s="133"/>
      <c r="X226" s="133"/>
      <c r="Y226" s="133"/>
      <c r="Z226" s="133"/>
      <c r="AA226" s="133"/>
    </row>
    <row r="227" spans="1:27" ht="21" customHeight="1" thickBot="1" x14ac:dyDescent="0.4">
      <c r="A227" s="133"/>
      <c r="B227" s="133"/>
      <c r="C227" s="133"/>
      <c r="D227" s="133"/>
      <c r="E227" s="106"/>
      <c r="F227" s="106"/>
      <c r="G227" s="133"/>
      <c r="H227" s="133"/>
      <c r="I227" s="133"/>
      <c r="J227" s="133"/>
      <c r="K227" s="133"/>
      <c r="L227" s="133"/>
      <c r="M227" s="133"/>
      <c r="N227" s="133"/>
      <c r="O227" s="133"/>
      <c r="P227" s="133"/>
      <c r="Q227" s="133"/>
      <c r="R227" s="133"/>
      <c r="S227" s="133"/>
      <c r="T227" s="133"/>
      <c r="U227" s="133"/>
      <c r="V227" s="133"/>
      <c r="W227" s="133"/>
      <c r="X227" s="133"/>
      <c r="Y227" s="133"/>
      <c r="Z227" s="133"/>
      <c r="AA227" s="133"/>
    </row>
    <row r="228" spans="1:27" ht="21" customHeight="1" thickBot="1" x14ac:dyDescent="0.4">
      <c r="A228" s="133"/>
      <c r="B228" s="133"/>
      <c r="C228" s="133"/>
      <c r="D228" s="133"/>
      <c r="E228" s="106"/>
      <c r="F228" s="106"/>
      <c r="G228" s="133"/>
      <c r="H228" s="133"/>
      <c r="I228" s="133"/>
      <c r="J228" s="133"/>
      <c r="K228" s="133"/>
      <c r="L228" s="133"/>
      <c r="M228" s="133"/>
      <c r="N228" s="133"/>
      <c r="O228" s="133"/>
      <c r="P228" s="133"/>
      <c r="Q228" s="133"/>
      <c r="R228" s="133"/>
      <c r="S228" s="133"/>
      <c r="T228" s="133"/>
      <c r="U228" s="133"/>
      <c r="V228" s="133"/>
      <c r="W228" s="133"/>
      <c r="X228" s="133"/>
      <c r="Y228" s="133"/>
      <c r="Z228" s="133"/>
      <c r="AA228" s="133"/>
    </row>
    <row r="229" spans="1:27" ht="21" customHeight="1" thickBot="1" x14ac:dyDescent="0.4">
      <c r="A229" s="133"/>
      <c r="B229" s="133"/>
      <c r="C229" s="133"/>
      <c r="D229" s="133"/>
      <c r="E229" s="106"/>
      <c r="F229" s="106"/>
      <c r="G229" s="133"/>
      <c r="H229" s="133"/>
      <c r="I229" s="133"/>
      <c r="J229" s="133"/>
      <c r="K229" s="133"/>
      <c r="L229" s="133"/>
      <c r="M229" s="133"/>
      <c r="N229" s="133"/>
      <c r="O229" s="133"/>
      <c r="P229" s="133"/>
      <c r="Q229" s="133"/>
      <c r="R229" s="133"/>
      <c r="S229" s="133"/>
      <c r="T229" s="133"/>
      <c r="U229" s="133"/>
      <c r="V229" s="133"/>
      <c r="W229" s="133"/>
      <c r="X229" s="133"/>
      <c r="Y229" s="133"/>
      <c r="Z229" s="133"/>
      <c r="AA229" s="133"/>
    </row>
    <row r="230" spans="1:27" ht="21" customHeight="1" thickBot="1" x14ac:dyDescent="0.4">
      <c r="A230" s="133"/>
      <c r="B230" s="133"/>
      <c r="C230" s="133"/>
      <c r="D230" s="133"/>
      <c r="E230" s="106"/>
      <c r="F230" s="106"/>
      <c r="G230" s="133"/>
      <c r="H230" s="133"/>
      <c r="I230" s="133"/>
      <c r="J230" s="133"/>
      <c r="K230" s="133"/>
      <c r="L230" s="133"/>
      <c r="M230" s="133"/>
      <c r="N230" s="133"/>
      <c r="O230" s="133"/>
      <c r="P230" s="133"/>
      <c r="Q230" s="133"/>
      <c r="R230" s="133"/>
      <c r="S230" s="133"/>
      <c r="T230" s="133"/>
      <c r="U230" s="133"/>
      <c r="V230" s="133"/>
      <c r="W230" s="133"/>
      <c r="X230" s="133"/>
      <c r="Y230" s="133"/>
      <c r="Z230" s="133"/>
      <c r="AA230" s="133"/>
    </row>
    <row r="231" spans="1:27" ht="21" customHeight="1" thickBot="1" x14ac:dyDescent="0.4">
      <c r="A231" s="133"/>
      <c r="B231" s="133"/>
      <c r="C231" s="133"/>
      <c r="D231" s="133"/>
      <c r="E231" s="106"/>
      <c r="F231" s="106"/>
      <c r="G231" s="133"/>
      <c r="H231" s="133"/>
      <c r="I231" s="133"/>
      <c r="J231" s="133"/>
      <c r="K231" s="133"/>
      <c r="L231" s="133"/>
      <c r="M231" s="133"/>
      <c r="N231" s="133"/>
      <c r="O231" s="133"/>
      <c r="P231" s="133"/>
      <c r="Q231" s="133"/>
      <c r="R231" s="133"/>
      <c r="S231" s="133"/>
      <c r="T231" s="133"/>
      <c r="U231" s="133"/>
      <c r="V231" s="133"/>
      <c r="W231" s="133"/>
      <c r="X231" s="133"/>
      <c r="Y231" s="133"/>
      <c r="Z231" s="133"/>
      <c r="AA231" s="133"/>
    </row>
    <row r="232" spans="1:27" ht="21" customHeight="1" thickBot="1" x14ac:dyDescent="0.4">
      <c r="A232" s="133"/>
      <c r="B232" s="133"/>
      <c r="C232" s="133"/>
      <c r="D232" s="133"/>
      <c r="E232" s="106"/>
      <c r="F232" s="106"/>
      <c r="G232" s="133"/>
      <c r="H232" s="133"/>
      <c r="I232" s="133"/>
      <c r="J232" s="133"/>
      <c r="K232" s="133"/>
      <c r="L232" s="133"/>
      <c r="M232" s="133"/>
      <c r="N232" s="133"/>
      <c r="O232" s="133"/>
      <c r="P232" s="133"/>
      <c r="Q232" s="133"/>
      <c r="R232" s="133"/>
      <c r="S232" s="133"/>
      <c r="T232" s="133"/>
      <c r="U232" s="133"/>
      <c r="V232" s="133"/>
      <c r="W232" s="133"/>
      <c r="X232" s="133"/>
      <c r="Y232" s="133"/>
      <c r="Z232" s="133"/>
      <c r="AA232" s="133"/>
    </row>
    <row r="233" spans="1:27" ht="21" customHeight="1" thickBot="1" x14ac:dyDescent="0.4">
      <c r="A233" s="133"/>
      <c r="B233" s="133"/>
      <c r="C233" s="133"/>
      <c r="D233" s="133"/>
      <c r="E233" s="106"/>
      <c r="F233" s="106"/>
      <c r="G233" s="133"/>
      <c r="H233" s="133"/>
      <c r="I233" s="133"/>
      <c r="J233" s="133"/>
      <c r="K233" s="133"/>
      <c r="L233" s="133"/>
      <c r="M233" s="133"/>
      <c r="N233" s="133"/>
      <c r="O233" s="133"/>
      <c r="P233" s="133"/>
      <c r="Q233" s="133"/>
      <c r="R233" s="133"/>
      <c r="S233" s="133"/>
      <c r="T233" s="133"/>
      <c r="U233" s="133"/>
      <c r="V233" s="133"/>
      <c r="W233" s="133"/>
      <c r="X233" s="133"/>
      <c r="Y233" s="133"/>
      <c r="Z233" s="133"/>
      <c r="AA233" s="133"/>
    </row>
    <row r="234" spans="1:27" ht="21" customHeight="1" thickBot="1" x14ac:dyDescent="0.4">
      <c r="A234" s="133"/>
      <c r="B234" s="133"/>
      <c r="C234" s="133"/>
      <c r="D234" s="133"/>
      <c r="E234" s="106"/>
      <c r="F234" s="106"/>
      <c r="G234" s="133"/>
      <c r="H234" s="133"/>
      <c r="I234" s="133"/>
      <c r="J234" s="133"/>
      <c r="K234" s="133"/>
      <c r="L234" s="133"/>
      <c r="M234" s="133"/>
      <c r="N234" s="133"/>
      <c r="O234" s="133"/>
      <c r="P234" s="133"/>
      <c r="Q234" s="133"/>
      <c r="R234" s="133"/>
      <c r="S234" s="133"/>
      <c r="T234" s="133"/>
      <c r="U234" s="133"/>
      <c r="V234" s="133"/>
      <c r="W234" s="133"/>
      <c r="X234" s="133"/>
      <c r="Y234" s="133"/>
      <c r="Z234" s="133"/>
      <c r="AA234" s="133"/>
    </row>
    <row r="235" spans="1:27" ht="21" customHeight="1" thickBot="1" x14ac:dyDescent="0.4">
      <c r="A235" s="133"/>
      <c r="B235" s="133"/>
      <c r="C235" s="133"/>
      <c r="D235" s="133"/>
      <c r="E235" s="106"/>
      <c r="F235" s="106"/>
      <c r="G235" s="133"/>
      <c r="H235" s="133"/>
      <c r="I235" s="133"/>
      <c r="J235" s="133"/>
      <c r="K235" s="133"/>
      <c r="L235" s="133"/>
      <c r="M235" s="133"/>
      <c r="N235" s="133"/>
      <c r="O235" s="133"/>
      <c r="P235" s="133"/>
      <c r="Q235" s="133"/>
      <c r="R235" s="133"/>
      <c r="S235" s="133"/>
      <c r="T235" s="133"/>
      <c r="U235" s="133"/>
      <c r="V235" s="133"/>
      <c r="W235" s="133"/>
      <c r="X235" s="133"/>
      <c r="Y235" s="133"/>
      <c r="Z235" s="133"/>
      <c r="AA235" s="133"/>
    </row>
    <row r="236" spans="1:27" ht="21" customHeight="1" thickBot="1" x14ac:dyDescent="0.4">
      <c r="A236" s="133"/>
      <c r="B236" s="133"/>
      <c r="C236" s="133"/>
      <c r="D236" s="133"/>
      <c r="E236" s="106"/>
      <c r="F236" s="106"/>
      <c r="G236" s="133"/>
      <c r="H236" s="133"/>
      <c r="I236" s="133"/>
      <c r="J236" s="133"/>
      <c r="K236" s="133"/>
      <c r="L236" s="133"/>
      <c r="M236" s="133"/>
      <c r="N236" s="133"/>
      <c r="O236" s="133"/>
      <c r="P236" s="133"/>
      <c r="Q236" s="133"/>
      <c r="R236" s="133"/>
      <c r="S236" s="133"/>
      <c r="T236" s="133"/>
      <c r="U236" s="133"/>
      <c r="V236" s="133"/>
      <c r="W236" s="133"/>
      <c r="X236" s="133"/>
      <c r="Y236" s="133"/>
      <c r="Z236" s="133"/>
      <c r="AA236" s="133"/>
    </row>
    <row r="237" spans="1:27" ht="21" customHeight="1" thickBot="1" x14ac:dyDescent="0.4">
      <c r="A237" s="133"/>
      <c r="B237" s="133"/>
      <c r="C237" s="133"/>
      <c r="D237" s="133"/>
      <c r="E237" s="106"/>
      <c r="F237" s="106"/>
      <c r="G237" s="133"/>
      <c r="H237" s="133"/>
      <c r="I237" s="133"/>
      <c r="J237" s="133"/>
      <c r="K237" s="133"/>
      <c r="L237" s="133"/>
      <c r="M237" s="133"/>
      <c r="N237" s="133"/>
      <c r="O237" s="133"/>
      <c r="P237" s="133"/>
      <c r="Q237" s="133"/>
      <c r="R237" s="133"/>
      <c r="S237" s="133"/>
      <c r="T237" s="133"/>
      <c r="U237" s="133"/>
      <c r="V237" s="133"/>
      <c r="W237" s="133"/>
      <c r="X237" s="133"/>
      <c r="Y237" s="133"/>
      <c r="Z237" s="133"/>
      <c r="AA237" s="133"/>
    </row>
    <row r="238" spans="1:27" ht="21" customHeight="1" thickBot="1" x14ac:dyDescent="0.4">
      <c r="A238" s="133"/>
      <c r="B238" s="133"/>
      <c r="C238" s="133"/>
      <c r="D238" s="133"/>
      <c r="E238" s="106"/>
      <c r="F238" s="106"/>
      <c r="G238" s="133"/>
      <c r="H238" s="133"/>
      <c r="I238" s="133"/>
      <c r="J238" s="133"/>
      <c r="K238" s="133"/>
      <c r="L238" s="133"/>
      <c r="M238" s="133"/>
      <c r="N238" s="133"/>
      <c r="O238" s="133"/>
      <c r="P238" s="133"/>
      <c r="Q238" s="133"/>
      <c r="R238" s="133"/>
      <c r="S238" s="133"/>
      <c r="T238" s="133"/>
      <c r="U238" s="133"/>
      <c r="V238" s="133"/>
      <c r="W238" s="133"/>
      <c r="X238" s="133"/>
      <c r="Y238" s="133"/>
      <c r="Z238" s="133"/>
      <c r="AA238" s="133"/>
    </row>
    <row r="239" spans="1:27" ht="21" customHeight="1" thickBot="1" x14ac:dyDescent="0.4">
      <c r="A239" s="133"/>
      <c r="B239" s="133"/>
      <c r="C239" s="133"/>
      <c r="D239" s="133"/>
      <c r="E239" s="106"/>
      <c r="F239" s="106"/>
      <c r="G239" s="133"/>
      <c r="H239" s="133"/>
      <c r="I239" s="133"/>
      <c r="J239" s="133"/>
      <c r="K239" s="133"/>
      <c r="L239" s="133"/>
      <c r="M239" s="133"/>
      <c r="N239" s="133"/>
      <c r="O239" s="133"/>
      <c r="P239" s="133"/>
      <c r="Q239" s="133"/>
      <c r="R239" s="133"/>
      <c r="S239" s="133"/>
      <c r="T239" s="133"/>
      <c r="U239" s="133"/>
      <c r="V239" s="133"/>
      <c r="W239" s="133"/>
      <c r="X239" s="133"/>
      <c r="Y239" s="133"/>
      <c r="Z239" s="133"/>
      <c r="AA239" s="133"/>
    </row>
    <row r="240" spans="1:27" ht="21" customHeight="1" thickBot="1" x14ac:dyDescent="0.4">
      <c r="A240" s="133"/>
      <c r="B240" s="133"/>
      <c r="C240" s="133"/>
      <c r="D240" s="133"/>
      <c r="E240" s="106"/>
      <c r="F240" s="106"/>
      <c r="G240" s="133"/>
      <c r="H240" s="133"/>
      <c r="I240" s="133"/>
      <c r="J240" s="133"/>
      <c r="K240" s="133"/>
      <c r="L240" s="133"/>
      <c r="M240" s="133"/>
      <c r="N240" s="133"/>
      <c r="O240" s="133"/>
      <c r="P240" s="133"/>
      <c r="Q240" s="133"/>
      <c r="R240" s="133"/>
      <c r="S240" s="133"/>
      <c r="T240" s="133"/>
      <c r="U240" s="133"/>
      <c r="V240" s="133"/>
      <c r="W240" s="133"/>
      <c r="X240" s="133"/>
      <c r="Y240" s="133"/>
      <c r="Z240" s="133"/>
      <c r="AA240" s="133"/>
    </row>
    <row r="241" spans="1:27" ht="21" customHeight="1" thickBot="1" x14ac:dyDescent="0.4">
      <c r="A241" s="133"/>
      <c r="B241" s="133"/>
      <c r="C241" s="133"/>
      <c r="D241" s="133"/>
      <c r="E241" s="106"/>
      <c r="F241" s="106"/>
      <c r="G241" s="133"/>
      <c r="H241" s="133"/>
      <c r="I241" s="133"/>
      <c r="J241" s="133"/>
      <c r="K241" s="133"/>
      <c r="L241" s="133"/>
      <c r="M241" s="133"/>
      <c r="N241" s="133"/>
      <c r="O241" s="133"/>
      <c r="P241" s="133"/>
      <c r="Q241" s="133"/>
      <c r="R241" s="133"/>
      <c r="S241" s="133"/>
      <c r="T241" s="133"/>
      <c r="U241" s="133"/>
      <c r="V241" s="133"/>
      <c r="W241" s="133"/>
      <c r="X241" s="133"/>
      <c r="Y241" s="133"/>
      <c r="Z241" s="133"/>
      <c r="AA241" s="133"/>
    </row>
    <row r="242" spans="1:27" ht="21" customHeight="1" thickBot="1" x14ac:dyDescent="0.4">
      <c r="A242" s="133"/>
      <c r="B242" s="133"/>
      <c r="C242" s="133"/>
      <c r="D242" s="133"/>
      <c r="E242" s="106"/>
      <c r="F242" s="106"/>
      <c r="G242" s="133"/>
      <c r="H242" s="133"/>
      <c r="I242" s="133"/>
      <c r="J242" s="133"/>
      <c r="K242" s="133"/>
      <c r="L242" s="133"/>
      <c r="M242" s="133"/>
      <c r="N242" s="133"/>
      <c r="O242" s="133"/>
      <c r="P242" s="133"/>
      <c r="Q242" s="133"/>
      <c r="R242" s="133"/>
      <c r="S242" s="133"/>
      <c r="T242" s="133"/>
      <c r="U242" s="133"/>
      <c r="V242" s="133"/>
      <c r="W242" s="133"/>
      <c r="X242" s="133"/>
      <c r="Y242" s="133"/>
      <c r="Z242" s="133"/>
      <c r="AA242" s="133"/>
    </row>
    <row r="243" spans="1:27" ht="21" customHeight="1" thickBot="1" x14ac:dyDescent="0.4">
      <c r="A243" s="133"/>
      <c r="B243" s="133"/>
      <c r="C243" s="133"/>
      <c r="D243" s="133"/>
      <c r="E243" s="106"/>
      <c r="F243" s="106"/>
      <c r="G243" s="133"/>
      <c r="H243" s="133"/>
      <c r="I243" s="133"/>
      <c r="J243" s="133"/>
      <c r="K243" s="133"/>
      <c r="L243" s="133"/>
      <c r="M243" s="133"/>
      <c r="N243" s="133"/>
      <c r="O243" s="133"/>
      <c r="P243" s="133"/>
      <c r="Q243" s="133"/>
      <c r="R243" s="133"/>
      <c r="S243" s="133"/>
      <c r="T243" s="133"/>
      <c r="U243" s="133"/>
      <c r="V243" s="133"/>
      <c r="W243" s="133"/>
      <c r="X243" s="133"/>
      <c r="Y243" s="133"/>
      <c r="Z243" s="133"/>
      <c r="AA243" s="133"/>
    </row>
    <row r="244" spans="1:27" ht="21" customHeight="1" thickBot="1" x14ac:dyDescent="0.4">
      <c r="A244" s="133"/>
      <c r="B244" s="133"/>
      <c r="C244" s="133"/>
      <c r="D244" s="133"/>
      <c r="E244" s="106"/>
      <c r="F244" s="106"/>
      <c r="G244" s="133"/>
      <c r="H244" s="133"/>
      <c r="I244" s="133"/>
      <c r="J244" s="133"/>
      <c r="K244" s="133"/>
      <c r="L244" s="133"/>
      <c r="M244" s="133"/>
      <c r="N244" s="133"/>
      <c r="O244" s="133"/>
      <c r="P244" s="133"/>
      <c r="Q244" s="133"/>
      <c r="R244" s="133"/>
      <c r="S244" s="133"/>
      <c r="T244" s="133"/>
      <c r="U244" s="133"/>
      <c r="V244" s="133"/>
      <c r="W244" s="133"/>
      <c r="X244" s="133"/>
      <c r="Y244" s="133"/>
      <c r="Z244" s="133"/>
      <c r="AA244" s="133"/>
    </row>
    <row r="245" spans="1:27" ht="21" customHeight="1" thickBot="1" x14ac:dyDescent="0.4">
      <c r="A245" s="133"/>
      <c r="B245" s="133"/>
      <c r="C245" s="133"/>
      <c r="D245" s="133"/>
      <c r="E245" s="106"/>
      <c r="F245" s="106"/>
      <c r="G245" s="133"/>
      <c r="H245" s="133"/>
      <c r="I245" s="133"/>
      <c r="J245" s="133"/>
      <c r="K245" s="133"/>
      <c r="L245" s="133"/>
      <c r="M245" s="133"/>
      <c r="N245" s="133"/>
      <c r="O245" s="133"/>
      <c r="P245" s="133"/>
      <c r="Q245" s="133"/>
      <c r="R245" s="133"/>
      <c r="S245" s="133"/>
      <c r="T245" s="133"/>
      <c r="U245" s="133"/>
      <c r="V245" s="133"/>
      <c r="W245" s="133"/>
      <c r="X245" s="133"/>
      <c r="Y245" s="133"/>
      <c r="Z245" s="133"/>
      <c r="AA245" s="133"/>
    </row>
    <row r="246" spans="1:27" ht="21" customHeight="1" thickBot="1" x14ac:dyDescent="0.4">
      <c r="A246" s="133"/>
      <c r="B246" s="133"/>
      <c r="C246" s="133"/>
      <c r="D246" s="133"/>
      <c r="E246" s="106"/>
      <c r="F246" s="106"/>
      <c r="G246" s="133"/>
      <c r="H246" s="133"/>
      <c r="I246" s="133"/>
      <c r="J246" s="133"/>
      <c r="K246" s="133"/>
      <c r="L246" s="133"/>
      <c r="M246" s="133"/>
      <c r="N246" s="133"/>
      <c r="O246" s="133"/>
      <c r="P246" s="133"/>
      <c r="Q246" s="133"/>
      <c r="R246" s="133"/>
      <c r="S246" s="133"/>
      <c r="T246" s="133"/>
      <c r="U246" s="133"/>
      <c r="V246" s="133"/>
      <c r="W246" s="133"/>
      <c r="X246" s="133"/>
      <c r="Y246" s="133"/>
      <c r="Z246" s="133"/>
      <c r="AA246" s="133"/>
    </row>
    <row r="247" spans="1:27" ht="21" customHeight="1" thickBot="1" x14ac:dyDescent="0.4">
      <c r="A247" s="133"/>
      <c r="B247" s="133"/>
      <c r="C247" s="133"/>
      <c r="D247" s="133"/>
      <c r="E247" s="106"/>
      <c r="F247" s="106"/>
      <c r="G247" s="133"/>
      <c r="H247" s="133"/>
      <c r="I247" s="133"/>
      <c r="J247" s="133"/>
      <c r="K247" s="133"/>
      <c r="L247" s="133"/>
      <c r="M247" s="133"/>
      <c r="N247" s="133"/>
      <c r="O247" s="133"/>
      <c r="P247" s="133"/>
      <c r="Q247" s="133"/>
      <c r="R247" s="133"/>
      <c r="S247" s="133"/>
      <c r="T247" s="133"/>
      <c r="U247" s="133"/>
      <c r="V247" s="133"/>
      <c r="W247" s="133"/>
      <c r="X247" s="133"/>
      <c r="Y247" s="133"/>
      <c r="Z247" s="133"/>
      <c r="AA247" s="133"/>
    </row>
    <row r="248" spans="1:27" ht="21" customHeight="1" thickBot="1" x14ac:dyDescent="0.4">
      <c r="A248" s="133"/>
      <c r="B248" s="133"/>
      <c r="C248" s="133"/>
      <c r="D248" s="133"/>
      <c r="E248" s="106"/>
      <c r="F248" s="106"/>
      <c r="G248" s="133"/>
      <c r="H248" s="133"/>
      <c r="I248" s="133"/>
      <c r="J248" s="133"/>
      <c r="K248" s="133"/>
      <c r="L248" s="133"/>
      <c r="M248" s="133"/>
      <c r="N248" s="133"/>
      <c r="O248" s="133"/>
      <c r="P248" s="133"/>
      <c r="Q248" s="133"/>
      <c r="R248" s="133"/>
      <c r="S248" s="133"/>
      <c r="T248" s="133"/>
      <c r="U248" s="133"/>
      <c r="V248" s="133"/>
      <c r="W248" s="133"/>
      <c r="X248" s="133"/>
      <c r="Y248" s="133"/>
      <c r="Z248" s="133"/>
      <c r="AA248" s="133"/>
    </row>
    <row r="249" spans="1:27" ht="21" customHeight="1" thickBot="1" x14ac:dyDescent="0.4">
      <c r="A249" s="133"/>
      <c r="B249" s="133"/>
      <c r="C249" s="133"/>
      <c r="D249" s="133"/>
      <c r="E249" s="106"/>
      <c r="F249" s="106"/>
      <c r="G249" s="133"/>
      <c r="H249" s="133"/>
      <c r="I249" s="133"/>
      <c r="J249" s="133"/>
      <c r="K249" s="133"/>
      <c r="L249" s="133"/>
      <c r="M249" s="133"/>
      <c r="N249" s="133"/>
      <c r="O249" s="133"/>
      <c r="P249" s="133"/>
      <c r="Q249" s="133"/>
      <c r="R249" s="133"/>
      <c r="S249" s="133"/>
      <c r="T249" s="133"/>
      <c r="U249" s="133"/>
      <c r="V249" s="133"/>
      <c r="W249" s="133"/>
      <c r="X249" s="133"/>
      <c r="Y249" s="133"/>
      <c r="Z249" s="133"/>
      <c r="AA249" s="133"/>
    </row>
    <row r="250" spans="1:27" ht="21" customHeight="1" thickBot="1" x14ac:dyDescent="0.4">
      <c r="A250" s="133"/>
      <c r="B250" s="133"/>
      <c r="C250" s="133"/>
      <c r="D250" s="133"/>
      <c r="E250" s="106"/>
      <c r="F250" s="106"/>
      <c r="G250" s="133"/>
      <c r="H250" s="133"/>
      <c r="I250" s="133"/>
      <c r="J250" s="133"/>
      <c r="K250" s="133"/>
      <c r="L250" s="133"/>
      <c r="M250" s="133"/>
      <c r="N250" s="133"/>
      <c r="O250" s="133"/>
      <c r="P250" s="133"/>
      <c r="Q250" s="133"/>
      <c r="R250" s="133"/>
      <c r="S250" s="133"/>
      <c r="T250" s="133"/>
      <c r="U250" s="133"/>
      <c r="V250" s="133"/>
      <c r="W250" s="133"/>
      <c r="X250" s="133"/>
      <c r="Y250" s="133"/>
      <c r="Z250" s="133"/>
      <c r="AA250" s="133"/>
    </row>
    <row r="251" spans="1:27" ht="21" customHeight="1" thickBot="1" x14ac:dyDescent="0.4">
      <c r="A251" s="133"/>
      <c r="B251" s="133"/>
      <c r="C251" s="133"/>
      <c r="D251" s="133"/>
      <c r="E251" s="106"/>
      <c r="F251" s="106"/>
      <c r="G251" s="133"/>
      <c r="H251" s="133"/>
      <c r="I251" s="133"/>
      <c r="J251" s="133"/>
      <c r="K251" s="133"/>
      <c r="L251" s="133"/>
      <c r="M251" s="133"/>
      <c r="N251" s="133"/>
      <c r="O251" s="133"/>
      <c r="P251" s="133"/>
      <c r="Q251" s="133"/>
      <c r="R251" s="133"/>
      <c r="S251" s="133"/>
      <c r="T251" s="133"/>
      <c r="U251" s="133"/>
      <c r="V251" s="133"/>
      <c r="W251" s="133"/>
      <c r="X251" s="133"/>
      <c r="Y251" s="133"/>
      <c r="Z251" s="133"/>
      <c r="AA251" s="133"/>
    </row>
    <row r="252" spans="1:27" ht="21" customHeight="1" thickBot="1" x14ac:dyDescent="0.4">
      <c r="A252" s="133"/>
      <c r="B252" s="133"/>
      <c r="C252" s="133"/>
      <c r="D252" s="133"/>
      <c r="E252" s="106"/>
      <c r="F252" s="106"/>
      <c r="G252" s="133"/>
      <c r="H252" s="133"/>
      <c r="I252" s="133"/>
      <c r="J252" s="133"/>
      <c r="K252" s="133"/>
      <c r="L252" s="133"/>
      <c r="M252" s="133"/>
      <c r="N252" s="133"/>
      <c r="O252" s="133"/>
      <c r="P252" s="133"/>
      <c r="Q252" s="133"/>
      <c r="R252" s="133"/>
      <c r="S252" s="133"/>
      <c r="T252" s="133"/>
      <c r="U252" s="133"/>
      <c r="V252" s="133"/>
      <c r="W252" s="133"/>
      <c r="X252" s="133"/>
      <c r="Y252" s="133"/>
      <c r="Z252" s="133"/>
      <c r="AA252" s="133"/>
    </row>
    <row r="253" spans="1:27" ht="21" customHeight="1" thickBot="1" x14ac:dyDescent="0.4">
      <c r="A253" s="133"/>
      <c r="B253" s="133"/>
      <c r="C253" s="133"/>
      <c r="D253" s="133"/>
      <c r="E253" s="106"/>
      <c r="F253" s="106"/>
      <c r="G253" s="133"/>
      <c r="H253" s="133"/>
      <c r="I253" s="133"/>
      <c r="J253" s="133"/>
      <c r="K253" s="133"/>
      <c r="L253" s="133"/>
      <c r="M253" s="133"/>
      <c r="N253" s="133"/>
      <c r="O253" s="133"/>
      <c r="P253" s="133"/>
      <c r="Q253" s="133"/>
      <c r="R253" s="133"/>
      <c r="S253" s="133"/>
      <c r="T253" s="133"/>
      <c r="U253" s="133"/>
      <c r="V253" s="133"/>
      <c r="W253" s="133"/>
      <c r="X253" s="133"/>
      <c r="Y253" s="133"/>
      <c r="Z253" s="133"/>
      <c r="AA253" s="133"/>
    </row>
    <row r="254" spans="1:27" ht="21" customHeight="1" thickBot="1" x14ac:dyDescent="0.4">
      <c r="A254" s="133"/>
      <c r="B254" s="133"/>
      <c r="C254" s="133"/>
      <c r="D254" s="133"/>
      <c r="E254" s="106"/>
      <c r="F254" s="106"/>
      <c r="G254" s="133"/>
      <c r="H254" s="133"/>
      <c r="I254" s="133"/>
      <c r="J254" s="133"/>
      <c r="K254" s="133"/>
      <c r="L254" s="133"/>
      <c r="M254" s="133"/>
      <c r="N254" s="133"/>
      <c r="O254" s="133"/>
      <c r="P254" s="133"/>
      <c r="Q254" s="133"/>
      <c r="R254" s="133"/>
      <c r="S254" s="133"/>
      <c r="T254" s="133"/>
      <c r="U254" s="133"/>
      <c r="V254" s="133"/>
      <c r="W254" s="133"/>
      <c r="X254" s="133"/>
      <c r="Y254" s="133"/>
      <c r="Z254" s="133"/>
      <c r="AA254" s="133"/>
    </row>
    <row r="255" spans="1:27" ht="21" customHeight="1" thickBot="1" x14ac:dyDescent="0.4">
      <c r="A255" s="133"/>
      <c r="B255" s="133"/>
      <c r="C255" s="133"/>
      <c r="D255" s="133"/>
      <c r="E255" s="106"/>
      <c r="F255" s="106"/>
      <c r="G255" s="133"/>
      <c r="H255" s="133"/>
      <c r="I255" s="133"/>
      <c r="J255" s="133"/>
      <c r="K255" s="133"/>
      <c r="L255" s="133"/>
      <c r="M255" s="133"/>
      <c r="N255" s="133"/>
      <c r="O255" s="133"/>
      <c r="P255" s="133"/>
      <c r="Q255" s="133"/>
      <c r="R255" s="133"/>
      <c r="S255" s="133"/>
      <c r="T255" s="133"/>
      <c r="U255" s="133"/>
      <c r="V255" s="133"/>
      <c r="W255" s="133"/>
      <c r="X255" s="133"/>
      <c r="Y255" s="133"/>
      <c r="Z255" s="133"/>
      <c r="AA255" s="133"/>
    </row>
    <row r="256" spans="1:27" ht="21" customHeight="1" thickBot="1" x14ac:dyDescent="0.4">
      <c r="A256" s="133"/>
      <c r="B256" s="133"/>
      <c r="C256" s="133"/>
      <c r="D256" s="133"/>
      <c r="E256" s="106"/>
      <c r="F256" s="106"/>
      <c r="G256" s="133"/>
      <c r="H256" s="133"/>
      <c r="I256" s="133"/>
      <c r="J256" s="133"/>
      <c r="K256" s="133"/>
      <c r="L256" s="133"/>
      <c r="M256" s="133"/>
      <c r="N256" s="133"/>
      <c r="O256" s="133"/>
      <c r="P256" s="133"/>
      <c r="Q256" s="133"/>
      <c r="R256" s="133"/>
      <c r="S256" s="133"/>
      <c r="T256" s="133"/>
      <c r="U256" s="133"/>
      <c r="V256" s="133"/>
      <c r="W256" s="133"/>
      <c r="X256" s="133"/>
      <c r="Y256" s="133"/>
      <c r="Z256" s="133"/>
      <c r="AA256" s="133"/>
    </row>
    <row r="257" spans="1:27" ht="21" customHeight="1" thickBot="1" x14ac:dyDescent="0.4">
      <c r="A257" s="133"/>
      <c r="B257" s="133"/>
      <c r="C257" s="133"/>
      <c r="D257" s="133"/>
      <c r="E257" s="106"/>
      <c r="F257" s="106"/>
      <c r="G257" s="133"/>
      <c r="H257" s="133"/>
      <c r="I257" s="133"/>
      <c r="J257" s="133"/>
      <c r="K257" s="133"/>
      <c r="L257" s="133"/>
      <c r="M257" s="133"/>
      <c r="N257" s="133"/>
      <c r="O257" s="133"/>
      <c r="P257" s="133"/>
      <c r="Q257" s="133"/>
      <c r="R257" s="133"/>
      <c r="S257" s="133"/>
      <c r="T257" s="133"/>
      <c r="U257" s="133"/>
      <c r="V257" s="133"/>
      <c r="W257" s="133"/>
      <c r="X257" s="133"/>
      <c r="Y257" s="133"/>
      <c r="Z257" s="133"/>
      <c r="AA257" s="133"/>
    </row>
    <row r="258" spans="1:27" ht="21" customHeight="1" thickBot="1" x14ac:dyDescent="0.4">
      <c r="A258" s="133"/>
      <c r="B258" s="133"/>
      <c r="C258" s="133"/>
      <c r="D258" s="133"/>
      <c r="E258" s="106"/>
      <c r="F258" s="106"/>
      <c r="G258" s="133"/>
      <c r="H258" s="133"/>
      <c r="I258" s="133"/>
      <c r="J258" s="133"/>
      <c r="K258" s="133"/>
      <c r="L258" s="133"/>
      <c r="M258" s="133"/>
      <c r="N258" s="133"/>
      <c r="O258" s="133"/>
      <c r="P258" s="133"/>
      <c r="Q258" s="133"/>
      <c r="R258" s="133"/>
      <c r="S258" s="133"/>
      <c r="T258" s="133"/>
      <c r="U258" s="133"/>
      <c r="V258" s="133"/>
      <c r="W258" s="133"/>
      <c r="X258" s="133"/>
      <c r="Y258" s="133"/>
      <c r="Z258" s="133"/>
      <c r="AA258" s="133"/>
    </row>
    <row r="259" spans="1:27" ht="21" customHeight="1" thickBot="1" x14ac:dyDescent="0.4">
      <c r="A259" s="133"/>
      <c r="B259" s="133"/>
      <c r="C259" s="133"/>
      <c r="D259" s="133"/>
      <c r="E259" s="106"/>
      <c r="F259" s="106"/>
      <c r="G259" s="133"/>
      <c r="H259" s="133"/>
      <c r="I259" s="133"/>
      <c r="J259" s="133"/>
      <c r="K259" s="133"/>
      <c r="L259" s="133"/>
      <c r="M259" s="133"/>
      <c r="N259" s="133"/>
      <c r="O259" s="133"/>
      <c r="P259" s="133"/>
      <c r="Q259" s="133"/>
      <c r="R259" s="133"/>
      <c r="S259" s="133"/>
      <c r="T259" s="133"/>
      <c r="U259" s="133"/>
      <c r="V259" s="133"/>
      <c r="W259" s="133"/>
      <c r="X259" s="133"/>
      <c r="Y259" s="133"/>
      <c r="Z259" s="133"/>
      <c r="AA259" s="133"/>
    </row>
    <row r="260" spans="1:27" ht="21" customHeight="1" thickBot="1" x14ac:dyDescent="0.4">
      <c r="A260" s="133"/>
      <c r="B260" s="133"/>
      <c r="C260" s="133"/>
      <c r="D260" s="133"/>
      <c r="E260" s="106"/>
      <c r="F260" s="106"/>
      <c r="G260" s="133"/>
      <c r="H260" s="133"/>
      <c r="I260" s="133"/>
      <c r="J260" s="133"/>
      <c r="K260" s="133"/>
      <c r="L260" s="133"/>
      <c r="M260" s="133"/>
      <c r="N260" s="133"/>
      <c r="O260" s="133"/>
      <c r="P260" s="133"/>
      <c r="Q260" s="133"/>
      <c r="R260" s="133"/>
      <c r="S260" s="133"/>
      <c r="T260" s="133"/>
      <c r="U260" s="133"/>
      <c r="V260" s="133"/>
      <c r="W260" s="133"/>
      <c r="X260" s="133"/>
      <c r="Y260" s="133"/>
      <c r="Z260" s="133"/>
      <c r="AA260" s="133"/>
    </row>
    <row r="261" spans="1:27" ht="21" customHeight="1" thickBot="1" x14ac:dyDescent="0.4">
      <c r="A261" s="133"/>
      <c r="B261" s="133"/>
      <c r="C261" s="133"/>
      <c r="D261" s="133"/>
      <c r="E261" s="106"/>
      <c r="F261" s="106"/>
      <c r="G261" s="133"/>
      <c r="H261" s="133"/>
      <c r="I261" s="133"/>
      <c r="J261" s="133"/>
      <c r="K261" s="133"/>
      <c r="L261" s="133"/>
      <c r="M261" s="133"/>
      <c r="N261" s="133"/>
      <c r="O261" s="133"/>
      <c r="P261" s="133"/>
      <c r="Q261" s="133"/>
      <c r="R261" s="133"/>
      <c r="S261" s="133"/>
      <c r="T261" s="133"/>
      <c r="U261" s="133"/>
      <c r="V261" s="133"/>
      <c r="W261" s="133"/>
      <c r="X261" s="133"/>
      <c r="Y261" s="133"/>
      <c r="Z261" s="133"/>
      <c r="AA261" s="133"/>
    </row>
    <row r="262" spans="1:27" ht="21" customHeight="1" thickBot="1" x14ac:dyDescent="0.4">
      <c r="A262" s="133"/>
      <c r="B262" s="133"/>
      <c r="C262" s="133"/>
      <c r="D262" s="133"/>
      <c r="E262" s="106"/>
      <c r="F262" s="106"/>
      <c r="G262" s="133"/>
      <c r="H262" s="133"/>
      <c r="I262" s="133"/>
      <c r="J262" s="133"/>
      <c r="K262" s="133"/>
      <c r="L262" s="133"/>
      <c r="M262" s="133"/>
      <c r="N262" s="133"/>
      <c r="O262" s="133"/>
      <c r="P262" s="133"/>
      <c r="Q262" s="133"/>
      <c r="R262" s="133"/>
      <c r="S262" s="133"/>
      <c r="T262" s="133"/>
      <c r="U262" s="133"/>
      <c r="V262" s="133"/>
      <c r="W262" s="133"/>
      <c r="X262" s="133"/>
      <c r="Y262" s="133"/>
      <c r="Z262" s="133"/>
      <c r="AA262" s="133"/>
    </row>
    <row r="263" spans="1:27" ht="21" customHeight="1" thickBot="1" x14ac:dyDescent="0.4">
      <c r="A263" s="133"/>
      <c r="B263" s="133"/>
      <c r="C263" s="133"/>
      <c r="D263" s="133"/>
      <c r="E263" s="106"/>
      <c r="F263" s="106"/>
      <c r="G263" s="133"/>
      <c r="H263" s="133"/>
      <c r="I263" s="133"/>
      <c r="J263" s="133"/>
      <c r="K263" s="133"/>
      <c r="L263" s="133"/>
      <c r="M263" s="133"/>
      <c r="N263" s="133"/>
      <c r="O263" s="133"/>
      <c r="P263" s="133"/>
      <c r="Q263" s="133"/>
      <c r="R263" s="133"/>
      <c r="S263" s="133"/>
      <c r="T263" s="133"/>
      <c r="U263" s="133"/>
      <c r="V263" s="133"/>
      <c r="W263" s="133"/>
      <c r="X263" s="133"/>
      <c r="Y263" s="133"/>
      <c r="Z263" s="133"/>
      <c r="AA263" s="133"/>
    </row>
    <row r="264" spans="1:27" ht="21" customHeight="1" thickBot="1" x14ac:dyDescent="0.4">
      <c r="A264" s="133"/>
      <c r="B264" s="133"/>
      <c r="C264" s="133"/>
      <c r="D264" s="133"/>
      <c r="E264" s="106"/>
      <c r="F264" s="106"/>
      <c r="G264" s="133"/>
      <c r="H264" s="133"/>
      <c r="I264" s="133"/>
      <c r="J264" s="133"/>
      <c r="K264" s="133"/>
      <c r="L264" s="133"/>
      <c r="M264" s="133"/>
      <c r="N264" s="133"/>
      <c r="O264" s="133"/>
      <c r="P264" s="133"/>
      <c r="Q264" s="133"/>
      <c r="R264" s="133"/>
      <c r="S264" s="133"/>
      <c r="T264" s="133"/>
      <c r="U264" s="133"/>
      <c r="V264" s="133"/>
      <c r="W264" s="133"/>
      <c r="X264" s="133"/>
      <c r="Y264" s="133"/>
      <c r="Z264" s="133"/>
      <c r="AA264" s="133"/>
    </row>
    <row r="265" spans="1:27" ht="21" customHeight="1" thickBot="1" x14ac:dyDescent="0.4">
      <c r="A265" s="133"/>
      <c r="B265" s="133"/>
      <c r="C265" s="133"/>
      <c r="D265" s="133"/>
      <c r="E265" s="106"/>
      <c r="F265" s="106"/>
      <c r="G265" s="133"/>
      <c r="H265" s="133"/>
      <c r="I265" s="133"/>
      <c r="J265" s="133"/>
      <c r="K265" s="133"/>
      <c r="L265" s="133"/>
      <c r="M265" s="133"/>
      <c r="N265" s="133"/>
      <c r="O265" s="133"/>
      <c r="P265" s="133"/>
      <c r="Q265" s="133"/>
      <c r="R265" s="133"/>
      <c r="S265" s="133"/>
      <c r="T265" s="133"/>
      <c r="U265" s="133"/>
      <c r="V265" s="133"/>
      <c r="W265" s="133"/>
      <c r="X265" s="133"/>
      <c r="Y265" s="133"/>
      <c r="Z265" s="133"/>
      <c r="AA265" s="133"/>
    </row>
    <row r="266" spans="1:27" ht="21" customHeight="1" thickBot="1" x14ac:dyDescent="0.4">
      <c r="A266" s="133"/>
      <c r="B266" s="133"/>
      <c r="C266" s="133"/>
      <c r="D266" s="133"/>
      <c r="E266" s="106"/>
      <c r="F266" s="106"/>
      <c r="G266" s="133"/>
      <c r="H266" s="133"/>
      <c r="I266" s="133"/>
      <c r="J266" s="133"/>
      <c r="K266" s="133"/>
      <c r="L266" s="133"/>
      <c r="M266" s="133"/>
      <c r="N266" s="133"/>
      <c r="O266" s="133"/>
      <c r="P266" s="133"/>
      <c r="Q266" s="133"/>
      <c r="R266" s="133"/>
      <c r="S266" s="133"/>
      <c r="T266" s="133"/>
      <c r="U266" s="133"/>
      <c r="V266" s="133"/>
      <c r="W266" s="133"/>
      <c r="X266" s="133"/>
      <c r="Y266" s="133"/>
      <c r="Z266" s="133"/>
      <c r="AA266" s="133"/>
    </row>
    <row r="267" spans="1:27" ht="21" customHeight="1" thickBot="1" x14ac:dyDescent="0.4">
      <c r="A267" s="133"/>
      <c r="B267" s="133"/>
      <c r="C267" s="133"/>
      <c r="D267" s="133"/>
      <c r="E267" s="106"/>
      <c r="F267" s="106"/>
      <c r="G267" s="133"/>
      <c r="H267" s="133"/>
      <c r="I267" s="133"/>
      <c r="J267" s="133"/>
      <c r="K267" s="133"/>
      <c r="L267" s="133"/>
      <c r="M267" s="133"/>
      <c r="N267" s="133"/>
      <c r="O267" s="133"/>
      <c r="P267" s="133"/>
      <c r="Q267" s="133"/>
      <c r="R267" s="133"/>
      <c r="S267" s="133"/>
      <c r="T267" s="133"/>
      <c r="U267" s="133"/>
      <c r="V267" s="133"/>
      <c r="W267" s="133"/>
      <c r="X267" s="133"/>
      <c r="Y267" s="133"/>
      <c r="Z267" s="133"/>
      <c r="AA267" s="133"/>
    </row>
    <row r="268" spans="1:27" ht="21" customHeight="1" thickBot="1" x14ac:dyDescent="0.4">
      <c r="A268" s="133"/>
      <c r="B268" s="133"/>
      <c r="C268" s="133"/>
      <c r="D268" s="133"/>
      <c r="E268" s="106"/>
      <c r="F268" s="106"/>
      <c r="G268" s="133"/>
      <c r="H268" s="133"/>
      <c r="I268" s="133"/>
      <c r="J268" s="133"/>
      <c r="K268" s="133"/>
      <c r="L268" s="133"/>
      <c r="M268" s="133"/>
      <c r="N268" s="133"/>
      <c r="O268" s="133"/>
      <c r="P268" s="133"/>
      <c r="Q268" s="133"/>
      <c r="R268" s="133"/>
      <c r="S268" s="133"/>
      <c r="T268" s="133"/>
      <c r="U268" s="133"/>
      <c r="V268" s="133"/>
      <c r="W268" s="133"/>
      <c r="X268" s="133"/>
      <c r="Y268" s="133"/>
      <c r="Z268" s="133"/>
      <c r="AA268" s="133"/>
    </row>
    <row r="269" spans="1:27" ht="21" customHeight="1" thickBot="1" x14ac:dyDescent="0.4">
      <c r="A269" s="133"/>
      <c r="B269" s="133"/>
      <c r="C269" s="133"/>
      <c r="D269" s="133"/>
      <c r="E269" s="106"/>
      <c r="F269" s="106"/>
      <c r="G269" s="133"/>
      <c r="H269" s="133"/>
      <c r="I269" s="133"/>
      <c r="J269" s="133"/>
      <c r="K269" s="133"/>
      <c r="L269" s="133"/>
      <c r="M269" s="133"/>
      <c r="N269" s="133"/>
      <c r="O269" s="133"/>
      <c r="P269" s="133"/>
      <c r="Q269" s="133"/>
      <c r="R269" s="133"/>
      <c r="S269" s="133"/>
      <c r="T269" s="133"/>
      <c r="U269" s="133"/>
      <c r="V269" s="133"/>
      <c r="W269" s="133"/>
      <c r="X269" s="133"/>
      <c r="Y269" s="133"/>
      <c r="Z269" s="133"/>
      <c r="AA269" s="133"/>
    </row>
    <row r="270" spans="1:27" ht="21" customHeight="1" thickBot="1" x14ac:dyDescent="0.4">
      <c r="A270" s="133"/>
      <c r="B270" s="133"/>
      <c r="C270" s="133"/>
      <c r="D270" s="133"/>
      <c r="E270" s="106"/>
      <c r="F270" s="106"/>
      <c r="G270" s="133"/>
      <c r="H270" s="133"/>
      <c r="I270" s="133"/>
      <c r="J270" s="133"/>
      <c r="K270" s="133"/>
      <c r="L270" s="133"/>
      <c r="M270" s="133"/>
      <c r="N270" s="133"/>
      <c r="O270" s="133"/>
      <c r="P270" s="133"/>
      <c r="Q270" s="133"/>
      <c r="R270" s="133"/>
      <c r="S270" s="133"/>
      <c r="T270" s="133"/>
      <c r="U270" s="133"/>
      <c r="V270" s="133"/>
      <c r="W270" s="133"/>
      <c r="X270" s="133"/>
      <c r="Y270" s="133"/>
      <c r="Z270" s="133"/>
      <c r="AA270" s="133"/>
    </row>
    <row r="271" spans="1:27" ht="21" customHeight="1" thickBot="1" x14ac:dyDescent="0.4">
      <c r="A271" s="133"/>
      <c r="B271" s="133"/>
      <c r="C271" s="133"/>
      <c r="D271" s="133"/>
      <c r="E271" s="106"/>
      <c r="F271" s="106"/>
      <c r="G271" s="133"/>
      <c r="H271" s="133"/>
      <c r="I271" s="133"/>
      <c r="J271" s="133"/>
      <c r="K271" s="133"/>
      <c r="L271" s="133"/>
      <c r="M271" s="133"/>
      <c r="N271" s="133"/>
      <c r="O271" s="133"/>
      <c r="P271" s="133"/>
      <c r="Q271" s="133"/>
      <c r="R271" s="133"/>
      <c r="S271" s="133"/>
      <c r="T271" s="133"/>
      <c r="U271" s="133"/>
      <c r="V271" s="133"/>
      <c r="W271" s="133"/>
      <c r="X271" s="133"/>
      <c r="Y271" s="133"/>
      <c r="Z271" s="133"/>
      <c r="AA271" s="133"/>
    </row>
    <row r="272" spans="1:27" ht="21" customHeight="1" thickBot="1" x14ac:dyDescent="0.4">
      <c r="A272" s="133"/>
      <c r="B272" s="133"/>
      <c r="C272" s="133"/>
      <c r="D272" s="133"/>
      <c r="E272" s="106"/>
      <c r="F272" s="106"/>
      <c r="G272" s="133"/>
      <c r="H272" s="133"/>
      <c r="I272" s="133"/>
      <c r="J272" s="133"/>
      <c r="K272" s="133"/>
      <c r="L272" s="133"/>
      <c r="M272" s="133"/>
      <c r="N272" s="200"/>
      <c r="O272" s="131"/>
      <c r="P272" s="201"/>
      <c r="Q272" s="133"/>
      <c r="R272" s="133"/>
      <c r="S272" s="133"/>
      <c r="T272" s="133"/>
      <c r="U272" s="133"/>
      <c r="V272" s="133"/>
      <c r="W272" s="133"/>
      <c r="X272" s="133"/>
      <c r="Y272" s="133"/>
      <c r="Z272" s="133"/>
      <c r="AA272" s="133"/>
    </row>
    <row r="273" spans="1:27" ht="21" customHeight="1" thickBot="1" x14ac:dyDescent="0.4">
      <c r="A273" s="133"/>
      <c r="B273" s="133"/>
      <c r="C273" s="133"/>
      <c r="D273" s="133"/>
      <c r="E273" s="106"/>
      <c r="F273" s="106"/>
      <c r="G273" s="133"/>
      <c r="H273" s="133"/>
      <c r="I273" s="133"/>
      <c r="J273" s="133"/>
      <c r="K273" s="133"/>
      <c r="L273" s="133"/>
      <c r="M273" s="133"/>
      <c r="N273" s="200"/>
      <c r="O273" s="131"/>
      <c r="P273" s="201"/>
      <c r="Q273" s="133"/>
      <c r="R273" s="133"/>
      <c r="S273" s="133"/>
      <c r="T273" s="133"/>
      <c r="U273" s="133"/>
      <c r="V273" s="133"/>
      <c r="W273" s="133"/>
      <c r="X273" s="133"/>
      <c r="Y273" s="133"/>
      <c r="Z273" s="133"/>
      <c r="AA273" s="133"/>
    </row>
    <row r="274" spans="1:27" ht="21" customHeight="1" thickBot="1" x14ac:dyDescent="0.4">
      <c r="A274" s="133"/>
      <c r="B274" s="133"/>
      <c r="C274" s="133"/>
      <c r="D274" s="133"/>
      <c r="E274" s="106"/>
      <c r="F274" s="106"/>
      <c r="G274" s="133"/>
      <c r="H274" s="133"/>
      <c r="I274" s="133"/>
      <c r="J274" s="133"/>
      <c r="K274" s="133"/>
      <c r="L274" s="133"/>
      <c r="M274" s="133"/>
      <c r="N274" s="200"/>
      <c r="O274" s="131"/>
      <c r="P274" s="201"/>
      <c r="Q274" s="133"/>
      <c r="R274" s="133"/>
      <c r="S274" s="133"/>
      <c r="T274" s="133"/>
      <c r="U274" s="133"/>
      <c r="V274" s="133"/>
      <c r="W274" s="133"/>
      <c r="X274" s="133"/>
      <c r="Y274" s="133"/>
      <c r="Z274" s="133"/>
      <c r="AA274" s="133"/>
    </row>
    <row r="275" spans="1:27" ht="21" customHeight="1" thickBot="1" x14ac:dyDescent="0.4">
      <c r="A275" s="133"/>
      <c r="B275" s="133"/>
      <c r="C275" s="133"/>
      <c r="D275" s="133"/>
      <c r="E275" s="106"/>
      <c r="F275" s="106"/>
      <c r="G275" s="133"/>
      <c r="H275" s="133"/>
      <c r="I275" s="133"/>
      <c r="J275" s="133"/>
      <c r="K275" s="133"/>
      <c r="L275" s="133"/>
      <c r="M275" s="133"/>
      <c r="N275" s="200"/>
      <c r="O275" s="131"/>
      <c r="P275" s="201"/>
      <c r="Q275" s="133"/>
      <c r="R275" s="133"/>
      <c r="S275" s="133"/>
      <c r="T275" s="133"/>
      <c r="U275" s="133"/>
      <c r="V275" s="133"/>
      <c r="W275" s="133"/>
      <c r="X275" s="133"/>
      <c r="Y275" s="133"/>
      <c r="Z275" s="133"/>
      <c r="AA275" s="133"/>
    </row>
    <row r="276" spans="1:27" ht="21" customHeight="1" thickBot="1" x14ac:dyDescent="0.4">
      <c r="A276" s="133"/>
      <c r="B276" s="133"/>
      <c r="C276" s="133"/>
      <c r="D276" s="133"/>
      <c r="E276" s="106"/>
      <c r="F276" s="106"/>
      <c r="G276" s="133"/>
      <c r="H276" s="133"/>
      <c r="I276" s="133"/>
      <c r="J276" s="133"/>
      <c r="K276" s="133"/>
      <c r="L276" s="133"/>
      <c r="M276" s="133"/>
      <c r="N276" s="200"/>
      <c r="O276" s="131"/>
      <c r="P276" s="201"/>
      <c r="Q276" s="133"/>
      <c r="R276" s="133"/>
      <c r="S276" s="133"/>
      <c r="T276" s="133"/>
      <c r="U276" s="133"/>
      <c r="V276" s="133"/>
      <c r="W276" s="133"/>
      <c r="X276" s="133"/>
      <c r="Y276" s="133"/>
      <c r="Z276" s="133"/>
      <c r="AA276" s="133"/>
    </row>
    <row r="277" spans="1:27" ht="21" customHeight="1" thickBot="1" x14ac:dyDescent="0.4">
      <c r="A277" s="133"/>
      <c r="B277" s="133"/>
      <c r="C277" s="133"/>
      <c r="D277" s="133"/>
      <c r="E277" s="106"/>
      <c r="F277" s="106"/>
      <c r="G277" s="133"/>
      <c r="H277" s="133"/>
      <c r="I277" s="133"/>
      <c r="J277" s="133"/>
      <c r="K277" s="133"/>
      <c r="L277" s="133"/>
      <c r="M277" s="133"/>
      <c r="N277" s="200"/>
      <c r="O277" s="131"/>
      <c r="P277" s="201"/>
      <c r="Q277" s="133"/>
      <c r="R277" s="133"/>
      <c r="S277" s="133"/>
      <c r="T277" s="133"/>
      <c r="U277" s="133"/>
      <c r="V277" s="133"/>
      <c r="W277" s="133"/>
      <c r="X277" s="133"/>
      <c r="Y277" s="133"/>
      <c r="Z277" s="133"/>
      <c r="AA277" s="133"/>
    </row>
    <row r="278" spans="1:27" ht="21" customHeight="1" thickBot="1" x14ac:dyDescent="0.4">
      <c r="A278" s="133"/>
      <c r="B278" s="133"/>
      <c r="C278" s="133"/>
      <c r="D278" s="133"/>
      <c r="E278" s="106"/>
      <c r="F278" s="106"/>
      <c r="G278" s="133"/>
      <c r="H278" s="133"/>
      <c r="I278" s="133"/>
      <c r="J278" s="133"/>
      <c r="K278" s="133"/>
      <c r="L278" s="133"/>
      <c r="M278" s="133"/>
      <c r="N278" s="200"/>
      <c r="O278" s="131"/>
      <c r="P278" s="201"/>
      <c r="Q278" s="133"/>
      <c r="R278" s="133"/>
      <c r="S278" s="133"/>
      <c r="T278" s="133"/>
      <c r="U278" s="133"/>
      <c r="V278" s="133"/>
      <c r="W278" s="133"/>
      <c r="X278" s="133"/>
      <c r="Y278" s="133"/>
      <c r="Z278" s="133"/>
      <c r="AA278" s="133"/>
    </row>
    <row r="279" spans="1:27" ht="21" customHeight="1" thickBot="1" x14ac:dyDescent="0.4">
      <c r="A279" s="133"/>
      <c r="B279" s="133"/>
      <c r="C279" s="133"/>
      <c r="D279" s="133"/>
      <c r="E279" s="106"/>
      <c r="F279" s="106"/>
      <c r="G279" s="133"/>
      <c r="H279" s="133"/>
      <c r="I279" s="133"/>
      <c r="J279" s="133"/>
      <c r="K279" s="133"/>
      <c r="L279" s="133"/>
      <c r="M279" s="133"/>
      <c r="N279" s="200"/>
      <c r="O279" s="131"/>
      <c r="P279" s="201"/>
      <c r="Q279" s="133"/>
      <c r="R279" s="133"/>
      <c r="S279" s="133"/>
      <c r="T279" s="133"/>
      <c r="U279" s="133"/>
      <c r="V279" s="133"/>
      <c r="W279" s="133"/>
      <c r="X279" s="133"/>
      <c r="Y279" s="133"/>
      <c r="Z279" s="133"/>
      <c r="AA279" s="133"/>
    </row>
    <row r="280" spans="1:27" ht="21" customHeight="1" thickBot="1" x14ac:dyDescent="0.4">
      <c r="A280" s="133"/>
      <c r="B280" s="133"/>
      <c r="C280" s="133"/>
      <c r="D280" s="133"/>
      <c r="E280" s="106"/>
      <c r="F280" s="106"/>
      <c r="G280" s="133"/>
      <c r="H280" s="133"/>
      <c r="I280" s="133"/>
      <c r="J280" s="133"/>
      <c r="K280" s="133"/>
      <c r="L280" s="133"/>
      <c r="M280" s="133"/>
      <c r="N280" s="200"/>
      <c r="O280" s="131"/>
      <c r="P280" s="201"/>
      <c r="Q280" s="133"/>
      <c r="R280" s="133"/>
      <c r="S280" s="133"/>
      <c r="T280" s="133"/>
      <c r="U280" s="133"/>
      <c r="V280" s="133"/>
      <c r="W280" s="133"/>
      <c r="X280" s="133"/>
      <c r="Y280" s="133"/>
      <c r="Z280" s="133"/>
      <c r="AA280" s="133"/>
    </row>
    <row r="281" spans="1:27" ht="21" customHeight="1" thickBot="1" x14ac:dyDescent="0.4">
      <c r="A281" s="133"/>
      <c r="B281" s="133"/>
      <c r="C281" s="133"/>
      <c r="D281" s="133"/>
      <c r="E281" s="106"/>
      <c r="F281" s="106"/>
      <c r="G281" s="133"/>
      <c r="H281" s="133"/>
      <c r="I281" s="133"/>
      <c r="J281" s="133"/>
      <c r="K281" s="133"/>
      <c r="L281" s="133"/>
      <c r="M281" s="133"/>
      <c r="N281" s="200"/>
      <c r="O281" s="131"/>
      <c r="P281" s="201"/>
      <c r="Q281" s="133"/>
      <c r="R281" s="133"/>
      <c r="S281" s="133"/>
      <c r="T281" s="133"/>
      <c r="U281" s="133"/>
      <c r="V281" s="133"/>
      <c r="W281" s="133"/>
      <c r="X281" s="133"/>
      <c r="Y281" s="133"/>
      <c r="Z281" s="133"/>
      <c r="AA281" s="133"/>
    </row>
    <row r="282" spans="1:27" ht="21" customHeight="1" thickBot="1" x14ac:dyDescent="0.4">
      <c r="A282" s="133"/>
      <c r="B282" s="133"/>
      <c r="C282" s="133"/>
      <c r="D282" s="133"/>
      <c r="E282" s="106"/>
      <c r="F282" s="106"/>
      <c r="G282" s="133"/>
      <c r="H282" s="133"/>
      <c r="I282" s="133"/>
      <c r="J282" s="133"/>
      <c r="K282" s="133"/>
      <c r="L282" s="133"/>
      <c r="M282" s="133"/>
      <c r="N282" s="200"/>
      <c r="O282" s="131"/>
      <c r="P282" s="201"/>
      <c r="Q282" s="133"/>
      <c r="R282" s="133"/>
      <c r="S282" s="133"/>
      <c r="T282" s="133"/>
      <c r="U282" s="133"/>
      <c r="V282" s="133"/>
      <c r="W282" s="133"/>
      <c r="X282" s="133"/>
      <c r="Y282" s="133"/>
      <c r="Z282" s="133"/>
      <c r="AA282" s="133"/>
    </row>
    <row r="283" spans="1:27" ht="21" customHeight="1" thickBot="1" x14ac:dyDescent="0.4">
      <c r="A283" s="133"/>
      <c r="B283" s="133"/>
      <c r="C283" s="133"/>
      <c r="D283" s="133"/>
      <c r="E283" s="106"/>
      <c r="F283" s="106"/>
      <c r="G283" s="133"/>
      <c r="H283" s="133"/>
      <c r="I283" s="133"/>
      <c r="J283" s="133"/>
      <c r="K283" s="133"/>
      <c r="L283" s="133"/>
      <c r="M283" s="133"/>
      <c r="N283" s="200"/>
      <c r="O283" s="131"/>
      <c r="P283" s="201"/>
      <c r="Q283" s="133"/>
      <c r="R283" s="133"/>
      <c r="S283" s="133"/>
      <c r="T283" s="133"/>
      <c r="U283" s="133"/>
      <c r="V283" s="133"/>
      <c r="W283" s="133"/>
      <c r="X283" s="133"/>
      <c r="Y283" s="133"/>
      <c r="Z283" s="133"/>
      <c r="AA283" s="133"/>
    </row>
    <row r="284" spans="1:27" ht="21" customHeight="1" thickBot="1" x14ac:dyDescent="0.4">
      <c r="A284" s="133"/>
      <c r="B284" s="133"/>
      <c r="C284" s="133"/>
      <c r="D284" s="133"/>
      <c r="E284" s="106"/>
      <c r="F284" s="106"/>
      <c r="G284" s="133"/>
      <c r="H284" s="133"/>
      <c r="I284" s="133"/>
      <c r="J284" s="133"/>
      <c r="K284" s="133"/>
      <c r="L284" s="133"/>
      <c r="M284" s="133"/>
      <c r="N284" s="200"/>
      <c r="O284" s="131"/>
      <c r="P284" s="201"/>
      <c r="Q284" s="133"/>
      <c r="R284" s="133"/>
      <c r="S284" s="133"/>
      <c r="T284" s="133"/>
      <c r="U284" s="133"/>
      <c r="V284" s="133"/>
      <c r="W284" s="133"/>
      <c r="X284" s="133"/>
      <c r="Y284" s="133"/>
      <c r="Z284" s="133"/>
      <c r="AA284" s="133"/>
    </row>
    <row r="285" spans="1:27" ht="21" customHeight="1" thickBot="1" x14ac:dyDescent="0.4">
      <c r="A285" s="133"/>
      <c r="B285" s="133"/>
      <c r="C285" s="133"/>
      <c r="D285" s="133"/>
      <c r="E285" s="106"/>
      <c r="F285" s="106"/>
      <c r="G285" s="133"/>
      <c r="H285" s="133"/>
      <c r="I285" s="133"/>
      <c r="J285" s="133"/>
      <c r="K285" s="133"/>
      <c r="L285" s="133"/>
      <c r="M285" s="133"/>
      <c r="N285" s="200"/>
      <c r="O285" s="131"/>
      <c r="P285" s="201"/>
      <c r="Q285" s="133"/>
      <c r="R285" s="133"/>
      <c r="S285" s="133"/>
      <c r="T285" s="133"/>
      <c r="U285" s="133"/>
      <c r="V285" s="133"/>
      <c r="W285" s="133"/>
      <c r="X285" s="133"/>
      <c r="Y285" s="133"/>
      <c r="Z285" s="133"/>
      <c r="AA285" s="133"/>
    </row>
    <row r="286" spans="1:27" ht="21" customHeight="1" thickBot="1" x14ac:dyDescent="0.4">
      <c r="A286" s="133"/>
      <c r="B286" s="133"/>
      <c r="C286" s="133"/>
      <c r="D286" s="133"/>
      <c r="E286" s="106"/>
      <c r="F286" s="106"/>
      <c r="G286" s="133"/>
      <c r="H286" s="133"/>
      <c r="I286" s="133"/>
      <c r="J286" s="133"/>
      <c r="K286" s="133"/>
      <c r="L286" s="133"/>
      <c r="M286" s="133"/>
      <c r="N286" s="200"/>
      <c r="O286" s="131"/>
      <c r="P286" s="201"/>
      <c r="Q286" s="133"/>
      <c r="R286" s="133"/>
      <c r="S286" s="133"/>
      <c r="T286" s="133"/>
      <c r="U286" s="133"/>
      <c r="V286" s="133"/>
      <c r="W286" s="133"/>
      <c r="X286" s="133"/>
      <c r="Y286" s="133"/>
      <c r="Z286" s="133"/>
      <c r="AA286" s="133"/>
    </row>
    <row r="287" spans="1:27" ht="21" customHeight="1" thickBot="1" x14ac:dyDescent="0.4">
      <c r="A287" s="133"/>
      <c r="B287" s="133"/>
      <c r="C287" s="133"/>
      <c r="D287" s="133"/>
      <c r="E287" s="106"/>
      <c r="F287" s="106"/>
      <c r="G287" s="133"/>
      <c r="H287" s="133"/>
      <c r="I287" s="133"/>
      <c r="J287" s="133"/>
      <c r="K287" s="133"/>
      <c r="L287" s="133"/>
      <c r="M287" s="133"/>
      <c r="N287" s="200"/>
      <c r="O287" s="131"/>
      <c r="P287" s="201"/>
      <c r="Q287" s="133"/>
      <c r="R287" s="133"/>
      <c r="S287" s="133"/>
      <c r="T287" s="133"/>
      <c r="U287" s="133"/>
      <c r="V287" s="133"/>
      <c r="W287" s="133"/>
      <c r="X287" s="133"/>
      <c r="Y287" s="133"/>
      <c r="Z287" s="133"/>
      <c r="AA287" s="133"/>
    </row>
    <row r="288" spans="1:27" ht="21" customHeight="1" thickBot="1" x14ac:dyDescent="0.4">
      <c r="A288" s="133"/>
      <c r="B288" s="133"/>
      <c r="C288" s="133"/>
      <c r="D288" s="133"/>
      <c r="E288" s="106"/>
      <c r="F288" s="106"/>
      <c r="G288" s="133"/>
      <c r="H288" s="133"/>
      <c r="I288" s="133"/>
      <c r="J288" s="133"/>
      <c r="K288" s="133"/>
      <c r="L288" s="133"/>
      <c r="M288" s="133"/>
      <c r="N288" s="200"/>
      <c r="O288" s="131"/>
      <c r="P288" s="201"/>
      <c r="Q288" s="133"/>
      <c r="R288" s="133"/>
      <c r="S288" s="133"/>
      <c r="T288" s="133"/>
      <c r="U288" s="133"/>
      <c r="V288" s="133"/>
      <c r="W288" s="133"/>
      <c r="X288" s="133"/>
      <c r="Y288" s="133"/>
      <c r="Z288" s="133"/>
      <c r="AA288" s="133"/>
    </row>
    <row r="289" spans="1:27" ht="21" customHeight="1" thickBot="1" x14ac:dyDescent="0.4">
      <c r="A289" s="133"/>
      <c r="B289" s="133"/>
      <c r="C289" s="133"/>
      <c r="D289" s="133"/>
      <c r="E289" s="106"/>
      <c r="F289" s="106"/>
      <c r="G289" s="133"/>
      <c r="H289" s="133"/>
      <c r="I289" s="133"/>
      <c r="J289" s="133"/>
      <c r="K289" s="133"/>
      <c r="L289" s="133"/>
      <c r="M289" s="133"/>
      <c r="N289" s="200"/>
      <c r="O289" s="131"/>
      <c r="P289" s="201"/>
      <c r="Q289" s="133"/>
      <c r="R289" s="133"/>
      <c r="S289" s="133"/>
      <c r="T289" s="133"/>
      <c r="U289" s="133"/>
      <c r="V289" s="133"/>
      <c r="W289" s="133"/>
      <c r="X289" s="133"/>
      <c r="Y289" s="133"/>
      <c r="Z289" s="133"/>
      <c r="AA289" s="133"/>
    </row>
    <row r="290" spans="1:27" ht="21" customHeight="1" thickBot="1" x14ac:dyDescent="0.4">
      <c r="A290" s="133"/>
      <c r="B290" s="133"/>
      <c r="C290" s="133"/>
      <c r="D290" s="133"/>
      <c r="E290" s="106"/>
      <c r="F290" s="106"/>
      <c r="G290" s="133"/>
      <c r="H290" s="133"/>
      <c r="I290" s="133"/>
      <c r="J290" s="133"/>
      <c r="K290" s="133"/>
      <c r="L290" s="133"/>
      <c r="M290" s="133"/>
      <c r="N290" s="200"/>
      <c r="O290" s="131"/>
      <c r="P290" s="201"/>
      <c r="Q290" s="133"/>
      <c r="R290" s="133"/>
      <c r="S290" s="133"/>
      <c r="T290" s="133"/>
      <c r="U290" s="133"/>
      <c r="V290" s="133"/>
      <c r="W290" s="133"/>
      <c r="X290" s="133"/>
      <c r="Y290" s="133"/>
      <c r="Z290" s="133"/>
      <c r="AA290" s="133"/>
    </row>
    <row r="291" spans="1:27" ht="21" customHeight="1" thickBot="1" x14ac:dyDescent="0.4">
      <c r="A291" s="133"/>
      <c r="B291" s="133"/>
      <c r="C291" s="133"/>
      <c r="D291" s="133"/>
      <c r="E291" s="106"/>
      <c r="F291" s="106"/>
      <c r="G291" s="133"/>
      <c r="H291" s="133"/>
      <c r="I291" s="133"/>
      <c r="J291" s="133"/>
      <c r="K291" s="133"/>
      <c r="L291" s="133"/>
      <c r="M291" s="133"/>
      <c r="N291" s="200"/>
      <c r="O291" s="131"/>
      <c r="P291" s="201"/>
      <c r="Q291" s="133"/>
      <c r="R291" s="133"/>
      <c r="S291" s="133"/>
      <c r="T291" s="133"/>
      <c r="U291" s="133"/>
      <c r="V291" s="133"/>
      <c r="W291" s="133"/>
      <c r="X291" s="133"/>
      <c r="Y291" s="133"/>
      <c r="Z291" s="133"/>
      <c r="AA291" s="133"/>
    </row>
    <row r="292" spans="1:27" ht="21" customHeight="1" thickBot="1" x14ac:dyDescent="0.4">
      <c r="A292" s="133"/>
      <c r="B292" s="133"/>
      <c r="C292" s="133"/>
      <c r="D292" s="133"/>
      <c r="E292" s="106"/>
      <c r="F292" s="106"/>
      <c r="G292" s="133"/>
      <c r="H292" s="133"/>
      <c r="I292" s="133"/>
      <c r="J292" s="133"/>
      <c r="K292" s="133"/>
      <c r="L292" s="133"/>
      <c r="M292" s="133"/>
      <c r="N292" s="200"/>
      <c r="O292" s="131"/>
      <c r="P292" s="201"/>
      <c r="Q292" s="133"/>
      <c r="R292" s="133"/>
      <c r="S292" s="133"/>
      <c r="T292" s="133"/>
      <c r="U292" s="133"/>
      <c r="V292" s="133"/>
      <c r="W292" s="133"/>
      <c r="X292" s="133"/>
      <c r="Y292" s="133"/>
      <c r="Z292" s="133"/>
      <c r="AA292" s="133"/>
    </row>
    <row r="293" spans="1:27" ht="21" customHeight="1" thickBot="1" x14ac:dyDescent="0.4">
      <c r="A293" s="133"/>
      <c r="B293" s="133"/>
      <c r="C293" s="133"/>
      <c r="D293" s="133"/>
      <c r="E293" s="106"/>
      <c r="F293" s="106"/>
      <c r="G293" s="133"/>
      <c r="H293" s="133"/>
      <c r="I293" s="133"/>
      <c r="J293" s="133"/>
      <c r="K293" s="133"/>
      <c r="L293" s="133"/>
      <c r="M293" s="133"/>
      <c r="N293" s="200"/>
      <c r="O293" s="131"/>
      <c r="P293" s="201"/>
      <c r="Q293" s="133"/>
      <c r="R293" s="133"/>
      <c r="S293" s="133"/>
      <c r="T293" s="133"/>
      <c r="U293" s="133"/>
      <c r="V293" s="133"/>
      <c r="W293" s="133"/>
      <c r="X293" s="133"/>
      <c r="Y293" s="133"/>
      <c r="Z293" s="133"/>
      <c r="AA293" s="133"/>
    </row>
    <row r="294" spans="1:27" ht="21" customHeight="1" thickBot="1" x14ac:dyDescent="0.4">
      <c r="A294" s="133"/>
      <c r="B294" s="133"/>
      <c r="C294" s="133"/>
      <c r="D294" s="133"/>
      <c r="E294" s="106"/>
      <c r="F294" s="106"/>
      <c r="G294" s="133"/>
      <c r="H294" s="133"/>
      <c r="I294" s="133"/>
      <c r="J294" s="133"/>
      <c r="K294" s="133"/>
      <c r="L294" s="133"/>
      <c r="M294" s="133"/>
      <c r="N294" s="200"/>
      <c r="O294" s="131"/>
      <c r="P294" s="201"/>
      <c r="Q294" s="133"/>
      <c r="R294" s="133"/>
      <c r="S294" s="133"/>
      <c r="T294" s="133"/>
      <c r="U294" s="133"/>
      <c r="V294" s="133"/>
      <c r="W294" s="133"/>
      <c r="X294" s="133"/>
      <c r="Y294" s="133"/>
      <c r="Z294" s="133"/>
      <c r="AA294" s="133"/>
    </row>
    <row r="295" spans="1:27" ht="21" customHeight="1" thickBot="1" x14ac:dyDescent="0.4">
      <c r="A295" s="133"/>
      <c r="B295" s="133"/>
      <c r="C295" s="133"/>
      <c r="D295" s="133"/>
      <c r="E295" s="106"/>
      <c r="F295" s="106"/>
      <c r="G295" s="133"/>
      <c r="H295" s="133"/>
      <c r="I295" s="133"/>
      <c r="J295" s="133"/>
      <c r="K295" s="133"/>
      <c r="L295" s="133"/>
      <c r="M295" s="133"/>
      <c r="N295" s="200"/>
      <c r="O295" s="131"/>
      <c r="P295" s="201"/>
      <c r="Q295" s="133"/>
      <c r="R295" s="133"/>
      <c r="S295" s="133"/>
      <c r="T295" s="133"/>
      <c r="U295" s="133"/>
      <c r="V295" s="133"/>
      <c r="W295" s="133"/>
      <c r="X295" s="133"/>
      <c r="Y295" s="133"/>
      <c r="Z295" s="133"/>
      <c r="AA295" s="133"/>
    </row>
    <row r="296" spans="1:27" ht="21" customHeight="1" thickBot="1" x14ac:dyDescent="0.4">
      <c r="A296" s="133"/>
      <c r="B296" s="133"/>
      <c r="C296" s="133"/>
      <c r="D296" s="133"/>
      <c r="E296" s="106"/>
      <c r="F296" s="106"/>
      <c r="G296" s="133"/>
      <c r="H296" s="133"/>
      <c r="I296" s="133"/>
      <c r="J296" s="133"/>
      <c r="K296" s="133"/>
      <c r="L296" s="133"/>
      <c r="M296" s="133"/>
      <c r="N296" s="200"/>
      <c r="O296" s="131"/>
      <c r="P296" s="201"/>
      <c r="Q296" s="133"/>
      <c r="R296" s="133"/>
      <c r="S296" s="133"/>
      <c r="T296" s="133"/>
      <c r="U296" s="133"/>
      <c r="V296" s="133"/>
      <c r="W296" s="133"/>
      <c r="X296" s="133"/>
      <c r="Y296" s="133"/>
      <c r="Z296" s="133"/>
      <c r="AA296" s="133"/>
    </row>
    <row r="297" spans="1:27" ht="21" customHeight="1" thickBot="1" x14ac:dyDescent="0.4">
      <c r="A297" s="133"/>
      <c r="B297" s="133"/>
      <c r="C297" s="133"/>
      <c r="D297" s="133"/>
      <c r="E297" s="106"/>
      <c r="F297" s="106"/>
      <c r="G297" s="133"/>
      <c r="H297" s="133"/>
      <c r="I297" s="133"/>
      <c r="J297" s="133"/>
      <c r="K297" s="133"/>
      <c r="L297" s="133"/>
      <c r="M297" s="133"/>
      <c r="N297" s="200"/>
      <c r="O297" s="131"/>
      <c r="P297" s="201"/>
      <c r="Q297" s="133"/>
      <c r="R297" s="133"/>
      <c r="S297" s="133"/>
      <c r="T297" s="133"/>
      <c r="U297" s="133"/>
      <c r="V297" s="133"/>
      <c r="W297" s="133"/>
      <c r="X297" s="133"/>
      <c r="Y297" s="133"/>
      <c r="Z297" s="133"/>
      <c r="AA297" s="133"/>
    </row>
    <row r="298" spans="1:27" ht="21" customHeight="1" thickBot="1" x14ac:dyDescent="0.4">
      <c r="A298" s="133"/>
      <c r="B298" s="133"/>
      <c r="C298" s="133"/>
      <c r="D298" s="133"/>
      <c r="E298" s="106"/>
      <c r="F298" s="106"/>
      <c r="G298" s="133"/>
      <c r="H298" s="133"/>
      <c r="I298" s="133"/>
      <c r="J298" s="133"/>
      <c r="K298" s="133"/>
      <c r="L298" s="133"/>
      <c r="M298" s="133"/>
      <c r="N298" s="200"/>
      <c r="O298" s="131"/>
      <c r="P298" s="201"/>
      <c r="Q298" s="133"/>
      <c r="R298" s="133"/>
      <c r="S298" s="133"/>
      <c r="T298" s="133"/>
      <c r="U298" s="133"/>
      <c r="V298" s="133"/>
      <c r="W298" s="133"/>
      <c r="X298" s="133"/>
      <c r="Y298" s="133"/>
      <c r="Z298" s="133"/>
      <c r="AA298" s="133"/>
    </row>
    <row r="299" spans="1:27" ht="21" customHeight="1" thickBot="1" x14ac:dyDescent="0.4">
      <c r="A299" s="133"/>
      <c r="B299" s="133"/>
      <c r="C299" s="133"/>
      <c r="D299" s="133"/>
      <c r="E299" s="106"/>
      <c r="F299" s="106"/>
      <c r="G299" s="133"/>
      <c r="H299" s="133"/>
      <c r="I299" s="133"/>
      <c r="J299" s="133"/>
      <c r="K299" s="133"/>
      <c r="L299" s="133"/>
      <c r="M299" s="133"/>
      <c r="N299" s="200"/>
      <c r="O299" s="131"/>
      <c r="P299" s="201"/>
      <c r="Q299" s="133"/>
      <c r="R299" s="133"/>
      <c r="S299" s="133"/>
      <c r="T299" s="133"/>
      <c r="U299" s="133"/>
      <c r="V299" s="133"/>
      <c r="W299" s="133"/>
      <c r="X299" s="133"/>
      <c r="Y299" s="133"/>
      <c r="Z299" s="133"/>
      <c r="AA299" s="133"/>
    </row>
    <row r="300" spans="1:27" ht="21" customHeight="1" thickBot="1" x14ac:dyDescent="0.4">
      <c r="A300" s="133"/>
      <c r="B300" s="133"/>
      <c r="C300" s="133"/>
      <c r="D300" s="133"/>
      <c r="E300" s="106"/>
      <c r="F300" s="106"/>
      <c r="G300" s="133"/>
      <c r="H300" s="133"/>
      <c r="I300" s="133"/>
      <c r="J300" s="133"/>
      <c r="K300" s="133"/>
      <c r="L300" s="133"/>
      <c r="M300" s="133"/>
      <c r="N300" s="200"/>
      <c r="O300" s="131"/>
      <c r="P300" s="201"/>
      <c r="Q300" s="133"/>
      <c r="R300" s="133"/>
      <c r="S300" s="133"/>
      <c r="T300" s="133"/>
      <c r="U300" s="133"/>
      <c r="V300" s="133"/>
      <c r="W300" s="133"/>
      <c r="X300" s="133"/>
      <c r="Y300" s="133"/>
      <c r="Z300" s="133"/>
      <c r="AA300" s="133"/>
    </row>
    <row r="301" spans="1:27" ht="21" customHeight="1" thickBot="1" x14ac:dyDescent="0.4">
      <c r="A301" s="133"/>
      <c r="B301" s="133"/>
      <c r="C301" s="133"/>
      <c r="D301" s="133"/>
      <c r="E301" s="106"/>
      <c r="F301" s="106"/>
      <c r="G301" s="133"/>
      <c r="H301" s="133"/>
      <c r="I301" s="133"/>
      <c r="J301" s="133"/>
      <c r="K301" s="133"/>
      <c r="L301" s="133"/>
      <c r="M301" s="133"/>
      <c r="N301" s="200"/>
      <c r="O301" s="131"/>
      <c r="P301" s="201"/>
      <c r="Q301" s="133"/>
      <c r="R301" s="133"/>
      <c r="S301" s="133"/>
      <c r="T301" s="133"/>
      <c r="U301" s="133"/>
      <c r="V301" s="133"/>
      <c r="W301" s="133"/>
      <c r="X301" s="133"/>
      <c r="Y301" s="133"/>
      <c r="Z301" s="133"/>
      <c r="AA301" s="133"/>
    </row>
    <row r="302" spans="1:27" ht="21" customHeight="1" thickBot="1" x14ac:dyDescent="0.4">
      <c r="A302" s="133"/>
      <c r="B302" s="133"/>
      <c r="C302" s="133"/>
      <c r="D302" s="133"/>
      <c r="E302" s="106"/>
      <c r="F302" s="106"/>
      <c r="G302" s="133"/>
      <c r="H302" s="133"/>
      <c r="I302" s="133"/>
      <c r="J302" s="133"/>
      <c r="K302" s="133"/>
      <c r="L302" s="133"/>
      <c r="M302" s="133"/>
      <c r="N302" s="200"/>
      <c r="O302" s="131"/>
      <c r="P302" s="201"/>
      <c r="Q302" s="133"/>
      <c r="R302" s="133"/>
      <c r="S302" s="133"/>
      <c r="T302" s="133"/>
      <c r="U302" s="133"/>
      <c r="V302" s="133"/>
      <c r="W302" s="133"/>
      <c r="X302" s="133"/>
      <c r="Y302" s="133"/>
      <c r="Z302" s="133"/>
      <c r="AA302" s="133"/>
    </row>
    <row r="303" spans="1:27" ht="21" customHeight="1" thickBot="1" x14ac:dyDescent="0.4">
      <c r="A303" s="133"/>
      <c r="B303" s="133"/>
      <c r="C303" s="133"/>
      <c r="D303" s="133"/>
      <c r="E303" s="106"/>
      <c r="F303" s="106"/>
      <c r="G303" s="133"/>
      <c r="H303" s="133"/>
      <c r="I303" s="133"/>
      <c r="J303" s="133"/>
      <c r="K303" s="133"/>
      <c r="L303" s="133"/>
      <c r="M303" s="133"/>
      <c r="N303" s="200"/>
      <c r="O303" s="131"/>
      <c r="P303" s="201"/>
      <c r="Q303" s="133"/>
      <c r="R303" s="133"/>
      <c r="S303" s="133"/>
      <c r="T303" s="133"/>
      <c r="U303" s="133"/>
      <c r="V303" s="133"/>
      <c r="W303" s="133"/>
      <c r="X303" s="133"/>
      <c r="Y303" s="133"/>
      <c r="Z303" s="133"/>
      <c r="AA303" s="133"/>
    </row>
    <row r="304" spans="1:27" ht="21" customHeight="1" thickBot="1" x14ac:dyDescent="0.4">
      <c r="A304" s="133"/>
      <c r="B304" s="133"/>
      <c r="C304" s="133"/>
      <c r="D304" s="133"/>
      <c r="E304" s="106"/>
      <c r="F304" s="106"/>
      <c r="G304" s="133"/>
      <c r="H304" s="133"/>
      <c r="I304" s="133"/>
      <c r="J304" s="133"/>
      <c r="K304" s="133"/>
      <c r="L304" s="133"/>
      <c r="M304" s="133"/>
      <c r="N304" s="200"/>
      <c r="O304" s="131"/>
      <c r="P304" s="201"/>
      <c r="Q304" s="133"/>
      <c r="R304" s="133"/>
      <c r="S304" s="133"/>
      <c r="T304" s="133"/>
      <c r="U304" s="133"/>
      <c r="V304" s="133"/>
      <c r="W304" s="133"/>
      <c r="X304" s="133"/>
      <c r="Y304" s="133"/>
      <c r="Z304" s="133"/>
      <c r="AA304" s="133"/>
    </row>
    <row r="305" spans="1:27" ht="21" customHeight="1" thickBot="1" x14ac:dyDescent="0.4">
      <c r="A305" s="133"/>
      <c r="B305" s="133"/>
      <c r="C305" s="133"/>
      <c r="D305" s="133"/>
      <c r="E305" s="106"/>
      <c r="F305" s="106"/>
      <c r="G305" s="133"/>
      <c r="H305" s="133"/>
      <c r="I305" s="133"/>
      <c r="J305" s="133"/>
      <c r="K305" s="133"/>
      <c r="L305" s="133"/>
      <c r="M305" s="133"/>
      <c r="N305" s="200"/>
      <c r="O305" s="131"/>
      <c r="P305" s="201"/>
      <c r="Q305" s="133"/>
      <c r="R305" s="133"/>
      <c r="S305" s="133"/>
      <c r="T305" s="133"/>
      <c r="U305" s="133"/>
      <c r="V305" s="133"/>
      <c r="W305" s="133"/>
      <c r="X305" s="133"/>
      <c r="Y305" s="133"/>
      <c r="Z305" s="133"/>
      <c r="AA305" s="133"/>
    </row>
    <row r="306" spans="1:27" ht="21" customHeight="1" thickBot="1" x14ac:dyDescent="0.4">
      <c r="A306" s="133"/>
      <c r="B306" s="133"/>
      <c r="C306" s="133"/>
      <c r="D306" s="133"/>
      <c r="E306" s="106"/>
      <c r="F306" s="106"/>
      <c r="G306" s="133"/>
      <c r="H306" s="133"/>
      <c r="I306" s="133"/>
      <c r="J306" s="133"/>
      <c r="K306" s="133"/>
      <c r="L306" s="133"/>
      <c r="M306" s="133"/>
      <c r="N306" s="200"/>
      <c r="O306" s="131"/>
      <c r="P306" s="201"/>
      <c r="Q306" s="133"/>
      <c r="R306" s="133"/>
      <c r="S306" s="133"/>
      <c r="T306" s="133"/>
      <c r="U306" s="133"/>
      <c r="V306" s="133"/>
      <c r="W306" s="133"/>
      <c r="X306" s="133"/>
      <c r="Y306" s="133"/>
      <c r="Z306" s="133"/>
      <c r="AA306" s="133"/>
    </row>
    <row r="307" spans="1:27" ht="21" customHeight="1" thickBot="1" x14ac:dyDescent="0.4">
      <c r="A307" s="133"/>
      <c r="B307" s="133"/>
      <c r="C307" s="133"/>
      <c r="D307" s="133"/>
      <c r="E307" s="106"/>
      <c r="F307" s="106"/>
      <c r="G307" s="133"/>
      <c r="H307" s="133"/>
      <c r="I307" s="133"/>
      <c r="J307" s="133"/>
      <c r="K307" s="133"/>
      <c r="L307" s="133"/>
      <c r="M307" s="133"/>
      <c r="N307" s="200"/>
      <c r="O307" s="131"/>
      <c r="P307" s="201"/>
      <c r="Q307" s="133"/>
      <c r="R307" s="133"/>
      <c r="S307" s="133"/>
      <c r="T307" s="133"/>
      <c r="U307" s="133"/>
      <c r="V307" s="133"/>
      <c r="W307" s="133"/>
      <c r="X307" s="133"/>
      <c r="Y307" s="133"/>
      <c r="Z307" s="133"/>
      <c r="AA307" s="133"/>
    </row>
    <row r="308" spans="1:27" ht="21" customHeight="1" thickBot="1" x14ac:dyDescent="0.4">
      <c r="A308" s="133"/>
      <c r="B308" s="133"/>
      <c r="C308" s="133"/>
      <c r="D308" s="133"/>
      <c r="E308" s="106"/>
      <c r="F308" s="106"/>
      <c r="G308" s="133"/>
      <c r="H308" s="133"/>
      <c r="I308" s="133"/>
      <c r="J308" s="133"/>
      <c r="K308" s="133"/>
      <c r="L308" s="133"/>
      <c r="M308" s="133"/>
      <c r="N308" s="200"/>
      <c r="O308" s="131"/>
      <c r="P308" s="201"/>
      <c r="Q308" s="133"/>
      <c r="R308" s="133"/>
      <c r="S308" s="133"/>
      <c r="T308" s="133"/>
      <c r="U308" s="133"/>
      <c r="V308" s="133"/>
      <c r="W308" s="133"/>
      <c r="X308" s="133"/>
      <c r="Y308" s="133"/>
      <c r="Z308" s="133"/>
      <c r="AA308" s="133"/>
    </row>
    <row r="309" spans="1:27" ht="21" customHeight="1" thickBot="1" x14ac:dyDescent="0.4">
      <c r="A309" s="133"/>
      <c r="B309" s="133"/>
      <c r="C309" s="133"/>
      <c r="D309" s="133"/>
      <c r="E309" s="106"/>
      <c r="F309" s="106"/>
      <c r="G309" s="133"/>
      <c r="H309" s="133"/>
      <c r="I309" s="133"/>
      <c r="J309" s="133"/>
      <c r="K309" s="133"/>
      <c r="L309" s="133"/>
      <c r="M309" s="133"/>
      <c r="N309" s="200"/>
      <c r="O309" s="131"/>
      <c r="P309" s="201"/>
      <c r="Q309" s="133"/>
      <c r="R309" s="133"/>
      <c r="S309" s="133"/>
      <c r="T309" s="133"/>
      <c r="U309" s="133"/>
      <c r="V309" s="133"/>
      <c r="W309" s="133"/>
      <c r="X309" s="133"/>
      <c r="Y309" s="133"/>
      <c r="Z309" s="133"/>
      <c r="AA309" s="133"/>
    </row>
    <row r="310" spans="1:27" ht="21" customHeight="1" thickBot="1" x14ac:dyDescent="0.4">
      <c r="A310" s="133"/>
      <c r="B310" s="133"/>
      <c r="C310" s="133"/>
      <c r="D310" s="133"/>
      <c r="E310" s="106"/>
      <c r="F310" s="106"/>
      <c r="G310" s="133"/>
      <c r="H310" s="133"/>
      <c r="I310" s="133"/>
      <c r="J310" s="133"/>
      <c r="K310" s="133"/>
      <c r="L310" s="133"/>
      <c r="M310" s="133"/>
      <c r="N310" s="200"/>
      <c r="O310" s="131"/>
      <c r="P310" s="201"/>
      <c r="Q310" s="133"/>
      <c r="R310" s="133"/>
      <c r="S310" s="133"/>
      <c r="T310" s="133"/>
      <c r="U310" s="133"/>
      <c r="V310" s="133"/>
      <c r="W310" s="133"/>
      <c r="X310" s="133"/>
      <c r="Y310" s="133"/>
      <c r="Z310" s="133"/>
      <c r="AA310" s="133"/>
    </row>
    <row r="311" spans="1:27" ht="21" customHeight="1" thickBot="1" x14ac:dyDescent="0.4">
      <c r="A311" s="133"/>
      <c r="B311" s="133"/>
      <c r="C311" s="133"/>
      <c r="D311" s="133"/>
      <c r="E311" s="106"/>
      <c r="F311" s="106"/>
      <c r="G311" s="133"/>
      <c r="H311" s="133"/>
      <c r="I311" s="133"/>
      <c r="J311" s="133"/>
      <c r="K311" s="133"/>
      <c r="L311" s="133"/>
      <c r="M311" s="133"/>
      <c r="N311" s="200"/>
      <c r="O311" s="131"/>
      <c r="P311" s="201"/>
      <c r="Q311" s="133"/>
      <c r="R311" s="133"/>
      <c r="S311" s="133"/>
      <c r="T311" s="133"/>
      <c r="U311" s="133"/>
      <c r="V311" s="133"/>
      <c r="W311" s="133"/>
      <c r="X311" s="133"/>
      <c r="Y311" s="133"/>
      <c r="Z311" s="133"/>
      <c r="AA311" s="133"/>
    </row>
    <row r="312" spans="1:27" ht="21" customHeight="1" thickBot="1" x14ac:dyDescent="0.4">
      <c r="A312" s="133"/>
      <c r="B312" s="133"/>
      <c r="C312" s="133"/>
      <c r="D312" s="133"/>
      <c r="E312" s="106"/>
      <c r="F312" s="106"/>
      <c r="G312" s="133"/>
      <c r="H312" s="133"/>
      <c r="I312" s="133"/>
      <c r="J312" s="133"/>
      <c r="K312" s="133"/>
      <c r="L312" s="133"/>
      <c r="M312" s="133"/>
      <c r="N312" s="200"/>
      <c r="O312" s="131"/>
      <c r="P312" s="201"/>
      <c r="Q312" s="133"/>
      <c r="R312" s="133"/>
      <c r="S312" s="133"/>
      <c r="T312" s="133"/>
      <c r="U312" s="133"/>
      <c r="V312" s="133"/>
      <c r="W312" s="133"/>
      <c r="X312" s="133"/>
      <c r="Y312" s="133"/>
      <c r="Z312" s="133"/>
      <c r="AA312" s="133"/>
    </row>
    <row r="313" spans="1:27" ht="21" customHeight="1" thickBot="1" x14ac:dyDescent="0.4">
      <c r="A313" s="133"/>
      <c r="B313" s="133"/>
      <c r="C313" s="133"/>
      <c r="D313" s="133"/>
      <c r="E313" s="106"/>
      <c r="F313" s="106"/>
      <c r="G313" s="133"/>
      <c r="H313" s="133"/>
      <c r="I313" s="133"/>
      <c r="J313" s="133"/>
      <c r="K313" s="133"/>
      <c r="L313" s="133"/>
      <c r="M313" s="133"/>
      <c r="N313" s="200"/>
      <c r="O313" s="131"/>
      <c r="P313" s="201"/>
      <c r="Q313" s="133"/>
      <c r="R313" s="133"/>
      <c r="S313" s="133"/>
      <c r="T313" s="133"/>
      <c r="U313" s="133"/>
      <c r="V313" s="133"/>
      <c r="W313" s="133"/>
      <c r="X313" s="133"/>
      <c r="Y313" s="133"/>
      <c r="Z313" s="133"/>
      <c r="AA313" s="133"/>
    </row>
    <row r="314" spans="1:27" ht="21" customHeight="1" thickBot="1" x14ac:dyDescent="0.4">
      <c r="A314" s="133"/>
      <c r="B314" s="133"/>
      <c r="C314" s="133"/>
      <c r="D314" s="133"/>
      <c r="E314" s="106"/>
      <c r="F314" s="106"/>
      <c r="G314" s="133"/>
      <c r="H314" s="133"/>
      <c r="I314" s="133"/>
      <c r="J314" s="133"/>
      <c r="K314" s="133"/>
      <c r="L314" s="133"/>
      <c r="M314" s="133"/>
      <c r="N314" s="200"/>
      <c r="O314" s="131"/>
      <c r="P314" s="201"/>
      <c r="Q314" s="133"/>
      <c r="R314" s="133"/>
      <c r="S314" s="133"/>
      <c r="T314" s="133"/>
      <c r="U314" s="133"/>
      <c r="V314" s="133"/>
      <c r="W314" s="133"/>
      <c r="X314" s="133"/>
      <c r="Y314" s="133"/>
      <c r="Z314" s="133"/>
      <c r="AA314" s="133"/>
    </row>
    <row r="315" spans="1:27" ht="21" customHeight="1" thickBot="1" x14ac:dyDescent="0.4">
      <c r="A315" s="133"/>
      <c r="B315" s="133"/>
      <c r="C315" s="133"/>
      <c r="D315" s="133"/>
      <c r="E315" s="106"/>
      <c r="F315" s="106"/>
      <c r="G315" s="133"/>
      <c r="H315" s="133"/>
      <c r="I315" s="133"/>
      <c r="J315" s="133"/>
      <c r="K315" s="133"/>
      <c r="L315" s="133"/>
      <c r="M315" s="133"/>
      <c r="N315" s="200"/>
      <c r="O315" s="131"/>
      <c r="P315" s="201"/>
      <c r="Q315" s="133"/>
      <c r="R315" s="133"/>
      <c r="S315" s="133"/>
      <c r="T315" s="133"/>
      <c r="U315" s="133"/>
      <c r="V315" s="133"/>
      <c r="W315" s="133"/>
      <c r="X315" s="133"/>
      <c r="Y315" s="133"/>
      <c r="Z315" s="133"/>
      <c r="AA315" s="133"/>
    </row>
    <row r="316" spans="1:27" ht="21" customHeight="1" thickBot="1" x14ac:dyDescent="0.4">
      <c r="A316" s="133"/>
      <c r="B316" s="133"/>
      <c r="C316" s="133"/>
      <c r="D316" s="133"/>
      <c r="E316" s="106"/>
      <c r="F316" s="106"/>
      <c r="G316" s="133"/>
      <c r="H316" s="133"/>
      <c r="I316" s="133"/>
      <c r="J316" s="133"/>
      <c r="K316" s="133"/>
      <c r="L316" s="133"/>
      <c r="M316" s="133"/>
      <c r="N316" s="200"/>
      <c r="O316" s="131"/>
      <c r="P316" s="201"/>
      <c r="Q316" s="133"/>
      <c r="R316" s="133"/>
      <c r="S316" s="133"/>
      <c r="T316" s="133"/>
      <c r="U316" s="133"/>
      <c r="V316" s="133"/>
      <c r="W316" s="133"/>
      <c r="X316" s="133"/>
      <c r="Y316" s="133"/>
      <c r="Z316" s="133"/>
      <c r="AA316" s="133"/>
    </row>
    <row r="317" spans="1:27" ht="21" customHeight="1" thickBot="1" x14ac:dyDescent="0.4">
      <c r="A317" s="133"/>
      <c r="B317" s="133"/>
      <c r="C317" s="133"/>
      <c r="D317" s="133"/>
      <c r="E317" s="106"/>
      <c r="F317" s="106"/>
      <c r="G317" s="133"/>
      <c r="H317" s="133"/>
      <c r="I317" s="133"/>
      <c r="J317" s="133"/>
      <c r="K317" s="133"/>
      <c r="L317" s="133"/>
      <c r="M317" s="133"/>
      <c r="N317" s="200"/>
      <c r="O317" s="131"/>
      <c r="P317" s="201"/>
      <c r="Q317" s="133"/>
      <c r="R317" s="133"/>
      <c r="S317" s="133"/>
      <c r="T317" s="133"/>
      <c r="U317" s="133"/>
      <c r="V317" s="133"/>
      <c r="W317" s="133"/>
      <c r="X317" s="133"/>
      <c r="Y317" s="133"/>
      <c r="Z317" s="133"/>
      <c r="AA317" s="133"/>
    </row>
    <row r="318" spans="1:27" ht="21" customHeight="1" thickBot="1" x14ac:dyDescent="0.4">
      <c r="A318" s="133"/>
      <c r="B318" s="133"/>
      <c r="C318" s="133"/>
      <c r="D318" s="133"/>
      <c r="E318" s="106"/>
      <c r="F318" s="106"/>
      <c r="G318" s="133"/>
      <c r="H318" s="133"/>
      <c r="I318" s="133"/>
      <c r="J318" s="133"/>
      <c r="K318" s="133"/>
      <c r="L318" s="133"/>
      <c r="M318" s="133"/>
      <c r="N318" s="200"/>
      <c r="O318" s="131"/>
      <c r="P318" s="201"/>
      <c r="Q318" s="133"/>
      <c r="R318" s="133"/>
      <c r="S318" s="133"/>
      <c r="T318" s="133"/>
      <c r="U318" s="133"/>
      <c r="V318" s="133"/>
      <c r="W318" s="133"/>
      <c r="X318" s="133"/>
      <c r="Y318" s="133"/>
      <c r="Z318" s="133"/>
      <c r="AA318" s="133"/>
    </row>
    <row r="319" spans="1:27" ht="21" customHeight="1" thickBot="1" x14ac:dyDescent="0.4">
      <c r="A319" s="133"/>
      <c r="B319" s="133"/>
      <c r="C319" s="133"/>
      <c r="D319" s="133"/>
      <c r="E319" s="106"/>
      <c r="F319" s="106"/>
      <c r="G319" s="133"/>
      <c r="H319" s="133"/>
      <c r="I319" s="133"/>
      <c r="J319" s="133"/>
      <c r="K319" s="133"/>
      <c r="L319" s="133"/>
      <c r="M319" s="133"/>
      <c r="N319" s="200"/>
      <c r="O319" s="131"/>
      <c r="P319" s="201"/>
      <c r="Q319" s="133"/>
      <c r="R319" s="133"/>
      <c r="S319" s="133"/>
      <c r="T319" s="133"/>
      <c r="U319" s="133"/>
      <c r="V319" s="133"/>
      <c r="W319" s="133"/>
      <c r="X319" s="133"/>
      <c r="Y319" s="133"/>
      <c r="Z319" s="133"/>
      <c r="AA319" s="133"/>
    </row>
    <row r="320" spans="1:27" ht="21" customHeight="1" thickBot="1" x14ac:dyDescent="0.4">
      <c r="A320" s="133"/>
      <c r="B320" s="133"/>
      <c r="C320" s="133"/>
      <c r="D320" s="133"/>
      <c r="E320" s="106"/>
      <c r="F320" s="106"/>
      <c r="G320" s="133"/>
      <c r="H320" s="133"/>
      <c r="I320" s="133"/>
      <c r="J320" s="133"/>
      <c r="K320" s="133"/>
      <c r="L320" s="133"/>
      <c r="M320" s="133"/>
      <c r="N320" s="200"/>
      <c r="O320" s="131"/>
      <c r="P320" s="201"/>
      <c r="Q320" s="133"/>
      <c r="R320" s="133"/>
      <c r="S320" s="133"/>
      <c r="T320" s="133"/>
      <c r="U320" s="133"/>
      <c r="V320" s="133"/>
      <c r="W320" s="133"/>
      <c r="X320" s="133"/>
      <c r="Y320" s="133"/>
      <c r="Z320" s="133"/>
      <c r="AA320" s="133"/>
    </row>
    <row r="321" spans="1:27" ht="21" customHeight="1" thickBot="1" x14ac:dyDescent="0.4">
      <c r="A321" s="133"/>
      <c r="B321" s="133"/>
      <c r="C321" s="133"/>
      <c r="D321" s="133"/>
      <c r="E321" s="106"/>
      <c r="F321" s="106"/>
      <c r="G321" s="133"/>
      <c r="H321" s="133"/>
      <c r="I321" s="133"/>
      <c r="J321" s="133"/>
      <c r="K321" s="133"/>
      <c r="L321" s="133"/>
      <c r="M321" s="133"/>
      <c r="N321" s="200"/>
      <c r="O321" s="131"/>
      <c r="P321" s="201"/>
      <c r="Q321" s="133"/>
      <c r="R321" s="133"/>
      <c r="S321" s="133"/>
      <c r="T321" s="133"/>
      <c r="U321" s="133"/>
      <c r="V321" s="133"/>
      <c r="W321" s="133"/>
      <c r="X321" s="133"/>
      <c r="Y321" s="133"/>
      <c r="Z321" s="133"/>
      <c r="AA321" s="133"/>
    </row>
    <row r="322" spans="1:27" ht="21" customHeight="1" thickBot="1" x14ac:dyDescent="0.4">
      <c r="A322" s="133"/>
      <c r="B322" s="133"/>
      <c r="C322" s="133"/>
      <c r="D322" s="133"/>
      <c r="E322" s="106"/>
      <c r="F322" s="106"/>
      <c r="G322" s="133"/>
      <c r="H322" s="133"/>
      <c r="I322" s="133"/>
      <c r="J322" s="133"/>
      <c r="K322" s="133"/>
      <c r="L322" s="133"/>
      <c r="M322" s="133"/>
      <c r="N322" s="200"/>
      <c r="O322" s="131"/>
      <c r="P322" s="201"/>
      <c r="Q322" s="133"/>
      <c r="R322" s="133"/>
      <c r="S322" s="133"/>
      <c r="T322" s="133"/>
      <c r="U322" s="133"/>
      <c r="V322" s="133"/>
      <c r="W322" s="133"/>
      <c r="X322" s="133"/>
      <c r="Y322" s="133"/>
      <c r="Z322" s="133"/>
      <c r="AA322" s="133"/>
    </row>
    <row r="323" spans="1:27" ht="21" customHeight="1" thickBot="1" x14ac:dyDescent="0.4">
      <c r="A323" s="133"/>
      <c r="B323" s="133"/>
      <c r="C323" s="133"/>
      <c r="D323" s="133"/>
      <c r="E323" s="106"/>
      <c r="F323" s="106"/>
      <c r="G323" s="133"/>
      <c r="H323" s="133"/>
      <c r="I323" s="133"/>
      <c r="J323" s="133"/>
      <c r="K323" s="133"/>
      <c r="L323" s="133"/>
      <c r="M323" s="133"/>
      <c r="N323" s="200"/>
      <c r="O323" s="131"/>
      <c r="P323" s="201"/>
      <c r="Q323" s="133"/>
      <c r="R323" s="133"/>
      <c r="S323" s="133"/>
      <c r="T323" s="133"/>
      <c r="U323" s="133"/>
      <c r="V323" s="133"/>
      <c r="W323" s="133"/>
      <c r="X323" s="133"/>
      <c r="Y323" s="133"/>
      <c r="Z323" s="133"/>
      <c r="AA323" s="133"/>
    </row>
    <row r="324" spans="1:27" ht="21" customHeight="1" thickBot="1" x14ac:dyDescent="0.4">
      <c r="A324" s="133"/>
      <c r="B324" s="133"/>
      <c r="C324" s="133"/>
      <c r="D324" s="133"/>
      <c r="E324" s="106"/>
      <c r="F324" s="106"/>
      <c r="G324" s="133"/>
      <c r="H324" s="133"/>
      <c r="I324" s="133"/>
      <c r="J324" s="133"/>
      <c r="K324" s="133"/>
      <c r="L324" s="133"/>
      <c r="M324" s="133"/>
      <c r="N324" s="200"/>
      <c r="O324" s="131"/>
      <c r="P324" s="201"/>
      <c r="Q324" s="133"/>
      <c r="R324" s="133"/>
      <c r="S324" s="133"/>
      <c r="T324" s="133"/>
      <c r="U324" s="133"/>
      <c r="V324" s="133"/>
      <c r="W324" s="133"/>
      <c r="X324" s="133"/>
      <c r="Y324" s="133"/>
      <c r="Z324" s="133"/>
      <c r="AA324" s="133"/>
    </row>
    <row r="325" spans="1:27" ht="21" customHeight="1" thickBot="1" x14ac:dyDescent="0.4">
      <c r="A325" s="133"/>
      <c r="B325" s="133"/>
      <c r="C325" s="133"/>
      <c r="D325" s="133"/>
      <c r="E325" s="106"/>
      <c r="F325" s="106"/>
      <c r="G325" s="133"/>
      <c r="H325" s="133"/>
      <c r="I325" s="133"/>
      <c r="J325" s="133"/>
      <c r="K325" s="133"/>
      <c r="L325" s="133"/>
      <c r="M325" s="133"/>
      <c r="N325" s="200"/>
      <c r="O325" s="131"/>
      <c r="P325" s="201"/>
      <c r="Q325" s="133"/>
      <c r="R325" s="133"/>
      <c r="S325" s="133"/>
      <c r="T325" s="133"/>
      <c r="U325" s="133"/>
      <c r="V325" s="133"/>
      <c r="W325" s="133"/>
      <c r="X325" s="133"/>
      <c r="Y325" s="133"/>
      <c r="Z325" s="133"/>
      <c r="AA325" s="133"/>
    </row>
    <row r="326" spans="1:27" ht="21" customHeight="1" thickBot="1" x14ac:dyDescent="0.4">
      <c r="A326" s="133"/>
      <c r="B326" s="133"/>
      <c r="C326" s="133"/>
      <c r="D326" s="133"/>
      <c r="E326" s="106"/>
      <c r="F326" s="106"/>
      <c r="G326" s="133"/>
      <c r="H326" s="133"/>
      <c r="I326" s="133"/>
      <c r="J326" s="133"/>
      <c r="K326" s="133"/>
      <c r="L326" s="133"/>
      <c r="M326" s="133"/>
      <c r="N326" s="200"/>
      <c r="O326" s="131"/>
      <c r="P326" s="201"/>
      <c r="Q326" s="133"/>
      <c r="R326" s="133"/>
      <c r="S326" s="133"/>
      <c r="T326" s="133"/>
      <c r="U326" s="133"/>
      <c r="V326" s="133"/>
      <c r="W326" s="133"/>
      <c r="X326" s="133"/>
      <c r="Y326" s="133"/>
      <c r="Z326" s="133"/>
      <c r="AA326" s="133"/>
    </row>
    <row r="327" spans="1:27" ht="21" customHeight="1" thickBot="1" x14ac:dyDescent="0.4">
      <c r="A327" s="133"/>
      <c r="B327" s="133"/>
      <c r="C327" s="133"/>
      <c r="D327" s="133"/>
      <c r="E327" s="106"/>
      <c r="F327" s="106"/>
      <c r="G327" s="133"/>
      <c r="H327" s="133"/>
      <c r="I327" s="133"/>
      <c r="J327" s="133"/>
      <c r="K327" s="133"/>
      <c r="L327" s="133"/>
      <c r="M327" s="133"/>
      <c r="N327" s="200"/>
      <c r="O327" s="131"/>
      <c r="P327" s="201"/>
      <c r="Q327" s="133"/>
      <c r="R327" s="133"/>
      <c r="S327" s="133"/>
      <c r="T327" s="133"/>
      <c r="U327" s="133"/>
      <c r="V327" s="133"/>
      <c r="W327" s="133"/>
      <c r="X327" s="133"/>
      <c r="Y327" s="133"/>
      <c r="Z327" s="133"/>
      <c r="AA327" s="133"/>
    </row>
    <row r="328" spans="1:27" ht="21" customHeight="1" thickBot="1" x14ac:dyDescent="0.4">
      <c r="A328" s="133"/>
      <c r="B328" s="133"/>
      <c r="C328" s="133"/>
      <c r="D328" s="133"/>
      <c r="E328" s="106"/>
      <c r="F328" s="106"/>
      <c r="G328" s="133"/>
      <c r="H328" s="133"/>
      <c r="I328" s="133"/>
      <c r="J328" s="133"/>
      <c r="K328" s="133"/>
      <c r="L328" s="133"/>
      <c r="M328" s="133"/>
      <c r="N328" s="200"/>
      <c r="O328" s="131"/>
      <c r="P328" s="201"/>
      <c r="Q328" s="133"/>
      <c r="R328" s="133"/>
      <c r="S328" s="133"/>
      <c r="T328" s="133"/>
      <c r="U328" s="133"/>
      <c r="V328" s="133"/>
      <c r="W328" s="133"/>
      <c r="X328" s="133"/>
      <c r="Y328" s="133"/>
      <c r="Z328" s="133"/>
      <c r="AA328" s="133"/>
    </row>
    <row r="329" spans="1:27" ht="21" customHeight="1" thickBot="1" x14ac:dyDescent="0.4">
      <c r="A329" s="133"/>
      <c r="B329" s="133"/>
      <c r="C329" s="133"/>
      <c r="D329" s="133"/>
      <c r="E329" s="106"/>
      <c r="F329" s="106"/>
      <c r="G329" s="133"/>
      <c r="H329" s="133"/>
      <c r="I329" s="133"/>
      <c r="J329" s="133"/>
      <c r="K329" s="133"/>
      <c r="L329" s="133"/>
      <c r="M329" s="133"/>
      <c r="N329" s="200"/>
      <c r="O329" s="131"/>
      <c r="P329" s="201"/>
      <c r="Q329" s="133"/>
      <c r="R329" s="133"/>
      <c r="S329" s="133"/>
      <c r="T329" s="133"/>
      <c r="U329" s="133"/>
      <c r="V329" s="133"/>
      <c r="W329" s="133"/>
      <c r="X329" s="133"/>
      <c r="Y329" s="133"/>
      <c r="Z329" s="133"/>
      <c r="AA329" s="133"/>
    </row>
    <row r="330" spans="1:27" ht="21" customHeight="1" thickBot="1" x14ac:dyDescent="0.4">
      <c r="A330" s="133"/>
      <c r="B330" s="133"/>
      <c r="C330" s="133"/>
      <c r="D330" s="133"/>
      <c r="E330" s="106"/>
      <c r="F330" s="106"/>
      <c r="G330" s="133"/>
      <c r="H330" s="133"/>
      <c r="I330" s="133"/>
      <c r="J330" s="133"/>
      <c r="K330" s="133"/>
      <c r="L330" s="133"/>
      <c r="M330" s="133"/>
      <c r="N330" s="200"/>
      <c r="O330" s="131"/>
      <c r="P330" s="201"/>
      <c r="Q330" s="133"/>
      <c r="R330" s="133"/>
      <c r="S330" s="133"/>
      <c r="T330" s="133"/>
      <c r="U330" s="133"/>
      <c r="V330" s="133"/>
      <c r="W330" s="133"/>
      <c r="X330" s="133"/>
      <c r="Y330" s="133"/>
      <c r="Z330" s="133"/>
      <c r="AA330" s="133"/>
    </row>
    <row r="331" spans="1:27" ht="21" customHeight="1" thickBot="1" x14ac:dyDescent="0.4">
      <c r="A331" s="133"/>
      <c r="B331" s="133"/>
      <c r="C331" s="133"/>
      <c r="D331" s="133"/>
      <c r="E331" s="106"/>
      <c r="F331" s="106"/>
      <c r="G331" s="133"/>
      <c r="H331" s="133"/>
      <c r="I331" s="133"/>
      <c r="J331" s="133"/>
      <c r="K331" s="133"/>
      <c r="L331" s="133"/>
      <c r="M331" s="133"/>
      <c r="N331" s="200"/>
      <c r="O331" s="131"/>
      <c r="P331" s="201"/>
      <c r="Q331" s="133"/>
      <c r="R331" s="133"/>
      <c r="S331" s="133"/>
      <c r="T331" s="133"/>
      <c r="U331" s="133"/>
      <c r="V331" s="133"/>
      <c r="W331" s="133"/>
      <c r="X331" s="133"/>
      <c r="Y331" s="133"/>
      <c r="Z331" s="133"/>
      <c r="AA331" s="133"/>
    </row>
    <row r="332" spans="1:27" ht="21" customHeight="1" thickBot="1" x14ac:dyDescent="0.4">
      <c r="A332" s="133"/>
      <c r="B332" s="133"/>
      <c r="C332" s="133"/>
      <c r="D332" s="133"/>
      <c r="E332" s="106"/>
      <c r="F332" s="106"/>
      <c r="G332" s="133"/>
      <c r="H332" s="133"/>
      <c r="I332" s="133"/>
      <c r="J332" s="133"/>
      <c r="K332" s="133"/>
      <c r="L332" s="133"/>
      <c r="M332" s="133"/>
      <c r="N332" s="200"/>
      <c r="O332" s="131"/>
      <c r="P332" s="201"/>
      <c r="Q332" s="133"/>
      <c r="R332" s="133"/>
      <c r="S332" s="133"/>
      <c r="T332" s="133"/>
      <c r="U332" s="133"/>
      <c r="V332" s="133"/>
      <c r="W332" s="133"/>
      <c r="X332" s="133"/>
      <c r="Y332" s="133"/>
      <c r="Z332" s="133"/>
      <c r="AA332" s="133"/>
    </row>
    <row r="333" spans="1:27" ht="21" customHeight="1" thickBot="1" x14ac:dyDescent="0.4">
      <c r="A333" s="133"/>
      <c r="B333" s="133"/>
      <c r="C333" s="133"/>
      <c r="D333" s="133"/>
      <c r="E333" s="106"/>
      <c r="F333" s="106"/>
      <c r="G333" s="133"/>
      <c r="H333" s="133"/>
      <c r="I333" s="133"/>
      <c r="J333" s="133"/>
      <c r="K333" s="133"/>
      <c r="L333" s="133"/>
      <c r="M333" s="133"/>
      <c r="N333" s="200"/>
      <c r="O333" s="131"/>
      <c r="P333" s="201"/>
      <c r="Q333" s="133"/>
      <c r="R333" s="133"/>
      <c r="S333" s="133"/>
      <c r="T333" s="133"/>
      <c r="U333" s="133"/>
      <c r="V333" s="133"/>
      <c r="W333" s="133"/>
      <c r="X333" s="133"/>
      <c r="Y333" s="133"/>
      <c r="Z333" s="133"/>
      <c r="AA333" s="133"/>
    </row>
    <row r="334" spans="1:27" ht="21" customHeight="1" thickBot="1" x14ac:dyDescent="0.4">
      <c r="A334" s="133"/>
      <c r="B334" s="133"/>
      <c r="C334" s="133"/>
      <c r="D334" s="133"/>
      <c r="E334" s="106"/>
      <c r="F334" s="106"/>
      <c r="G334" s="133"/>
      <c r="H334" s="133"/>
      <c r="I334" s="133"/>
      <c r="J334" s="133"/>
      <c r="K334" s="133"/>
      <c r="L334" s="133"/>
      <c r="M334" s="133"/>
      <c r="N334" s="200"/>
      <c r="O334" s="131"/>
      <c r="P334" s="201"/>
      <c r="Q334" s="133"/>
      <c r="R334" s="133"/>
      <c r="S334" s="133"/>
      <c r="T334" s="133"/>
      <c r="U334" s="133"/>
      <c r="V334" s="133"/>
      <c r="W334" s="133"/>
      <c r="X334" s="133"/>
      <c r="Y334" s="133"/>
      <c r="Z334" s="133"/>
      <c r="AA334" s="133"/>
    </row>
    <row r="335" spans="1:27" ht="21" customHeight="1" thickBot="1" x14ac:dyDescent="0.4">
      <c r="A335" s="133"/>
      <c r="B335" s="133"/>
      <c r="C335" s="133"/>
      <c r="D335" s="133"/>
      <c r="E335" s="106"/>
      <c r="F335" s="106"/>
      <c r="G335" s="133"/>
      <c r="H335" s="133"/>
      <c r="I335" s="133"/>
      <c r="J335" s="133"/>
      <c r="K335" s="133"/>
      <c r="L335" s="133"/>
      <c r="M335" s="133"/>
      <c r="N335" s="200"/>
      <c r="O335" s="131"/>
      <c r="P335" s="201"/>
      <c r="Q335" s="133"/>
      <c r="R335" s="133"/>
      <c r="S335" s="133"/>
      <c r="T335" s="133"/>
      <c r="U335" s="133"/>
      <c r="V335" s="133"/>
      <c r="W335" s="133"/>
      <c r="X335" s="133"/>
      <c r="Y335" s="133"/>
      <c r="Z335" s="133"/>
      <c r="AA335" s="133"/>
    </row>
    <row r="336" spans="1:27" ht="21" customHeight="1" thickBot="1" x14ac:dyDescent="0.4">
      <c r="A336" s="133"/>
      <c r="B336" s="133"/>
      <c r="C336" s="133"/>
      <c r="D336" s="133"/>
      <c r="E336" s="106"/>
      <c r="F336" s="106"/>
      <c r="G336" s="133"/>
      <c r="H336" s="133"/>
      <c r="I336" s="133"/>
      <c r="J336" s="133"/>
      <c r="K336" s="133"/>
      <c r="L336" s="133"/>
      <c r="M336" s="133"/>
      <c r="N336" s="200"/>
      <c r="O336" s="131"/>
      <c r="P336" s="201"/>
      <c r="Q336" s="133"/>
      <c r="R336" s="133"/>
      <c r="S336" s="133"/>
      <c r="T336" s="133"/>
      <c r="U336" s="133"/>
      <c r="V336" s="133"/>
      <c r="W336" s="133"/>
      <c r="X336" s="133"/>
      <c r="Y336" s="133"/>
      <c r="Z336" s="133"/>
      <c r="AA336" s="133"/>
    </row>
    <row r="337" spans="1:27" ht="21" customHeight="1" thickBot="1" x14ac:dyDescent="0.4">
      <c r="A337" s="133"/>
      <c r="B337" s="133"/>
      <c r="C337" s="133"/>
      <c r="D337" s="133"/>
      <c r="E337" s="106"/>
      <c r="F337" s="106"/>
      <c r="G337" s="133"/>
      <c r="H337" s="133"/>
      <c r="I337" s="133"/>
      <c r="J337" s="133"/>
      <c r="K337" s="133"/>
      <c r="L337" s="133"/>
      <c r="M337" s="133"/>
      <c r="N337" s="200"/>
      <c r="O337" s="131"/>
      <c r="P337" s="201"/>
      <c r="Q337" s="133"/>
      <c r="R337" s="133"/>
      <c r="S337" s="133"/>
      <c r="T337" s="133"/>
      <c r="U337" s="133"/>
      <c r="V337" s="133"/>
      <c r="W337" s="133"/>
      <c r="X337" s="133"/>
      <c r="Y337" s="133"/>
      <c r="Z337" s="133"/>
      <c r="AA337" s="133"/>
    </row>
    <row r="338" spans="1:27" ht="21" customHeight="1" thickBot="1" x14ac:dyDescent="0.4">
      <c r="A338" s="133"/>
      <c r="B338" s="133"/>
      <c r="C338" s="133"/>
      <c r="D338" s="133"/>
      <c r="E338" s="106"/>
      <c r="F338" s="106"/>
      <c r="G338" s="133"/>
      <c r="H338" s="133"/>
      <c r="I338" s="133"/>
      <c r="J338" s="133"/>
      <c r="K338" s="133"/>
      <c r="L338" s="133"/>
      <c r="M338" s="133"/>
      <c r="N338" s="200"/>
      <c r="O338" s="131"/>
      <c r="P338" s="201"/>
      <c r="Q338" s="133"/>
      <c r="R338" s="133"/>
      <c r="S338" s="133"/>
      <c r="T338" s="133"/>
      <c r="U338" s="133"/>
      <c r="V338" s="133"/>
      <c r="W338" s="133"/>
      <c r="X338" s="133"/>
      <c r="Y338" s="133"/>
      <c r="Z338" s="133"/>
      <c r="AA338" s="133"/>
    </row>
    <row r="339" spans="1:27" ht="21" customHeight="1" thickBot="1" x14ac:dyDescent="0.4">
      <c r="A339" s="133"/>
      <c r="B339" s="133"/>
      <c r="C339" s="133"/>
      <c r="D339" s="133"/>
      <c r="E339" s="106"/>
      <c r="F339" s="106"/>
      <c r="G339" s="133"/>
      <c r="H339" s="133"/>
      <c r="I339" s="133"/>
      <c r="J339" s="133"/>
      <c r="K339" s="133"/>
      <c r="L339" s="133"/>
      <c r="M339" s="133"/>
      <c r="N339" s="200"/>
      <c r="O339" s="131"/>
      <c r="P339" s="201"/>
      <c r="Q339" s="133"/>
      <c r="R339" s="133"/>
      <c r="S339" s="133"/>
      <c r="T339" s="133"/>
      <c r="U339" s="133"/>
      <c r="V339" s="133"/>
      <c r="W339" s="133"/>
      <c r="X339" s="133"/>
      <c r="Y339" s="133"/>
      <c r="Z339" s="133"/>
      <c r="AA339" s="133"/>
    </row>
    <row r="340" spans="1:27" ht="21" customHeight="1" thickBot="1" x14ac:dyDescent="0.4">
      <c r="A340" s="133"/>
      <c r="B340" s="133"/>
      <c r="C340" s="133"/>
      <c r="D340" s="133"/>
      <c r="E340" s="106"/>
      <c r="F340" s="106"/>
      <c r="G340" s="133"/>
      <c r="H340" s="133"/>
      <c r="I340" s="133"/>
      <c r="J340" s="133"/>
      <c r="K340" s="133"/>
      <c r="L340" s="133"/>
      <c r="M340" s="133"/>
      <c r="N340" s="200"/>
      <c r="O340" s="131"/>
      <c r="P340" s="201"/>
      <c r="Q340" s="133"/>
      <c r="R340" s="133"/>
      <c r="S340" s="133"/>
      <c r="T340" s="133"/>
      <c r="U340" s="133"/>
      <c r="V340" s="133"/>
      <c r="W340" s="133"/>
      <c r="X340" s="133"/>
      <c r="Y340" s="133"/>
      <c r="Z340" s="133"/>
      <c r="AA340" s="133"/>
    </row>
    <row r="341" spans="1:27" ht="21" customHeight="1" thickBot="1" x14ac:dyDescent="0.4">
      <c r="A341" s="133"/>
      <c r="B341" s="133"/>
      <c r="C341" s="133"/>
      <c r="D341" s="133"/>
      <c r="E341" s="106"/>
      <c r="F341" s="106"/>
      <c r="G341" s="133"/>
      <c r="H341" s="133"/>
      <c r="I341" s="133"/>
      <c r="J341" s="133"/>
      <c r="K341" s="133"/>
      <c r="L341" s="133"/>
      <c r="M341" s="133"/>
      <c r="N341" s="200"/>
      <c r="O341" s="131"/>
      <c r="P341" s="201"/>
      <c r="Q341" s="133"/>
      <c r="R341" s="133"/>
      <c r="S341" s="133"/>
      <c r="T341" s="133"/>
      <c r="U341" s="133"/>
      <c r="V341" s="133"/>
      <c r="W341" s="133"/>
      <c r="X341" s="133"/>
      <c r="Y341" s="133"/>
      <c r="Z341" s="133"/>
      <c r="AA341" s="133"/>
    </row>
    <row r="342" spans="1:27" ht="21" customHeight="1" thickBot="1" x14ac:dyDescent="0.4">
      <c r="A342" s="133"/>
      <c r="B342" s="133"/>
      <c r="C342" s="133"/>
      <c r="D342" s="133"/>
      <c r="E342" s="106"/>
      <c r="F342" s="106"/>
      <c r="G342" s="133"/>
      <c r="H342" s="133"/>
      <c r="I342" s="133"/>
      <c r="J342" s="133"/>
      <c r="K342" s="133"/>
      <c r="L342" s="133"/>
      <c r="M342" s="133"/>
      <c r="N342" s="200"/>
      <c r="O342" s="131"/>
      <c r="P342" s="201"/>
      <c r="Q342" s="133"/>
      <c r="R342" s="133"/>
      <c r="S342" s="133"/>
      <c r="T342" s="133"/>
      <c r="U342" s="133"/>
      <c r="V342" s="133"/>
      <c r="W342" s="133"/>
      <c r="X342" s="133"/>
      <c r="Y342" s="133"/>
      <c r="Z342" s="133"/>
      <c r="AA342" s="133"/>
    </row>
    <row r="343" spans="1:27" ht="21" customHeight="1" thickBot="1" x14ac:dyDescent="0.4">
      <c r="A343" s="133"/>
      <c r="B343" s="133"/>
      <c r="C343" s="133"/>
      <c r="D343" s="133"/>
      <c r="E343" s="106"/>
      <c r="F343" s="106"/>
      <c r="G343" s="133"/>
      <c r="H343" s="133"/>
      <c r="I343" s="133"/>
      <c r="J343" s="133"/>
      <c r="K343" s="133"/>
      <c r="L343" s="133"/>
      <c r="M343" s="133"/>
      <c r="N343" s="200"/>
      <c r="O343" s="131"/>
      <c r="P343" s="201"/>
      <c r="Q343" s="133"/>
      <c r="R343" s="133"/>
      <c r="S343" s="133"/>
      <c r="T343" s="133"/>
      <c r="U343" s="133"/>
      <c r="V343" s="133"/>
      <c r="W343" s="133"/>
      <c r="X343" s="133"/>
      <c r="Y343" s="133"/>
      <c r="Z343" s="133"/>
      <c r="AA343" s="133"/>
    </row>
    <row r="344" spans="1:27" ht="21" customHeight="1" thickBot="1" x14ac:dyDescent="0.4">
      <c r="A344" s="133"/>
      <c r="B344" s="133"/>
      <c r="C344" s="133"/>
      <c r="D344" s="133"/>
      <c r="E344" s="106"/>
      <c r="F344" s="106"/>
      <c r="G344" s="133"/>
      <c r="H344" s="133"/>
      <c r="I344" s="133"/>
      <c r="J344" s="133"/>
      <c r="K344" s="133"/>
      <c r="L344" s="133"/>
      <c r="M344" s="133"/>
      <c r="N344" s="200"/>
      <c r="O344" s="131"/>
      <c r="P344" s="201"/>
      <c r="Q344" s="133"/>
      <c r="R344" s="133"/>
      <c r="S344" s="133"/>
      <c r="T344" s="133"/>
      <c r="U344" s="133"/>
      <c r="V344" s="133"/>
      <c r="W344" s="133"/>
      <c r="X344" s="133"/>
      <c r="Y344" s="133"/>
      <c r="Z344" s="133"/>
      <c r="AA344" s="133"/>
    </row>
    <row r="345" spans="1:27" ht="21" customHeight="1" thickBot="1" x14ac:dyDescent="0.4">
      <c r="A345" s="133"/>
      <c r="B345" s="133"/>
      <c r="C345" s="133"/>
      <c r="D345" s="133"/>
      <c r="E345" s="106"/>
      <c r="F345" s="106"/>
      <c r="G345" s="133"/>
      <c r="H345" s="133"/>
      <c r="I345" s="133"/>
      <c r="J345" s="133"/>
      <c r="K345" s="133"/>
      <c r="L345" s="133"/>
      <c r="M345" s="133"/>
      <c r="N345" s="200"/>
      <c r="O345" s="131"/>
      <c r="P345" s="201"/>
      <c r="Q345" s="133"/>
      <c r="R345" s="133"/>
      <c r="S345" s="133"/>
      <c r="T345" s="133"/>
      <c r="U345" s="133"/>
      <c r="V345" s="133"/>
      <c r="W345" s="133"/>
      <c r="X345" s="133"/>
      <c r="Y345" s="133"/>
      <c r="Z345" s="133"/>
      <c r="AA345" s="133"/>
    </row>
    <row r="346" spans="1:27" ht="21" customHeight="1" thickBot="1" x14ac:dyDescent="0.4">
      <c r="A346" s="133"/>
      <c r="B346" s="133"/>
      <c r="C346" s="133"/>
      <c r="D346" s="133"/>
      <c r="E346" s="106"/>
      <c r="F346" s="106"/>
      <c r="G346" s="133"/>
      <c r="H346" s="133"/>
      <c r="I346" s="133"/>
      <c r="J346" s="133"/>
      <c r="K346" s="133"/>
      <c r="L346" s="133"/>
      <c r="M346" s="133"/>
      <c r="N346" s="200"/>
      <c r="O346" s="131"/>
      <c r="P346" s="201"/>
      <c r="Q346" s="133"/>
      <c r="R346" s="133"/>
      <c r="S346" s="133"/>
      <c r="T346" s="133"/>
      <c r="U346" s="133"/>
      <c r="V346" s="133"/>
      <c r="W346" s="133"/>
      <c r="X346" s="133"/>
      <c r="Y346" s="133"/>
      <c r="Z346" s="133"/>
      <c r="AA346" s="133"/>
    </row>
    <row r="347" spans="1:27" ht="21" customHeight="1" thickBot="1" x14ac:dyDescent="0.4">
      <c r="A347" s="133"/>
      <c r="B347" s="133"/>
      <c r="C347" s="133"/>
      <c r="D347" s="133"/>
      <c r="E347" s="106"/>
      <c r="F347" s="106"/>
      <c r="G347" s="133"/>
      <c r="H347" s="133"/>
      <c r="I347" s="133"/>
      <c r="J347" s="133"/>
      <c r="K347" s="133"/>
      <c r="L347" s="133"/>
      <c r="M347" s="133"/>
      <c r="N347" s="200"/>
      <c r="O347" s="131"/>
      <c r="P347" s="201"/>
      <c r="Q347" s="133"/>
      <c r="R347" s="133"/>
      <c r="S347" s="133"/>
      <c r="T347" s="133"/>
      <c r="U347" s="133"/>
      <c r="V347" s="133"/>
      <c r="W347" s="133"/>
      <c r="X347" s="133"/>
      <c r="Y347" s="133"/>
      <c r="Z347" s="133"/>
      <c r="AA347" s="133"/>
    </row>
    <row r="348" spans="1:27" ht="21" customHeight="1" thickBot="1" x14ac:dyDescent="0.4">
      <c r="A348" s="133"/>
      <c r="B348" s="133"/>
      <c r="C348" s="133"/>
      <c r="D348" s="133"/>
      <c r="E348" s="106"/>
      <c r="F348" s="106"/>
      <c r="G348" s="133"/>
      <c r="H348" s="133"/>
      <c r="I348" s="133"/>
      <c r="J348" s="133"/>
      <c r="K348" s="133"/>
      <c r="L348" s="133"/>
      <c r="M348" s="133"/>
      <c r="N348" s="200"/>
      <c r="O348" s="131"/>
      <c r="P348" s="201"/>
      <c r="Q348" s="133"/>
      <c r="R348" s="133"/>
      <c r="S348" s="133"/>
      <c r="T348" s="133"/>
      <c r="U348" s="133"/>
      <c r="V348" s="133"/>
      <c r="W348" s="133"/>
      <c r="X348" s="133"/>
      <c r="Y348" s="133"/>
      <c r="Z348" s="133"/>
      <c r="AA348" s="133"/>
    </row>
    <row r="349" spans="1:27" ht="21" customHeight="1" thickBot="1" x14ac:dyDescent="0.4">
      <c r="A349" s="133"/>
      <c r="B349" s="133"/>
      <c r="C349" s="133"/>
      <c r="D349" s="133"/>
      <c r="E349" s="106"/>
      <c r="F349" s="106"/>
      <c r="G349" s="133"/>
      <c r="H349" s="133"/>
      <c r="I349" s="133"/>
      <c r="J349" s="133"/>
      <c r="K349" s="133"/>
      <c r="L349" s="133"/>
      <c r="M349" s="133"/>
      <c r="N349" s="200"/>
      <c r="O349" s="131"/>
      <c r="P349" s="201"/>
      <c r="Q349" s="133"/>
      <c r="R349" s="133"/>
      <c r="S349" s="133"/>
      <c r="T349" s="133"/>
      <c r="U349" s="133"/>
      <c r="V349" s="133"/>
      <c r="W349" s="133"/>
      <c r="X349" s="133"/>
      <c r="Y349" s="133"/>
      <c r="Z349" s="133"/>
      <c r="AA349" s="133"/>
    </row>
    <row r="350" spans="1:27" ht="21" customHeight="1" thickBot="1" x14ac:dyDescent="0.4">
      <c r="A350" s="133"/>
      <c r="B350" s="133"/>
      <c r="C350" s="133"/>
      <c r="D350" s="133"/>
      <c r="E350" s="106"/>
      <c r="F350" s="106"/>
      <c r="G350" s="133"/>
      <c r="H350" s="133"/>
      <c r="I350" s="133"/>
      <c r="J350" s="133"/>
      <c r="K350" s="133"/>
      <c r="L350" s="133"/>
      <c r="M350" s="133"/>
      <c r="N350" s="200"/>
      <c r="O350" s="131"/>
      <c r="P350" s="201"/>
      <c r="Q350" s="133"/>
      <c r="R350" s="133"/>
      <c r="S350" s="133"/>
      <c r="T350" s="133"/>
      <c r="U350" s="133"/>
      <c r="V350" s="133"/>
      <c r="W350" s="133"/>
      <c r="X350" s="133"/>
      <c r="Y350" s="133"/>
      <c r="Z350" s="133"/>
      <c r="AA350" s="133"/>
    </row>
    <row r="351" spans="1:27" ht="21" customHeight="1" thickBot="1" x14ac:dyDescent="0.4">
      <c r="A351" s="133"/>
      <c r="B351" s="133"/>
      <c r="C351" s="133"/>
      <c r="D351" s="133"/>
      <c r="E351" s="106"/>
      <c r="F351" s="106"/>
      <c r="G351" s="133"/>
      <c r="H351" s="133"/>
      <c r="I351" s="133"/>
      <c r="J351" s="133"/>
      <c r="K351" s="133"/>
      <c r="L351" s="133"/>
      <c r="M351" s="133"/>
      <c r="N351" s="200"/>
      <c r="O351" s="131"/>
      <c r="P351" s="201"/>
      <c r="Q351" s="133"/>
      <c r="R351" s="133"/>
      <c r="S351" s="133"/>
      <c r="T351" s="133"/>
      <c r="U351" s="133"/>
      <c r="V351" s="133"/>
      <c r="W351" s="133"/>
      <c r="X351" s="133"/>
      <c r="Y351" s="133"/>
      <c r="Z351" s="133"/>
      <c r="AA351" s="133"/>
    </row>
    <row r="352" spans="1:27" ht="21" customHeight="1" thickBot="1" x14ac:dyDescent="0.4">
      <c r="A352" s="133"/>
      <c r="B352" s="133"/>
      <c r="C352" s="133"/>
      <c r="D352" s="133"/>
      <c r="E352" s="106"/>
      <c r="F352" s="106"/>
      <c r="G352" s="133"/>
      <c r="H352" s="133"/>
      <c r="I352" s="133"/>
      <c r="J352" s="133"/>
      <c r="K352" s="133"/>
      <c r="L352" s="133"/>
      <c r="M352" s="133"/>
      <c r="N352" s="200"/>
      <c r="O352" s="131"/>
      <c r="P352" s="201"/>
      <c r="Q352" s="133"/>
      <c r="R352" s="133"/>
      <c r="S352" s="133"/>
      <c r="T352" s="133"/>
      <c r="U352" s="133"/>
      <c r="V352" s="133"/>
      <c r="W352" s="133"/>
      <c r="X352" s="133"/>
      <c r="Y352" s="133"/>
      <c r="Z352" s="133"/>
      <c r="AA352" s="133"/>
    </row>
    <row r="353" spans="1:27" ht="21" customHeight="1" thickBot="1" x14ac:dyDescent="0.4">
      <c r="A353" s="133"/>
      <c r="B353" s="133"/>
      <c r="C353" s="133"/>
      <c r="D353" s="133"/>
      <c r="E353" s="106"/>
      <c r="F353" s="106"/>
      <c r="G353" s="133"/>
      <c r="H353" s="133"/>
      <c r="I353" s="133"/>
      <c r="J353" s="133"/>
      <c r="K353" s="133"/>
      <c r="L353" s="133"/>
      <c r="M353" s="133"/>
      <c r="N353" s="200"/>
      <c r="O353" s="131"/>
      <c r="P353" s="201"/>
      <c r="Q353" s="133"/>
      <c r="R353" s="133"/>
      <c r="S353" s="133"/>
      <c r="T353" s="133"/>
      <c r="U353" s="133"/>
      <c r="V353" s="133"/>
      <c r="W353" s="133"/>
      <c r="X353" s="133"/>
      <c r="Y353" s="133"/>
      <c r="Z353" s="133"/>
      <c r="AA353" s="133"/>
    </row>
    <row r="354" spans="1:27" ht="21" customHeight="1" thickBot="1" x14ac:dyDescent="0.4">
      <c r="A354" s="133"/>
      <c r="B354" s="133"/>
      <c r="C354" s="133"/>
      <c r="D354" s="133"/>
      <c r="E354" s="106"/>
      <c r="F354" s="106"/>
      <c r="G354" s="133"/>
      <c r="H354" s="133"/>
      <c r="I354" s="133"/>
      <c r="J354" s="133"/>
      <c r="K354" s="133"/>
      <c r="L354" s="133"/>
      <c r="M354" s="133"/>
      <c r="N354" s="200"/>
      <c r="O354" s="131"/>
      <c r="P354" s="201"/>
      <c r="Q354" s="133"/>
      <c r="R354" s="133"/>
      <c r="S354" s="133"/>
      <c r="T354" s="133"/>
      <c r="U354" s="133"/>
      <c r="V354" s="133"/>
      <c r="W354" s="133"/>
      <c r="X354" s="133"/>
      <c r="Y354" s="133"/>
      <c r="Z354" s="133"/>
      <c r="AA354" s="133"/>
    </row>
    <row r="355" spans="1:27" ht="21" customHeight="1" thickBot="1" x14ac:dyDescent="0.4">
      <c r="A355" s="133"/>
      <c r="B355" s="133"/>
      <c r="C355" s="133"/>
      <c r="D355" s="133"/>
      <c r="E355" s="106"/>
      <c r="F355" s="106"/>
      <c r="G355" s="133"/>
      <c r="H355" s="133"/>
      <c r="I355" s="133"/>
      <c r="J355" s="133"/>
      <c r="K355" s="133"/>
      <c r="L355" s="133"/>
      <c r="M355" s="133"/>
      <c r="N355" s="200"/>
      <c r="O355" s="131"/>
      <c r="P355" s="201"/>
      <c r="Q355" s="133"/>
      <c r="R355" s="133"/>
      <c r="S355" s="133"/>
      <c r="T355" s="133"/>
      <c r="U355" s="133"/>
      <c r="V355" s="133"/>
      <c r="W355" s="133"/>
      <c r="X355" s="133"/>
      <c r="Y355" s="133"/>
      <c r="Z355" s="133"/>
      <c r="AA355" s="133"/>
    </row>
    <row r="356" spans="1:27" ht="21" customHeight="1" thickBot="1" x14ac:dyDescent="0.4">
      <c r="A356" s="133"/>
      <c r="B356" s="133"/>
      <c r="C356" s="133"/>
      <c r="D356" s="133"/>
      <c r="E356" s="106"/>
      <c r="F356" s="106"/>
      <c r="G356" s="133"/>
      <c r="H356" s="133"/>
      <c r="I356" s="133"/>
      <c r="J356" s="133"/>
      <c r="K356" s="133"/>
      <c r="L356" s="133"/>
      <c r="M356" s="133"/>
      <c r="N356" s="200"/>
      <c r="O356" s="131"/>
      <c r="P356" s="201"/>
      <c r="Q356" s="133"/>
      <c r="R356" s="133"/>
      <c r="S356" s="133"/>
      <c r="T356" s="133"/>
      <c r="U356" s="133"/>
      <c r="V356" s="133"/>
      <c r="W356" s="133"/>
      <c r="X356" s="133"/>
      <c r="Y356" s="133"/>
      <c r="Z356" s="133"/>
      <c r="AA356" s="133"/>
    </row>
    <row r="357" spans="1:27" ht="21" customHeight="1" thickBot="1" x14ac:dyDescent="0.4">
      <c r="A357" s="133"/>
      <c r="B357" s="133"/>
      <c r="C357" s="133"/>
      <c r="D357" s="133"/>
      <c r="E357" s="106"/>
      <c r="F357" s="106"/>
      <c r="G357" s="133"/>
      <c r="H357" s="133"/>
      <c r="I357" s="133"/>
      <c r="J357" s="133"/>
      <c r="K357" s="133"/>
      <c r="L357" s="133"/>
      <c r="M357" s="133"/>
      <c r="N357" s="200"/>
      <c r="O357" s="131"/>
      <c r="P357" s="201"/>
      <c r="Q357" s="133"/>
      <c r="R357" s="133"/>
      <c r="S357" s="133"/>
      <c r="T357" s="133"/>
      <c r="U357" s="133"/>
      <c r="V357" s="133"/>
      <c r="W357" s="133"/>
      <c r="X357" s="133"/>
      <c r="Y357" s="133"/>
      <c r="Z357" s="133"/>
      <c r="AA357" s="133"/>
    </row>
    <row r="358" spans="1:27" ht="21" customHeight="1" thickBot="1" x14ac:dyDescent="0.4">
      <c r="A358" s="133"/>
      <c r="B358" s="133"/>
      <c r="C358" s="133"/>
      <c r="D358" s="133"/>
      <c r="E358" s="106"/>
      <c r="F358" s="106"/>
      <c r="G358" s="133"/>
      <c r="H358" s="133"/>
      <c r="I358" s="133"/>
      <c r="J358" s="133"/>
      <c r="K358" s="133"/>
      <c r="L358" s="133"/>
      <c r="M358" s="133"/>
      <c r="N358" s="200"/>
      <c r="O358" s="131"/>
      <c r="P358" s="201"/>
      <c r="Q358" s="133"/>
      <c r="R358" s="133"/>
      <c r="S358" s="133"/>
      <c r="T358" s="133"/>
      <c r="U358" s="133"/>
      <c r="V358" s="133"/>
      <c r="W358" s="133"/>
      <c r="X358" s="133"/>
      <c r="Y358" s="133"/>
      <c r="Z358" s="133"/>
      <c r="AA358" s="133"/>
    </row>
    <row r="359" spans="1:27" ht="21" customHeight="1" thickBot="1" x14ac:dyDescent="0.4">
      <c r="A359" s="133"/>
      <c r="B359" s="133"/>
      <c r="C359" s="133"/>
      <c r="D359" s="133"/>
      <c r="E359" s="106"/>
      <c r="F359" s="106"/>
      <c r="G359" s="133"/>
      <c r="H359" s="133"/>
      <c r="I359" s="133"/>
      <c r="J359" s="133"/>
      <c r="K359" s="133"/>
      <c r="L359" s="133"/>
      <c r="M359" s="133"/>
      <c r="N359" s="200"/>
      <c r="O359" s="131"/>
      <c r="P359" s="201"/>
      <c r="Q359" s="133"/>
      <c r="R359" s="133"/>
      <c r="S359" s="133"/>
      <c r="T359" s="133"/>
      <c r="U359" s="133"/>
      <c r="V359" s="133"/>
      <c r="W359" s="133"/>
      <c r="X359" s="133"/>
      <c r="Y359" s="133"/>
      <c r="Z359" s="133"/>
      <c r="AA359" s="133"/>
    </row>
    <row r="360" spans="1:27" ht="21" customHeight="1" thickBot="1" x14ac:dyDescent="0.4">
      <c r="A360" s="133"/>
      <c r="B360" s="133"/>
      <c r="C360" s="133"/>
      <c r="D360" s="133"/>
      <c r="E360" s="106"/>
      <c r="F360" s="106"/>
      <c r="G360" s="133"/>
      <c r="H360" s="133"/>
      <c r="I360" s="133"/>
      <c r="J360" s="133"/>
      <c r="K360" s="133"/>
      <c r="L360" s="133"/>
      <c r="M360" s="133"/>
      <c r="N360" s="200"/>
      <c r="O360" s="131"/>
      <c r="P360" s="201"/>
      <c r="Q360" s="133"/>
      <c r="R360" s="133"/>
      <c r="S360" s="133"/>
      <c r="T360" s="133"/>
      <c r="U360" s="133"/>
      <c r="V360" s="133"/>
      <c r="W360" s="133"/>
      <c r="X360" s="133"/>
      <c r="Y360" s="133"/>
      <c r="Z360" s="133"/>
      <c r="AA360" s="133"/>
    </row>
    <row r="361" spans="1:27" ht="21" customHeight="1" thickBot="1" x14ac:dyDescent="0.4">
      <c r="A361" s="133"/>
      <c r="B361" s="133"/>
      <c r="C361" s="133"/>
      <c r="D361" s="133"/>
      <c r="E361" s="106"/>
      <c r="F361" s="106"/>
      <c r="G361" s="133"/>
      <c r="H361" s="133"/>
      <c r="I361" s="133"/>
      <c r="J361" s="133"/>
      <c r="K361" s="133"/>
      <c r="L361" s="133"/>
      <c r="M361" s="133"/>
      <c r="N361" s="200"/>
      <c r="O361" s="131"/>
      <c r="P361" s="201"/>
      <c r="Q361" s="133"/>
      <c r="R361" s="133"/>
      <c r="S361" s="133"/>
      <c r="T361" s="133"/>
      <c r="U361" s="133"/>
      <c r="V361" s="133"/>
      <c r="W361" s="133"/>
      <c r="X361" s="133"/>
      <c r="Y361" s="133"/>
      <c r="Z361" s="133"/>
      <c r="AA361" s="133"/>
    </row>
    <row r="362" spans="1:27" ht="21" customHeight="1" thickBot="1" x14ac:dyDescent="0.4">
      <c r="A362" s="133"/>
      <c r="B362" s="133"/>
      <c r="C362" s="133"/>
      <c r="D362" s="133"/>
      <c r="E362" s="106"/>
      <c r="F362" s="106"/>
      <c r="G362" s="133"/>
      <c r="H362" s="133"/>
      <c r="I362" s="133"/>
      <c r="J362" s="133"/>
      <c r="K362" s="133"/>
      <c r="L362" s="133"/>
      <c r="M362" s="133"/>
      <c r="N362" s="200"/>
      <c r="O362" s="131"/>
      <c r="P362" s="201"/>
      <c r="Q362" s="133"/>
      <c r="R362" s="133"/>
      <c r="S362" s="133"/>
      <c r="T362" s="133"/>
      <c r="U362" s="133"/>
      <c r="V362" s="133"/>
      <c r="W362" s="133"/>
      <c r="X362" s="133"/>
      <c r="Y362" s="133"/>
      <c r="Z362" s="133"/>
      <c r="AA362" s="133"/>
    </row>
    <row r="363" spans="1:27" ht="21" customHeight="1" thickBot="1" x14ac:dyDescent="0.4">
      <c r="A363" s="133"/>
      <c r="B363" s="133"/>
      <c r="C363" s="133"/>
      <c r="D363" s="133"/>
      <c r="E363" s="106"/>
      <c r="F363" s="106"/>
      <c r="G363" s="133"/>
      <c r="H363" s="133"/>
      <c r="I363" s="133"/>
      <c r="J363" s="133"/>
      <c r="K363" s="133"/>
      <c r="L363" s="133"/>
      <c r="M363" s="133"/>
      <c r="N363" s="200"/>
      <c r="O363" s="131"/>
      <c r="P363" s="201"/>
      <c r="Q363" s="133"/>
      <c r="R363" s="133"/>
      <c r="S363" s="133"/>
      <c r="T363" s="133"/>
      <c r="U363" s="133"/>
      <c r="V363" s="133"/>
      <c r="W363" s="133"/>
      <c r="X363" s="133"/>
      <c r="Y363" s="133"/>
      <c r="Z363" s="133"/>
      <c r="AA363" s="133"/>
    </row>
    <row r="364" spans="1:27" ht="21" customHeight="1" thickBot="1" x14ac:dyDescent="0.4">
      <c r="A364" s="133"/>
      <c r="B364" s="133"/>
      <c r="C364" s="133"/>
      <c r="D364" s="133"/>
      <c r="E364" s="106"/>
      <c r="F364" s="106"/>
      <c r="G364" s="133"/>
      <c r="H364" s="133"/>
      <c r="I364" s="133"/>
      <c r="J364" s="133"/>
      <c r="K364" s="133"/>
      <c r="L364" s="133"/>
      <c r="M364" s="133"/>
      <c r="N364" s="200"/>
      <c r="O364" s="131"/>
      <c r="P364" s="201"/>
      <c r="Q364" s="133"/>
      <c r="R364" s="133"/>
      <c r="S364" s="133"/>
      <c r="T364" s="133"/>
      <c r="U364" s="133"/>
      <c r="V364" s="133"/>
      <c r="W364" s="133"/>
      <c r="X364" s="133"/>
      <c r="Y364" s="133"/>
      <c r="Z364" s="133"/>
      <c r="AA364" s="133"/>
    </row>
    <row r="365" spans="1:27" ht="21" customHeight="1" thickBot="1" x14ac:dyDescent="0.4">
      <c r="A365" s="133"/>
      <c r="B365" s="133"/>
      <c r="C365" s="133"/>
      <c r="D365" s="133"/>
      <c r="E365" s="106"/>
      <c r="F365" s="106"/>
      <c r="G365" s="133"/>
      <c r="H365" s="133"/>
      <c r="I365" s="133"/>
      <c r="J365" s="133"/>
      <c r="K365" s="133"/>
      <c r="L365" s="133"/>
      <c r="M365" s="133"/>
      <c r="N365" s="200"/>
      <c r="O365" s="131"/>
      <c r="P365" s="201"/>
      <c r="Q365" s="133"/>
      <c r="R365" s="133"/>
      <c r="S365" s="133"/>
      <c r="T365" s="133"/>
      <c r="U365" s="133"/>
      <c r="V365" s="133"/>
      <c r="W365" s="133"/>
      <c r="X365" s="133"/>
      <c r="Y365" s="133"/>
      <c r="Z365" s="133"/>
      <c r="AA365" s="133"/>
    </row>
    <row r="366" spans="1:27" ht="21" customHeight="1" thickBot="1" x14ac:dyDescent="0.4">
      <c r="A366" s="133"/>
      <c r="B366" s="133"/>
      <c r="C366" s="133"/>
      <c r="D366" s="133"/>
      <c r="E366" s="106"/>
      <c r="F366" s="106"/>
      <c r="G366" s="133"/>
      <c r="H366" s="133"/>
      <c r="I366" s="133"/>
      <c r="J366" s="133"/>
      <c r="K366" s="133"/>
      <c r="L366" s="133"/>
      <c r="M366" s="133"/>
      <c r="N366" s="200"/>
      <c r="O366" s="131"/>
      <c r="P366" s="201"/>
      <c r="Q366" s="133"/>
      <c r="R366" s="133"/>
      <c r="S366" s="133"/>
      <c r="T366" s="133"/>
      <c r="U366" s="133"/>
      <c r="V366" s="133"/>
      <c r="W366" s="133"/>
      <c r="X366" s="133"/>
      <c r="Y366" s="133"/>
      <c r="Z366" s="133"/>
      <c r="AA366" s="133"/>
    </row>
    <row r="367" spans="1:27" ht="21" customHeight="1" thickBot="1" x14ac:dyDescent="0.4">
      <c r="A367" s="133"/>
      <c r="B367" s="133"/>
      <c r="C367" s="133"/>
      <c r="D367" s="133"/>
      <c r="E367" s="106"/>
      <c r="F367" s="106"/>
      <c r="G367" s="133"/>
      <c r="H367" s="133"/>
      <c r="I367" s="133"/>
      <c r="J367" s="133"/>
      <c r="K367" s="133"/>
      <c r="L367" s="133"/>
      <c r="M367" s="133"/>
      <c r="N367" s="200"/>
      <c r="O367" s="131"/>
      <c r="P367" s="201"/>
      <c r="Q367" s="133"/>
      <c r="R367" s="133"/>
      <c r="S367" s="133"/>
      <c r="T367" s="133"/>
      <c r="U367" s="133"/>
      <c r="V367" s="133"/>
      <c r="W367" s="133"/>
      <c r="X367" s="133"/>
      <c r="Y367" s="133"/>
      <c r="Z367" s="133"/>
      <c r="AA367" s="133"/>
    </row>
    <row r="368" spans="1:27" ht="21" customHeight="1" thickBot="1" x14ac:dyDescent="0.4">
      <c r="A368" s="133"/>
      <c r="B368" s="133"/>
      <c r="C368" s="133"/>
      <c r="D368" s="133"/>
      <c r="E368" s="106"/>
      <c r="F368" s="106"/>
      <c r="G368" s="133"/>
      <c r="H368" s="133"/>
      <c r="I368" s="133"/>
      <c r="J368" s="133"/>
      <c r="K368" s="133"/>
      <c r="L368" s="133"/>
      <c r="M368" s="133"/>
      <c r="N368" s="200"/>
      <c r="O368" s="131"/>
      <c r="P368" s="201"/>
      <c r="Q368" s="133"/>
      <c r="R368" s="133"/>
      <c r="S368" s="133"/>
      <c r="T368" s="133"/>
      <c r="U368" s="133"/>
      <c r="V368" s="133"/>
      <c r="W368" s="133"/>
      <c r="X368" s="133"/>
      <c r="Y368" s="133"/>
      <c r="Z368" s="133"/>
      <c r="AA368" s="133"/>
    </row>
    <row r="369" spans="1:27" ht="21" customHeight="1" thickBot="1" x14ac:dyDescent="0.4">
      <c r="A369" s="133"/>
      <c r="B369" s="133"/>
      <c r="C369" s="133"/>
      <c r="D369" s="133"/>
      <c r="E369" s="106"/>
      <c r="F369" s="106"/>
      <c r="G369" s="133"/>
      <c r="H369" s="133"/>
      <c r="I369" s="133"/>
      <c r="J369" s="133"/>
      <c r="K369" s="133"/>
      <c r="L369" s="133"/>
      <c r="M369" s="133"/>
      <c r="N369" s="200"/>
      <c r="O369" s="131"/>
      <c r="P369" s="201"/>
      <c r="Q369" s="133"/>
      <c r="R369" s="133"/>
      <c r="S369" s="133"/>
      <c r="T369" s="133"/>
      <c r="U369" s="133"/>
      <c r="V369" s="133"/>
      <c r="W369" s="133"/>
      <c r="X369" s="133"/>
      <c r="Y369" s="133"/>
      <c r="Z369" s="133"/>
      <c r="AA369" s="133"/>
    </row>
    <row r="370" spans="1:27" ht="21" customHeight="1" thickBot="1" x14ac:dyDescent="0.4">
      <c r="A370" s="133"/>
      <c r="B370" s="133"/>
      <c r="C370" s="133"/>
      <c r="D370" s="133"/>
      <c r="E370" s="106"/>
      <c r="F370" s="106"/>
      <c r="G370" s="133"/>
      <c r="H370" s="133"/>
      <c r="I370" s="133"/>
      <c r="J370" s="133"/>
      <c r="K370" s="133"/>
      <c r="L370" s="133"/>
      <c r="M370" s="133"/>
      <c r="N370" s="200"/>
      <c r="O370" s="131"/>
      <c r="P370" s="201"/>
      <c r="Q370" s="133"/>
      <c r="R370" s="133"/>
      <c r="S370" s="133"/>
      <c r="T370" s="133"/>
      <c r="U370" s="133"/>
      <c r="V370" s="133"/>
      <c r="W370" s="133"/>
      <c r="X370" s="133"/>
      <c r="Y370" s="133"/>
      <c r="Z370" s="133"/>
      <c r="AA370" s="133"/>
    </row>
    <row r="371" spans="1:27" ht="21" customHeight="1" thickBot="1" x14ac:dyDescent="0.4">
      <c r="A371" s="133"/>
      <c r="B371" s="133"/>
      <c r="C371" s="133"/>
      <c r="D371" s="133"/>
      <c r="E371" s="106"/>
      <c r="F371" s="106"/>
      <c r="G371" s="133"/>
      <c r="H371" s="133"/>
      <c r="I371" s="133"/>
      <c r="J371" s="133"/>
      <c r="K371" s="133"/>
      <c r="L371" s="133"/>
      <c r="M371" s="133"/>
      <c r="N371" s="200"/>
      <c r="O371" s="131"/>
      <c r="P371" s="201"/>
      <c r="Q371" s="133"/>
      <c r="R371" s="133"/>
      <c r="S371" s="133"/>
      <c r="T371" s="133"/>
      <c r="U371" s="133"/>
      <c r="V371" s="133"/>
      <c r="W371" s="133"/>
      <c r="X371" s="133"/>
      <c r="Y371" s="133"/>
      <c r="Z371" s="133"/>
      <c r="AA371" s="133"/>
    </row>
    <row r="372" spans="1:27" ht="21" customHeight="1" thickBot="1" x14ac:dyDescent="0.4">
      <c r="A372" s="133"/>
      <c r="B372" s="133"/>
      <c r="C372" s="133"/>
      <c r="D372" s="133"/>
      <c r="E372" s="106"/>
      <c r="F372" s="106"/>
      <c r="G372" s="133"/>
      <c r="H372" s="133"/>
      <c r="I372" s="133"/>
      <c r="J372" s="133"/>
      <c r="K372" s="133"/>
      <c r="L372" s="133"/>
      <c r="M372" s="133"/>
      <c r="N372" s="200"/>
      <c r="O372" s="131"/>
      <c r="P372" s="201"/>
      <c r="Q372" s="133"/>
      <c r="R372" s="133"/>
      <c r="S372" s="133"/>
      <c r="T372" s="133"/>
      <c r="U372" s="133"/>
      <c r="V372" s="133"/>
      <c r="W372" s="133"/>
      <c r="X372" s="133"/>
      <c r="Y372" s="133"/>
      <c r="Z372" s="133"/>
      <c r="AA372" s="133"/>
    </row>
    <row r="373" spans="1:27" ht="21" customHeight="1" thickBot="1" x14ac:dyDescent="0.4">
      <c r="A373" s="133"/>
      <c r="B373" s="133"/>
      <c r="C373" s="133"/>
      <c r="D373" s="133"/>
      <c r="E373" s="106"/>
      <c r="F373" s="106"/>
      <c r="G373" s="133"/>
      <c r="H373" s="133"/>
      <c r="I373" s="133"/>
      <c r="J373" s="133"/>
      <c r="K373" s="133"/>
      <c r="L373" s="133"/>
      <c r="M373" s="133"/>
      <c r="N373" s="200"/>
      <c r="O373" s="131"/>
      <c r="P373" s="201"/>
      <c r="Q373" s="133"/>
      <c r="R373" s="133"/>
      <c r="S373" s="133"/>
      <c r="T373" s="133"/>
      <c r="U373" s="133"/>
      <c r="V373" s="133"/>
      <c r="W373" s="133"/>
      <c r="X373" s="133"/>
      <c r="Y373" s="133"/>
      <c r="Z373" s="133"/>
      <c r="AA373" s="133"/>
    </row>
    <row r="374" spans="1:27" ht="21" customHeight="1" thickBot="1" x14ac:dyDescent="0.4">
      <c r="A374" s="133"/>
      <c r="B374" s="133"/>
      <c r="C374" s="133"/>
      <c r="D374" s="133"/>
      <c r="E374" s="106"/>
      <c r="F374" s="106"/>
      <c r="G374" s="133"/>
      <c r="H374" s="133"/>
      <c r="I374" s="133"/>
      <c r="J374" s="133"/>
      <c r="K374" s="133"/>
      <c r="L374" s="133"/>
      <c r="M374" s="133"/>
      <c r="N374" s="200"/>
      <c r="O374" s="131"/>
      <c r="P374" s="201"/>
      <c r="Q374" s="133"/>
      <c r="R374" s="133"/>
      <c r="S374" s="133"/>
      <c r="T374" s="133"/>
      <c r="U374" s="133"/>
      <c r="V374" s="133"/>
      <c r="W374" s="133"/>
      <c r="X374" s="133"/>
      <c r="Y374" s="133"/>
      <c r="Z374" s="133"/>
      <c r="AA374" s="133"/>
    </row>
    <row r="375" spans="1:27" ht="21" customHeight="1" thickBot="1" x14ac:dyDescent="0.4">
      <c r="A375" s="133"/>
      <c r="B375" s="133"/>
      <c r="C375" s="133"/>
      <c r="D375" s="133"/>
      <c r="E375" s="106"/>
      <c r="F375" s="106"/>
      <c r="G375" s="133"/>
      <c r="H375" s="133"/>
      <c r="I375" s="133"/>
      <c r="J375" s="133"/>
      <c r="K375" s="133"/>
      <c r="L375" s="133"/>
      <c r="M375" s="133"/>
      <c r="N375" s="200"/>
      <c r="O375" s="131"/>
      <c r="P375" s="201"/>
      <c r="Q375" s="133"/>
      <c r="R375" s="133"/>
      <c r="S375" s="133"/>
      <c r="T375" s="133"/>
      <c r="U375" s="133"/>
      <c r="V375" s="133"/>
      <c r="W375" s="133"/>
      <c r="X375" s="133"/>
      <c r="Y375" s="133"/>
      <c r="Z375" s="133"/>
      <c r="AA375" s="133"/>
    </row>
    <row r="376" spans="1:27" ht="21" customHeight="1" thickBot="1" x14ac:dyDescent="0.4">
      <c r="A376" s="133"/>
      <c r="B376" s="133"/>
      <c r="C376" s="133"/>
      <c r="D376" s="133"/>
      <c r="E376" s="106"/>
      <c r="F376" s="106"/>
      <c r="G376" s="133"/>
      <c r="H376" s="133"/>
      <c r="I376" s="133"/>
      <c r="J376" s="133"/>
      <c r="K376" s="133"/>
      <c r="L376" s="133"/>
      <c r="M376" s="133"/>
      <c r="N376" s="200"/>
      <c r="O376" s="131"/>
      <c r="P376" s="201"/>
      <c r="Q376" s="133"/>
      <c r="R376" s="133"/>
      <c r="S376" s="133"/>
      <c r="T376" s="133"/>
      <c r="U376" s="133"/>
      <c r="V376" s="133"/>
      <c r="W376" s="133"/>
      <c r="X376" s="133"/>
      <c r="Y376" s="133"/>
      <c r="Z376" s="133"/>
      <c r="AA376" s="133"/>
    </row>
    <row r="377" spans="1:27" ht="21" customHeight="1" thickBot="1" x14ac:dyDescent="0.4">
      <c r="A377" s="133"/>
      <c r="B377" s="133"/>
      <c r="C377" s="133"/>
      <c r="D377" s="133"/>
      <c r="E377" s="106"/>
      <c r="F377" s="106"/>
      <c r="G377" s="133"/>
      <c r="H377" s="133"/>
      <c r="I377" s="133"/>
      <c r="J377" s="133"/>
      <c r="K377" s="133"/>
      <c r="L377" s="133"/>
      <c r="M377" s="133"/>
      <c r="N377" s="200"/>
      <c r="O377" s="131"/>
      <c r="P377" s="201"/>
      <c r="Q377" s="133"/>
      <c r="R377" s="133"/>
      <c r="S377" s="133"/>
      <c r="T377" s="133"/>
      <c r="U377" s="133"/>
      <c r="V377" s="133"/>
      <c r="W377" s="133"/>
      <c r="X377" s="133"/>
      <c r="Y377" s="133"/>
      <c r="Z377" s="133"/>
      <c r="AA377" s="133"/>
    </row>
    <row r="378" spans="1:27" ht="21" customHeight="1" thickBot="1" x14ac:dyDescent="0.4">
      <c r="A378" s="133"/>
      <c r="B378" s="133"/>
      <c r="C378" s="133"/>
      <c r="D378" s="133"/>
      <c r="E378" s="106"/>
      <c r="F378" s="106"/>
      <c r="G378" s="133"/>
      <c r="H378" s="133"/>
      <c r="I378" s="133"/>
      <c r="J378" s="133"/>
      <c r="K378" s="133"/>
      <c r="L378" s="133"/>
      <c r="M378" s="133"/>
      <c r="N378" s="200"/>
      <c r="O378" s="131"/>
      <c r="P378" s="201"/>
      <c r="Q378" s="133"/>
      <c r="R378" s="133"/>
      <c r="S378" s="133"/>
      <c r="T378" s="133"/>
      <c r="U378" s="133"/>
      <c r="V378" s="133"/>
      <c r="W378" s="133"/>
      <c r="X378" s="133"/>
      <c r="Y378" s="133"/>
      <c r="Z378" s="133"/>
      <c r="AA378" s="133"/>
    </row>
    <row r="379" spans="1:27" ht="21" customHeight="1" thickBot="1" x14ac:dyDescent="0.4">
      <c r="A379" s="133"/>
      <c r="B379" s="133"/>
      <c r="C379" s="133"/>
      <c r="D379" s="133"/>
      <c r="E379" s="106"/>
      <c r="F379" s="106"/>
      <c r="G379" s="133"/>
      <c r="H379" s="133"/>
      <c r="I379" s="133"/>
      <c r="J379" s="133"/>
      <c r="K379" s="133"/>
      <c r="L379" s="133"/>
      <c r="M379" s="133"/>
      <c r="N379" s="200"/>
      <c r="O379" s="131"/>
      <c r="P379" s="201"/>
      <c r="Q379" s="133"/>
      <c r="R379" s="133"/>
      <c r="S379" s="133"/>
      <c r="T379" s="133"/>
      <c r="U379" s="133"/>
      <c r="V379" s="133"/>
      <c r="W379" s="133"/>
      <c r="X379" s="133"/>
      <c r="Y379" s="133"/>
      <c r="Z379" s="133"/>
      <c r="AA379" s="133"/>
    </row>
    <row r="380" spans="1:27" ht="21" customHeight="1" thickBot="1" x14ac:dyDescent="0.4">
      <c r="A380" s="133"/>
      <c r="B380" s="133"/>
      <c r="C380" s="133"/>
      <c r="D380" s="133"/>
      <c r="E380" s="106"/>
      <c r="F380" s="106"/>
      <c r="G380" s="133"/>
      <c r="H380" s="133"/>
      <c r="I380" s="133"/>
      <c r="J380" s="133"/>
      <c r="K380" s="133"/>
      <c r="L380" s="133"/>
      <c r="M380" s="133"/>
      <c r="N380" s="200"/>
      <c r="O380" s="131"/>
      <c r="P380" s="201"/>
      <c r="Q380" s="133"/>
      <c r="R380" s="133"/>
      <c r="S380" s="133"/>
      <c r="T380" s="133"/>
      <c r="U380" s="133"/>
      <c r="V380" s="133"/>
      <c r="W380" s="133"/>
      <c r="X380" s="133"/>
      <c r="Y380" s="133"/>
      <c r="Z380" s="133"/>
      <c r="AA380" s="133"/>
    </row>
    <row r="381" spans="1:27" ht="21" customHeight="1" thickBot="1" x14ac:dyDescent="0.4">
      <c r="A381" s="133"/>
      <c r="B381" s="133"/>
      <c r="C381" s="133"/>
      <c r="D381" s="133"/>
      <c r="E381" s="106"/>
      <c r="F381" s="106"/>
      <c r="G381" s="133"/>
      <c r="H381" s="133"/>
      <c r="I381" s="133"/>
      <c r="J381" s="133"/>
      <c r="K381" s="133"/>
      <c r="L381" s="133"/>
      <c r="M381" s="133"/>
      <c r="N381" s="200"/>
      <c r="O381" s="131"/>
      <c r="P381" s="201"/>
      <c r="Q381" s="133"/>
      <c r="R381" s="133"/>
      <c r="S381" s="133"/>
      <c r="T381" s="133"/>
      <c r="U381" s="133"/>
      <c r="V381" s="133"/>
      <c r="W381" s="133"/>
      <c r="X381" s="133"/>
      <c r="Y381" s="133"/>
      <c r="Z381" s="133"/>
      <c r="AA381" s="133"/>
    </row>
    <row r="382" spans="1:27" ht="21" customHeight="1" thickBot="1" x14ac:dyDescent="0.4">
      <c r="A382" s="133"/>
      <c r="B382" s="133"/>
      <c r="C382" s="133"/>
      <c r="D382" s="133"/>
      <c r="E382" s="106"/>
      <c r="F382" s="106"/>
      <c r="G382" s="133"/>
      <c r="H382" s="133"/>
      <c r="I382" s="133"/>
      <c r="J382" s="133"/>
      <c r="K382" s="133"/>
      <c r="L382" s="133"/>
      <c r="M382" s="133"/>
      <c r="N382" s="200"/>
      <c r="O382" s="131"/>
      <c r="P382" s="201"/>
      <c r="Q382" s="133"/>
      <c r="R382" s="133"/>
      <c r="S382" s="133"/>
      <c r="T382" s="133"/>
      <c r="U382" s="133"/>
      <c r="V382" s="133"/>
      <c r="W382" s="133"/>
      <c r="X382" s="133"/>
      <c r="Y382" s="133"/>
      <c r="Z382" s="133"/>
      <c r="AA382" s="133"/>
    </row>
    <row r="383" spans="1:27" ht="21" customHeight="1" thickBot="1" x14ac:dyDescent="0.4">
      <c r="A383" s="133"/>
      <c r="B383" s="133"/>
      <c r="C383" s="133"/>
      <c r="D383" s="133"/>
      <c r="E383" s="106"/>
      <c r="F383" s="106"/>
      <c r="G383" s="133"/>
      <c r="H383" s="133"/>
      <c r="I383" s="133"/>
      <c r="J383" s="133"/>
      <c r="K383" s="133"/>
      <c r="L383" s="133"/>
      <c r="M383" s="133"/>
      <c r="N383" s="200"/>
      <c r="O383" s="131"/>
      <c r="P383" s="201"/>
      <c r="Q383" s="133"/>
      <c r="R383" s="133"/>
      <c r="S383" s="133"/>
      <c r="T383" s="133"/>
      <c r="U383" s="133"/>
      <c r="V383" s="133"/>
      <c r="W383" s="133"/>
      <c r="X383" s="133"/>
      <c r="Y383" s="133"/>
      <c r="Z383" s="133"/>
      <c r="AA383" s="133"/>
    </row>
    <row r="384" spans="1:27" ht="21" customHeight="1" thickBot="1" x14ac:dyDescent="0.4">
      <c r="A384" s="133"/>
      <c r="B384" s="133"/>
      <c r="C384" s="133"/>
      <c r="D384" s="133"/>
      <c r="E384" s="106"/>
      <c r="F384" s="106"/>
      <c r="G384" s="133"/>
      <c r="H384" s="133"/>
      <c r="I384" s="133"/>
      <c r="J384" s="133"/>
      <c r="K384" s="133"/>
      <c r="L384" s="133"/>
      <c r="M384" s="133"/>
      <c r="N384" s="200"/>
      <c r="O384" s="131"/>
      <c r="P384" s="201"/>
      <c r="Q384" s="133"/>
      <c r="R384" s="133"/>
      <c r="S384" s="133"/>
      <c r="T384" s="133"/>
      <c r="U384" s="133"/>
      <c r="V384" s="133"/>
      <c r="W384" s="133"/>
      <c r="X384" s="133"/>
      <c r="Y384" s="133"/>
      <c r="Z384" s="133"/>
      <c r="AA384" s="133"/>
    </row>
    <row r="385" spans="1:27" ht="21" customHeight="1" thickBot="1" x14ac:dyDescent="0.4">
      <c r="A385" s="133"/>
      <c r="B385" s="133"/>
      <c r="C385" s="133"/>
      <c r="D385" s="133"/>
      <c r="E385" s="106"/>
      <c r="F385" s="106"/>
      <c r="G385" s="133"/>
      <c r="H385" s="133"/>
      <c r="I385" s="133"/>
      <c r="J385" s="133"/>
      <c r="K385" s="133"/>
      <c r="L385" s="133"/>
      <c r="M385" s="133"/>
      <c r="N385" s="200"/>
      <c r="O385" s="131"/>
      <c r="P385" s="201"/>
      <c r="Q385" s="133"/>
      <c r="R385" s="133"/>
      <c r="S385" s="133"/>
      <c r="T385" s="133"/>
      <c r="U385" s="133"/>
      <c r="V385" s="133"/>
      <c r="W385" s="133"/>
      <c r="X385" s="133"/>
      <c r="Y385" s="133"/>
      <c r="Z385" s="133"/>
      <c r="AA385" s="133"/>
    </row>
    <row r="386" spans="1:27" ht="21" customHeight="1" thickBot="1" x14ac:dyDescent="0.4">
      <c r="A386" s="133"/>
      <c r="B386" s="133"/>
      <c r="C386" s="133"/>
      <c r="D386" s="133"/>
      <c r="E386" s="106"/>
      <c r="F386" s="106"/>
      <c r="G386" s="133"/>
      <c r="H386" s="133"/>
      <c r="I386" s="133"/>
      <c r="J386" s="133"/>
      <c r="K386" s="133"/>
      <c r="L386" s="133"/>
      <c r="M386" s="133"/>
      <c r="N386" s="200"/>
      <c r="O386" s="131"/>
      <c r="P386" s="201"/>
      <c r="Q386" s="133"/>
      <c r="R386" s="133"/>
      <c r="S386" s="133"/>
      <c r="T386" s="133"/>
      <c r="U386" s="133"/>
      <c r="V386" s="133"/>
      <c r="W386" s="133"/>
      <c r="X386" s="133"/>
      <c r="Y386" s="133"/>
      <c r="Z386" s="133"/>
      <c r="AA386" s="133"/>
    </row>
    <row r="387" spans="1:27" ht="21" customHeight="1" thickBot="1" x14ac:dyDescent="0.4">
      <c r="A387" s="133"/>
      <c r="B387" s="133"/>
      <c r="C387" s="133"/>
      <c r="D387" s="133"/>
      <c r="E387" s="106"/>
      <c r="F387" s="106"/>
      <c r="G387" s="133"/>
      <c r="H387" s="133"/>
      <c r="I387" s="133"/>
      <c r="J387" s="133"/>
      <c r="K387" s="133"/>
      <c r="L387" s="133"/>
      <c r="M387" s="133"/>
      <c r="N387" s="200"/>
      <c r="O387" s="131"/>
      <c r="P387" s="201"/>
      <c r="Q387" s="133"/>
      <c r="R387" s="133"/>
      <c r="S387" s="133"/>
      <c r="T387" s="133"/>
      <c r="U387" s="133"/>
      <c r="V387" s="133"/>
      <c r="W387" s="133"/>
      <c r="X387" s="133"/>
      <c r="Y387" s="133"/>
      <c r="Z387" s="133"/>
      <c r="AA387" s="133"/>
    </row>
    <row r="388" spans="1:27" ht="21" customHeight="1" thickBot="1" x14ac:dyDescent="0.4">
      <c r="A388" s="133"/>
      <c r="B388" s="133"/>
      <c r="C388" s="133"/>
      <c r="D388" s="133"/>
      <c r="E388" s="106"/>
      <c r="F388" s="106"/>
      <c r="G388" s="133"/>
      <c r="H388" s="133"/>
      <c r="I388" s="133"/>
      <c r="J388" s="133"/>
      <c r="K388" s="133"/>
      <c r="L388" s="133"/>
      <c r="M388" s="133"/>
      <c r="N388" s="200"/>
      <c r="O388" s="131"/>
      <c r="P388" s="201"/>
      <c r="Q388" s="133"/>
      <c r="R388" s="133"/>
      <c r="S388" s="133"/>
      <c r="T388" s="133"/>
      <c r="U388" s="133"/>
      <c r="V388" s="133"/>
      <c r="W388" s="133"/>
      <c r="X388" s="133"/>
      <c r="Y388" s="133"/>
      <c r="Z388" s="133"/>
      <c r="AA388" s="133"/>
    </row>
    <row r="389" spans="1:27" ht="21" customHeight="1" thickBot="1" x14ac:dyDescent="0.4">
      <c r="A389" s="133"/>
      <c r="B389" s="133"/>
      <c r="C389" s="133"/>
      <c r="D389" s="133"/>
      <c r="E389" s="106"/>
      <c r="F389" s="106"/>
      <c r="G389" s="133"/>
      <c r="H389" s="133"/>
      <c r="I389" s="133"/>
      <c r="J389" s="133"/>
      <c r="K389" s="133"/>
      <c r="L389" s="133"/>
      <c r="M389" s="133"/>
      <c r="N389" s="200"/>
      <c r="O389" s="131"/>
      <c r="P389" s="201"/>
      <c r="Q389" s="133"/>
      <c r="R389" s="133"/>
      <c r="S389" s="133"/>
      <c r="T389" s="133"/>
      <c r="U389" s="133"/>
      <c r="V389" s="133"/>
      <c r="W389" s="133"/>
      <c r="X389" s="133"/>
      <c r="Y389" s="133"/>
      <c r="Z389" s="133"/>
      <c r="AA389" s="133"/>
    </row>
    <row r="390" spans="1:27" ht="21" customHeight="1" thickBot="1" x14ac:dyDescent="0.4">
      <c r="A390" s="133"/>
      <c r="B390" s="133"/>
      <c r="C390" s="133"/>
      <c r="D390" s="133"/>
      <c r="E390" s="106"/>
      <c r="F390" s="106"/>
      <c r="G390" s="133"/>
      <c r="H390" s="133"/>
      <c r="I390" s="133"/>
      <c r="J390" s="133"/>
      <c r="K390" s="133"/>
      <c r="L390" s="133"/>
      <c r="M390" s="133"/>
      <c r="N390" s="200"/>
      <c r="O390" s="131"/>
      <c r="P390" s="201"/>
      <c r="Q390" s="133"/>
      <c r="R390" s="133"/>
      <c r="S390" s="133"/>
      <c r="T390" s="133"/>
      <c r="U390" s="133"/>
      <c r="V390" s="133"/>
      <c r="W390" s="133"/>
      <c r="X390" s="133"/>
      <c r="Y390" s="133"/>
      <c r="Z390" s="133"/>
      <c r="AA390" s="133"/>
    </row>
    <row r="391" spans="1:27" ht="21" customHeight="1" thickBot="1" x14ac:dyDescent="0.4">
      <c r="A391" s="133"/>
      <c r="B391" s="133"/>
      <c r="C391" s="133"/>
      <c r="D391" s="133"/>
      <c r="E391" s="106"/>
      <c r="F391" s="106"/>
      <c r="G391" s="133"/>
      <c r="H391" s="133"/>
      <c r="I391" s="133"/>
      <c r="J391" s="133"/>
      <c r="K391" s="133"/>
      <c r="L391" s="133"/>
      <c r="M391" s="133"/>
      <c r="N391" s="200"/>
      <c r="O391" s="131"/>
      <c r="P391" s="201"/>
      <c r="Q391" s="133"/>
      <c r="R391" s="133"/>
      <c r="S391" s="133"/>
      <c r="T391" s="133"/>
      <c r="U391" s="133"/>
      <c r="V391" s="133"/>
      <c r="W391" s="133"/>
      <c r="X391" s="133"/>
      <c r="Y391" s="133"/>
      <c r="Z391" s="133"/>
      <c r="AA391" s="133"/>
    </row>
    <row r="392" spans="1:27" ht="21" customHeight="1" thickBot="1" x14ac:dyDescent="0.4">
      <c r="A392" s="133"/>
      <c r="B392" s="133"/>
      <c r="C392" s="133"/>
      <c r="D392" s="133"/>
      <c r="E392" s="106"/>
      <c r="F392" s="106"/>
      <c r="G392" s="133"/>
      <c r="H392" s="133"/>
      <c r="I392" s="133"/>
      <c r="J392" s="133"/>
      <c r="K392" s="133"/>
      <c r="L392" s="133"/>
      <c r="M392" s="133"/>
      <c r="N392" s="200"/>
      <c r="O392" s="131"/>
      <c r="P392" s="201"/>
      <c r="Q392" s="133"/>
      <c r="R392" s="133"/>
      <c r="S392" s="133"/>
      <c r="T392" s="133"/>
      <c r="U392" s="133"/>
      <c r="V392" s="133"/>
      <c r="W392" s="133"/>
      <c r="X392" s="133"/>
      <c r="Y392" s="133"/>
      <c r="Z392" s="133"/>
      <c r="AA392" s="133"/>
    </row>
    <row r="393" spans="1:27" ht="21" customHeight="1" thickBot="1" x14ac:dyDescent="0.4">
      <c r="A393" s="133"/>
      <c r="B393" s="133"/>
      <c r="C393" s="133"/>
      <c r="D393" s="133"/>
      <c r="E393" s="106"/>
      <c r="F393" s="106"/>
      <c r="G393" s="133"/>
      <c r="H393" s="133"/>
      <c r="I393" s="133"/>
      <c r="J393" s="133"/>
      <c r="K393" s="133"/>
      <c r="L393" s="133"/>
      <c r="M393" s="133"/>
      <c r="N393" s="200"/>
      <c r="O393" s="131"/>
      <c r="P393" s="201"/>
      <c r="Q393" s="133"/>
      <c r="R393" s="133"/>
      <c r="S393" s="133"/>
      <c r="T393" s="133"/>
      <c r="U393" s="133"/>
      <c r="V393" s="133"/>
      <c r="W393" s="133"/>
      <c r="X393" s="133"/>
      <c r="Y393" s="133"/>
      <c r="Z393" s="133"/>
      <c r="AA393" s="133"/>
    </row>
    <row r="394" spans="1:27" ht="21" customHeight="1" thickBot="1" x14ac:dyDescent="0.4">
      <c r="A394" s="133"/>
      <c r="B394" s="133"/>
      <c r="C394" s="133"/>
      <c r="D394" s="133"/>
      <c r="E394" s="106"/>
      <c r="F394" s="106"/>
      <c r="G394" s="133"/>
      <c r="H394" s="133"/>
      <c r="I394" s="133"/>
      <c r="J394" s="133"/>
      <c r="K394" s="133"/>
      <c r="L394" s="133"/>
      <c r="M394" s="133"/>
      <c r="N394" s="200"/>
      <c r="O394" s="131"/>
      <c r="P394" s="201"/>
      <c r="Q394" s="133"/>
      <c r="R394" s="133"/>
      <c r="S394" s="133"/>
      <c r="T394" s="133"/>
      <c r="U394" s="133"/>
      <c r="V394" s="133"/>
      <c r="W394" s="133"/>
      <c r="X394" s="133"/>
      <c r="Y394" s="133"/>
      <c r="Z394" s="133"/>
      <c r="AA394" s="133"/>
    </row>
    <row r="395" spans="1:27" ht="21" customHeight="1" thickBot="1" x14ac:dyDescent="0.4">
      <c r="A395" s="133"/>
      <c r="B395" s="133"/>
      <c r="C395" s="133"/>
      <c r="D395" s="133"/>
      <c r="E395" s="106"/>
      <c r="F395" s="106"/>
      <c r="G395" s="133"/>
      <c r="H395" s="133"/>
      <c r="I395" s="133"/>
      <c r="J395" s="133"/>
      <c r="K395" s="133"/>
      <c r="L395" s="133"/>
      <c r="M395" s="133"/>
      <c r="N395" s="200"/>
      <c r="O395" s="131"/>
      <c r="P395" s="201"/>
      <c r="Q395" s="133"/>
      <c r="R395" s="133"/>
      <c r="S395" s="133"/>
      <c r="T395" s="133"/>
      <c r="U395" s="133"/>
      <c r="V395" s="133"/>
      <c r="W395" s="133"/>
      <c r="X395" s="133"/>
      <c r="Y395" s="133"/>
      <c r="Z395" s="133"/>
      <c r="AA395" s="133"/>
    </row>
    <row r="396" spans="1:27" ht="21" customHeight="1" thickBot="1" x14ac:dyDescent="0.4">
      <c r="A396" s="133"/>
      <c r="B396" s="133"/>
      <c r="C396" s="133"/>
      <c r="D396" s="133"/>
      <c r="E396" s="106"/>
      <c r="F396" s="106"/>
      <c r="G396" s="133"/>
      <c r="H396" s="133"/>
      <c r="I396" s="133"/>
      <c r="J396" s="133"/>
      <c r="K396" s="133"/>
      <c r="L396" s="133"/>
      <c r="M396" s="133"/>
      <c r="N396" s="200"/>
      <c r="O396" s="131"/>
      <c r="P396" s="201"/>
      <c r="Q396" s="133"/>
      <c r="R396" s="133"/>
      <c r="S396" s="133"/>
      <c r="T396" s="133"/>
      <c r="U396" s="133"/>
      <c r="V396" s="133"/>
      <c r="W396" s="133"/>
      <c r="X396" s="133"/>
      <c r="Y396" s="133"/>
      <c r="Z396" s="133"/>
      <c r="AA396" s="133"/>
    </row>
    <row r="397" spans="1:27" ht="21" customHeight="1" thickBot="1" x14ac:dyDescent="0.4">
      <c r="A397" s="133"/>
      <c r="B397" s="133"/>
      <c r="C397" s="133"/>
      <c r="D397" s="133"/>
      <c r="E397" s="106"/>
      <c r="F397" s="106"/>
      <c r="G397" s="133"/>
      <c r="H397" s="133"/>
      <c r="I397" s="133"/>
      <c r="J397" s="133"/>
      <c r="K397" s="133"/>
      <c r="L397" s="133"/>
      <c r="M397" s="133"/>
      <c r="N397" s="200"/>
      <c r="O397" s="131"/>
      <c r="P397" s="201"/>
      <c r="Q397" s="133"/>
      <c r="R397" s="133"/>
      <c r="S397" s="133"/>
      <c r="T397" s="133"/>
      <c r="U397" s="133"/>
      <c r="V397" s="133"/>
      <c r="W397" s="133"/>
      <c r="X397" s="133"/>
      <c r="Y397" s="133"/>
      <c r="Z397" s="133"/>
      <c r="AA397" s="133"/>
    </row>
    <row r="398" spans="1:27" ht="21" customHeight="1" thickBot="1" x14ac:dyDescent="0.4">
      <c r="A398" s="133"/>
      <c r="B398" s="133"/>
      <c r="C398" s="133"/>
      <c r="D398" s="133"/>
      <c r="E398" s="106"/>
      <c r="F398" s="106"/>
      <c r="G398" s="133"/>
      <c r="H398" s="133"/>
      <c r="I398" s="133"/>
      <c r="J398" s="133"/>
      <c r="K398" s="133"/>
      <c r="L398" s="133"/>
      <c r="M398" s="133"/>
      <c r="N398" s="200"/>
      <c r="O398" s="131"/>
      <c r="P398" s="201"/>
      <c r="Q398" s="133"/>
      <c r="R398" s="133"/>
      <c r="S398" s="133"/>
      <c r="T398" s="133"/>
      <c r="U398" s="133"/>
      <c r="V398" s="133"/>
      <c r="W398" s="133"/>
      <c r="X398" s="133"/>
      <c r="Y398" s="133"/>
      <c r="Z398" s="133"/>
      <c r="AA398" s="133"/>
    </row>
    <row r="399" spans="1:27" ht="21" customHeight="1" thickBot="1" x14ac:dyDescent="0.4">
      <c r="A399" s="133"/>
      <c r="B399" s="133"/>
      <c r="C399" s="133"/>
      <c r="D399" s="133"/>
      <c r="E399" s="106"/>
      <c r="F399" s="106"/>
      <c r="G399" s="133"/>
      <c r="H399" s="133"/>
      <c r="I399" s="133"/>
      <c r="J399" s="133"/>
      <c r="K399" s="133"/>
      <c r="L399" s="133"/>
      <c r="M399" s="133"/>
      <c r="N399" s="200"/>
      <c r="O399" s="131"/>
      <c r="P399" s="201"/>
      <c r="Q399" s="133"/>
      <c r="R399" s="133"/>
      <c r="S399" s="133"/>
      <c r="T399" s="133"/>
      <c r="U399" s="133"/>
      <c r="V399" s="133"/>
      <c r="W399" s="133"/>
      <c r="X399" s="133"/>
      <c r="Y399" s="133"/>
      <c r="Z399" s="133"/>
      <c r="AA399" s="133"/>
    </row>
    <row r="400" spans="1:27" ht="21" customHeight="1" thickBot="1" x14ac:dyDescent="0.4">
      <c r="A400" s="133"/>
      <c r="B400" s="133"/>
      <c r="C400" s="133"/>
      <c r="D400" s="133"/>
      <c r="E400" s="106"/>
      <c r="F400" s="106"/>
      <c r="G400" s="133"/>
      <c r="H400" s="133"/>
      <c r="I400" s="133"/>
      <c r="J400" s="133"/>
      <c r="K400" s="133"/>
      <c r="L400" s="133"/>
      <c r="M400" s="133"/>
      <c r="N400" s="200"/>
      <c r="O400" s="131"/>
      <c r="P400" s="201"/>
      <c r="Q400" s="133"/>
      <c r="R400" s="133"/>
      <c r="S400" s="133"/>
      <c r="T400" s="133"/>
      <c r="U400" s="133"/>
      <c r="V400" s="133"/>
      <c r="W400" s="133"/>
      <c r="X400" s="133"/>
      <c r="Y400" s="133"/>
      <c r="Z400" s="133"/>
      <c r="AA400" s="133"/>
    </row>
    <row r="401" spans="1:27" ht="21" customHeight="1" thickBot="1" x14ac:dyDescent="0.4">
      <c r="A401" s="133"/>
      <c r="B401" s="133"/>
      <c r="C401" s="133"/>
      <c r="D401" s="133"/>
      <c r="E401" s="106"/>
      <c r="F401" s="106"/>
      <c r="G401" s="133"/>
      <c r="H401" s="133"/>
      <c r="I401" s="133"/>
      <c r="J401" s="133"/>
      <c r="K401" s="133"/>
      <c r="L401" s="133"/>
      <c r="M401" s="133"/>
      <c r="N401" s="200"/>
      <c r="O401" s="131"/>
      <c r="P401" s="201"/>
      <c r="Q401" s="133"/>
      <c r="R401" s="133"/>
      <c r="S401" s="133"/>
      <c r="T401" s="133"/>
      <c r="U401" s="133"/>
      <c r="V401" s="133"/>
      <c r="W401" s="133"/>
      <c r="X401" s="133"/>
      <c r="Y401" s="133"/>
      <c r="Z401" s="133"/>
      <c r="AA401" s="133"/>
    </row>
    <row r="402" spans="1:27" ht="21" customHeight="1" thickBot="1" x14ac:dyDescent="0.4">
      <c r="A402" s="133"/>
      <c r="B402" s="133"/>
      <c r="C402" s="133"/>
      <c r="D402" s="133"/>
      <c r="E402" s="106"/>
      <c r="F402" s="106"/>
      <c r="G402" s="133"/>
      <c r="H402" s="133"/>
      <c r="I402" s="133"/>
      <c r="J402" s="133"/>
      <c r="K402" s="133"/>
      <c r="L402" s="133"/>
      <c r="M402" s="133"/>
      <c r="N402" s="200"/>
      <c r="O402" s="131"/>
      <c r="P402" s="201"/>
      <c r="Q402" s="133"/>
      <c r="R402" s="133"/>
      <c r="S402" s="133"/>
      <c r="T402" s="133"/>
      <c r="U402" s="133"/>
      <c r="V402" s="133"/>
      <c r="W402" s="133"/>
      <c r="X402" s="133"/>
      <c r="Y402" s="133"/>
      <c r="Z402" s="133"/>
      <c r="AA402" s="133"/>
    </row>
    <row r="403" spans="1:27" ht="21" customHeight="1" thickBot="1" x14ac:dyDescent="0.4">
      <c r="A403" s="133"/>
      <c r="B403" s="133"/>
      <c r="C403" s="133"/>
      <c r="D403" s="133"/>
      <c r="E403" s="106"/>
      <c r="F403" s="106"/>
      <c r="G403" s="133"/>
      <c r="H403" s="133"/>
      <c r="I403" s="133"/>
      <c r="J403" s="133"/>
      <c r="K403" s="133"/>
      <c r="L403" s="133"/>
      <c r="M403" s="133"/>
      <c r="N403" s="200"/>
      <c r="O403" s="131"/>
      <c r="P403" s="201"/>
      <c r="Q403" s="133"/>
      <c r="R403" s="133"/>
      <c r="S403" s="133"/>
      <c r="T403" s="133"/>
      <c r="U403" s="133"/>
      <c r="V403" s="133"/>
      <c r="W403" s="133"/>
      <c r="X403" s="133"/>
      <c r="Y403" s="133"/>
      <c r="Z403" s="133"/>
      <c r="AA403" s="133"/>
    </row>
    <row r="404" spans="1:27" ht="21" customHeight="1" thickBot="1" x14ac:dyDescent="0.4">
      <c r="A404" s="133"/>
      <c r="B404" s="133"/>
      <c r="C404" s="133"/>
      <c r="D404" s="133"/>
      <c r="E404" s="106"/>
      <c r="F404" s="106"/>
      <c r="G404" s="133"/>
      <c r="H404" s="133"/>
      <c r="I404" s="133"/>
      <c r="J404" s="133"/>
      <c r="K404" s="133"/>
      <c r="L404" s="133"/>
      <c r="M404" s="133"/>
      <c r="N404" s="200"/>
      <c r="O404" s="131"/>
      <c r="P404" s="201"/>
      <c r="Q404" s="133"/>
      <c r="R404" s="133"/>
      <c r="S404" s="133"/>
      <c r="T404" s="133"/>
      <c r="U404" s="133"/>
      <c r="V404" s="133"/>
      <c r="W404" s="133"/>
      <c r="X404" s="133"/>
      <c r="Y404" s="133"/>
      <c r="Z404" s="133"/>
      <c r="AA404" s="133"/>
    </row>
    <row r="405" spans="1:27" ht="21" customHeight="1" thickBot="1" x14ac:dyDescent="0.4">
      <c r="A405" s="133"/>
      <c r="B405" s="133"/>
      <c r="C405" s="133"/>
      <c r="D405" s="133"/>
      <c r="E405" s="106"/>
      <c r="F405" s="106"/>
      <c r="G405" s="133"/>
      <c r="H405" s="133"/>
      <c r="I405" s="133"/>
      <c r="J405" s="133"/>
      <c r="K405" s="133"/>
      <c r="L405" s="133"/>
      <c r="M405" s="133"/>
      <c r="N405" s="200"/>
      <c r="O405" s="131"/>
      <c r="P405" s="201"/>
      <c r="Q405" s="133"/>
      <c r="R405" s="133"/>
      <c r="S405" s="133"/>
      <c r="T405" s="133"/>
      <c r="U405" s="133"/>
      <c r="V405" s="133"/>
      <c r="W405" s="133"/>
      <c r="X405" s="133"/>
      <c r="Y405" s="133"/>
      <c r="Z405" s="133"/>
      <c r="AA405" s="133"/>
    </row>
    <row r="406" spans="1:27" ht="21" customHeight="1" thickBot="1" x14ac:dyDescent="0.4">
      <c r="A406" s="133"/>
      <c r="B406" s="133"/>
      <c r="C406" s="133"/>
      <c r="D406" s="133"/>
      <c r="E406" s="106"/>
      <c r="F406" s="106"/>
      <c r="G406" s="133"/>
      <c r="H406" s="133"/>
      <c r="I406" s="133"/>
      <c r="J406" s="133"/>
      <c r="K406" s="133"/>
      <c r="L406" s="133"/>
      <c r="M406" s="133"/>
      <c r="N406" s="200"/>
      <c r="O406" s="131"/>
      <c r="P406" s="201"/>
      <c r="Q406" s="133"/>
      <c r="R406" s="133"/>
      <c r="S406" s="133"/>
      <c r="T406" s="133"/>
      <c r="U406" s="133"/>
      <c r="V406" s="133"/>
      <c r="W406" s="133"/>
      <c r="X406" s="133"/>
      <c r="Y406" s="133"/>
      <c r="Z406" s="133"/>
      <c r="AA406" s="133"/>
    </row>
    <row r="407" spans="1:27" ht="21" customHeight="1" thickBot="1" x14ac:dyDescent="0.4">
      <c r="A407" s="133"/>
      <c r="B407" s="133"/>
      <c r="C407" s="133"/>
      <c r="D407" s="133"/>
      <c r="E407" s="106"/>
      <c r="F407" s="106"/>
      <c r="G407" s="133"/>
      <c r="H407" s="133"/>
      <c r="I407" s="133"/>
      <c r="J407" s="133"/>
      <c r="K407" s="133"/>
      <c r="L407" s="133"/>
      <c r="M407" s="133"/>
      <c r="N407" s="200"/>
      <c r="O407" s="131"/>
      <c r="P407" s="201"/>
      <c r="Q407" s="133"/>
      <c r="R407" s="133"/>
      <c r="S407" s="133"/>
      <c r="T407" s="133"/>
      <c r="U407" s="133"/>
      <c r="V407" s="133"/>
      <c r="W407" s="133"/>
      <c r="X407" s="133"/>
      <c r="Y407" s="133"/>
      <c r="Z407" s="133"/>
      <c r="AA407" s="133"/>
    </row>
    <row r="408" spans="1:27" ht="21" customHeight="1" thickBot="1" x14ac:dyDescent="0.4">
      <c r="A408" s="133"/>
      <c r="B408" s="133"/>
      <c r="C408" s="133"/>
      <c r="D408" s="133"/>
      <c r="E408" s="106"/>
      <c r="F408" s="106"/>
      <c r="G408" s="133"/>
      <c r="H408" s="133"/>
      <c r="I408" s="133"/>
      <c r="J408" s="133"/>
      <c r="K408" s="133"/>
      <c r="L408" s="133"/>
      <c r="M408" s="133"/>
      <c r="N408" s="200"/>
      <c r="O408" s="131"/>
      <c r="P408" s="201"/>
      <c r="Q408" s="133"/>
      <c r="R408" s="133"/>
      <c r="S408" s="133"/>
      <c r="T408" s="133"/>
      <c r="U408" s="133"/>
      <c r="V408" s="133"/>
      <c r="W408" s="133"/>
      <c r="X408" s="133"/>
      <c r="Y408" s="133"/>
      <c r="Z408" s="133"/>
      <c r="AA408" s="133"/>
    </row>
    <row r="409" spans="1:27" ht="21" customHeight="1" thickBot="1" x14ac:dyDescent="0.4">
      <c r="A409" s="133"/>
      <c r="B409" s="133"/>
      <c r="C409" s="133"/>
      <c r="D409" s="133"/>
      <c r="E409" s="106"/>
      <c r="F409" s="106"/>
      <c r="G409" s="133"/>
      <c r="H409" s="133"/>
      <c r="I409" s="133"/>
      <c r="J409" s="133"/>
      <c r="K409" s="133"/>
      <c r="L409" s="133"/>
      <c r="M409" s="133"/>
      <c r="N409" s="200"/>
      <c r="O409" s="131"/>
      <c r="P409" s="201"/>
      <c r="Q409" s="133"/>
      <c r="R409" s="133"/>
      <c r="S409" s="133"/>
      <c r="T409" s="133"/>
      <c r="U409" s="133"/>
      <c r="V409" s="133"/>
      <c r="W409" s="133"/>
      <c r="X409" s="133"/>
      <c r="Y409" s="133"/>
      <c r="Z409" s="133"/>
      <c r="AA409" s="133"/>
    </row>
    <row r="410" spans="1:27" ht="21" customHeight="1" thickBot="1" x14ac:dyDescent="0.4">
      <c r="A410" s="133"/>
      <c r="B410" s="133"/>
      <c r="C410" s="133"/>
      <c r="D410" s="133"/>
      <c r="E410" s="106"/>
      <c r="F410" s="106"/>
      <c r="G410" s="133"/>
      <c r="H410" s="133"/>
      <c r="I410" s="133"/>
      <c r="J410" s="133"/>
      <c r="K410" s="133"/>
      <c r="L410" s="133"/>
      <c r="M410" s="133"/>
      <c r="N410" s="200"/>
      <c r="O410" s="131"/>
      <c r="P410" s="201"/>
      <c r="Q410" s="133"/>
      <c r="R410" s="133"/>
      <c r="S410" s="133"/>
      <c r="T410" s="133"/>
      <c r="U410" s="133"/>
      <c r="V410" s="133"/>
      <c r="W410" s="133"/>
      <c r="X410" s="133"/>
      <c r="Y410" s="133"/>
      <c r="Z410" s="133"/>
      <c r="AA410" s="133"/>
    </row>
    <row r="411" spans="1:27" ht="21" customHeight="1" thickBot="1" x14ac:dyDescent="0.4">
      <c r="A411" s="133"/>
      <c r="B411" s="133"/>
      <c r="C411" s="133"/>
      <c r="D411" s="133"/>
      <c r="E411" s="106"/>
      <c r="F411" s="106"/>
      <c r="G411" s="133"/>
      <c r="H411" s="133"/>
      <c r="I411" s="133"/>
      <c r="J411" s="133"/>
      <c r="K411" s="133"/>
      <c r="L411" s="133"/>
      <c r="M411" s="133"/>
      <c r="N411" s="200"/>
      <c r="O411" s="131"/>
      <c r="P411" s="201"/>
      <c r="Q411" s="133"/>
      <c r="R411" s="133"/>
      <c r="S411" s="133"/>
      <c r="T411" s="133"/>
      <c r="U411" s="133"/>
      <c r="V411" s="133"/>
      <c r="W411" s="133"/>
      <c r="X411" s="133"/>
      <c r="Y411" s="133"/>
      <c r="Z411" s="133"/>
      <c r="AA411" s="133"/>
    </row>
    <row r="412" spans="1:27" ht="21" customHeight="1" x14ac:dyDescent="0.35">
      <c r="E412" s="107"/>
      <c r="F412" s="107"/>
    </row>
    <row r="413" spans="1:27" ht="21" customHeight="1" x14ac:dyDescent="0.35">
      <c r="E413" s="107"/>
      <c r="F413" s="107"/>
    </row>
    <row r="414" spans="1:27" ht="21" customHeight="1" x14ac:dyDescent="0.35">
      <c r="E414" s="107"/>
      <c r="F414" s="107"/>
    </row>
    <row r="415" spans="1:27" ht="21" customHeight="1" x14ac:dyDescent="0.35">
      <c r="E415" s="107"/>
      <c r="F415" s="107"/>
    </row>
    <row r="416" spans="1:27" ht="21" customHeight="1" x14ac:dyDescent="0.35">
      <c r="E416" s="107"/>
      <c r="F416" s="107"/>
    </row>
    <row r="417" spans="5:6" ht="21" customHeight="1" x14ac:dyDescent="0.35">
      <c r="E417" s="107"/>
      <c r="F417" s="107"/>
    </row>
    <row r="418" spans="5:6" ht="21" customHeight="1" x14ac:dyDescent="0.35">
      <c r="E418" s="107"/>
      <c r="F418" s="107"/>
    </row>
    <row r="419" spans="5:6" ht="21" customHeight="1" x14ac:dyDescent="0.35">
      <c r="E419" s="107"/>
      <c r="F419" s="107"/>
    </row>
    <row r="420" spans="5:6" ht="21" customHeight="1" x14ac:dyDescent="0.35">
      <c r="E420" s="107"/>
      <c r="F420" s="107"/>
    </row>
    <row r="421" spans="5:6" ht="21" customHeight="1" x14ac:dyDescent="0.35">
      <c r="E421" s="107"/>
      <c r="F421" s="107"/>
    </row>
    <row r="422" spans="5:6" ht="21" customHeight="1" x14ac:dyDescent="0.35">
      <c r="E422" s="107"/>
      <c r="F422" s="107"/>
    </row>
    <row r="423" spans="5:6" ht="21" customHeight="1" x14ac:dyDescent="0.35">
      <c r="E423" s="107"/>
      <c r="F423" s="107"/>
    </row>
    <row r="424" spans="5:6" ht="21" customHeight="1" x14ac:dyDescent="0.35">
      <c r="E424" s="107"/>
      <c r="F424" s="107"/>
    </row>
    <row r="425" spans="5:6" ht="21" customHeight="1" x14ac:dyDescent="0.35">
      <c r="E425" s="107"/>
      <c r="F425" s="107"/>
    </row>
    <row r="426" spans="5:6" ht="21" customHeight="1" x14ac:dyDescent="0.35">
      <c r="E426" s="107"/>
      <c r="F426" s="107"/>
    </row>
    <row r="427" spans="5:6" ht="21" customHeight="1" x14ac:dyDescent="0.35">
      <c r="E427" s="107"/>
      <c r="F427" s="107"/>
    </row>
    <row r="428" spans="5:6" ht="21" customHeight="1" x14ac:dyDescent="0.35">
      <c r="E428" s="107"/>
      <c r="F428" s="107"/>
    </row>
    <row r="429" spans="5:6" ht="21" customHeight="1" x14ac:dyDescent="0.35">
      <c r="E429" s="107"/>
      <c r="F429" s="107"/>
    </row>
    <row r="430" spans="5:6" ht="21" customHeight="1" x14ac:dyDescent="0.35">
      <c r="E430" s="107"/>
      <c r="F430" s="107"/>
    </row>
    <row r="431" spans="5:6" ht="21" customHeight="1" x14ac:dyDescent="0.35">
      <c r="E431" s="107"/>
      <c r="F431" s="107"/>
    </row>
    <row r="432" spans="5:6" ht="21" customHeight="1" x14ac:dyDescent="0.35">
      <c r="E432" s="107"/>
      <c r="F432" s="107"/>
    </row>
    <row r="433" spans="5:6" ht="21" customHeight="1" x14ac:dyDescent="0.35">
      <c r="E433" s="107"/>
      <c r="F433" s="107"/>
    </row>
    <row r="434" spans="5:6" ht="21" customHeight="1" x14ac:dyDescent="0.35">
      <c r="E434" s="107"/>
      <c r="F434" s="107"/>
    </row>
    <row r="435" spans="5:6" ht="21" customHeight="1" x14ac:dyDescent="0.35">
      <c r="E435" s="107"/>
      <c r="F435" s="107"/>
    </row>
    <row r="436" spans="5:6" ht="21" customHeight="1" x14ac:dyDescent="0.35">
      <c r="E436" s="107"/>
      <c r="F436" s="107"/>
    </row>
    <row r="437" spans="5:6" ht="21" customHeight="1" x14ac:dyDescent="0.35">
      <c r="E437" s="107"/>
      <c r="F437" s="107"/>
    </row>
    <row r="438" spans="5:6" ht="21" customHeight="1" x14ac:dyDescent="0.35">
      <c r="E438" s="107"/>
      <c r="F438" s="107"/>
    </row>
    <row r="439" spans="5:6" ht="21" customHeight="1" x14ac:dyDescent="0.35">
      <c r="E439" s="107"/>
      <c r="F439" s="107"/>
    </row>
    <row r="440" spans="5:6" ht="21" customHeight="1" x14ac:dyDescent="0.35">
      <c r="E440" s="107"/>
      <c r="F440" s="107"/>
    </row>
    <row r="441" spans="5:6" ht="21" customHeight="1" x14ac:dyDescent="0.35">
      <c r="E441" s="107"/>
      <c r="F441" s="107"/>
    </row>
    <row r="442" spans="5:6" ht="21" customHeight="1" x14ac:dyDescent="0.35">
      <c r="E442" s="107"/>
      <c r="F442" s="107"/>
    </row>
    <row r="443" spans="5:6" ht="21" customHeight="1" x14ac:dyDescent="0.35">
      <c r="E443" s="107"/>
      <c r="F443" s="107"/>
    </row>
    <row r="444" spans="5:6" ht="21" customHeight="1" x14ac:dyDescent="0.35">
      <c r="E444" s="107"/>
      <c r="F444" s="107"/>
    </row>
    <row r="445" spans="5:6" ht="21" customHeight="1" x14ac:dyDescent="0.35">
      <c r="E445" s="107"/>
      <c r="F445" s="107"/>
    </row>
    <row r="446" spans="5:6" ht="21" customHeight="1" x14ac:dyDescent="0.35">
      <c r="E446" s="107"/>
      <c r="F446" s="107"/>
    </row>
    <row r="447" spans="5:6" ht="21" customHeight="1" x14ac:dyDescent="0.35">
      <c r="E447" s="107"/>
      <c r="F447" s="107"/>
    </row>
    <row r="448" spans="5:6" ht="21" customHeight="1" x14ac:dyDescent="0.35">
      <c r="E448" s="107"/>
      <c r="F448" s="107"/>
    </row>
    <row r="449" spans="5:6" ht="21" customHeight="1" x14ac:dyDescent="0.35">
      <c r="E449" s="107"/>
      <c r="F449" s="107"/>
    </row>
    <row r="450" spans="5:6" ht="21" customHeight="1" x14ac:dyDescent="0.35">
      <c r="E450" s="107"/>
      <c r="F450" s="107"/>
    </row>
    <row r="451" spans="5:6" ht="21" customHeight="1" x14ac:dyDescent="0.35">
      <c r="E451" s="107"/>
      <c r="F451" s="107"/>
    </row>
    <row r="452" spans="5:6" ht="21" customHeight="1" x14ac:dyDescent="0.35">
      <c r="E452" s="107"/>
      <c r="F452" s="107"/>
    </row>
    <row r="453" spans="5:6" ht="21" customHeight="1" x14ac:dyDescent="0.35">
      <c r="E453" s="107"/>
      <c r="F453" s="107"/>
    </row>
    <row r="454" spans="5:6" ht="21" customHeight="1" x14ac:dyDescent="0.35">
      <c r="E454" s="107"/>
      <c r="F454" s="107"/>
    </row>
    <row r="455" spans="5:6" ht="21" customHeight="1" x14ac:dyDescent="0.35">
      <c r="E455" s="107"/>
      <c r="F455" s="107"/>
    </row>
    <row r="456" spans="5:6" ht="21" customHeight="1" x14ac:dyDescent="0.35">
      <c r="E456" s="107"/>
      <c r="F456" s="107"/>
    </row>
    <row r="457" spans="5:6" ht="21" customHeight="1" x14ac:dyDescent="0.35">
      <c r="E457" s="107"/>
      <c r="F457" s="107"/>
    </row>
    <row r="458" spans="5:6" ht="21" customHeight="1" x14ac:dyDescent="0.35">
      <c r="E458" s="107"/>
      <c r="F458" s="107"/>
    </row>
    <row r="459" spans="5:6" ht="21" customHeight="1" x14ac:dyDescent="0.35">
      <c r="E459" s="107"/>
      <c r="F459" s="107"/>
    </row>
    <row r="460" spans="5:6" ht="21" customHeight="1" x14ac:dyDescent="0.35">
      <c r="E460" s="107"/>
      <c r="F460" s="107"/>
    </row>
    <row r="461" spans="5:6" ht="21" customHeight="1" x14ac:dyDescent="0.35">
      <c r="E461" s="107"/>
      <c r="F461" s="107"/>
    </row>
    <row r="462" spans="5:6" ht="21" customHeight="1" x14ac:dyDescent="0.35">
      <c r="E462" s="107"/>
      <c r="F462" s="107"/>
    </row>
    <row r="463" spans="5:6" ht="21" customHeight="1" x14ac:dyDescent="0.35">
      <c r="E463" s="107"/>
      <c r="F463" s="107"/>
    </row>
    <row r="464" spans="5:6" ht="21" customHeight="1" x14ac:dyDescent="0.35">
      <c r="E464" s="107"/>
      <c r="F464" s="107"/>
    </row>
    <row r="465" spans="5:6" ht="21" customHeight="1" x14ac:dyDescent="0.35">
      <c r="E465" s="107"/>
      <c r="F465" s="107"/>
    </row>
    <row r="466" spans="5:6" ht="21" customHeight="1" x14ac:dyDescent="0.35">
      <c r="E466" s="107"/>
      <c r="F466" s="107"/>
    </row>
    <row r="467" spans="5:6" ht="21" customHeight="1" x14ac:dyDescent="0.35">
      <c r="E467" s="107"/>
      <c r="F467" s="107"/>
    </row>
    <row r="468" spans="5:6" ht="21" customHeight="1" x14ac:dyDescent="0.35">
      <c r="E468" s="107"/>
      <c r="F468" s="107"/>
    </row>
    <row r="469" spans="5:6" ht="21" customHeight="1" x14ac:dyDescent="0.35">
      <c r="E469" s="107"/>
      <c r="F469" s="107"/>
    </row>
    <row r="470" spans="5:6" ht="21" customHeight="1" x14ac:dyDescent="0.35">
      <c r="E470" s="107"/>
      <c r="F470" s="107"/>
    </row>
    <row r="471" spans="5:6" ht="21" customHeight="1" x14ac:dyDescent="0.35">
      <c r="E471" s="107"/>
      <c r="F471" s="107"/>
    </row>
    <row r="472" spans="5:6" ht="21" customHeight="1" x14ac:dyDescent="0.35">
      <c r="E472" s="107"/>
      <c r="F472" s="107"/>
    </row>
    <row r="473" spans="5:6" ht="21" customHeight="1" x14ac:dyDescent="0.35">
      <c r="E473" s="107"/>
      <c r="F473" s="107"/>
    </row>
    <row r="474" spans="5:6" ht="21" customHeight="1" x14ac:dyDescent="0.35">
      <c r="E474" s="107"/>
      <c r="F474" s="107"/>
    </row>
    <row r="475" spans="5:6" ht="21" customHeight="1" x14ac:dyDescent="0.35">
      <c r="E475" s="107"/>
      <c r="F475" s="107"/>
    </row>
    <row r="476" spans="5:6" ht="21" customHeight="1" x14ac:dyDescent="0.35">
      <c r="E476" s="107"/>
      <c r="F476" s="107"/>
    </row>
    <row r="477" spans="5:6" ht="21" customHeight="1" x14ac:dyDescent="0.35">
      <c r="E477" s="107"/>
      <c r="F477" s="107"/>
    </row>
    <row r="478" spans="5:6" ht="21" customHeight="1" x14ac:dyDescent="0.35">
      <c r="E478" s="107"/>
      <c r="F478" s="107"/>
    </row>
    <row r="479" spans="5:6" ht="21" customHeight="1" x14ac:dyDescent="0.35">
      <c r="E479" s="107"/>
      <c r="F479" s="107"/>
    </row>
    <row r="480" spans="5:6" ht="21" customHeight="1" x14ac:dyDescent="0.35">
      <c r="E480" s="107"/>
      <c r="F480" s="107"/>
    </row>
    <row r="481" spans="5:6" ht="21" customHeight="1" x14ac:dyDescent="0.35">
      <c r="E481" s="107"/>
      <c r="F481" s="107"/>
    </row>
    <row r="482" spans="5:6" ht="21" customHeight="1" x14ac:dyDescent="0.35">
      <c r="E482" s="107"/>
      <c r="F482" s="107"/>
    </row>
    <row r="483" spans="5:6" ht="21" customHeight="1" x14ac:dyDescent="0.35">
      <c r="E483" s="107"/>
      <c r="F483" s="107"/>
    </row>
    <row r="484" spans="5:6" ht="21" customHeight="1" x14ac:dyDescent="0.35">
      <c r="E484" s="107"/>
      <c r="F484" s="107"/>
    </row>
    <row r="485" spans="5:6" ht="21" customHeight="1" x14ac:dyDescent="0.35">
      <c r="E485" s="107"/>
      <c r="F485" s="107"/>
    </row>
    <row r="486" spans="5:6" ht="21" customHeight="1" x14ac:dyDescent="0.35">
      <c r="E486" s="107"/>
      <c r="F486" s="107"/>
    </row>
    <row r="487" spans="5:6" ht="21" customHeight="1" x14ac:dyDescent="0.35">
      <c r="E487" s="107"/>
      <c r="F487" s="107"/>
    </row>
    <row r="488" spans="5:6" ht="21" customHeight="1" x14ac:dyDescent="0.35">
      <c r="E488" s="107"/>
      <c r="F488" s="107"/>
    </row>
    <row r="489" spans="5:6" ht="21" customHeight="1" x14ac:dyDescent="0.35">
      <c r="E489" s="107"/>
      <c r="F489" s="107"/>
    </row>
    <row r="490" spans="5:6" ht="21" customHeight="1" x14ac:dyDescent="0.35">
      <c r="E490" s="107"/>
      <c r="F490" s="107"/>
    </row>
    <row r="491" spans="5:6" ht="21" customHeight="1" x14ac:dyDescent="0.35">
      <c r="E491" s="107"/>
      <c r="F491" s="107"/>
    </row>
    <row r="492" spans="5:6" ht="21" customHeight="1" x14ac:dyDescent="0.35">
      <c r="E492" s="107"/>
      <c r="F492" s="107"/>
    </row>
    <row r="493" spans="5:6" ht="21" customHeight="1" x14ac:dyDescent="0.35">
      <c r="E493" s="107"/>
      <c r="F493" s="107"/>
    </row>
    <row r="494" spans="5:6" ht="21" customHeight="1" x14ac:dyDescent="0.35">
      <c r="E494" s="107"/>
      <c r="F494" s="107"/>
    </row>
    <row r="495" spans="5:6" ht="21" customHeight="1" x14ac:dyDescent="0.35">
      <c r="E495" s="107"/>
      <c r="F495" s="107"/>
    </row>
    <row r="496" spans="5:6" ht="21" customHeight="1" x14ac:dyDescent="0.35">
      <c r="E496" s="107"/>
      <c r="F496" s="107"/>
    </row>
    <row r="497" spans="5:6" ht="21" customHeight="1" x14ac:dyDescent="0.35">
      <c r="E497" s="107"/>
      <c r="F497" s="107"/>
    </row>
    <row r="498" spans="5:6" ht="21" customHeight="1" x14ac:dyDescent="0.35">
      <c r="E498" s="107"/>
      <c r="F498" s="107"/>
    </row>
    <row r="499" spans="5:6" ht="21" customHeight="1" x14ac:dyDescent="0.35">
      <c r="E499" s="107"/>
      <c r="F499" s="107"/>
    </row>
    <row r="500" spans="5:6" ht="21" customHeight="1" x14ac:dyDescent="0.35">
      <c r="E500" s="107"/>
      <c r="F500" s="107"/>
    </row>
    <row r="501" spans="5:6" ht="21" customHeight="1" x14ac:dyDescent="0.35">
      <c r="E501" s="107"/>
      <c r="F501" s="107"/>
    </row>
    <row r="502" spans="5:6" ht="21" customHeight="1" x14ac:dyDescent="0.35">
      <c r="E502" s="107"/>
      <c r="F502" s="107"/>
    </row>
    <row r="503" spans="5:6" ht="21" customHeight="1" x14ac:dyDescent="0.35">
      <c r="E503" s="107"/>
      <c r="F503" s="107"/>
    </row>
    <row r="504" spans="5:6" ht="21" customHeight="1" x14ac:dyDescent="0.35">
      <c r="E504" s="107"/>
      <c r="F504" s="107"/>
    </row>
    <row r="505" spans="5:6" ht="21" customHeight="1" x14ac:dyDescent="0.35">
      <c r="E505" s="107"/>
      <c r="F505" s="107"/>
    </row>
    <row r="506" spans="5:6" ht="21" customHeight="1" x14ac:dyDescent="0.35">
      <c r="E506" s="107"/>
      <c r="F506" s="107"/>
    </row>
    <row r="507" spans="5:6" ht="21" customHeight="1" x14ac:dyDescent="0.35">
      <c r="E507" s="107"/>
      <c r="F507" s="107"/>
    </row>
    <row r="508" spans="5:6" ht="21" customHeight="1" x14ac:dyDescent="0.35">
      <c r="E508" s="107"/>
      <c r="F508" s="107"/>
    </row>
    <row r="509" spans="5:6" ht="21" customHeight="1" x14ac:dyDescent="0.35">
      <c r="E509" s="107"/>
      <c r="F509" s="107"/>
    </row>
    <row r="510" spans="5:6" ht="21" customHeight="1" x14ac:dyDescent="0.35">
      <c r="E510" s="107"/>
      <c r="F510" s="107"/>
    </row>
    <row r="511" spans="5:6" ht="21" customHeight="1" x14ac:dyDescent="0.35">
      <c r="E511" s="107"/>
      <c r="F511" s="107"/>
    </row>
    <row r="512" spans="5:6" ht="21" customHeight="1" x14ac:dyDescent="0.35">
      <c r="E512" s="107"/>
      <c r="F512" s="107"/>
    </row>
    <row r="513" spans="5:6" ht="21" customHeight="1" x14ac:dyDescent="0.35">
      <c r="E513" s="107"/>
      <c r="F513" s="107"/>
    </row>
    <row r="514" spans="5:6" ht="21" customHeight="1" x14ac:dyDescent="0.35">
      <c r="E514" s="107"/>
      <c r="F514" s="107"/>
    </row>
    <row r="515" spans="5:6" ht="21" customHeight="1" x14ac:dyDescent="0.35">
      <c r="E515" s="107"/>
      <c r="F515" s="107"/>
    </row>
    <row r="516" spans="5:6" ht="21" customHeight="1" x14ac:dyDescent="0.35">
      <c r="E516" s="107"/>
      <c r="F516" s="107"/>
    </row>
    <row r="517" spans="5:6" ht="21" customHeight="1" x14ac:dyDescent="0.35">
      <c r="E517" s="107"/>
      <c r="F517" s="107"/>
    </row>
    <row r="518" spans="5:6" ht="21" customHeight="1" x14ac:dyDescent="0.35">
      <c r="E518" s="107"/>
      <c r="F518" s="107"/>
    </row>
    <row r="519" spans="5:6" ht="21" customHeight="1" x14ac:dyDescent="0.35">
      <c r="E519" s="107"/>
      <c r="F519" s="107"/>
    </row>
    <row r="520" spans="5:6" ht="21" customHeight="1" x14ac:dyDescent="0.35">
      <c r="E520" s="107"/>
      <c r="F520" s="107"/>
    </row>
    <row r="521" spans="5:6" ht="21" customHeight="1" x14ac:dyDescent="0.35">
      <c r="E521" s="107"/>
      <c r="F521" s="107"/>
    </row>
    <row r="522" spans="5:6" ht="21" customHeight="1" x14ac:dyDescent="0.35">
      <c r="E522" s="107"/>
      <c r="F522" s="107"/>
    </row>
    <row r="523" spans="5:6" ht="21" customHeight="1" x14ac:dyDescent="0.35">
      <c r="E523" s="107"/>
      <c r="F523" s="107"/>
    </row>
    <row r="524" spans="5:6" ht="21" customHeight="1" x14ac:dyDescent="0.35">
      <c r="E524" s="107"/>
      <c r="F524" s="107"/>
    </row>
    <row r="525" spans="5:6" ht="21" customHeight="1" x14ac:dyDescent="0.35">
      <c r="E525" s="107"/>
      <c r="F525" s="107"/>
    </row>
    <row r="526" spans="5:6" ht="21" customHeight="1" x14ac:dyDescent="0.35">
      <c r="E526" s="107"/>
      <c r="F526" s="107"/>
    </row>
    <row r="527" spans="5:6" ht="21" customHeight="1" x14ac:dyDescent="0.35">
      <c r="E527" s="107"/>
      <c r="F527" s="107"/>
    </row>
    <row r="528" spans="5:6" ht="21" customHeight="1" x14ac:dyDescent="0.35">
      <c r="E528" s="107"/>
      <c r="F528" s="107"/>
    </row>
    <row r="529" spans="5:6" ht="21" customHeight="1" x14ac:dyDescent="0.35">
      <c r="E529" s="107"/>
      <c r="F529" s="107"/>
    </row>
    <row r="530" spans="5:6" ht="21" customHeight="1" x14ac:dyDescent="0.35">
      <c r="E530" s="107"/>
      <c r="F530" s="107"/>
    </row>
    <row r="531" spans="5:6" ht="21" customHeight="1" x14ac:dyDescent="0.35">
      <c r="E531" s="107"/>
      <c r="F531" s="107"/>
    </row>
    <row r="532" spans="5:6" ht="21" customHeight="1" x14ac:dyDescent="0.35">
      <c r="E532" s="107"/>
      <c r="F532" s="107"/>
    </row>
    <row r="533" spans="5:6" ht="21" customHeight="1" x14ac:dyDescent="0.35">
      <c r="E533" s="107"/>
      <c r="F533" s="107"/>
    </row>
    <row r="534" spans="5:6" ht="21" customHeight="1" x14ac:dyDescent="0.35">
      <c r="E534" s="107"/>
      <c r="F534" s="107"/>
    </row>
    <row r="535" spans="5:6" ht="21" customHeight="1" x14ac:dyDescent="0.35">
      <c r="E535" s="107"/>
      <c r="F535" s="107"/>
    </row>
    <row r="536" spans="5:6" ht="21" customHeight="1" x14ac:dyDescent="0.35">
      <c r="E536" s="107"/>
      <c r="F536" s="107"/>
    </row>
    <row r="537" spans="5:6" ht="21" customHeight="1" x14ac:dyDescent="0.35">
      <c r="E537" s="107"/>
      <c r="F537" s="107"/>
    </row>
    <row r="538" spans="5:6" ht="21" customHeight="1" x14ac:dyDescent="0.35">
      <c r="E538" s="107"/>
      <c r="F538" s="107"/>
    </row>
    <row r="539" spans="5:6" ht="21" customHeight="1" x14ac:dyDescent="0.35">
      <c r="E539" s="107"/>
      <c r="F539" s="107"/>
    </row>
    <row r="540" spans="5:6" ht="21" customHeight="1" x14ac:dyDescent="0.35">
      <c r="E540" s="107"/>
      <c r="F540" s="107"/>
    </row>
    <row r="541" spans="5:6" ht="21" customHeight="1" x14ac:dyDescent="0.35">
      <c r="E541" s="107"/>
      <c r="F541" s="107"/>
    </row>
    <row r="542" spans="5:6" ht="21" customHeight="1" x14ac:dyDescent="0.35">
      <c r="E542" s="107"/>
      <c r="F542" s="107"/>
    </row>
    <row r="543" spans="5:6" ht="21" customHeight="1" x14ac:dyDescent="0.35">
      <c r="E543" s="107"/>
      <c r="F543" s="107"/>
    </row>
    <row r="544" spans="5:6" ht="21" customHeight="1" x14ac:dyDescent="0.35">
      <c r="E544" s="107"/>
      <c r="F544" s="107"/>
    </row>
    <row r="545" spans="5:6" ht="21" customHeight="1" x14ac:dyDescent="0.35">
      <c r="E545" s="107"/>
      <c r="F545" s="107"/>
    </row>
    <row r="546" spans="5:6" ht="21" customHeight="1" x14ac:dyDescent="0.35">
      <c r="E546" s="107"/>
      <c r="F546" s="107"/>
    </row>
    <row r="547" spans="5:6" ht="21" customHeight="1" x14ac:dyDescent="0.35">
      <c r="E547" s="107"/>
      <c r="F547" s="107"/>
    </row>
    <row r="548" spans="5:6" ht="21" customHeight="1" x14ac:dyDescent="0.35">
      <c r="E548" s="107"/>
      <c r="F548" s="107"/>
    </row>
    <row r="549" spans="5:6" ht="21" customHeight="1" x14ac:dyDescent="0.35">
      <c r="E549" s="107"/>
      <c r="F549" s="107"/>
    </row>
    <row r="550" spans="5:6" ht="21" customHeight="1" x14ac:dyDescent="0.35">
      <c r="E550" s="107"/>
      <c r="F550" s="107"/>
    </row>
    <row r="551" spans="5:6" ht="21" customHeight="1" x14ac:dyDescent="0.35">
      <c r="E551" s="107"/>
      <c r="F551" s="107"/>
    </row>
    <row r="552" spans="5:6" ht="21" customHeight="1" x14ac:dyDescent="0.35">
      <c r="E552" s="107"/>
      <c r="F552" s="107"/>
    </row>
    <row r="553" spans="5:6" ht="21" customHeight="1" x14ac:dyDescent="0.35">
      <c r="E553" s="107"/>
      <c r="F553" s="107"/>
    </row>
    <row r="554" spans="5:6" ht="21" customHeight="1" x14ac:dyDescent="0.35">
      <c r="E554" s="107"/>
      <c r="F554" s="107"/>
    </row>
    <row r="555" spans="5:6" ht="21" customHeight="1" x14ac:dyDescent="0.35">
      <c r="E555" s="107"/>
      <c r="F555" s="107"/>
    </row>
    <row r="556" spans="5:6" ht="21" customHeight="1" x14ac:dyDescent="0.35">
      <c r="E556" s="107"/>
      <c r="F556" s="107"/>
    </row>
    <row r="557" spans="5:6" ht="21" customHeight="1" x14ac:dyDescent="0.35">
      <c r="E557" s="107"/>
      <c r="F557" s="107"/>
    </row>
    <row r="558" spans="5:6" ht="21" customHeight="1" x14ac:dyDescent="0.35">
      <c r="E558" s="107"/>
      <c r="F558" s="107"/>
    </row>
    <row r="559" spans="5:6" ht="21" customHeight="1" x14ac:dyDescent="0.35">
      <c r="E559" s="107"/>
      <c r="F559" s="107"/>
    </row>
    <row r="560" spans="5:6" ht="21" customHeight="1" x14ac:dyDescent="0.35">
      <c r="E560" s="107"/>
      <c r="F560" s="107"/>
    </row>
    <row r="561" spans="5:6" ht="21" customHeight="1" x14ac:dyDescent="0.35">
      <c r="E561" s="107"/>
      <c r="F561" s="107"/>
    </row>
    <row r="562" spans="5:6" ht="21" customHeight="1" x14ac:dyDescent="0.35">
      <c r="E562" s="107"/>
      <c r="F562" s="107"/>
    </row>
    <row r="563" spans="5:6" ht="21" customHeight="1" x14ac:dyDescent="0.35">
      <c r="E563" s="107"/>
      <c r="F563" s="107"/>
    </row>
    <row r="564" spans="5:6" ht="21" customHeight="1" x14ac:dyDescent="0.35">
      <c r="E564" s="107"/>
      <c r="F564" s="107"/>
    </row>
    <row r="565" spans="5:6" ht="21" customHeight="1" x14ac:dyDescent="0.35">
      <c r="E565" s="107"/>
      <c r="F565" s="107"/>
    </row>
    <row r="566" spans="5:6" ht="21" customHeight="1" x14ac:dyDescent="0.35">
      <c r="E566" s="107"/>
      <c r="F566" s="107"/>
    </row>
    <row r="567" spans="5:6" ht="21" customHeight="1" x14ac:dyDescent="0.35">
      <c r="E567" s="107"/>
      <c r="F567" s="107"/>
    </row>
    <row r="568" spans="5:6" ht="21" customHeight="1" x14ac:dyDescent="0.35">
      <c r="E568" s="107"/>
      <c r="F568" s="107"/>
    </row>
    <row r="569" spans="5:6" ht="21" customHeight="1" x14ac:dyDescent="0.35">
      <c r="E569" s="107"/>
      <c r="F569" s="107"/>
    </row>
    <row r="570" spans="5:6" ht="21" customHeight="1" x14ac:dyDescent="0.35">
      <c r="E570" s="107"/>
      <c r="F570" s="107"/>
    </row>
    <row r="571" spans="5:6" ht="21" customHeight="1" x14ac:dyDescent="0.35">
      <c r="E571" s="107"/>
      <c r="F571" s="107"/>
    </row>
    <row r="572" spans="5:6" ht="21" customHeight="1" x14ac:dyDescent="0.35">
      <c r="E572" s="107"/>
      <c r="F572" s="107"/>
    </row>
    <row r="573" spans="5:6" ht="21" customHeight="1" x14ac:dyDescent="0.35">
      <c r="E573" s="107"/>
      <c r="F573" s="107"/>
    </row>
    <row r="574" spans="5:6" ht="21" customHeight="1" x14ac:dyDescent="0.35">
      <c r="E574" s="107"/>
      <c r="F574" s="107"/>
    </row>
    <row r="575" spans="5:6" ht="21" customHeight="1" x14ac:dyDescent="0.35">
      <c r="E575" s="107"/>
      <c r="F575" s="107"/>
    </row>
    <row r="576" spans="5:6" ht="21" customHeight="1" x14ac:dyDescent="0.35">
      <c r="E576" s="107"/>
      <c r="F576" s="107"/>
    </row>
    <row r="577" spans="5:6" ht="21" customHeight="1" x14ac:dyDescent="0.35">
      <c r="E577" s="107"/>
      <c r="F577" s="107"/>
    </row>
    <row r="578" spans="5:6" ht="21" customHeight="1" x14ac:dyDescent="0.35">
      <c r="E578" s="107"/>
      <c r="F578" s="107"/>
    </row>
    <row r="579" spans="5:6" ht="21" customHeight="1" x14ac:dyDescent="0.35">
      <c r="E579" s="107"/>
      <c r="F579" s="107"/>
    </row>
    <row r="580" spans="5:6" ht="21" customHeight="1" x14ac:dyDescent="0.35">
      <c r="E580" s="107"/>
      <c r="F580" s="107"/>
    </row>
    <row r="581" spans="5:6" ht="21" customHeight="1" x14ac:dyDescent="0.35">
      <c r="E581" s="107"/>
      <c r="F581" s="107"/>
    </row>
    <row r="582" spans="5:6" ht="21" customHeight="1" x14ac:dyDescent="0.35">
      <c r="E582" s="107"/>
      <c r="F582" s="107"/>
    </row>
    <row r="583" spans="5:6" ht="21" customHeight="1" x14ac:dyDescent="0.35">
      <c r="E583" s="107"/>
      <c r="F583" s="107"/>
    </row>
    <row r="584" spans="5:6" ht="21" customHeight="1" x14ac:dyDescent="0.35">
      <c r="E584" s="107"/>
      <c r="F584" s="107"/>
    </row>
    <row r="585" spans="5:6" ht="21" customHeight="1" x14ac:dyDescent="0.35">
      <c r="E585" s="107"/>
      <c r="F585" s="107"/>
    </row>
    <row r="586" spans="5:6" ht="21" customHeight="1" x14ac:dyDescent="0.35">
      <c r="E586" s="107"/>
      <c r="F586" s="107"/>
    </row>
    <row r="587" spans="5:6" ht="21" customHeight="1" x14ac:dyDescent="0.35">
      <c r="E587" s="107"/>
      <c r="F587" s="107"/>
    </row>
    <row r="588" spans="5:6" ht="21" customHeight="1" x14ac:dyDescent="0.35">
      <c r="E588" s="107"/>
      <c r="F588" s="107"/>
    </row>
    <row r="589" spans="5:6" ht="21" customHeight="1" x14ac:dyDescent="0.35">
      <c r="E589" s="107"/>
      <c r="F589" s="107"/>
    </row>
    <row r="590" spans="5:6" ht="21" customHeight="1" x14ac:dyDescent="0.35">
      <c r="E590" s="107"/>
      <c r="F590" s="107"/>
    </row>
    <row r="591" spans="5:6" ht="21" customHeight="1" x14ac:dyDescent="0.35">
      <c r="E591" s="107"/>
      <c r="F591" s="107"/>
    </row>
    <row r="592" spans="5:6" ht="21" customHeight="1" x14ac:dyDescent="0.35">
      <c r="E592" s="107"/>
      <c r="F592" s="107"/>
    </row>
    <row r="593" spans="5:6" ht="21" customHeight="1" x14ac:dyDescent="0.35">
      <c r="E593" s="107"/>
      <c r="F593" s="107"/>
    </row>
    <row r="594" spans="5:6" ht="21" customHeight="1" x14ac:dyDescent="0.35">
      <c r="E594" s="107"/>
      <c r="F594" s="107"/>
    </row>
    <row r="595" spans="5:6" ht="21" customHeight="1" x14ac:dyDescent="0.35">
      <c r="E595" s="107"/>
      <c r="F595" s="107"/>
    </row>
    <row r="596" spans="5:6" ht="21" customHeight="1" x14ac:dyDescent="0.35">
      <c r="E596" s="107"/>
      <c r="F596" s="107"/>
    </row>
    <row r="597" spans="5:6" ht="21" customHeight="1" x14ac:dyDescent="0.35">
      <c r="E597" s="107"/>
      <c r="F597" s="107"/>
    </row>
    <row r="598" spans="5:6" ht="21" customHeight="1" x14ac:dyDescent="0.35">
      <c r="E598" s="107"/>
      <c r="F598" s="107"/>
    </row>
    <row r="599" spans="5:6" ht="21" customHeight="1" x14ac:dyDescent="0.35">
      <c r="E599" s="107"/>
      <c r="F599" s="107"/>
    </row>
    <row r="600" spans="5:6" ht="21" customHeight="1" x14ac:dyDescent="0.35">
      <c r="E600" s="107"/>
      <c r="F600" s="107"/>
    </row>
    <row r="601" spans="5:6" ht="21" customHeight="1" x14ac:dyDescent="0.35">
      <c r="E601" s="107"/>
      <c r="F601" s="107"/>
    </row>
    <row r="602" spans="5:6" ht="21" customHeight="1" x14ac:dyDescent="0.35">
      <c r="E602" s="107"/>
      <c r="F602" s="107"/>
    </row>
    <row r="603" spans="5:6" ht="21" customHeight="1" x14ac:dyDescent="0.35">
      <c r="E603" s="107"/>
      <c r="F603" s="107"/>
    </row>
    <row r="604" spans="5:6" ht="21" customHeight="1" x14ac:dyDescent="0.35">
      <c r="E604" s="107"/>
      <c r="F604" s="107"/>
    </row>
    <row r="605" spans="5:6" ht="21" customHeight="1" x14ac:dyDescent="0.35">
      <c r="E605" s="107"/>
      <c r="F605" s="107"/>
    </row>
    <row r="606" spans="5:6" ht="21" customHeight="1" x14ac:dyDescent="0.35">
      <c r="E606" s="107"/>
      <c r="F606" s="107"/>
    </row>
    <row r="607" spans="5:6" ht="21" customHeight="1" x14ac:dyDescent="0.35">
      <c r="E607" s="107"/>
      <c r="F607" s="107"/>
    </row>
    <row r="608" spans="5:6" ht="21" customHeight="1" x14ac:dyDescent="0.35">
      <c r="E608" s="107"/>
      <c r="F608" s="107"/>
    </row>
    <row r="609" spans="5:6" ht="21" customHeight="1" x14ac:dyDescent="0.35">
      <c r="E609" s="107"/>
      <c r="F609" s="107"/>
    </row>
    <row r="610" spans="5:6" ht="21" customHeight="1" x14ac:dyDescent="0.35">
      <c r="E610" s="107"/>
      <c r="F610" s="107"/>
    </row>
    <row r="611" spans="5:6" ht="21" customHeight="1" x14ac:dyDescent="0.35">
      <c r="E611" s="107"/>
      <c r="F611" s="107"/>
    </row>
    <row r="612" spans="5:6" ht="21" customHeight="1" x14ac:dyDescent="0.35">
      <c r="E612" s="107"/>
      <c r="F612" s="107"/>
    </row>
    <row r="613" spans="5:6" ht="21" customHeight="1" x14ac:dyDescent="0.35">
      <c r="E613" s="107"/>
      <c r="F613" s="107"/>
    </row>
    <row r="614" spans="5:6" ht="21" customHeight="1" x14ac:dyDescent="0.35">
      <c r="E614" s="107"/>
      <c r="F614" s="107"/>
    </row>
    <row r="615" spans="5:6" ht="21" customHeight="1" x14ac:dyDescent="0.35">
      <c r="E615" s="107"/>
      <c r="F615" s="107"/>
    </row>
    <row r="616" spans="5:6" ht="21" customHeight="1" x14ac:dyDescent="0.35">
      <c r="E616" s="107"/>
      <c r="F616" s="107"/>
    </row>
    <row r="617" spans="5:6" ht="21" customHeight="1" x14ac:dyDescent="0.35">
      <c r="E617" s="107"/>
      <c r="F617" s="107"/>
    </row>
    <row r="618" spans="5:6" ht="21" customHeight="1" x14ac:dyDescent="0.35">
      <c r="E618" s="107"/>
      <c r="F618" s="107"/>
    </row>
    <row r="619" spans="5:6" ht="21" customHeight="1" x14ac:dyDescent="0.35">
      <c r="E619" s="107"/>
      <c r="F619" s="107"/>
    </row>
    <row r="620" spans="5:6" ht="21" customHeight="1" x14ac:dyDescent="0.35">
      <c r="E620" s="107"/>
      <c r="F620" s="107"/>
    </row>
    <row r="621" spans="5:6" ht="21" customHeight="1" x14ac:dyDescent="0.35">
      <c r="E621" s="107"/>
      <c r="F621" s="107"/>
    </row>
    <row r="622" spans="5:6" ht="21" customHeight="1" x14ac:dyDescent="0.35">
      <c r="E622" s="107"/>
      <c r="F622" s="107"/>
    </row>
    <row r="623" spans="5:6" ht="21" customHeight="1" x14ac:dyDescent="0.35">
      <c r="E623" s="107"/>
      <c r="F623" s="107"/>
    </row>
    <row r="624" spans="5:6" ht="21" customHeight="1" x14ac:dyDescent="0.35">
      <c r="E624" s="107"/>
      <c r="F624" s="107"/>
    </row>
    <row r="625" spans="5:6" ht="21" customHeight="1" x14ac:dyDescent="0.35">
      <c r="E625" s="107"/>
      <c r="F625" s="107"/>
    </row>
    <row r="626" spans="5:6" ht="21" customHeight="1" x14ac:dyDescent="0.35">
      <c r="E626" s="107"/>
      <c r="F626" s="107"/>
    </row>
    <row r="627" spans="5:6" ht="21" customHeight="1" x14ac:dyDescent="0.35">
      <c r="E627" s="107"/>
      <c r="F627" s="107"/>
    </row>
    <row r="628" spans="5:6" ht="21" customHeight="1" x14ac:dyDescent="0.35">
      <c r="E628" s="107"/>
      <c r="F628" s="107"/>
    </row>
    <row r="629" spans="5:6" ht="21" customHeight="1" x14ac:dyDescent="0.35">
      <c r="E629" s="107"/>
      <c r="F629" s="107"/>
    </row>
    <row r="630" spans="5:6" ht="21" customHeight="1" x14ac:dyDescent="0.35">
      <c r="E630" s="107"/>
      <c r="F630" s="107"/>
    </row>
    <row r="631" spans="5:6" ht="21" customHeight="1" x14ac:dyDescent="0.35">
      <c r="E631" s="107"/>
      <c r="F631" s="107"/>
    </row>
    <row r="632" spans="5:6" ht="21" customHeight="1" x14ac:dyDescent="0.35">
      <c r="E632" s="107"/>
      <c r="F632" s="107"/>
    </row>
    <row r="633" spans="5:6" ht="21" customHeight="1" x14ac:dyDescent="0.35">
      <c r="E633" s="107"/>
      <c r="F633" s="107"/>
    </row>
    <row r="634" spans="5:6" ht="21" customHeight="1" x14ac:dyDescent="0.35">
      <c r="E634" s="107"/>
      <c r="F634" s="107"/>
    </row>
    <row r="635" spans="5:6" ht="21" customHeight="1" x14ac:dyDescent="0.35">
      <c r="E635" s="107"/>
      <c r="F635" s="107"/>
    </row>
    <row r="636" spans="5:6" ht="21" customHeight="1" x14ac:dyDescent="0.35">
      <c r="E636" s="107"/>
      <c r="F636" s="107"/>
    </row>
    <row r="637" spans="5:6" ht="21" customHeight="1" x14ac:dyDescent="0.35">
      <c r="E637" s="107"/>
      <c r="F637" s="107"/>
    </row>
    <row r="638" spans="5:6" ht="21" customHeight="1" x14ac:dyDescent="0.35">
      <c r="E638" s="107"/>
      <c r="F638" s="107"/>
    </row>
    <row r="639" spans="5:6" ht="21" customHeight="1" x14ac:dyDescent="0.35">
      <c r="E639" s="107"/>
      <c r="F639" s="107"/>
    </row>
    <row r="640" spans="5:6" ht="21" customHeight="1" x14ac:dyDescent="0.35">
      <c r="E640" s="107"/>
      <c r="F640" s="107"/>
    </row>
    <row r="641" spans="5:6" ht="21" customHeight="1" x14ac:dyDescent="0.35">
      <c r="E641" s="107"/>
      <c r="F641" s="107"/>
    </row>
    <row r="642" spans="5:6" ht="21" customHeight="1" x14ac:dyDescent="0.35">
      <c r="E642" s="107"/>
      <c r="F642" s="107"/>
    </row>
    <row r="643" spans="5:6" ht="21" customHeight="1" x14ac:dyDescent="0.35">
      <c r="E643" s="107"/>
      <c r="F643" s="107"/>
    </row>
    <row r="644" spans="5:6" ht="21" customHeight="1" x14ac:dyDescent="0.35">
      <c r="E644" s="107"/>
      <c r="F644" s="107"/>
    </row>
    <row r="645" spans="5:6" ht="21" customHeight="1" x14ac:dyDescent="0.35">
      <c r="E645" s="107"/>
      <c r="F645" s="107"/>
    </row>
    <row r="646" spans="5:6" ht="21" customHeight="1" x14ac:dyDescent="0.35">
      <c r="E646" s="107"/>
      <c r="F646" s="107"/>
    </row>
    <row r="647" spans="5:6" ht="21" customHeight="1" x14ac:dyDescent="0.35">
      <c r="E647" s="107"/>
      <c r="F647" s="107"/>
    </row>
    <row r="648" spans="5:6" ht="21" customHeight="1" x14ac:dyDescent="0.35">
      <c r="E648" s="107"/>
      <c r="F648" s="107"/>
    </row>
    <row r="649" spans="5:6" ht="21" customHeight="1" x14ac:dyDescent="0.35">
      <c r="E649" s="107"/>
      <c r="F649" s="107"/>
    </row>
    <row r="650" spans="5:6" ht="21" customHeight="1" x14ac:dyDescent="0.35">
      <c r="E650" s="107"/>
      <c r="F650" s="107"/>
    </row>
    <row r="651" spans="5:6" ht="21" customHeight="1" x14ac:dyDescent="0.35">
      <c r="E651" s="107"/>
      <c r="F651" s="107"/>
    </row>
    <row r="652" spans="5:6" ht="21" customHeight="1" x14ac:dyDescent="0.35">
      <c r="E652" s="107"/>
      <c r="F652" s="107"/>
    </row>
    <row r="653" spans="5:6" ht="21" customHeight="1" x14ac:dyDescent="0.35">
      <c r="E653" s="107"/>
      <c r="F653" s="107"/>
    </row>
    <row r="654" spans="5:6" ht="21" customHeight="1" x14ac:dyDescent="0.35">
      <c r="E654" s="107"/>
      <c r="F654" s="107"/>
    </row>
    <row r="655" spans="5:6" ht="21" customHeight="1" x14ac:dyDescent="0.35">
      <c r="E655" s="107"/>
      <c r="F655" s="107"/>
    </row>
    <row r="656" spans="5:6" ht="21" customHeight="1" x14ac:dyDescent="0.35">
      <c r="E656" s="107"/>
      <c r="F656" s="107"/>
    </row>
    <row r="657" spans="5:6" ht="21" customHeight="1" x14ac:dyDescent="0.35">
      <c r="E657" s="107"/>
      <c r="F657" s="107"/>
    </row>
    <row r="658" spans="5:6" ht="21" customHeight="1" x14ac:dyDescent="0.35">
      <c r="E658" s="107"/>
      <c r="F658" s="107"/>
    </row>
    <row r="659" spans="5:6" ht="21" customHeight="1" x14ac:dyDescent="0.35">
      <c r="E659" s="107"/>
      <c r="F659" s="107"/>
    </row>
    <row r="660" spans="5:6" ht="21" customHeight="1" x14ac:dyDescent="0.35">
      <c r="E660" s="107"/>
      <c r="F660" s="107"/>
    </row>
    <row r="661" spans="5:6" ht="21" customHeight="1" x14ac:dyDescent="0.35">
      <c r="E661" s="107"/>
      <c r="F661" s="107"/>
    </row>
    <row r="662" spans="5:6" ht="21" customHeight="1" x14ac:dyDescent="0.35">
      <c r="E662" s="107"/>
      <c r="F662" s="107"/>
    </row>
    <row r="663" spans="5:6" ht="21" customHeight="1" x14ac:dyDescent="0.35">
      <c r="E663" s="107"/>
      <c r="F663" s="107"/>
    </row>
    <row r="664" spans="5:6" ht="21" customHeight="1" x14ac:dyDescent="0.35">
      <c r="E664" s="107"/>
      <c r="F664" s="107"/>
    </row>
    <row r="665" spans="5:6" ht="21" customHeight="1" x14ac:dyDescent="0.35">
      <c r="E665" s="107"/>
      <c r="F665" s="107"/>
    </row>
    <row r="666" spans="5:6" ht="21" customHeight="1" x14ac:dyDescent="0.35">
      <c r="E666" s="107"/>
      <c r="F666" s="107"/>
    </row>
    <row r="667" spans="5:6" ht="21" customHeight="1" x14ac:dyDescent="0.35">
      <c r="E667" s="107"/>
      <c r="F667" s="107"/>
    </row>
    <row r="668" spans="5:6" ht="21" customHeight="1" x14ac:dyDescent="0.35">
      <c r="E668" s="107"/>
      <c r="F668" s="107"/>
    </row>
    <row r="669" spans="5:6" ht="21" customHeight="1" x14ac:dyDescent="0.35">
      <c r="E669" s="107"/>
      <c r="F669" s="107"/>
    </row>
    <row r="670" spans="5:6" ht="21" customHeight="1" x14ac:dyDescent="0.35">
      <c r="E670" s="107"/>
      <c r="F670" s="107"/>
    </row>
    <row r="671" spans="5:6" ht="21" customHeight="1" x14ac:dyDescent="0.35">
      <c r="E671" s="107"/>
      <c r="F671" s="107"/>
    </row>
    <row r="672" spans="5:6" ht="21" customHeight="1" x14ac:dyDescent="0.35">
      <c r="E672" s="107"/>
      <c r="F672" s="107"/>
    </row>
    <row r="673" spans="5:6" ht="21" customHeight="1" x14ac:dyDescent="0.35">
      <c r="E673" s="107"/>
      <c r="F673" s="107"/>
    </row>
    <row r="674" spans="5:6" ht="21" customHeight="1" x14ac:dyDescent="0.35">
      <c r="E674" s="107"/>
      <c r="F674" s="107"/>
    </row>
    <row r="675" spans="5:6" ht="21" customHeight="1" x14ac:dyDescent="0.35">
      <c r="E675" s="107"/>
      <c r="F675" s="107"/>
    </row>
    <row r="676" spans="5:6" ht="21" customHeight="1" x14ac:dyDescent="0.35">
      <c r="E676" s="107"/>
      <c r="F676" s="107"/>
    </row>
    <row r="677" spans="5:6" ht="21" customHeight="1" x14ac:dyDescent="0.35">
      <c r="E677" s="107"/>
      <c r="F677" s="107"/>
    </row>
    <row r="678" spans="5:6" ht="21" customHeight="1" x14ac:dyDescent="0.35">
      <c r="E678" s="107"/>
      <c r="F678" s="107"/>
    </row>
    <row r="679" spans="5:6" ht="21" customHeight="1" x14ac:dyDescent="0.35">
      <c r="E679" s="107"/>
      <c r="F679" s="107"/>
    </row>
    <row r="680" spans="5:6" ht="21" customHeight="1" x14ac:dyDescent="0.35">
      <c r="E680" s="107"/>
      <c r="F680" s="107"/>
    </row>
    <row r="681" spans="5:6" ht="21" customHeight="1" x14ac:dyDescent="0.35">
      <c r="E681" s="107"/>
      <c r="F681" s="107"/>
    </row>
    <row r="682" spans="5:6" ht="21" customHeight="1" x14ac:dyDescent="0.35">
      <c r="E682" s="107"/>
      <c r="F682" s="107"/>
    </row>
    <row r="683" spans="5:6" ht="21" customHeight="1" x14ac:dyDescent="0.35">
      <c r="E683" s="107"/>
      <c r="F683" s="107"/>
    </row>
    <row r="684" spans="5:6" ht="21" customHeight="1" x14ac:dyDescent="0.35">
      <c r="E684" s="107"/>
      <c r="F684" s="107"/>
    </row>
    <row r="685" spans="5:6" ht="21" customHeight="1" x14ac:dyDescent="0.35">
      <c r="E685" s="107"/>
      <c r="F685" s="107"/>
    </row>
    <row r="686" spans="5:6" ht="21" customHeight="1" x14ac:dyDescent="0.35">
      <c r="E686" s="107"/>
      <c r="F686" s="107"/>
    </row>
    <row r="687" spans="5:6" ht="21" customHeight="1" x14ac:dyDescent="0.35">
      <c r="E687" s="107"/>
      <c r="F687" s="107"/>
    </row>
    <row r="688" spans="5:6" ht="21" customHeight="1" x14ac:dyDescent="0.35">
      <c r="E688" s="107"/>
      <c r="F688" s="107"/>
    </row>
    <row r="689" spans="5:6" ht="21" customHeight="1" x14ac:dyDescent="0.35">
      <c r="E689" s="107"/>
      <c r="F689" s="107"/>
    </row>
    <row r="690" spans="5:6" ht="21" customHeight="1" x14ac:dyDescent="0.35">
      <c r="E690" s="107"/>
      <c r="F690" s="107"/>
    </row>
    <row r="691" spans="5:6" ht="21" customHeight="1" x14ac:dyDescent="0.35">
      <c r="E691" s="107"/>
      <c r="F691" s="107"/>
    </row>
    <row r="692" spans="5:6" ht="21" customHeight="1" x14ac:dyDescent="0.35">
      <c r="E692" s="107"/>
      <c r="F692" s="107"/>
    </row>
    <row r="693" spans="5:6" ht="21" customHeight="1" x14ac:dyDescent="0.35">
      <c r="E693" s="107"/>
      <c r="F693" s="107"/>
    </row>
    <row r="694" spans="5:6" ht="21" customHeight="1" x14ac:dyDescent="0.35">
      <c r="E694" s="107"/>
      <c r="F694" s="107"/>
    </row>
    <row r="695" spans="5:6" ht="21" customHeight="1" x14ac:dyDescent="0.35">
      <c r="E695" s="107"/>
      <c r="F695" s="107"/>
    </row>
    <row r="696" spans="5:6" ht="21" customHeight="1" x14ac:dyDescent="0.35">
      <c r="E696" s="107"/>
      <c r="F696" s="107"/>
    </row>
    <row r="697" spans="5:6" ht="21" customHeight="1" x14ac:dyDescent="0.35">
      <c r="E697" s="107"/>
      <c r="F697" s="107"/>
    </row>
    <row r="698" spans="5:6" ht="21" customHeight="1" x14ac:dyDescent="0.35">
      <c r="E698" s="107"/>
      <c r="F698" s="107"/>
    </row>
    <row r="699" spans="5:6" ht="21" customHeight="1" x14ac:dyDescent="0.35">
      <c r="E699" s="107"/>
      <c r="F699" s="107"/>
    </row>
    <row r="700" spans="5:6" ht="21" customHeight="1" x14ac:dyDescent="0.35">
      <c r="E700" s="107"/>
      <c r="F700" s="107"/>
    </row>
    <row r="701" spans="5:6" ht="21" customHeight="1" x14ac:dyDescent="0.35">
      <c r="E701" s="107"/>
      <c r="F701" s="107"/>
    </row>
    <row r="702" spans="5:6" ht="21" customHeight="1" x14ac:dyDescent="0.35">
      <c r="E702" s="107"/>
      <c r="F702" s="107"/>
    </row>
    <row r="703" spans="5:6" ht="21" customHeight="1" x14ac:dyDescent="0.35">
      <c r="E703" s="107"/>
      <c r="F703" s="107"/>
    </row>
    <row r="704" spans="5:6" ht="21" customHeight="1" x14ac:dyDescent="0.35">
      <c r="E704" s="107"/>
      <c r="F704" s="107"/>
    </row>
    <row r="705" spans="5:6" ht="21" customHeight="1" x14ac:dyDescent="0.35">
      <c r="E705" s="107"/>
      <c r="F705" s="107"/>
    </row>
    <row r="706" spans="5:6" ht="21" customHeight="1" x14ac:dyDescent="0.35">
      <c r="E706" s="107"/>
      <c r="F706" s="107"/>
    </row>
    <row r="707" spans="5:6" ht="21" customHeight="1" x14ac:dyDescent="0.35">
      <c r="E707" s="107"/>
      <c r="F707" s="107"/>
    </row>
    <row r="708" spans="5:6" ht="21" customHeight="1" x14ac:dyDescent="0.35">
      <c r="E708" s="107"/>
      <c r="F708" s="107"/>
    </row>
    <row r="709" spans="5:6" ht="21" customHeight="1" x14ac:dyDescent="0.35">
      <c r="E709" s="107"/>
      <c r="F709" s="107"/>
    </row>
    <row r="710" spans="5:6" ht="21" customHeight="1" x14ac:dyDescent="0.35">
      <c r="E710" s="107"/>
      <c r="F710" s="107"/>
    </row>
    <row r="711" spans="5:6" ht="21" customHeight="1" x14ac:dyDescent="0.35">
      <c r="E711" s="107"/>
      <c r="F711" s="107"/>
    </row>
    <row r="712" spans="5:6" ht="21" customHeight="1" x14ac:dyDescent="0.35">
      <c r="E712" s="107"/>
      <c r="F712" s="107"/>
    </row>
    <row r="713" spans="5:6" ht="21" customHeight="1" x14ac:dyDescent="0.35">
      <c r="E713" s="107"/>
      <c r="F713" s="107"/>
    </row>
    <row r="714" spans="5:6" ht="21" customHeight="1" x14ac:dyDescent="0.35">
      <c r="E714" s="107"/>
      <c r="F714" s="107"/>
    </row>
    <row r="715" spans="5:6" ht="21" customHeight="1" x14ac:dyDescent="0.35">
      <c r="E715" s="107"/>
      <c r="F715" s="107"/>
    </row>
    <row r="716" spans="5:6" ht="21" customHeight="1" x14ac:dyDescent="0.35">
      <c r="E716" s="107"/>
      <c r="F716" s="107"/>
    </row>
    <row r="717" spans="5:6" ht="21" customHeight="1" x14ac:dyDescent="0.35">
      <c r="E717" s="107"/>
      <c r="F717" s="107"/>
    </row>
    <row r="718" spans="5:6" ht="21" customHeight="1" x14ac:dyDescent="0.35">
      <c r="E718" s="107"/>
      <c r="F718" s="107"/>
    </row>
    <row r="719" spans="5:6" ht="21" customHeight="1" x14ac:dyDescent="0.35">
      <c r="E719" s="107"/>
      <c r="F719" s="107"/>
    </row>
    <row r="720" spans="5:6" ht="21" customHeight="1" x14ac:dyDescent="0.35">
      <c r="E720" s="107"/>
      <c r="F720" s="107"/>
    </row>
    <row r="721" spans="5:6" ht="21" customHeight="1" x14ac:dyDescent="0.35">
      <c r="E721" s="107"/>
      <c r="F721" s="107"/>
    </row>
    <row r="722" spans="5:6" ht="21" customHeight="1" x14ac:dyDescent="0.35">
      <c r="E722" s="107"/>
      <c r="F722" s="107"/>
    </row>
    <row r="723" spans="5:6" ht="21" customHeight="1" x14ac:dyDescent="0.35">
      <c r="E723" s="107"/>
      <c r="F723" s="107"/>
    </row>
    <row r="724" spans="5:6" ht="21" customHeight="1" x14ac:dyDescent="0.35">
      <c r="E724" s="107"/>
      <c r="F724" s="107"/>
    </row>
    <row r="725" spans="5:6" ht="21" customHeight="1" x14ac:dyDescent="0.35">
      <c r="E725" s="107"/>
      <c r="F725" s="107"/>
    </row>
    <row r="726" spans="5:6" ht="21" customHeight="1" x14ac:dyDescent="0.35">
      <c r="E726" s="107"/>
      <c r="F726" s="107"/>
    </row>
    <row r="727" spans="5:6" ht="21" customHeight="1" x14ac:dyDescent="0.35">
      <c r="E727" s="107"/>
      <c r="F727" s="107"/>
    </row>
    <row r="728" spans="5:6" ht="21" customHeight="1" x14ac:dyDescent="0.35">
      <c r="E728" s="107"/>
      <c r="F728" s="107"/>
    </row>
    <row r="729" spans="5:6" ht="21" customHeight="1" x14ac:dyDescent="0.35">
      <c r="E729" s="107"/>
      <c r="F729" s="107"/>
    </row>
    <row r="730" spans="5:6" ht="21" customHeight="1" x14ac:dyDescent="0.35">
      <c r="E730" s="107"/>
      <c r="F730" s="107"/>
    </row>
    <row r="731" spans="5:6" ht="21" customHeight="1" x14ac:dyDescent="0.35">
      <c r="E731" s="107"/>
      <c r="F731" s="107"/>
    </row>
    <row r="732" spans="5:6" ht="21" customHeight="1" x14ac:dyDescent="0.35">
      <c r="E732" s="107"/>
      <c r="F732" s="107"/>
    </row>
    <row r="733" spans="5:6" ht="21" customHeight="1" x14ac:dyDescent="0.35">
      <c r="E733" s="107"/>
      <c r="F733" s="107"/>
    </row>
    <row r="734" spans="5:6" ht="21" customHeight="1" x14ac:dyDescent="0.35">
      <c r="E734" s="107"/>
      <c r="F734" s="107"/>
    </row>
    <row r="735" spans="5:6" ht="21" customHeight="1" x14ac:dyDescent="0.35">
      <c r="E735" s="107"/>
      <c r="F735" s="107"/>
    </row>
    <row r="736" spans="5:6" ht="21" customHeight="1" x14ac:dyDescent="0.35">
      <c r="E736" s="107"/>
      <c r="F736" s="107"/>
    </row>
    <row r="737" spans="5:6" ht="21" customHeight="1" x14ac:dyDescent="0.35">
      <c r="E737" s="107"/>
      <c r="F737" s="107"/>
    </row>
    <row r="738" spans="5:6" ht="21" customHeight="1" x14ac:dyDescent="0.35">
      <c r="E738" s="107"/>
      <c r="F738" s="107"/>
    </row>
    <row r="739" spans="5:6" ht="21" customHeight="1" x14ac:dyDescent="0.35">
      <c r="E739" s="107"/>
      <c r="F739" s="107"/>
    </row>
    <row r="740" spans="5:6" ht="21" customHeight="1" x14ac:dyDescent="0.35">
      <c r="E740" s="107"/>
      <c r="F740" s="107"/>
    </row>
    <row r="741" spans="5:6" ht="21" customHeight="1" x14ac:dyDescent="0.35">
      <c r="E741" s="107"/>
      <c r="F741" s="107"/>
    </row>
    <row r="742" spans="5:6" ht="21" customHeight="1" x14ac:dyDescent="0.35">
      <c r="E742" s="107"/>
      <c r="F742" s="107"/>
    </row>
    <row r="743" spans="5:6" ht="21" customHeight="1" x14ac:dyDescent="0.35">
      <c r="E743" s="107"/>
      <c r="F743" s="107"/>
    </row>
    <row r="744" spans="5:6" ht="21" customHeight="1" x14ac:dyDescent="0.35">
      <c r="E744" s="107"/>
      <c r="F744" s="107"/>
    </row>
    <row r="745" spans="5:6" ht="21" customHeight="1" x14ac:dyDescent="0.35">
      <c r="E745" s="107"/>
      <c r="F745" s="107"/>
    </row>
    <row r="746" spans="5:6" ht="21" customHeight="1" x14ac:dyDescent="0.35">
      <c r="E746" s="107"/>
      <c r="F746" s="107"/>
    </row>
    <row r="747" spans="5:6" ht="21" customHeight="1" x14ac:dyDescent="0.35">
      <c r="E747" s="107"/>
      <c r="F747" s="107"/>
    </row>
    <row r="748" spans="5:6" ht="21" customHeight="1" x14ac:dyDescent="0.35">
      <c r="E748" s="107"/>
      <c r="F748" s="107"/>
    </row>
    <row r="749" spans="5:6" ht="21" customHeight="1" x14ac:dyDescent="0.35">
      <c r="E749" s="107"/>
      <c r="F749" s="107"/>
    </row>
    <row r="750" spans="5:6" ht="21" customHeight="1" x14ac:dyDescent="0.35">
      <c r="E750" s="107"/>
      <c r="F750" s="107"/>
    </row>
    <row r="751" spans="5:6" ht="21" customHeight="1" x14ac:dyDescent="0.35">
      <c r="E751" s="107"/>
      <c r="F751" s="107"/>
    </row>
    <row r="752" spans="5:6" ht="21" customHeight="1" x14ac:dyDescent="0.35">
      <c r="E752" s="107"/>
      <c r="F752" s="107"/>
    </row>
    <row r="753" spans="5:6" ht="21" customHeight="1" x14ac:dyDescent="0.35">
      <c r="E753" s="107"/>
      <c r="F753" s="107"/>
    </row>
    <row r="754" spans="5:6" ht="21" customHeight="1" x14ac:dyDescent="0.35">
      <c r="E754" s="107"/>
      <c r="F754" s="107"/>
    </row>
    <row r="755" spans="5:6" ht="21" customHeight="1" x14ac:dyDescent="0.35">
      <c r="E755" s="107"/>
      <c r="F755" s="107"/>
    </row>
    <row r="756" spans="5:6" ht="21" customHeight="1" x14ac:dyDescent="0.35">
      <c r="E756" s="107"/>
      <c r="F756" s="107"/>
    </row>
    <row r="757" spans="5:6" ht="21" customHeight="1" x14ac:dyDescent="0.35">
      <c r="E757" s="107"/>
      <c r="F757" s="107"/>
    </row>
    <row r="758" spans="5:6" ht="21" customHeight="1" x14ac:dyDescent="0.35">
      <c r="E758" s="107"/>
      <c r="F758" s="107"/>
    </row>
    <row r="759" spans="5:6" ht="21" customHeight="1" x14ac:dyDescent="0.35">
      <c r="E759" s="107"/>
      <c r="F759" s="107"/>
    </row>
    <row r="760" spans="5:6" ht="21" customHeight="1" x14ac:dyDescent="0.35">
      <c r="E760" s="107"/>
      <c r="F760" s="107"/>
    </row>
    <row r="761" spans="5:6" ht="21" customHeight="1" x14ac:dyDescent="0.35">
      <c r="E761" s="107"/>
      <c r="F761" s="107"/>
    </row>
    <row r="762" spans="5:6" ht="21" customHeight="1" x14ac:dyDescent="0.35">
      <c r="E762" s="107"/>
      <c r="F762" s="107"/>
    </row>
    <row r="763" spans="5:6" ht="21" customHeight="1" x14ac:dyDescent="0.35">
      <c r="E763" s="107"/>
      <c r="F763" s="107"/>
    </row>
    <row r="764" spans="5:6" ht="21" customHeight="1" x14ac:dyDescent="0.35">
      <c r="E764" s="107"/>
      <c r="F764" s="107"/>
    </row>
    <row r="765" spans="5:6" ht="21" customHeight="1" x14ac:dyDescent="0.35">
      <c r="E765" s="107"/>
      <c r="F765" s="107"/>
    </row>
    <row r="766" spans="5:6" ht="21" customHeight="1" x14ac:dyDescent="0.35">
      <c r="E766" s="107"/>
      <c r="F766" s="107"/>
    </row>
    <row r="767" spans="5:6" ht="21" customHeight="1" x14ac:dyDescent="0.35">
      <c r="E767" s="107"/>
      <c r="F767" s="107"/>
    </row>
    <row r="768" spans="5:6" ht="21" customHeight="1" x14ac:dyDescent="0.35">
      <c r="E768" s="107"/>
      <c r="F768" s="107"/>
    </row>
    <row r="769" spans="5:6" ht="21" customHeight="1" x14ac:dyDescent="0.35">
      <c r="E769" s="107"/>
      <c r="F769" s="107"/>
    </row>
    <row r="770" spans="5:6" ht="21" customHeight="1" x14ac:dyDescent="0.35">
      <c r="E770" s="107"/>
      <c r="F770" s="107"/>
    </row>
    <row r="771" spans="5:6" ht="21" customHeight="1" x14ac:dyDescent="0.35">
      <c r="E771" s="107"/>
      <c r="F771" s="107"/>
    </row>
    <row r="772" spans="5:6" ht="21" customHeight="1" x14ac:dyDescent="0.35">
      <c r="E772" s="107"/>
      <c r="F772" s="107"/>
    </row>
    <row r="773" spans="5:6" ht="21" customHeight="1" x14ac:dyDescent="0.35">
      <c r="E773" s="107"/>
      <c r="F773" s="107"/>
    </row>
    <row r="774" spans="5:6" ht="21" customHeight="1" x14ac:dyDescent="0.35">
      <c r="E774" s="107"/>
      <c r="F774" s="107"/>
    </row>
    <row r="775" spans="5:6" ht="21" customHeight="1" x14ac:dyDescent="0.35">
      <c r="E775" s="107"/>
      <c r="F775" s="107"/>
    </row>
    <row r="776" spans="5:6" ht="21" customHeight="1" x14ac:dyDescent="0.35">
      <c r="E776" s="107"/>
      <c r="F776" s="107"/>
    </row>
    <row r="777" spans="5:6" ht="21" customHeight="1" x14ac:dyDescent="0.35">
      <c r="E777" s="107"/>
      <c r="F777" s="107"/>
    </row>
    <row r="778" spans="5:6" ht="21" customHeight="1" x14ac:dyDescent="0.35">
      <c r="E778" s="107"/>
      <c r="F778" s="107"/>
    </row>
    <row r="779" spans="5:6" ht="21" customHeight="1" x14ac:dyDescent="0.35">
      <c r="E779" s="107"/>
      <c r="F779" s="107"/>
    </row>
    <row r="780" spans="5:6" ht="21" customHeight="1" x14ac:dyDescent="0.35">
      <c r="E780" s="107"/>
      <c r="F780" s="107"/>
    </row>
    <row r="781" spans="5:6" ht="21" customHeight="1" x14ac:dyDescent="0.35">
      <c r="E781" s="107"/>
      <c r="F781" s="107"/>
    </row>
    <row r="782" spans="5:6" ht="21" customHeight="1" x14ac:dyDescent="0.35">
      <c r="E782" s="107"/>
      <c r="F782" s="107"/>
    </row>
    <row r="783" spans="5:6" ht="21" customHeight="1" x14ac:dyDescent="0.35">
      <c r="E783" s="107"/>
      <c r="F783" s="107"/>
    </row>
    <row r="784" spans="5:6" ht="21" customHeight="1" x14ac:dyDescent="0.35">
      <c r="E784" s="107"/>
      <c r="F784" s="107"/>
    </row>
    <row r="785" spans="5:6" ht="21" customHeight="1" x14ac:dyDescent="0.35">
      <c r="E785" s="107"/>
      <c r="F785" s="107"/>
    </row>
    <row r="786" spans="5:6" ht="21" customHeight="1" x14ac:dyDescent="0.35">
      <c r="E786" s="107"/>
      <c r="F786" s="107"/>
    </row>
    <row r="787" spans="5:6" ht="21" customHeight="1" x14ac:dyDescent="0.35">
      <c r="E787" s="107"/>
      <c r="F787" s="107"/>
    </row>
    <row r="788" spans="5:6" ht="21" customHeight="1" x14ac:dyDescent="0.35">
      <c r="E788" s="107"/>
      <c r="F788" s="107"/>
    </row>
    <row r="789" spans="5:6" ht="21" customHeight="1" x14ac:dyDescent="0.35">
      <c r="E789" s="107"/>
      <c r="F789" s="107"/>
    </row>
    <row r="790" spans="5:6" ht="21" customHeight="1" x14ac:dyDescent="0.35">
      <c r="E790" s="107"/>
      <c r="F790" s="107"/>
    </row>
    <row r="791" spans="5:6" ht="21" customHeight="1" x14ac:dyDescent="0.35">
      <c r="E791" s="107"/>
      <c r="F791" s="107"/>
    </row>
    <row r="792" spans="5:6" ht="21" customHeight="1" x14ac:dyDescent="0.35">
      <c r="E792" s="107"/>
      <c r="F792" s="107"/>
    </row>
    <row r="793" spans="5:6" ht="21" customHeight="1" x14ac:dyDescent="0.35">
      <c r="E793" s="107"/>
      <c r="F793" s="107"/>
    </row>
    <row r="794" spans="5:6" ht="21" customHeight="1" x14ac:dyDescent="0.35">
      <c r="E794" s="107"/>
      <c r="F794" s="107"/>
    </row>
    <row r="795" spans="5:6" ht="21" customHeight="1" x14ac:dyDescent="0.35">
      <c r="E795" s="107"/>
      <c r="F795" s="107"/>
    </row>
    <row r="796" spans="5:6" ht="21" customHeight="1" x14ac:dyDescent="0.35">
      <c r="E796" s="107"/>
      <c r="F796" s="107"/>
    </row>
    <row r="797" spans="5:6" ht="21" customHeight="1" x14ac:dyDescent="0.35">
      <c r="E797" s="107"/>
      <c r="F797" s="107"/>
    </row>
    <row r="798" spans="5:6" ht="21" customHeight="1" x14ac:dyDescent="0.35">
      <c r="E798" s="107"/>
      <c r="F798" s="107"/>
    </row>
    <row r="799" spans="5:6" ht="21" customHeight="1" x14ac:dyDescent="0.35">
      <c r="E799" s="107"/>
      <c r="F799" s="107"/>
    </row>
    <row r="800" spans="5:6" ht="21" customHeight="1" x14ac:dyDescent="0.35">
      <c r="E800" s="107"/>
      <c r="F800" s="107"/>
    </row>
    <row r="801" spans="5:6" ht="21" customHeight="1" x14ac:dyDescent="0.35">
      <c r="E801" s="107"/>
      <c r="F801" s="107"/>
    </row>
    <row r="802" spans="5:6" ht="21" customHeight="1" x14ac:dyDescent="0.35">
      <c r="E802" s="107"/>
      <c r="F802" s="107"/>
    </row>
    <row r="803" spans="5:6" ht="21" customHeight="1" x14ac:dyDescent="0.35">
      <c r="E803" s="107"/>
      <c r="F803" s="107"/>
    </row>
    <row r="804" spans="5:6" ht="21" customHeight="1" x14ac:dyDescent="0.35">
      <c r="E804" s="107"/>
      <c r="F804" s="107"/>
    </row>
    <row r="805" spans="5:6" ht="21" customHeight="1" x14ac:dyDescent="0.35">
      <c r="E805" s="107"/>
      <c r="F805" s="107"/>
    </row>
    <row r="806" spans="5:6" ht="21" customHeight="1" x14ac:dyDescent="0.35">
      <c r="E806" s="107"/>
      <c r="F806" s="107"/>
    </row>
    <row r="807" spans="5:6" ht="21" customHeight="1" x14ac:dyDescent="0.35">
      <c r="E807" s="107"/>
      <c r="F807" s="107"/>
    </row>
    <row r="808" spans="5:6" ht="21" customHeight="1" x14ac:dyDescent="0.35">
      <c r="E808" s="107"/>
      <c r="F808" s="107"/>
    </row>
    <row r="809" spans="5:6" ht="21" customHeight="1" x14ac:dyDescent="0.35">
      <c r="E809" s="107"/>
      <c r="F809" s="107"/>
    </row>
    <row r="810" spans="5:6" ht="21" customHeight="1" x14ac:dyDescent="0.35">
      <c r="E810" s="107"/>
      <c r="F810" s="107"/>
    </row>
    <row r="811" spans="5:6" ht="21" customHeight="1" x14ac:dyDescent="0.35">
      <c r="E811" s="107"/>
      <c r="F811" s="107"/>
    </row>
    <row r="812" spans="5:6" ht="21" customHeight="1" x14ac:dyDescent="0.35">
      <c r="E812" s="107"/>
      <c r="F812" s="107"/>
    </row>
    <row r="813" spans="5:6" ht="21" customHeight="1" x14ac:dyDescent="0.35">
      <c r="E813" s="107"/>
      <c r="F813" s="107"/>
    </row>
    <row r="814" spans="5:6" ht="21" customHeight="1" x14ac:dyDescent="0.35">
      <c r="E814" s="107"/>
      <c r="F814" s="107"/>
    </row>
    <row r="815" spans="5:6" ht="21" customHeight="1" x14ac:dyDescent="0.35">
      <c r="E815" s="107"/>
      <c r="F815" s="107"/>
    </row>
    <row r="816" spans="5:6" ht="21" customHeight="1" x14ac:dyDescent="0.35">
      <c r="E816" s="107"/>
      <c r="F816" s="107"/>
    </row>
    <row r="817" spans="5:6" ht="21" customHeight="1" x14ac:dyDescent="0.35">
      <c r="E817" s="107"/>
      <c r="F817" s="107"/>
    </row>
    <row r="818" spans="5:6" ht="21" customHeight="1" x14ac:dyDescent="0.35">
      <c r="E818" s="107"/>
      <c r="F818" s="107"/>
    </row>
    <row r="819" spans="5:6" ht="21" customHeight="1" x14ac:dyDescent="0.35">
      <c r="E819" s="107"/>
      <c r="F819" s="107"/>
    </row>
    <row r="820" spans="5:6" ht="21" customHeight="1" x14ac:dyDescent="0.35">
      <c r="E820" s="107"/>
      <c r="F820" s="107"/>
    </row>
    <row r="821" spans="5:6" ht="21" customHeight="1" x14ac:dyDescent="0.35">
      <c r="E821" s="107"/>
      <c r="F821" s="107"/>
    </row>
    <row r="822" spans="5:6" ht="21" customHeight="1" x14ac:dyDescent="0.35">
      <c r="E822" s="107"/>
      <c r="F822" s="107"/>
    </row>
    <row r="823" spans="5:6" ht="21" customHeight="1" x14ac:dyDescent="0.35">
      <c r="E823" s="107"/>
      <c r="F823" s="107"/>
    </row>
    <row r="824" spans="5:6" ht="21" customHeight="1" x14ac:dyDescent="0.35">
      <c r="E824" s="107"/>
      <c r="F824" s="107"/>
    </row>
    <row r="825" spans="5:6" ht="21" customHeight="1" x14ac:dyDescent="0.35">
      <c r="E825" s="107"/>
      <c r="F825" s="107"/>
    </row>
    <row r="826" spans="5:6" ht="21" customHeight="1" x14ac:dyDescent="0.35">
      <c r="E826" s="107"/>
      <c r="F826" s="107"/>
    </row>
    <row r="827" spans="5:6" ht="21" customHeight="1" x14ac:dyDescent="0.35">
      <c r="E827" s="107"/>
      <c r="F827" s="107"/>
    </row>
    <row r="828" spans="5:6" ht="21" customHeight="1" x14ac:dyDescent="0.35">
      <c r="E828" s="107"/>
      <c r="F828" s="107"/>
    </row>
    <row r="829" spans="5:6" ht="21" customHeight="1" x14ac:dyDescent="0.35">
      <c r="E829" s="107"/>
      <c r="F829" s="107"/>
    </row>
    <row r="830" spans="5:6" ht="21" customHeight="1" x14ac:dyDescent="0.35">
      <c r="E830" s="107"/>
      <c r="F830" s="107"/>
    </row>
    <row r="831" spans="5:6" ht="21" customHeight="1" x14ac:dyDescent="0.35">
      <c r="E831" s="107"/>
      <c r="F831" s="107"/>
    </row>
    <row r="832" spans="5:6" ht="21" customHeight="1" x14ac:dyDescent="0.35">
      <c r="E832" s="107"/>
      <c r="F832" s="107"/>
    </row>
    <row r="833" spans="5:6" ht="21" customHeight="1" x14ac:dyDescent="0.35">
      <c r="E833" s="107"/>
      <c r="F833" s="107"/>
    </row>
    <row r="834" spans="5:6" ht="21" customHeight="1" x14ac:dyDescent="0.35">
      <c r="E834" s="107"/>
      <c r="F834" s="107"/>
    </row>
    <row r="835" spans="5:6" ht="21" customHeight="1" x14ac:dyDescent="0.35">
      <c r="E835" s="107"/>
      <c r="F835" s="107"/>
    </row>
    <row r="836" spans="5:6" ht="21" customHeight="1" x14ac:dyDescent="0.35">
      <c r="E836" s="107"/>
      <c r="F836" s="107"/>
    </row>
    <row r="837" spans="5:6" ht="21" customHeight="1" x14ac:dyDescent="0.35">
      <c r="E837" s="107"/>
      <c r="F837" s="107"/>
    </row>
    <row r="838" spans="5:6" ht="21" customHeight="1" x14ac:dyDescent="0.35">
      <c r="E838" s="107"/>
      <c r="F838" s="107"/>
    </row>
    <row r="839" spans="5:6" ht="21" customHeight="1" x14ac:dyDescent="0.35">
      <c r="E839" s="107"/>
      <c r="F839" s="107"/>
    </row>
    <row r="840" spans="5:6" ht="21" customHeight="1" x14ac:dyDescent="0.35">
      <c r="E840" s="107"/>
      <c r="F840" s="107"/>
    </row>
    <row r="841" spans="5:6" ht="21" customHeight="1" x14ac:dyDescent="0.35">
      <c r="E841" s="107"/>
      <c r="F841" s="107"/>
    </row>
    <row r="842" spans="5:6" ht="21" customHeight="1" x14ac:dyDescent="0.35">
      <c r="E842" s="107"/>
      <c r="F842" s="107"/>
    </row>
    <row r="843" spans="5:6" ht="21" customHeight="1" x14ac:dyDescent="0.35">
      <c r="E843" s="107"/>
      <c r="F843" s="107"/>
    </row>
    <row r="844" spans="5:6" ht="21" customHeight="1" x14ac:dyDescent="0.35">
      <c r="E844" s="107"/>
      <c r="F844" s="107"/>
    </row>
    <row r="845" spans="5:6" ht="21" customHeight="1" x14ac:dyDescent="0.35">
      <c r="E845" s="107"/>
      <c r="F845" s="107"/>
    </row>
    <row r="846" spans="5:6" ht="21" customHeight="1" x14ac:dyDescent="0.35">
      <c r="E846" s="107"/>
      <c r="F846" s="107"/>
    </row>
    <row r="847" spans="5:6" ht="21" customHeight="1" x14ac:dyDescent="0.35">
      <c r="E847" s="107"/>
      <c r="F847" s="107"/>
    </row>
    <row r="848" spans="5:6" ht="21" customHeight="1" x14ac:dyDescent="0.35">
      <c r="E848" s="107"/>
      <c r="F848" s="107"/>
    </row>
    <row r="849" spans="5:6" ht="21" customHeight="1" x14ac:dyDescent="0.35">
      <c r="E849" s="107"/>
      <c r="F849" s="107"/>
    </row>
    <row r="850" spans="5:6" ht="21" customHeight="1" x14ac:dyDescent="0.35">
      <c r="E850" s="107"/>
      <c r="F850" s="107"/>
    </row>
    <row r="851" spans="5:6" ht="21" customHeight="1" x14ac:dyDescent="0.35">
      <c r="E851" s="107"/>
      <c r="F851" s="107"/>
    </row>
    <row r="852" spans="5:6" ht="21" customHeight="1" x14ac:dyDescent="0.35">
      <c r="E852" s="107"/>
      <c r="F852" s="107"/>
    </row>
    <row r="853" spans="5:6" ht="21" customHeight="1" x14ac:dyDescent="0.35">
      <c r="E853" s="107"/>
      <c r="F853" s="107"/>
    </row>
    <row r="854" spans="5:6" ht="21" customHeight="1" x14ac:dyDescent="0.35">
      <c r="E854" s="107"/>
      <c r="F854" s="107"/>
    </row>
    <row r="855" spans="5:6" ht="21" customHeight="1" x14ac:dyDescent="0.35">
      <c r="E855" s="107"/>
      <c r="F855" s="107"/>
    </row>
    <row r="856" spans="5:6" ht="21" customHeight="1" x14ac:dyDescent="0.35">
      <c r="E856" s="107"/>
      <c r="F856" s="107"/>
    </row>
    <row r="857" spans="5:6" ht="21" customHeight="1" x14ac:dyDescent="0.35">
      <c r="E857" s="107"/>
      <c r="F857" s="107"/>
    </row>
    <row r="858" spans="5:6" ht="21" customHeight="1" x14ac:dyDescent="0.35">
      <c r="E858" s="107"/>
      <c r="F858" s="107"/>
    </row>
    <row r="859" spans="5:6" ht="21" customHeight="1" x14ac:dyDescent="0.35">
      <c r="E859" s="107"/>
      <c r="F859" s="107"/>
    </row>
    <row r="860" spans="5:6" ht="21" customHeight="1" x14ac:dyDescent="0.35">
      <c r="E860" s="107"/>
      <c r="F860" s="107"/>
    </row>
    <row r="861" spans="5:6" ht="21" customHeight="1" x14ac:dyDescent="0.35">
      <c r="E861" s="107"/>
      <c r="F861" s="107"/>
    </row>
    <row r="862" spans="5:6" ht="21" customHeight="1" x14ac:dyDescent="0.35">
      <c r="E862" s="107"/>
      <c r="F862" s="107"/>
    </row>
    <row r="863" spans="5:6" ht="21" customHeight="1" x14ac:dyDescent="0.35">
      <c r="E863" s="107"/>
      <c r="F863" s="107"/>
    </row>
    <row r="864" spans="5:6" ht="21" customHeight="1" x14ac:dyDescent="0.35">
      <c r="E864" s="107"/>
      <c r="F864" s="107"/>
    </row>
    <row r="865" spans="5:6" ht="21" customHeight="1" x14ac:dyDescent="0.35">
      <c r="E865" s="107"/>
      <c r="F865" s="107"/>
    </row>
    <row r="866" spans="5:6" ht="21" customHeight="1" x14ac:dyDescent="0.35">
      <c r="E866" s="107"/>
      <c r="F866" s="107"/>
    </row>
    <row r="867" spans="5:6" ht="21" customHeight="1" x14ac:dyDescent="0.35">
      <c r="E867" s="107"/>
      <c r="F867" s="107"/>
    </row>
    <row r="868" spans="5:6" ht="21" customHeight="1" x14ac:dyDescent="0.35">
      <c r="E868" s="107"/>
      <c r="F868" s="107"/>
    </row>
    <row r="869" spans="5:6" ht="21" customHeight="1" x14ac:dyDescent="0.35">
      <c r="E869" s="107"/>
      <c r="F869" s="107"/>
    </row>
    <row r="870" spans="5:6" ht="21" customHeight="1" x14ac:dyDescent="0.35">
      <c r="E870" s="107"/>
      <c r="F870" s="107"/>
    </row>
    <row r="871" spans="5:6" ht="21" customHeight="1" x14ac:dyDescent="0.35">
      <c r="E871" s="107"/>
      <c r="F871" s="107"/>
    </row>
    <row r="872" spans="5:6" ht="21" customHeight="1" x14ac:dyDescent="0.35">
      <c r="E872" s="107"/>
      <c r="F872" s="107"/>
    </row>
    <row r="873" spans="5:6" ht="21" customHeight="1" x14ac:dyDescent="0.35">
      <c r="E873" s="107"/>
      <c r="F873" s="107"/>
    </row>
    <row r="874" spans="5:6" ht="21" customHeight="1" x14ac:dyDescent="0.35">
      <c r="E874" s="107"/>
      <c r="F874" s="107"/>
    </row>
    <row r="875" spans="5:6" ht="21" customHeight="1" x14ac:dyDescent="0.35">
      <c r="E875" s="107"/>
      <c r="F875" s="107"/>
    </row>
    <row r="876" spans="5:6" ht="21" customHeight="1" x14ac:dyDescent="0.35">
      <c r="E876" s="107"/>
      <c r="F876" s="107"/>
    </row>
    <row r="877" spans="5:6" ht="21" customHeight="1" x14ac:dyDescent="0.35">
      <c r="E877" s="107"/>
      <c r="F877" s="107"/>
    </row>
    <row r="878" spans="5:6" ht="21" customHeight="1" x14ac:dyDescent="0.35">
      <c r="E878" s="107"/>
      <c r="F878" s="107"/>
    </row>
    <row r="879" spans="5:6" ht="21" customHeight="1" x14ac:dyDescent="0.35">
      <c r="E879" s="107"/>
      <c r="F879" s="107"/>
    </row>
    <row r="880" spans="5:6" ht="21" customHeight="1" x14ac:dyDescent="0.35">
      <c r="E880" s="107"/>
      <c r="F880" s="107"/>
    </row>
    <row r="881" spans="5:6" ht="21" customHeight="1" x14ac:dyDescent="0.35">
      <c r="E881" s="107"/>
      <c r="F881" s="107"/>
    </row>
    <row r="882" spans="5:6" ht="21" customHeight="1" x14ac:dyDescent="0.35">
      <c r="E882" s="107"/>
      <c r="F882" s="107"/>
    </row>
    <row r="883" spans="5:6" ht="21" customHeight="1" x14ac:dyDescent="0.35">
      <c r="E883" s="107"/>
      <c r="F883" s="107"/>
    </row>
    <row r="884" spans="5:6" ht="21" customHeight="1" x14ac:dyDescent="0.35">
      <c r="E884" s="107"/>
      <c r="F884" s="107"/>
    </row>
    <row r="885" spans="5:6" ht="21" customHeight="1" x14ac:dyDescent="0.35">
      <c r="E885" s="107"/>
      <c r="F885" s="107"/>
    </row>
    <row r="886" spans="5:6" ht="21" customHeight="1" x14ac:dyDescent="0.35">
      <c r="E886" s="107"/>
      <c r="F886" s="107"/>
    </row>
    <row r="887" spans="5:6" ht="21" customHeight="1" x14ac:dyDescent="0.35">
      <c r="E887" s="107"/>
      <c r="F887" s="107"/>
    </row>
    <row r="888" spans="5:6" ht="21" customHeight="1" x14ac:dyDescent="0.35">
      <c r="E888" s="107"/>
      <c r="F888" s="107"/>
    </row>
    <row r="889" spans="5:6" ht="21" customHeight="1" x14ac:dyDescent="0.35">
      <c r="E889" s="107"/>
      <c r="F889" s="107"/>
    </row>
    <row r="890" spans="5:6" ht="21" customHeight="1" x14ac:dyDescent="0.35">
      <c r="E890" s="107"/>
      <c r="F890" s="107"/>
    </row>
    <row r="891" spans="5:6" ht="21" customHeight="1" x14ac:dyDescent="0.35">
      <c r="E891" s="107"/>
      <c r="F891" s="107"/>
    </row>
    <row r="892" spans="5:6" ht="21" customHeight="1" x14ac:dyDescent="0.35">
      <c r="E892" s="107"/>
      <c r="F892" s="107"/>
    </row>
    <row r="893" spans="5:6" ht="21" customHeight="1" x14ac:dyDescent="0.35">
      <c r="E893" s="107"/>
      <c r="F893" s="107"/>
    </row>
    <row r="894" spans="5:6" ht="21" customHeight="1" x14ac:dyDescent="0.35">
      <c r="E894" s="107"/>
      <c r="F894" s="107"/>
    </row>
    <row r="895" spans="5:6" ht="21" customHeight="1" x14ac:dyDescent="0.35">
      <c r="E895" s="107"/>
      <c r="F895" s="107"/>
    </row>
    <row r="896" spans="5:6" ht="21" customHeight="1" x14ac:dyDescent="0.35">
      <c r="E896" s="107"/>
      <c r="F896" s="107"/>
    </row>
    <row r="897" spans="5:6" ht="21" customHeight="1" x14ac:dyDescent="0.35">
      <c r="E897" s="107"/>
      <c r="F897" s="107"/>
    </row>
    <row r="898" spans="5:6" ht="21" customHeight="1" x14ac:dyDescent="0.35">
      <c r="E898" s="107"/>
      <c r="F898" s="107"/>
    </row>
    <row r="899" spans="5:6" ht="21" customHeight="1" x14ac:dyDescent="0.35">
      <c r="E899" s="107"/>
      <c r="F899" s="107"/>
    </row>
    <row r="900" spans="5:6" ht="21" customHeight="1" x14ac:dyDescent="0.35">
      <c r="E900" s="107"/>
      <c r="F900" s="107"/>
    </row>
    <row r="901" spans="5:6" ht="21" customHeight="1" x14ac:dyDescent="0.35">
      <c r="E901" s="107"/>
      <c r="F901" s="107"/>
    </row>
    <row r="902" spans="5:6" ht="21" customHeight="1" x14ac:dyDescent="0.35">
      <c r="E902" s="107"/>
      <c r="F902" s="107"/>
    </row>
    <row r="903" spans="5:6" ht="21" customHeight="1" x14ac:dyDescent="0.35">
      <c r="E903" s="107"/>
      <c r="F903" s="107"/>
    </row>
    <row r="904" spans="5:6" ht="21" customHeight="1" x14ac:dyDescent="0.35">
      <c r="E904" s="107"/>
      <c r="F904" s="107"/>
    </row>
    <row r="905" spans="5:6" ht="21" customHeight="1" x14ac:dyDescent="0.35">
      <c r="E905" s="107"/>
      <c r="F905" s="107"/>
    </row>
    <row r="906" spans="5:6" ht="21" customHeight="1" x14ac:dyDescent="0.35">
      <c r="E906" s="107"/>
      <c r="F906" s="107"/>
    </row>
    <row r="907" spans="5:6" ht="21" customHeight="1" x14ac:dyDescent="0.35">
      <c r="E907" s="107"/>
      <c r="F907" s="107"/>
    </row>
    <row r="908" spans="5:6" ht="21" customHeight="1" x14ac:dyDescent="0.35">
      <c r="E908" s="107"/>
      <c r="F908" s="107"/>
    </row>
    <row r="909" spans="5:6" ht="21" customHeight="1" x14ac:dyDescent="0.35">
      <c r="E909" s="107"/>
      <c r="F909" s="107"/>
    </row>
    <row r="910" spans="5:6" ht="21" customHeight="1" x14ac:dyDescent="0.35">
      <c r="E910" s="107"/>
      <c r="F910" s="107"/>
    </row>
    <row r="911" spans="5:6" ht="21" customHeight="1" x14ac:dyDescent="0.35">
      <c r="E911" s="107"/>
      <c r="F911" s="107"/>
    </row>
    <row r="912" spans="5:6" ht="21" customHeight="1" x14ac:dyDescent="0.35">
      <c r="E912" s="107"/>
      <c r="F912" s="107"/>
    </row>
    <row r="913" spans="5:6" ht="21" customHeight="1" x14ac:dyDescent="0.35">
      <c r="E913" s="107"/>
      <c r="F913" s="107"/>
    </row>
    <row r="914" spans="5:6" ht="21" customHeight="1" x14ac:dyDescent="0.35">
      <c r="E914" s="107"/>
      <c r="F914" s="107"/>
    </row>
    <row r="915" spans="5:6" ht="21" customHeight="1" x14ac:dyDescent="0.35">
      <c r="E915" s="107"/>
      <c r="F915" s="107"/>
    </row>
    <row r="916" spans="5:6" ht="21" customHeight="1" x14ac:dyDescent="0.35">
      <c r="E916" s="107"/>
      <c r="F916" s="107"/>
    </row>
    <row r="917" spans="5:6" ht="21" customHeight="1" x14ac:dyDescent="0.35">
      <c r="E917" s="107"/>
      <c r="F917" s="107"/>
    </row>
    <row r="918" spans="5:6" ht="21" customHeight="1" x14ac:dyDescent="0.35">
      <c r="E918" s="107"/>
      <c r="F918" s="107"/>
    </row>
    <row r="919" spans="5:6" ht="21" customHeight="1" x14ac:dyDescent="0.35">
      <c r="E919" s="107"/>
      <c r="F919" s="107"/>
    </row>
    <row r="920" spans="5:6" ht="21" customHeight="1" x14ac:dyDescent="0.35">
      <c r="E920" s="107"/>
      <c r="F920" s="107"/>
    </row>
    <row r="921" spans="5:6" ht="21" customHeight="1" x14ac:dyDescent="0.35">
      <c r="E921" s="107"/>
      <c r="F921" s="107"/>
    </row>
    <row r="922" spans="5:6" ht="21" customHeight="1" x14ac:dyDescent="0.35">
      <c r="E922" s="107"/>
      <c r="F922" s="107"/>
    </row>
    <row r="923" spans="5:6" ht="21" customHeight="1" x14ac:dyDescent="0.35">
      <c r="E923" s="107"/>
      <c r="F923" s="107"/>
    </row>
    <row r="924" spans="5:6" ht="21" customHeight="1" x14ac:dyDescent="0.35">
      <c r="E924" s="107"/>
      <c r="F924" s="107"/>
    </row>
    <row r="925" spans="5:6" ht="21" customHeight="1" x14ac:dyDescent="0.35">
      <c r="E925" s="107"/>
      <c r="F925" s="107"/>
    </row>
    <row r="926" spans="5:6" ht="21" customHeight="1" x14ac:dyDescent="0.35">
      <c r="E926" s="107"/>
      <c r="F926" s="107"/>
    </row>
    <row r="927" spans="5:6" ht="21" customHeight="1" x14ac:dyDescent="0.35">
      <c r="E927" s="107"/>
      <c r="F927" s="107"/>
    </row>
    <row r="928" spans="5:6" ht="21" customHeight="1" x14ac:dyDescent="0.35">
      <c r="E928" s="107"/>
      <c r="F928" s="107"/>
    </row>
    <row r="929" spans="5:6" ht="21" customHeight="1" x14ac:dyDescent="0.35">
      <c r="E929" s="107"/>
      <c r="F929" s="107"/>
    </row>
    <row r="930" spans="5:6" ht="21" customHeight="1" x14ac:dyDescent="0.35">
      <c r="E930" s="107"/>
      <c r="F930" s="107"/>
    </row>
    <row r="931" spans="5:6" ht="21" customHeight="1" x14ac:dyDescent="0.35">
      <c r="E931" s="107"/>
      <c r="F931" s="107"/>
    </row>
    <row r="932" spans="5:6" ht="21" customHeight="1" x14ac:dyDescent="0.35">
      <c r="E932" s="107"/>
      <c r="F932" s="107"/>
    </row>
    <row r="933" spans="5:6" ht="21" customHeight="1" x14ac:dyDescent="0.35">
      <c r="E933" s="107"/>
      <c r="F933" s="107"/>
    </row>
    <row r="934" spans="5:6" ht="21" customHeight="1" x14ac:dyDescent="0.35">
      <c r="E934" s="107"/>
      <c r="F934" s="107"/>
    </row>
    <row r="935" spans="5:6" ht="21" customHeight="1" x14ac:dyDescent="0.35">
      <c r="E935" s="107"/>
      <c r="F935" s="107"/>
    </row>
    <row r="936" spans="5:6" ht="21" customHeight="1" x14ac:dyDescent="0.35">
      <c r="E936" s="107"/>
      <c r="F936" s="107"/>
    </row>
    <row r="937" spans="5:6" ht="21" customHeight="1" x14ac:dyDescent="0.35">
      <c r="E937" s="107"/>
      <c r="F937" s="107"/>
    </row>
    <row r="938" spans="5:6" ht="21" customHeight="1" x14ac:dyDescent="0.35">
      <c r="E938" s="107"/>
      <c r="F938" s="107"/>
    </row>
    <row r="939" spans="5:6" ht="21" customHeight="1" x14ac:dyDescent="0.35">
      <c r="E939" s="107"/>
      <c r="F939" s="107"/>
    </row>
    <row r="940" spans="5:6" ht="21" customHeight="1" x14ac:dyDescent="0.35">
      <c r="E940" s="107"/>
      <c r="F940" s="107"/>
    </row>
    <row r="941" spans="5:6" ht="21" customHeight="1" x14ac:dyDescent="0.35">
      <c r="E941" s="107"/>
      <c r="F941" s="107"/>
    </row>
    <row r="942" spans="5:6" ht="21" customHeight="1" x14ac:dyDescent="0.35">
      <c r="E942" s="107"/>
      <c r="F942" s="107"/>
    </row>
    <row r="943" spans="5:6" ht="21" customHeight="1" x14ac:dyDescent="0.35">
      <c r="E943" s="107"/>
      <c r="F943" s="107"/>
    </row>
    <row r="944" spans="5:6" ht="21" customHeight="1" x14ac:dyDescent="0.35">
      <c r="E944" s="107"/>
      <c r="F944" s="107"/>
    </row>
    <row r="945" spans="5:6" ht="21" customHeight="1" x14ac:dyDescent="0.35">
      <c r="E945" s="107"/>
      <c r="F945" s="107"/>
    </row>
    <row r="946" spans="5:6" ht="21" customHeight="1" x14ac:dyDescent="0.35">
      <c r="E946" s="107"/>
      <c r="F946" s="107"/>
    </row>
    <row r="947" spans="5:6" ht="21" customHeight="1" x14ac:dyDescent="0.35">
      <c r="E947" s="107"/>
      <c r="F947" s="107"/>
    </row>
    <row r="948" spans="5:6" ht="21" customHeight="1" x14ac:dyDescent="0.35">
      <c r="E948" s="107"/>
      <c r="F948" s="107"/>
    </row>
    <row r="949" spans="5:6" ht="21" customHeight="1" x14ac:dyDescent="0.35">
      <c r="E949" s="107"/>
      <c r="F949" s="107"/>
    </row>
    <row r="950" spans="5:6" ht="21" customHeight="1" x14ac:dyDescent="0.35">
      <c r="E950" s="107"/>
      <c r="F950" s="107"/>
    </row>
    <row r="951" spans="5:6" ht="21" customHeight="1" x14ac:dyDescent="0.35">
      <c r="E951" s="107"/>
      <c r="F951" s="107"/>
    </row>
    <row r="952" spans="5:6" ht="21" customHeight="1" x14ac:dyDescent="0.35">
      <c r="E952" s="107"/>
      <c r="F952" s="107"/>
    </row>
    <row r="953" spans="5:6" ht="21" customHeight="1" x14ac:dyDescent="0.35">
      <c r="E953" s="107"/>
      <c r="F953" s="107"/>
    </row>
    <row r="954" spans="5:6" ht="21" customHeight="1" x14ac:dyDescent="0.35">
      <c r="E954" s="107"/>
      <c r="F954" s="107"/>
    </row>
    <row r="955" spans="5:6" ht="21" customHeight="1" x14ac:dyDescent="0.35">
      <c r="E955" s="107"/>
      <c r="F955" s="107"/>
    </row>
    <row r="956" spans="5:6" ht="21" customHeight="1" x14ac:dyDescent="0.35">
      <c r="E956" s="107"/>
      <c r="F956" s="107"/>
    </row>
    <row r="957" spans="5:6" ht="21" customHeight="1" x14ac:dyDescent="0.35">
      <c r="E957" s="107"/>
      <c r="F957" s="107"/>
    </row>
    <row r="958" spans="5:6" ht="21" customHeight="1" x14ac:dyDescent="0.35">
      <c r="E958" s="107"/>
      <c r="F958" s="107"/>
    </row>
    <row r="959" spans="5:6" ht="21" customHeight="1" x14ac:dyDescent="0.35">
      <c r="E959" s="107"/>
      <c r="F959" s="107"/>
    </row>
    <row r="960" spans="5:6" ht="21" customHeight="1" x14ac:dyDescent="0.35">
      <c r="E960" s="107"/>
      <c r="F960" s="107"/>
    </row>
    <row r="961" spans="5:6" ht="21" customHeight="1" x14ac:dyDescent="0.35">
      <c r="E961" s="107"/>
      <c r="F961" s="107"/>
    </row>
    <row r="962" spans="5:6" ht="21" customHeight="1" x14ac:dyDescent="0.35">
      <c r="E962" s="107"/>
      <c r="F962" s="107"/>
    </row>
    <row r="963" spans="5:6" ht="21" customHeight="1" x14ac:dyDescent="0.35">
      <c r="E963" s="107"/>
      <c r="F963" s="107"/>
    </row>
    <row r="964" spans="5:6" ht="21" customHeight="1" x14ac:dyDescent="0.35">
      <c r="E964" s="107"/>
      <c r="F964" s="107"/>
    </row>
    <row r="965" spans="5:6" ht="21" customHeight="1" x14ac:dyDescent="0.35">
      <c r="E965" s="107"/>
      <c r="F965" s="107"/>
    </row>
    <row r="966" spans="5:6" ht="21" customHeight="1" x14ac:dyDescent="0.35">
      <c r="E966" s="107"/>
      <c r="F966" s="107"/>
    </row>
    <row r="967" spans="5:6" ht="21" customHeight="1" x14ac:dyDescent="0.35">
      <c r="E967" s="107"/>
      <c r="F967" s="107"/>
    </row>
    <row r="968" spans="5:6" ht="21" customHeight="1" x14ac:dyDescent="0.35">
      <c r="E968" s="107"/>
      <c r="F968" s="107"/>
    </row>
    <row r="969" spans="5:6" ht="21" customHeight="1" x14ac:dyDescent="0.35">
      <c r="E969" s="107"/>
      <c r="F969" s="107"/>
    </row>
    <row r="970" spans="5:6" ht="21" customHeight="1" x14ac:dyDescent="0.35">
      <c r="E970" s="107"/>
      <c r="F970" s="107"/>
    </row>
    <row r="971" spans="5:6" ht="21" customHeight="1" x14ac:dyDescent="0.35">
      <c r="E971" s="107"/>
      <c r="F971" s="107"/>
    </row>
    <row r="972" spans="5:6" ht="21" customHeight="1" x14ac:dyDescent="0.35">
      <c r="E972" s="107"/>
      <c r="F972" s="107"/>
    </row>
    <row r="973" spans="5:6" ht="21" customHeight="1" x14ac:dyDescent="0.35">
      <c r="E973" s="107"/>
      <c r="F973" s="107"/>
    </row>
    <row r="974" spans="5:6" ht="21" customHeight="1" x14ac:dyDescent="0.35">
      <c r="E974" s="107"/>
      <c r="F974" s="107"/>
    </row>
    <row r="975" spans="5:6" ht="21" customHeight="1" x14ac:dyDescent="0.35">
      <c r="E975" s="107"/>
      <c r="F975" s="107"/>
    </row>
    <row r="976" spans="5:6" ht="21" customHeight="1" x14ac:dyDescent="0.35">
      <c r="E976" s="107"/>
      <c r="F976" s="107"/>
    </row>
    <row r="977" spans="5:6" ht="21" customHeight="1" x14ac:dyDescent="0.35">
      <c r="E977" s="107"/>
      <c r="F977" s="107"/>
    </row>
    <row r="978" spans="5:6" ht="21" customHeight="1" x14ac:dyDescent="0.35">
      <c r="E978" s="107"/>
      <c r="F978" s="107"/>
    </row>
    <row r="979" spans="5:6" ht="21" customHeight="1" x14ac:dyDescent="0.35">
      <c r="E979" s="107"/>
      <c r="F979" s="107"/>
    </row>
    <row r="980" spans="5:6" ht="21" customHeight="1" x14ac:dyDescent="0.35">
      <c r="E980" s="107"/>
      <c r="F980" s="107"/>
    </row>
    <row r="981" spans="5:6" ht="21" customHeight="1" x14ac:dyDescent="0.35">
      <c r="E981" s="107"/>
      <c r="F981" s="107"/>
    </row>
    <row r="982" spans="5:6" ht="21" customHeight="1" x14ac:dyDescent="0.35">
      <c r="E982" s="107"/>
      <c r="F982" s="107"/>
    </row>
    <row r="983" spans="5:6" ht="21" customHeight="1" x14ac:dyDescent="0.35">
      <c r="E983" s="107"/>
      <c r="F983" s="107"/>
    </row>
    <row r="984" spans="5:6" ht="21" customHeight="1" x14ac:dyDescent="0.35">
      <c r="E984" s="107"/>
      <c r="F984" s="107"/>
    </row>
    <row r="985" spans="5:6" ht="21" customHeight="1" x14ac:dyDescent="0.35">
      <c r="E985" s="107"/>
      <c r="F985" s="107"/>
    </row>
    <row r="986" spans="5:6" ht="21" customHeight="1" x14ac:dyDescent="0.35">
      <c r="E986" s="107"/>
      <c r="F986" s="107"/>
    </row>
    <row r="987" spans="5:6" ht="21" customHeight="1" x14ac:dyDescent="0.35">
      <c r="E987" s="107"/>
      <c r="F987" s="107"/>
    </row>
    <row r="988" spans="5:6" ht="21" customHeight="1" x14ac:dyDescent="0.35">
      <c r="E988" s="107"/>
      <c r="F988" s="107"/>
    </row>
    <row r="989" spans="5:6" ht="21" customHeight="1" x14ac:dyDescent="0.35">
      <c r="E989" s="107"/>
      <c r="F989" s="107"/>
    </row>
    <row r="990" spans="5:6" ht="21" customHeight="1" x14ac:dyDescent="0.35">
      <c r="E990" s="107"/>
      <c r="F990" s="107"/>
    </row>
    <row r="991" spans="5:6" ht="21" customHeight="1" x14ac:dyDescent="0.35">
      <c r="E991" s="107"/>
      <c r="F991" s="107"/>
    </row>
    <row r="992" spans="5:6" ht="21" customHeight="1" x14ac:dyDescent="0.35">
      <c r="E992" s="107"/>
      <c r="F992" s="107"/>
    </row>
    <row r="993" spans="5:6" ht="21" customHeight="1" x14ac:dyDescent="0.35">
      <c r="E993" s="107"/>
      <c r="F993" s="107"/>
    </row>
    <row r="994" spans="5:6" ht="21" customHeight="1" x14ac:dyDescent="0.35">
      <c r="E994" s="107"/>
      <c r="F994" s="107"/>
    </row>
    <row r="995" spans="5:6" ht="21" customHeight="1" x14ac:dyDescent="0.35">
      <c r="E995" s="107"/>
      <c r="F995" s="107"/>
    </row>
    <row r="996" spans="5:6" ht="21" customHeight="1" x14ac:dyDescent="0.35">
      <c r="E996" s="107"/>
      <c r="F996" s="107"/>
    </row>
    <row r="997" spans="5:6" ht="21" customHeight="1" x14ac:dyDescent="0.35">
      <c r="E997" s="107"/>
      <c r="F997" s="107"/>
    </row>
    <row r="998" spans="5:6" ht="21" customHeight="1" x14ac:dyDescent="0.35">
      <c r="E998" s="107"/>
      <c r="F998" s="107"/>
    </row>
    <row r="999" spans="5:6" ht="21" customHeight="1" x14ac:dyDescent="0.35">
      <c r="E999" s="107"/>
      <c r="F999" s="107"/>
    </row>
    <row r="1000" spans="5:6" ht="21" customHeight="1" x14ac:dyDescent="0.35">
      <c r="E1000" s="107"/>
      <c r="F1000" s="107"/>
    </row>
    <row r="1001" spans="5:6" ht="21" customHeight="1" x14ac:dyDescent="0.35">
      <c r="E1001" s="107"/>
      <c r="F1001" s="107"/>
    </row>
  </sheetData>
  <sheetProtection password="DEFC" sheet="1" objects="1" scenarios="1"/>
  <autoFilter ref="A2:AH211"/>
  <mergeCells count="42">
    <mergeCell ref="B195:C195"/>
    <mergeCell ref="B199:C199"/>
    <mergeCell ref="B203:C203"/>
    <mergeCell ref="B206:C206"/>
    <mergeCell ref="B209:C209"/>
    <mergeCell ref="B143:C143"/>
    <mergeCell ref="B148:C148"/>
    <mergeCell ref="B153:C153"/>
    <mergeCell ref="B186:C186"/>
    <mergeCell ref="B192:C192"/>
    <mergeCell ref="B160:C160"/>
    <mergeCell ref="B166:C166"/>
    <mergeCell ref="B171:C171"/>
    <mergeCell ref="B172:C172"/>
    <mergeCell ref="B175:C175"/>
    <mergeCell ref="B179:C179"/>
    <mergeCell ref="B184:C184"/>
    <mergeCell ref="B105:C105"/>
    <mergeCell ref="B125:C125"/>
    <mergeCell ref="B130:C130"/>
    <mergeCell ref="B131:C131"/>
    <mergeCell ref="B140:C140"/>
    <mergeCell ref="B87:C87"/>
    <mergeCell ref="B91:C91"/>
    <mergeCell ref="B92:C92"/>
    <mergeCell ref="B99:C99"/>
    <mergeCell ref="B102:C102"/>
    <mergeCell ref="B39:C39"/>
    <mergeCell ref="B44:C44"/>
    <mergeCell ref="B52:C52"/>
    <mergeCell ref="B57:C57"/>
    <mergeCell ref="B77:C77"/>
    <mergeCell ref="B23:C23"/>
    <mergeCell ref="B26:C26"/>
    <mergeCell ref="B31:C31"/>
    <mergeCell ref="B32:C32"/>
    <mergeCell ref="B36:C36"/>
    <mergeCell ref="B2:C2"/>
    <mergeCell ref="B3:C3"/>
    <mergeCell ref="B4:C4"/>
    <mergeCell ref="B12:C12"/>
    <mergeCell ref="B16:C1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zoomScale="50" zoomScaleNormal="50" workbookViewId="0">
      <pane ySplit="2" topLeftCell="A3" activePane="bottomLeft" state="frozen"/>
      <selection activeCell="K14" sqref="K14"/>
      <selection pane="bottomLeft" activeCell="G8" sqref="G8"/>
    </sheetView>
  </sheetViews>
  <sheetFormatPr baseColWidth="10" defaultColWidth="14.42578125" defaultRowHeight="15" customHeight="1" x14ac:dyDescent="0.25"/>
  <cols>
    <col min="1" max="1" width="4.28515625" style="270" customWidth="1"/>
    <col min="2" max="2" width="58.28515625" style="270" customWidth="1"/>
    <col min="3" max="3" width="51.42578125" style="270" customWidth="1"/>
    <col min="4" max="4" width="41.28515625" style="270" customWidth="1"/>
    <col min="5" max="5" width="27.28515625" style="270" customWidth="1"/>
    <col min="6" max="6" width="30.28515625" style="436" customWidth="1"/>
    <col min="7" max="7" width="32.5703125" style="270" customWidth="1"/>
    <col min="8" max="8" width="33.28515625" style="270" customWidth="1"/>
    <col min="9" max="9" width="29.28515625" style="270" customWidth="1"/>
    <col min="10" max="10" width="28.28515625" style="270" customWidth="1"/>
    <col min="11" max="11" width="40.28515625" style="270" customWidth="1"/>
    <col min="12" max="12" width="35.28515625" style="270" customWidth="1"/>
    <col min="13" max="13" width="32.7109375" style="270" customWidth="1"/>
    <col min="14" max="14" width="35.28515625" style="270" customWidth="1"/>
    <col min="15" max="15" width="39" style="270" customWidth="1"/>
    <col min="16" max="16" width="33.7109375" style="270" hidden="1" customWidth="1"/>
    <col min="17" max="17" width="24.7109375" style="270" hidden="1" customWidth="1"/>
    <col min="18" max="18" width="25.140625" style="270" hidden="1" customWidth="1"/>
    <col min="19" max="19" width="23.85546875" style="270" hidden="1" customWidth="1"/>
    <col min="20" max="20" width="28.42578125" style="270" hidden="1" customWidth="1"/>
    <col min="21" max="21" width="32.85546875" style="270" hidden="1" customWidth="1"/>
    <col min="22" max="27" width="10.7109375" style="270" customWidth="1"/>
    <col min="28" max="16384" width="14.42578125" style="270"/>
  </cols>
  <sheetData>
    <row r="1" spans="1:21" ht="16.5" thickBot="1" x14ac:dyDescent="0.3">
      <c r="A1" s="267"/>
      <c r="B1" s="268"/>
      <c r="C1" s="268"/>
      <c r="D1" s="268"/>
      <c r="E1" s="267"/>
      <c r="F1" s="269"/>
      <c r="G1" s="267"/>
      <c r="H1" s="267"/>
      <c r="I1" s="267"/>
      <c r="J1" s="267"/>
      <c r="K1" s="267"/>
      <c r="L1" s="267"/>
      <c r="M1" s="267"/>
      <c r="N1" s="267"/>
      <c r="O1" s="268"/>
      <c r="P1" s="267"/>
      <c r="Q1" s="267"/>
      <c r="R1" s="267"/>
      <c r="S1" s="267"/>
    </row>
    <row r="2" spans="1:21" ht="108.6" customHeight="1" thickBot="1" x14ac:dyDescent="0.3">
      <c r="A2" s="271"/>
      <c r="B2" s="697" t="s">
        <v>0</v>
      </c>
      <c r="C2" s="698"/>
      <c r="D2" s="272" t="s">
        <v>1</v>
      </c>
      <c r="E2" s="273" t="s">
        <v>2</v>
      </c>
      <c r="F2" s="274" t="s">
        <v>3</v>
      </c>
      <c r="G2" s="274" t="s">
        <v>4</v>
      </c>
      <c r="H2" s="274" t="s">
        <v>5</v>
      </c>
      <c r="I2" s="275" t="s">
        <v>6</v>
      </c>
      <c r="J2" s="276" t="s">
        <v>1852</v>
      </c>
      <c r="K2" s="277" t="s">
        <v>8</v>
      </c>
      <c r="L2" s="278" t="s">
        <v>9</v>
      </c>
      <c r="M2" s="277" t="s">
        <v>1863</v>
      </c>
      <c r="N2" s="279" t="s">
        <v>1854</v>
      </c>
      <c r="O2" s="280" t="s">
        <v>1855</v>
      </c>
      <c r="P2" s="281" t="s">
        <v>7</v>
      </c>
      <c r="Q2" s="277" t="s">
        <v>8</v>
      </c>
      <c r="R2" s="278" t="s">
        <v>9</v>
      </c>
      <c r="S2" s="277" t="s">
        <v>10</v>
      </c>
      <c r="T2" s="282" t="s">
        <v>11</v>
      </c>
      <c r="U2" s="278" t="s">
        <v>12</v>
      </c>
    </row>
    <row r="3" spans="1:21" s="550" customFormat="1" ht="102.6" customHeight="1" thickBot="1" x14ac:dyDescent="0.6">
      <c r="A3" s="539"/>
      <c r="B3" s="699" t="s">
        <v>1646</v>
      </c>
      <c r="C3" s="700"/>
      <c r="D3" s="540"/>
      <c r="E3" s="541">
        <v>0.2</v>
      </c>
      <c r="F3" s="542"/>
      <c r="G3" s="543"/>
      <c r="H3" s="551">
        <f>+(H4+H91+H119+H130+H164+H192)/6</f>
        <v>0.24836401517383822</v>
      </c>
      <c r="I3" s="552">
        <f>+(I4+I91+I119+I130+I164+I192)/6</f>
        <v>0.19189840072103823</v>
      </c>
      <c r="J3" s="553"/>
      <c r="K3" s="554">
        <f>+(K4+K91+K119+K130+K164+K192)/6</f>
        <v>0.85198226383644504</v>
      </c>
      <c r="L3" s="555">
        <f>F4+F91+F119+F130+F164+F192</f>
        <v>0.66221842348257642</v>
      </c>
      <c r="M3" s="554">
        <f>+(M4+M91+M119+M130+M164+M192)/6</f>
        <v>0.22381941312911002</v>
      </c>
      <c r="N3" s="556">
        <f>+(N4+N91+N119+N130+N164+N192)/6</f>
        <v>0.17746088840849381</v>
      </c>
      <c r="O3" s="557"/>
      <c r="P3" s="548"/>
      <c r="Q3" s="549"/>
      <c r="R3" s="549"/>
      <c r="S3" s="549"/>
    </row>
    <row r="4" spans="1:21" ht="78" customHeight="1" thickBot="1" x14ac:dyDescent="0.3">
      <c r="A4" s="271"/>
      <c r="B4" s="701" t="s">
        <v>1645</v>
      </c>
      <c r="C4" s="702"/>
      <c r="D4" s="286"/>
      <c r="E4" s="287">
        <v>0.3</v>
      </c>
      <c r="F4" s="288">
        <f>+E4*L4</f>
        <v>0.19400364635079345</v>
      </c>
      <c r="G4" s="289"/>
      <c r="H4" s="290">
        <f>+(H5+H12+H15+H21+H29+H34+H39+H43+H49+H52+H56+H60+H68+H73+H77+H85)/15</f>
        <v>0.26981900399515463</v>
      </c>
      <c r="I4" s="291">
        <f>+(I5+I12+I15+I21+I29+I34+I39+I43+I49+I52+I56+I60+I68+I73+I77+I85)/15</f>
        <v>0.25378937395993473</v>
      </c>
      <c r="J4" s="284"/>
      <c r="K4" s="292">
        <f>+(K5+K12+K15+K21+K29+K34+K39+K43+K49+K52+K56+K60+K68+K73+K77+K85)/15</f>
        <v>0.67517996637046018</v>
      </c>
      <c r="L4" s="293">
        <f>+L5+L12+L15+L21+L29+L34+L39+L43+L49+L52+L56+L60+L68+L73+L77+L85</f>
        <v>0.64667882116931152</v>
      </c>
      <c r="M4" s="294">
        <f>(M5+M12+M15+M21+M29+M34+M39+M43+M49+M52+M56+M60+M68+M73+M77+M85)/15</f>
        <v>0.2136799280656182</v>
      </c>
      <c r="N4" s="295">
        <f>+N5+N12+N15+N21+N29+N34+N39+N43+N49+N52+N56+N60+N68+N73+N77+N85</f>
        <v>0.19413897473062464</v>
      </c>
      <c r="O4" s="296"/>
      <c r="P4" s="285"/>
      <c r="Q4" s="267"/>
      <c r="R4" s="267"/>
      <c r="S4" s="267"/>
    </row>
    <row r="5" spans="1:21" ht="57" customHeight="1" thickBot="1" x14ac:dyDescent="0.3">
      <c r="A5" s="271"/>
      <c r="B5" s="703" t="s">
        <v>1647</v>
      </c>
      <c r="C5" s="702"/>
      <c r="D5" s="283"/>
      <c r="E5" s="297">
        <v>0.25</v>
      </c>
      <c r="F5" s="298"/>
      <c r="G5" s="299"/>
      <c r="H5" s="300">
        <f>+AVERAGE(H6:H11)</f>
        <v>0.13533333333333333</v>
      </c>
      <c r="I5" s="300">
        <f>+I6+I7+I8+I9+I10+I11</f>
        <v>0.12433333333333335</v>
      </c>
      <c r="J5" s="301"/>
      <c r="K5" s="302">
        <f>+AVERAGE(K6:K11)</f>
        <v>0.65125</v>
      </c>
      <c r="L5" s="303">
        <f>+(L6+L7+L8+L9+L10+L11)*E5</f>
        <v>0.15640625000000002</v>
      </c>
      <c r="M5" s="304">
        <f>+AVERAGE(M6:M11)</f>
        <v>9.9466666666666662E-2</v>
      </c>
      <c r="N5" s="305">
        <f>+(N6+N7+N8+N9+N10+N11)*E5</f>
        <v>2.3891666666666669E-2</v>
      </c>
      <c r="O5" s="306"/>
      <c r="Q5" s="267"/>
      <c r="R5" s="267"/>
      <c r="S5" s="267"/>
    </row>
    <row r="6" spans="1:21" ht="49.9" customHeight="1" thickBot="1" x14ac:dyDescent="0.3">
      <c r="A6" s="271"/>
      <c r="B6" s="307" t="s">
        <v>359</v>
      </c>
      <c r="C6" s="308" t="s">
        <v>360</v>
      </c>
      <c r="D6" s="309" t="s">
        <v>361</v>
      </c>
      <c r="E6" s="310">
        <v>0.1</v>
      </c>
      <c r="F6" s="311">
        <v>1</v>
      </c>
      <c r="G6" s="312"/>
      <c r="H6" s="313"/>
      <c r="I6" s="313"/>
      <c r="J6" s="314"/>
      <c r="K6" s="315"/>
      <c r="L6" s="315"/>
      <c r="M6" s="316"/>
      <c r="N6" s="317"/>
      <c r="O6" s="318" t="s">
        <v>1862</v>
      </c>
      <c r="Q6" s="267"/>
      <c r="R6" s="267"/>
      <c r="S6" s="267"/>
    </row>
    <row r="7" spans="1:21" ht="52.9" customHeight="1" thickBot="1" x14ac:dyDescent="0.3">
      <c r="A7" s="271"/>
      <c r="B7" s="307" t="s">
        <v>362</v>
      </c>
      <c r="C7" s="308" t="s">
        <v>363</v>
      </c>
      <c r="D7" s="309" t="s">
        <v>361</v>
      </c>
      <c r="E7" s="310">
        <v>0.1</v>
      </c>
      <c r="F7" s="311">
        <v>60</v>
      </c>
      <c r="G7" s="312">
        <v>5</v>
      </c>
      <c r="H7" s="319">
        <f>+G7/F7</f>
        <v>8.3333333333333329E-2</v>
      </c>
      <c r="I7" s="319">
        <f>+(G7/F7)*E7</f>
        <v>8.3333333333333332E-3</v>
      </c>
      <c r="J7" s="320">
        <v>1</v>
      </c>
      <c r="K7" s="315">
        <f>+(J7/G7)</f>
        <v>0.2</v>
      </c>
      <c r="L7" s="315">
        <f>+K7*E7</f>
        <v>2.0000000000000004E-2</v>
      </c>
      <c r="M7" s="316">
        <f>+J7/F7</f>
        <v>1.6666666666666666E-2</v>
      </c>
      <c r="N7" s="321">
        <f>+M7*E7</f>
        <v>1.6666666666666668E-3</v>
      </c>
      <c r="O7" s="318" t="s">
        <v>1862</v>
      </c>
      <c r="Q7" s="267"/>
      <c r="R7" s="267"/>
      <c r="S7" s="267"/>
    </row>
    <row r="8" spans="1:21" ht="46.9" customHeight="1" thickBot="1" x14ac:dyDescent="0.3">
      <c r="A8" s="271"/>
      <c r="B8" s="307" t="s">
        <v>364</v>
      </c>
      <c r="C8" s="308" t="s">
        <v>365</v>
      </c>
      <c r="D8" s="309" t="s">
        <v>361</v>
      </c>
      <c r="E8" s="310">
        <v>0.2</v>
      </c>
      <c r="F8" s="311">
        <v>5</v>
      </c>
      <c r="G8" s="312">
        <v>1</v>
      </c>
      <c r="H8" s="319">
        <f>+G8/F8</f>
        <v>0.2</v>
      </c>
      <c r="I8" s="319">
        <f>+(G8/F8)*E8</f>
        <v>4.0000000000000008E-2</v>
      </c>
      <c r="J8" s="320">
        <v>1</v>
      </c>
      <c r="K8" s="315">
        <f>+(J8/G8)</f>
        <v>1</v>
      </c>
      <c r="L8" s="315">
        <f>+K8*E8</f>
        <v>0.2</v>
      </c>
      <c r="M8" s="316">
        <f>+J8/F8</f>
        <v>0.2</v>
      </c>
      <c r="N8" s="317">
        <f>+M8*E8</f>
        <v>4.0000000000000008E-2</v>
      </c>
      <c r="O8" s="318" t="s">
        <v>1862</v>
      </c>
      <c r="Q8" s="267"/>
      <c r="R8" s="267"/>
      <c r="S8" s="267"/>
    </row>
    <row r="9" spans="1:21" ht="73.150000000000006" customHeight="1" thickBot="1" x14ac:dyDescent="0.3">
      <c r="A9" s="271"/>
      <c r="B9" s="307" t="s">
        <v>366</v>
      </c>
      <c r="C9" s="308" t="s">
        <v>367</v>
      </c>
      <c r="D9" s="309" t="s">
        <v>361</v>
      </c>
      <c r="E9" s="310">
        <v>0.3</v>
      </c>
      <c r="F9" s="311">
        <v>15</v>
      </c>
      <c r="G9" s="312">
        <v>2</v>
      </c>
      <c r="H9" s="319">
        <f>+G9/F9</f>
        <v>0.13333333333333333</v>
      </c>
      <c r="I9" s="319">
        <f>+(G9/F9)*E9</f>
        <v>0.04</v>
      </c>
      <c r="J9" s="320">
        <v>1</v>
      </c>
      <c r="K9" s="315">
        <f>+(J9/G9)</f>
        <v>0.5</v>
      </c>
      <c r="L9" s="315">
        <f>+K9*E9</f>
        <v>0.15</v>
      </c>
      <c r="M9" s="316">
        <f>+J9/F9</f>
        <v>6.6666666666666666E-2</v>
      </c>
      <c r="N9" s="317">
        <f>+M9*E9</f>
        <v>0.02</v>
      </c>
      <c r="O9" s="318" t="s">
        <v>1862</v>
      </c>
      <c r="Q9" s="267"/>
      <c r="R9" s="267"/>
      <c r="S9" s="267"/>
    </row>
    <row r="10" spans="1:21" ht="73.150000000000006" customHeight="1" thickBot="1" x14ac:dyDescent="0.3">
      <c r="A10" s="271"/>
      <c r="B10" s="307" t="s">
        <v>368</v>
      </c>
      <c r="C10" s="308" t="s">
        <v>369</v>
      </c>
      <c r="D10" s="309" t="s">
        <v>361</v>
      </c>
      <c r="E10" s="310">
        <v>0.2</v>
      </c>
      <c r="F10" s="311">
        <v>80</v>
      </c>
      <c r="G10" s="312">
        <v>8</v>
      </c>
      <c r="H10" s="319">
        <f>+G10/F10</f>
        <v>0.1</v>
      </c>
      <c r="I10" s="319">
        <f>+(G10/F10)*E10</f>
        <v>2.0000000000000004E-2</v>
      </c>
      <c r="J10" s="320">
        <v>10</v>
      </c>
      <c r="K10" s="315">
        <v>1</v>
      </c>
      <c r="L10" s="315">
        <f>+K10*E10</f>
        <v>0.2</v>
      </c>
      <c r="M10" s="316">
        <f>+J10/F10</f>
        <v>0.125</v>
      </c>
      <c r="N10" s="317">
        <f>+M10*E10</f>
        <v>2.5000000000000001E-2</v>
      </c>
      <c r="O10" s="318" t="s">
        <v>1862</v>
      </c>
      <c r="Q10" s="267"/>
      <c r="R10" s="267"/>
      <c r="S10" s="267"/>
    </row>
    <row r="11" spans="1:21" ht="73.150000000000006" customHeight="1" thickBot="1" x14ac:dyDescent="0.3">
      <c r="A11" s="271"/>
      <c r="B11" s="307" t="s">
        <v>370</v>
      </c>
      <c r="C11" s="308" t="s">
        <v>371</v>
      </c>
      <c r="D11" s="309" t="s">
        <v>361</v>
      </c>
      <c r="E11" s="310">
        <v>0.1</v>
      </c>
      <c r="F11" s="311">
        <v>1000</v>
      </c>
      <c r="G11" s="312">
        <v>160</v>
      </c>
      <c r="H11" s="319">
        <f>+G11/F11</f>
        <v>0.16</v>
      </c>
      <c r="I11" s="319">
        <f>+(G11/F11)*E11</f>
        <v>1.6E-2</v>
      </c>
      <c r="J11" s="320">
        <v>89</v>
      </c>
      <c r="K11" s="315">
        <f>+(J11/G11)</f>
        <v>0.55625000000000002</v>
      </c>
      <c r="L11" s="315">
        <f>+K11*E11</f>
        <v>5.5625000000000008E-2</v>
      </c>
      <c r="M11" s="316">
        <f>+J11/F11</f>
        <v>8.8999999999999996E-2</v>
      </c>
      <c r="N11" s="317">
        <f>+M11*E11</f>
        <v>8.8999999999999999E-3</v>
      </c>
      <c r="O11" s="318" t="s">
        <v>1862</v>
      </c>
      <c r="Q11" s="267"/>
      <c r="R11" s="267"/>
      <c r="S11" s="267"/>
    </row>
    <row r="12" spans="1:21" ht="42.75" customHeight="1" thickBot="1" x14ac:dyDescent="0.3">
      <c r="A12" s="271"/>
      <c r="B12" s="703" t="s">
        <v>1648</v>
      </c>
      <c r="C12" s="702"/>
      <c r="D12" s="283"/>
      <c r="E12" s="297">
        <v>0.02</v>
      </c>
      <c r="F12" s="322"/>
      <c r="G12" s="323"/>
      <c r="H12" s="324">
        <f>+AVERAGE(H13:H14)</f>
        <v>0.33035714285714285</v>
      </c>
      <c r="I12" s="324">
        <f>+I13+I14</f>
        <v>0.33928571428571425</v>
      </c>
      <c r="J12" s="325"/>
      <c r="K12" s="303">
        <f>+AVERAGE(K13:K15)</f>
        <v>0.76545415896074187</v>
      </c>
      <c r="L12" s="303">
        <f>+(L13+L14)*E12</f>
        <v>1.4666666666666666E-2</v>
      </c>
      <c r="M12" s="304">
        <f>+AVERAGE(M13:M14)</f>
        <v>0.23511904761904762</v>
      </c>
      <c r="N12" s="305">
        <f>+(N13+N14)*E12</f>
        <v>5.261904761904761E-3</v>
      </c>
      <c r="O12" s="306"/>
      <c r="Q12" s="267"/>
      <c r="R12" s="267"/>
      <c r="S12" s="267"/>
    </row>
    <row r="13" spans="1:21" ht="56.45" customHeight="1" thickBot="1" x14ac:dyDescent="0.3">
      <c r="A13" s="271"/>
      <c r="B13" s="307" t="s">
        <v>372</v>
      </c>
      <c r="C13" s="308" t="s">
        <v>373</v>
      </c>
      <c r="D13" s="309" t="s">
        <v>361</v>
      </c>
      <c r="E13" s="310">
        <v>0.6</v>
      </c>
      <c r="F13" s="311">
        <v>40</v>
      </c>
      <c r="G13" s="314">
        <v>15</v>
      </c>
      <c r="H13" s="319">
        <f>+G13/F13</f>
        <v>0.375</v>
      </c>
      <c r="I13" s="319">
        <f>+(G13/F13)*E13</f>
        <v>0.22499999999999998</v>
      </c>
      <c r="J13" s="314">
        <v>15</v>
      </c>
      <c r="K13" s="315">
        <v>1</v>
      </c>
      <c r="L13" s="315">
        <f>+K13*E13</f>
        <v>0.6</v>
      </c>
      <c r="M13" s="316">
        <f>+J13/F13</f>
        <v>0.375</v>
      </c>
      <c r="N13" s="317">
        <f>+M13*E13</f>
        <v>0.22499999999999998</v>
      </c>
      <c r="O13" s="318" t="s">
        <v>1862</v>
      </c>
      <c r="P13" s="285"/>
      <c r="Q13" s="267"/>
      <c r="R13" s="267"/>
      <c r="S13" s="267"/>
    </row>
    <row r="14" spans="1:21" ht="102.6" customHeight="1" thickBot="1" x14ac:dyDescent="0.3">
      <c r="A14" s="271"/>
      <c r="B14" s="307" t="s">
        <v>374</v>
      </c>
      <c r="C14" s="308" t="s">
        <v>375</v>
      </c>
      <c r="D14" s="309" t="s">
        <v>361</v>
      </c>
      <c r="E14" s="310">
        <v>0.4</v>
      </c>
      <c r="F14" s="311">
        <v>105</v>
      </c>
      <c r="G14" s="314">
        <v>30</v>
      </c>
      <c r="H14" s="319">
        <f>+G14/F14</f>
        <v>0.2857142857142857</v>
      </c>
      <c r="I14" s="319">
        <f>+(G14/F14)*E14</f>
        <v>0.11428571428571428</v>
      </c>
      <c r="J14" s="314">
        <v>10</v>
      </c>
      <c r="K14" s="315">
        <f>+(J14/G14)</f>
        <v>0.33333333333333331</v>
      </c>
      <c r="L14" s="315">
        <f>+K14*E14</f>
        <v>0.13333333333333333</v>
      </c>
      <c r="M14" s="316">
        <f>+J14/F14</f>
        <v>9.5238095238095233E-2</v>
      </c>
      <c r="N14" s="317">
        <f>+M14*E14</f>
        <v>3.8095238095238099E-2</v>
      </c>
      <c r="O14" s="318" t="s">
        <v>1862</v>
      </c>
      <c r="P14" s="285"/>
      <c r="Q14" s="267"/>
      <c r="R14" s="267"/>
      <c r="S14" s="267"/>
    </row>
    <row r="15" spans="1:21" ht="28.5" customHeight="1" thickBot="1" x14ac:dyDescent="0.3">
      <c r="A15" s="271"/>
      <c r="B15" s="703" t="s">
        <v>1649</v>
      </c>
      <c r="C15" s="702"/>
      <c r="D15" s="283"/>
      <c r="E15" s="297">
        <v>0.1</v>
      </c>
      <c r="F15" s="311"/>
      <c r="G15" s="323"/>
      <c r="H15" s="324">
        <f>+AVERAGE(H16:H20)</f>
        <v>0.24305555555555555</v>
      </c>
      <c r="I15" s="324">
        <f>+I16+I17+I18+I19+I20</f>
        <v>0.22361111111111112</v>
      </c>
      <c r="J15" s="325"/>
      <c r="K15" s="303">
        <f>+AVERAGE(K16:K20)</f>
        <v>0.96302914354889246</v>
      </c>
      <c r="L15" s="303">
        <f>+(L16+L17+L18+L19+L20)*E15</f>
        <v>8.5862844786004616E-2</v>
      </c>
      <c r="M15" s="304">
        <f>+AVERAGE(M16:M20)</f>
        <v>0.24497534144277869</v>
      </c>
      <c r="N15" s="305">
        <f>+(N16+N17+N18+N19+N20)*E15</f>
        <v>2.2443072307612263E-2</v>
      </c>
      <c r="O15" s="306"/>
      <c r="P15" s="285"/>
      <c r="Q15" s="267"/>
      <c r="R15" s="267"/>
      <c r="S15" s="267"/>
    </row>
    <row r="16" spans="1:21" ht="79.900000000000006" customHeight="1" thickBot="1" x14ac:dyDescent="0.3">
      <c r="A16" s="271"/>
      <c r="B16" s="307" t="s">
        <v>376</v>
      </c>
      <c r="C16" s="308" t="s">
        <v>377</v>
      </c>
      <c r="D16" s="309" t="s">
        <v>361</v>
      </c>
      <c r="E16" s="310">
        <v>0.1</v>
      </c>
      <c r="F16" s="311">
        <v>2390</v>
      </c>
      <c r="G16" s="314">
        <v>0</v>
      </c>
      <c r="H16" s="319"/>
      <c r="I16" s="319"/>
      <c r="J16" s="314"/>
      <c r="K16" s="326"/>
      <c r="L16" s="315"/>
      <c r="M16" s="316"/>
      <c r="N16" s="317"/>
      <c r="O16" s="318" t="s">
        <v>1862</v>
      </c>
      <c r="P16" s="285"/>
      <c r="Q16" s="267"/>
      <c r="R16" s="267"/>
      <c r="S16" s="267"/>
    </row>
    <row r="17" spans="1:19" ht="76.900000000000006" customHeight="1" thickBot="1" x14ac:dyDescent="0.3">
      <c r="A17" s="271"/>
      <c r="B17" s="307" t="s">
        <v>378</v>
      </c>
      <c r="C17" s="308" t="s">
        <v>379</v>
      </c>
      <c r="D17" s="327" t="s">
        <v>361</v>
      </c>
      <c r="E17" s="310">
        <v>0.4</v>
      </c>
      <c r="F17" s="311">
        <f>106487*4</f>
        <v>425948</v>
      </c>
      <c r="G17" s="328">
        <v>106487</v>
      </c>
      <c r="H17" s="319">
        <f>+G17/F17</f>
        <v>0.25</v>
      </c>
      <c r="I17" s="319">
        <f>+(G17/F17)*E17</f>
        <v>0.1</v>
      </c>
      <c r="J17" s="328">
        <v>100207</v>
      </c>
      <c r="K17" s="315">
        <f>+(J17/G17)</f>
        <v>0.94102566510466068</v>
      </c>
      <c r="L17" s="315">
        <f>+K17*E17</f>
        <v>0.37641026604186428</v>
      </c>
      <c r="M17" s="316">
        <f>+J17/F17</f>
        <v>0.23525641627616517</v>
      </c>
      <c r="N17" s="317">
        <f>+M17*E17</f>
        <v>9.4102566510466071E-2</v>
      </c>
      <c r="O17" s="318" t="s">
        <v>1862</v>
      </c>
      <c r="P17" s="285"/>
      <c r="Q17" s="267"/>
      <c r="R17" s="267"/>
      <c r="S17" s="267"/>
    </row>
    <row r="18" spans="1:19" ht="46.15" customHeight="1" thickBot="1" x14ac:dyDescent="0.3">
      <c r="A18" s="271"/>
      <c r="B18" s="307" t="s">
        <v>380</v>
      </c>
      <c r="C18" s="329" t="s">
        <v>381</v>
      </c>
      <c r="D18" s="330" t="s">
        <v>361</v>
      </c>
      <c r="E18" s="310">
        <v>0.2</v>
      </c>
      <c r="F18" s="311">
        <v>22000</v>
      </c>
      <c r="G18" s="328">
        <v>5500</v>
      </c>
      <c r="H18" s="319">
        <f>+G18/F18</f>
        <v>0.25</v>
      </c>
      <c r="I18" s="319">
        <f>+(G18/F18)*E18</f>
        <v>0.05</v>
      </c>
      <c r="J18" s="331">
        <v>5011</v>
      </c>
      <c r="K18" s="315">
        <f>+(J18/G18)</f>
        <v>0.91109090909090906</v>
      </c>
      <c r="L18" s="315">
        <f>+K18*E18</f>
        <v>0.18221818181818183</v>
      </c>
      <c r="M18" s="316">
        <f>+J18/F18</f>
        <v>0.22777272727272727</v>
      </c>
      <c r="N18" s="317">
        <f>+M18*E18</f>
        <v>4.5554545454545459E-2</v>
      </c>
      <c r="O18" s="318" t="s">
        <v>1862</v>
      </c>
      <c r="P18" s="285"/>
      <c r="Q18" s="267"/>
      <c r="R18" s="267"/>
      <c r="S18" s="267"/>
    </row>
    <row r="19" spans="1:19" ht="63.75" thickBot="1" x14ac:dyDescent="0.3">
      <c r="A19" s="271"/>
      <c r="B19" s="307" t="s">
        <v>382</v>
      </c>
      <c r="C19" s="329" t="s">
        <v>383</v>
      </c>
      <c r="D19" s="332" t="s">
        <v>361</v>
      </c>
      <c r="E19" s="310">
        <v>0.25</v>
      </c>
      <c r="F19" s="311">
        <v>40000</v>
      </c>
      <c r="G19" s="328">
        <v>10000</v>
      </c>
      <c r="H19" s="319">
        <f>+G19/F19</f>
        <v>0.25</v>
      </c>
      <c r="I19" s="319">
        <f>+(G19/F19)*E19</f>
        <v>6.25E-2</v>
      </c>
      <c r="J19" s="331">
        <v>11786</v>
      </c>
      <c r="K19" s="315">
        <v>1</v>
      </c>
      <c r="L19" s="315">
        <f>+K19*E19</f>
        <v>0.25</v>
      </c>
      <c r="M19" s="316">
        <f>+J19/F19</f>
        <v>0.29465000000000002</v>
      </c>
      <c r="N19" s="317">
        <f>+M19*E19</f>
        <v>7.3662500000000006E-2</v>
      </c>
      <c r="O19" s="318" t="s">
        <v>1862</v>
      </c>
      <c r="P19" s="285"/>
      <c r="Q19" s="267"/>
      <c r="R19" s="267"/>
      <c r="S19" s="267"/>
    </row>
    <row r="20" spans="1:19" ht="48" thickBot="1" x14ac:dyDescent="0.3">
      <c r="A20" s="271"/>
      <c r="B20" s="307" t="s">
        <v>384</v>
      </c>
      <c r="C20" s="329" t="s">
        <v>385</v>
      </c>
      <c r="D20" s="332" t="s">
        <v>361</v>
      </c>
      <c r="E20" s="310">
        <v>0.05</v>
      </c>
      <c r="F20" s="311">
        <v>45</v>
      </c>
      <c r="G20" s="314">
        <v>10</v>
      </c>
      <c r="H20" s="319">
        <f>+G20/F20</f>
        <v>0.22222222222222221</v>
      </c>
      <c r="I20" s="319">
        <f>+(G20/F20)*E20</f>
        <v>1.1111111111111112E-2</v>
      </c>
      <c r="J20" s="333">
        <v>10</v>
      </c>
      <c r="K20" s="315">
        <v>1</v>
      </c>
      <c r="L20" s="315">
        <f>+K20*E20</f>
        <v>0.05</v>
      </c>
      <c r="M20" s="316">
        <f>+J20/F20</f>
        <v>0.22222222222222221</v>
      </c>
      <c r="N20" s="317">
        <f>+M20*E20</f>
        <v>1.1111111111111112E-2</v>
      </c>
      <c r="O20" s="318" t="s">
        <v>1862</v>
      </c>
      <c r="P20" s="285"/>
      <c r="Q20" s="267"/>
      <c r="R20" s="267"/>
      <c r="S20" s="267"/>
    </row>
    <row r="21" spans="1:19" ht="66.599999999999994" customHeight="1" thickBot="1" x14ac:dyDescent="0.3">
      <c r="A21" s="271"/>
      <c r="B21" s="703" t="s">
        <v>1650</v>
      </c>
      <c r="C21" s="704"/>
      <c r="D21" s="334"/>
      <c r="E21" s="297">
        <v>0.1</v>
      </c>
      <c r="F21" s="311"/>
      <c r="G21" s="323"/>
      <c r="H21" s="324">
        <f>+AVERAGE(H22:H28)</f>
        <v>0.28974632671496775</v>
      </c>
      <c r="I21" s="324">
        <f>+I22+I23+I24+I25+I26+I27+I28</f>
        <v>0.28333533359143115</v>
      </c>
      <c r="J21" s="325"/>
      <c r="K21" s="303">
        <f>+AVERAGE(K22:K28)</f>
        <v>0.8571428571428571</v>
      </c>
      <c r="L21" s="303">
        <f>+(L22+L23+L24+L25+L26+L27+L28)*E21</f>
        <v>7.5000000000000011E-2</v>
      </c>
      <c r="M21" s="304">
        <f>+AVERAGE(M22:M28)</f>
        <v>0.39634717843777068</v>
      </c>
      <c r="N21" s="305">
        <f>+(N22+N23+N24+N25+N26+N27+N28)*E21</f>
        <v>3.8674319267002197E-2</v>
      </c>
      <c r="O21" s="306"/>
      <c r="P21" s="285"/>
      <c r="Q21" s="267"/>
      <c r="R21" s="267"/>
      <c r="S21" s="267"/>
    </row>
    <row r="22" spans="1:19" ht="91.9" customHeight="1" thickBot="1" x14ac:dyDescent="0.3">
      <c r="A22" s="271"/>
      <c r="B22" s="307" t="s">
        <v>386</v>
      </c>
      <c r="C22" s="329" t="s">
        <v>387</v>
      </c>
      <c r="D22" s="335" t="s">
        <v>361</v>
      </c>
      <c r="E22" s="310">
        <v>0.1</v>
      </c>
      <c r="F22" s="311">
        <v>72</v>
      </c>
      <c r="G22" s="314">
        <v>48</v>
      </c>
      <c r="H22" s="319">
        <f t="shared" ref="H22:H28" si="0">+G22/F22</f>
        <v>0.66666666666666663</v>
      </c>
      <c r="I22" s="319">
        <f t="shared" ref="I22:I28" si="1">+(G22/F22)*E22</f>
        <v>6.6666666666666666E-2</v>
      </c>
      <c r="J22" s="314">
        <v>48</v>
      </c>
      <c r="K22" s="315">
        <v>1</v>
      </c>
      <c r="L22" s="315">
        <f t="shared" ref="L22:L28" si="2">+K22*E22</f>
        <v>0.1</v>
      </c>
      <c r="M22" s="316">
        <v>1</v>
      </c>
      <c r="N22" s="317">
        <f t="shared" ref="N22:N28" si="3">+M22*E22</f>
        <v>0.1</v>
      </c>
      <c r="O22" s="318" t="s">
        <v>1862</v>
      </c>
      <c r="P22" s="285"/>
      <c r="Q22" s="267"/>
      <c r="R22" s="267"/>
      <c r="S22" s="267"/>
    </row>
    <row r="23" spans="1:19" ht="55.15" customHeight="1" thickBot="1" x14ac:dyDescent="0.3">
      <c r="A23" s="271"/>
      <c r="B23" s="307" t="s">
        <v>388</v>
      </c>
      <c r="C23" s="329" t="s">
        <v>389</v>
      </c>
      <c r="D23" s="335" t="s">
        <v>361</v>
      </c>
      <c r="E23" s="310">
        <v>0.15</v>
      </c>
      <c r="F23" s="311">
        <v>4</v>
      </c>
      <c r="G23" s="314">
        <v>2</v>
      </c>
      <c r="H23" s="319">
        <f t="shared" si="0"/>
        <v>0.5</v>
      </c>
      <c r="I23" s="319">
        <f t="shared" si="1"/>
        <v>7.4999999999999997E-2</v>
      </c>
      <c r="J23" s="314">
        <v>2</v>
      </c>
      <c r="K23" s="315">
        <v>1</v>
      </c>
      <c r="L23" s="315">
        <f t="shared" si="2"/>
        <v>0.15</v>
      </c>
      <c r="M23" s="316">
        <f t="shared" ref="M23:M28" si="4">+J23/F23</f>
        <v>0.5</v>
      </c>
      <c r="N23" s="317">
        <f t="shared" si="3"/>
        <v>7.4999999999999997E-2</v>
      </c>
      <c r="O23" s="318" t="s">
        <v>1862</v>
      </c>
      <c r="P23" s="285"/>
      <c r="Q23" s="267"/>
      <c r="R23" s="267"/>
      <c r="S23" s="267"/>
    </row>
    <row r="24" spans="1:19" ht="54" customHeight="1" thickBot="1" x14ac:dyDescent="0.3">
      <c r="A24" s="271"/>
      <c r="B24" s="336" t="s">
        <v>390</v>
      </c>
      <c r="C24" s="337" t="s">
        <v>391</v>
      </c>
      <c r="D24" s="338" t="s">
        <v>361</v>
      </c>
      <c r="E24" s="310">
        <v>0.2</v>
      </c>
      <c r="F24" s="311">
        <v>27</v>
      </c>
      <c r="G24" s="314">
        <v>2</v>
      </c>
      <c r="H24" s="319">
        <f t="shared" si="0"/>
        <v>7.407407407407407E-2</v>
      </c>
      <c r="I24" s="319">
        <f>+(G24/F24)*E24</f>
        <v>1.4814814814814815E-2</v>
      </c>
      <c r="J24" s="314">
        <v>20</v>
      </c>
      <c r="K24" s="315">
        <v>1</v>
      </c>
      <c r="L24" s="315">
        <f t="shared" si="2"/>
        <v>0.2</v>
      </c>
      <c r="M24" s="316">
        <f t="shared" si="4"/>
        <v>0.7407407407407407</v>
      </c>
      <c r="N24" s="317">
        <f t="shared" si="3"/>
        <v>0.14814814814814814</v>
      </c>
      <c r="O24" s="318" t="s">
        <v>1862</v>
      </c>
      <c r="P24" s="285"/>
      <c r="Q24" s="267"/>
      <c r="R24" s="267"/>
      <c r="S24" s="267"/>
    </row>
    <row r="25" spans="1:19" ht="63" customHeight="1" thickBot="1" x14ac:dyDescent="0.3">
      <c r="A25" s="271"/>
      <c r="B25" s="339" t="s">
        <v>392</v>
      </c>
      <c r="C25" s="340" t="s">
        <v>393</v>
      </c>
      <c r="D25" s="335" t="s">
        <v>361</v>
      </c>
      <c r="E25" s="310">
        <v>0.25</v>
      </c>
      <c r="F25" s="311">
        <v>4000</v>
      </c>
      <c r="G25" s="314">
        <v>1000</v>
      </c>
      <c r="H25" s="319">
        <f t="shared" si="0"/>
        <v>0.25</v>
      </c>
      <c r="I25" s="319">
        <f t="shared" si="1"/>
        <v>6.25E-2</v>
      </c>
      <c r="J25" s="314">
        <v>0</v>
      </c>
      <c r="K25" s="315">
        <f t="shared" ref="K25" si="5">+(J25/G25)</f>
        <v>0</v>
      </c>
      <c r="L25" s="315">
        <f t="shared" si="2"/>
        <v>0</v>
      </c>
      <c r="M25" s="316">
        <f t="shared" si="4"/>
        <v>0</v>
      </c>
      <c r="N25" s="317">
        <f t="shared" si="3"/>
        <v>0</v>
      </c>
      <c r="O25" s="318" t="s">
        <v>1862</v>
      </c>
      <c r="P25" s="285"/>
      <c r="Q25" s="267"/>
      <c r="R25" s="267"/>
      <c r="S25" s="267"/>
    </row>
    <row r="26" spans="1:19" ht="66" customHeight="1" thickBot="1" x14ac:dyDescent="0.3">
      <c r="A26" s="271"/>
      <c r="B26" s="341" t="s">
        <v>394</v>
      </c>
      <c r="C26" s="342" t="s">
        <v>395</v>
      </c>
      <c r="D26" s="335" t="s">
        <v>361</v>
      </c>
      <c r="E26" s="310">
        <v>0.2</v>
      </c>
      <c r="F26" s="311">
        <v>3690</v>
      </c>
      <c r="G26" s="314">
        <v>922</v>
      </c>
      <c r="H26" s="319">
        <f t="shared" si="0"/>
        <v>0.24986449864498644</v>
      </c>
      <c r="I26" s="319">
        <f t="shared" si="1"/>
        <v>4.9972899728997294E-2</v>
      </c>
      <c r="J26" s="314">
        <v>908</v>
      </c>
      <c r="K26" s="315">
        <v>1</v>
      </c>
      <c r="L26" s="315">
        <f t="shared" si="2"/>
        <v>0.2</v>
      </c>
      <c r="M26" s="316">
        <f t="shared" si="4"/>
        <v>0.24607046070460706</v>
      </c>
      <c r="N26" s="317">
        <f t="shared" si="3"/>
        <v>4.9214092140921414E-2</v>
      </c>
      <c r="O26" s="318" t="s">
        <v>1862</v>
      </c>
      <c r="P26" s="285"/>
      <c r="Q26" s="267"/>
      <c r="R26" s="267"/>
      <c r="S26" s="267"/>
    </row>
    <row r="27" spans="1:19" ht="43.15" customHeight="1" thickBot="1" x14ac:dyDescent="0.3">
      <c r="A27" s="271"/>
      <c r="B27" s="343" t="s">
        <v>396</v>
      </c>
      <c r="C27" s="344" t="s">
        <v>397</v>
      </c>
      <c r="D27" s="338" t="s">
        <v>361</v>
      </c>
      <c r="E27" s="310">
        <v>0.05</v>
      </c>
      <c r="F27" s="311">
        <v>8400</v>
      </c>
      <c r="G27" s="314">
        <v>400</v>
      </c>
      <c r="H27" s="319">
        <f t="shared" si="0"/>
        <v>4.7619047619047616E-2</v>
      </c>
      <c r="I27" s="319">
        <f t="shared" si="1"/>
        <v>2.3809523809523812E-3</v>
      </c>
      <c r="J27" s="314">
        <v>400</v>
      </c>
      <c r="K27" s="315">
        <v>1</v>
      </c>
      <c r="L27" s="315">
        <f t="shared" si="2"/>
        <v>0.05</v>
      </c>
      <c r="M27" s="316">
        <f t="shared" si="4"/>
        <v>4.7619047619047616E-2</v>
      </c>
      <c r="N27" s="317">
        <f t="shared" si="3"/>
        <v>2.3809523809523812E-3</v>
      </c>
      <c r="O27" s="318" t="s">
        <v>1862</v>
      </c>
      <c r="P27" s="285"/>
      <c r="Q27" s="267"/>
      <c r="R27" s="267"/>
      <c r="S27" s="267"/>
    </row>
    <row r="28" spans="1:19" ht="86.45" customHeight="1" thickBot="1" x14ac:dyDescent="0.3">
      <c r="A28" s="271"/>
      <c r="B28" s="341" t="s">
        <v>398</v>
      </c>
      <c r="C28" s="342" t="s">
        <v>399</v>
      </c>
      <c r="D28" s="335" t="s">
        <v>361</v>
      </c>
      <c r="E28" s="310">
        <v>0.05</v>
      </c>
      <c r="F28" s="311">
        <v>50</v>
      </c>
      <c r="G28" s="314">
        <v>12</v>
      </c>
      <c r="H28" s="319">
        <f t="shared" si="0"/>
        <v>0.24</v>
      </c>
      <c r="I28" s="319">
        <f t="shared" si="1"/>
        <v>1.2E-2</v>
      </c>
      <c r="J28" s="314">
        <v>12</v>
      </c>
      <c r="K28" s="315">
        <v>1</v>
      </c>
      <c r="L28" s="315">
        <f t="shared" si="2"/>
        <v>0.05</v>
      </c>
      <c r="M28" s="316">
        <f t="shared" si="4"/>
        <v>0.24</v>
      </c>
      <c r="N28" s="317">
        <f t="shared" si="3"/>
        <v>1.2E-2</v>
      </c>
      <c r="O28" s="318" t="s">
        <v>1862</v>
      </c>
      <c r="P28" s="285"/>
      <c r="Q28" s="267"/>
      <c r="R28" s="267"/>
      <c r="S28" s="267"/>
    </row>
    <row r="29" spans="1:19" ht="28.5" customHeight="1" thickBot="1" x14ac:dyDescent="0.3">
      <c r="A29" s="271"/>
      <c r="B29" s="705" t="s">
        <v>1651</v>
      </c>
      <c r="C29" s="706"/>
      <c r="D29" s="345"/>
      <c r="E29" s="297">
        <v>0.05</v>
      </c>
      <c r="F29" s="322"/>
      <c r="G29" s="323"/>
      <c r="H29" s="324">
        <f>+AVERAGE(H30:H33)</f>
        <v>0.15707666719467767</v>
      </c>
      <c r="I29" s="324">
        <f>+I30+I31+I32+I33</f>
        <v>0.14557658799303025</v>
      </c>
      <c r="J29" s="325"/>
      <c r="K29" s="303">
        <f>+AVERAGE(K30:K33)</f>
        <v>0.98</v>
      </c>
      <c r="L29" s="303">
        <f>+(L30+L31+L32+L33)*E29</f>
        <v>4.9200000000000008E-2</v>
      </c>
      <c r="M29" s="304">
        <f>+AVERAGE(M30:M33)</f>
        <v>0.28525463329637252</v>
      </c>
      <c r="N29" s="305">
        <f>+(N30+N31+N32+N33)*E29</f>
        <v>1.4958914145414224E-2</v>
      </c>
      <c r="O29" s="306"/>
      <c r="P29" s="285"/>
      <c r="Q29" s="267"/>
      <c r="R29" s="267"/>
      <c r="S29" s="267"/>
    </row>
    <row r="30" spans="1:19" ht="83.45" customHeight="1" thickBot="1" x14ac:dyDescent="0.3">
      <c r="A30" s="271"/>
      <c r="B30" s="346" t="s">
        <v>400</v>
      </c>
      <c r="C30" s="347" t="s">
        <v>401</v>
      </c>
      <c r="D30" s="348" t="s">
        <v>361</v>
      </c>
      <c r="E30" s="349">
        <v>0.25</v>
      </c>
      <c r="F30" s="311">
        <v>236</v>
      </c>
      <c r="G30" s="314">
        <v>10</v>
      </c>
      <c r="H30" s="319">
        <f>+G30/F30</f>
        <v>4.2372881355932202E-2</v>
      </c>
      <c r="I30" s="319">
        <f>+(G30/F30)*E30</f>
        <v>1.059322033898305E-2</v>
      </c>
      <c r="J30" s="314">
        <v>71</v>
      </c>
      <c r="K30" s="315">
        <v>1</v>
      </c>
      <c r="L30" s="315">
        <f>+K30*E30</f>
        <v>0.25</v>
      </c>
      <c r="M30" s="316">
        <f>+J30/F30</f>
        <v>0.30084745762711862</v>
      </c>
      <c r="N30" s="317">
        <f t="shared" ref="N30" si="6">+M30*E30</f>
        <v>7.5211864406779655E-2</v>
      </c>
      <c r="O30" s="318" t="s">
        <v>1862</v>
      </c>
      <c r="P30" s="285"/>
      <c r="Q30" s="267"/>
      <c r="R30" s="267"/>
      <c r="S30" s="267"/>
    </row>
    <row r="31" spans="1:19" ht="72.599999999999994" customHeight="1" thickBot="1" x14ac:dyDescent="0.3">
      <c r="A31" s="271"/>
      <c r="B31" s="346" t="s">
        <v>402</v>
      </c>
      <c r="C31" s="347" t="s">
        <v>403</v>
      </c>
      <c r="D31" s="348" t="s">
        <v>361</v>
      </c>
      <c r="E31" s="349">
        <v>0.35</v>
      </c>
      <c r="F31" s="311">
        <v>59</v>
      </c>
      <c r="G31" s="314">
        <v>7</v>
      </c>
      <c r="H31" s="319">
        <f>+G31/F31</f>
        <v>0.11864406779661017</v>
      </c>
      <c r="I31" s="319">
        <f>+(G31/F31)*E31</f>
        <v>4.1525423728813557E-2</v>
      </c>
      <c r="J31" s="314">
        <v>22</v>
      </c>
      <c r="K31" s="315">
        <v>1</v>
      </c>
      <c r="L31" s="315">
        <f>+K31*E31</f>
        <v>0.35</v>
      </c>
      <c r="M31" s="316">
        <f>+J31/F31</f>
        <v>0.3728813559322034</v>
      </c>
      <c r="N31" s="317">
        <f t="shared" ref="N31:N36" si="7">+M31*E31</f>
        <v>0.13050847457627118</v>
      </c>
      <c r="O31" s="318" t="s">
        <v>1862</v>
      </c>
      <c r="P31" s="285"/>
      <c r="Q31" s="267"/>
      <c r="R31" s="267"/>
      <c r="S31" s="267"/>
    </row>
    <row r="32" spans="1:19" ht="66" customHeight="1" thickBot="1" x14ac:dyDescent="0.3">
      <c r="A32" s="271"/>
      <c r="B32" s="346" t="s">
        <v>404</v>
      </c>
      <c r="C32" s="347" t="s">
        <v>405</v>
      </c>
      <c r="D32" s="348" t="s">
        <v>361</v>
      </c>
      <c r="E32" s="349">
        <v>0.2</v>
      </c>
      <c r="F32" s="311">
        <v>107</v>
      </c>
      <c r="G32" s="314">
        <v>25</v>
      </c>
      <c r="H32" s="319">
        <f>+G32/F32</f>
        <v>0.23364485981308411</v>
      </c>
      <c r="I32" s="319">
        <f>+(G32/F32)*E32</f>
        <v>4.6728971962616828E-2</v>
      </c>
      <c r="J32" s="333">
        <v>27</v>
      </c>
      <c r="K32" s="315">
        <v>1</v>
      </c>
      <c r="L32" s="315">
        <f>+K32*E32</f>
        <v>0.2</v>
      </c>
      <c r="M32" s="316">
        <f>+J32/F32</f>
        <v>0.25233644859813081</v>
      </c>
      <c r="N32" s="317">
        <f t="shared" ref="N32" si="8">+M32*E32</f>
        <v>5.0467289719626163E-2</v>
      </c>
      <c r="O32" s="318" t="s">
        <v>1862</v>
      </c>
      <c r="P32" s="285"/>
      <c r="Q32" s="267"/>
      <c r="R32" s="267"/>
      <c r="S32" s="267"/>
    </row>
    <row r="33" spans="1:19" ht="76.900000000000006" customHeight="1" thickBot="1" x14ac:dyDescent="0.3">
      <c r="A33" s="271"/>
      <c r="B33" s="346" t="s">
        <v>406</v>
      </c>
      <c r="C33" s="347" t="s">
        <v>407</v>
      </c>
      <c r="D33" s="348" t="s">
        <v>361</v>
      </c>
      <c r="E33" s="349">
        <v>0.2</v>
      </c>
      <c r="F33" s="311">
        <v>107</v>
      </c>
      <c r="G33" s="314">
        <v>25</v>
      </c>
      <c r="H33" s="319">
        <f>+G33/F33</f>
        <v>0.23364485981308411</v>
      </c>
      <c r="I33" s="319">
        <f>+(G33/F33)*E33</f>
        <v>4.6728971962616828E-2</v>
      </c>
      <c r="J33" s="333">
        <v>23</v>
      </c>
      <c r="K33" s="315">
        <f>+J33/G33</f>
        <v>0.92</v>
      </c>
      <c r="L33" s="315">
        <f>+K33*E33</f>
        <v>0.18400000000000002</v>
      </c>
      <c r="M33" s="316">
        <f>+J33/F33</f>
        <v>0.21495327102803738</v>
      </c>
      <c r="N33" s="317">
        <f t="shared" ref="N33" si="9">+M33*E33</f>
        <v>4.2990654205607479E-2</v>
      </c>
      <c r="O33" s="318" t="s">
        <v>1862</v>
      </c>
      <c r="P33" s="285"/>
      <c r="Q33" s="267"/>
      <c r="R33" s="267"/>
      <c r="S33" s="267"/>
    </row>
    <row r="34" spans="1:19" ht="42.75" customHeight="1" thickBot="1" x14ac:dyDescent="0.3">
      <c r="A34" s="271"/>
      <c r="B34" s="703" t="s">
        <v>1652</v>
      </c>
      <c r="C34" s="704"/>
      <c r="D34" s="335"/>
      <c r="E34" s="297">
        <v>0.02</v>
      </c>
      <c r="F34" s="322"/>
      <c r="G34" s="323"/>
      <c r="H34" s="324">
        <f>+AVERAGE(H35:H38)</f>
        <v>0.44396853146853149</v>
      </c>
      <c r="I34" s="324">
        <f>+I35+I36+I37+I38</f>
        <v>0.55517482517482519</v>
      </c>
      <c r="J34" s="325"/>
      <c r="K34" s="303">
        <f>+AVERAGE(K35:K38)</f>
        <v>0.28083333333333332</v>
      </c>
      <c r="L34" s="303">
        <f>+(L35+L36+L37+L38)*E34</f>
        <v>5.8266666666666666E-3</v>
      </c>
      <c r="M34" s="304">
        <f>+AVERAGE(M35:M38)</f>
        <v>0.14352564102564103</v>
      </c>
      <c r="N34" s="305">
        <f>+(N35+N36+N37+N38)*E34</f>
        <v>3.6297435897435898E-3</v>
      </c>
      <c r="O34" s="306"/>
      <c r="P34" s="285"/>
      <c r="Q34" s="267"/>
      <c r="R34" s="267"/>
      <c r="S34" s="267"/>
    </row>
    <row r="35" spans="1:19" ht="112.9" customHeight="1" thickBot="1" x14ac:dyDescent="0.3">
      <c r="A35" s="271"/>
      <c r="B35" s="307" t="s">
        <v>408</v>
      </c>
      <c r="C35" s="329" t="s">
        <v>409</v>
      </c>
      <c r="D35" s="335" t="s">
        <v>361</v>
      </c>
      <c r="E35" s="310">
        <v>0.2</v>
      </c>
      <c r="F35" s="311">
        <v>13</v>
      </c>
      <c r="G35" s="314">
        <v>4</v>
      </c>
      <c r="H35" s="319">
        <f>+G35/F35</f>
        <v>0.30769230769230771</v>
      </c>
      <c r="I35" s="319">
        <f>+(G35/F35)*E35</f>
        <v>6.1538461538461542E-2</v>
      </c>
      <c r="J35" s="314">
        <v>3</v>
      </c>
      <c r="K35" s="315">
        <f>+J35/G35</f>
        <v>0.75</v>
      </c>
      <c r="L35" s="315">
        <f>+K35*E35</f>
        <v>0.15000000000000002</v>
      </c>
      <c r="M35" s="316">
        <f>+J35/F35</f>
        <v>0.23076923076923078</v>
      </c>
      <c r="N35" s="317">
        <f>+M35*E35</f>
        <v>4.6153846153846156E-2</v>
      </c>
      <c r="O35" s="318" t="s">
        <v>1862</v>
      </c>
      <c r="P35" s="285"/>
      <c r="Q35" s="267"/>
      <c r="R35" s="267"/>
      <c r="S35" s="267"/>
    </row>
    <row r="36" spans="1:19" ht="75" customHeight="1" thickBot="1" x14ac:dyDescent="0.3">
      <c r="A36" s="271"/>
      <c r="B36" s="307" t="s">
        <v>410</v>
      </c>
      <c r="C36" s="329" t="s">
        <v>411</v>
      </c>
      <c r="D36" s="335" t="s">
        <v>361</v>
      </c>
      <c r="E36" s="310">
        <v>0.4</v>
      </c>
      <c r="F36" s="311">
        <v>6</v>
      </c>
      <c r="G36" s="314">
        <v>6</v>
      </c>
      <c r="H36" s="319">
        <f>+G36/F36</f>
        <v>1</v>
      </c>
      <c r="I36" s="319">
        <f>+(G36/F36)*E36</f>
        <v>0.4</v>
      </c>
      <c r="J36" s="314">
        <v>2</v>
      </c>
      <c r="K36" s="315">
        <f>+(J36/G36)</f>
        <v>0.33333333333333331</v>
      </c>
      <c r="L36" s="315">
        <f>+K36*E36</f>
        <v>0.13333333333333333</v>
      </c>
      <c r="M36" s="316">
        <f>+J36/F36</f>
        <v>0.33333333333333331</v>
      </c>
      <c r="N36" s="317">
        <f t="shared" si="7"/>
        <v>0.13333333333333333</v>
      </c>
      <c r="O36" s="318" t="s">
        <v>1862</v>
      </c>
      <c r="P36" s="285"/>
      <c r="Q36" s="267"/>
      <c r="R36" s="267"/>
      <c r="S36" s="267"/>
    </row>
    <row r="37" spans="1:19" ht="111.6" customHeight="1" thickBot="1" x14ac:dyDescent="0.3">
      <c r="A37" s="271"/>
      <c r="B37" s="307" t="s">
        <v>412</v>
      </c>
      <c r="C37" s="329" t="s">
        <v>413</v>
      </c>
      <c r="D37" s="335" t="s">
        <v>361</v>
      </c>
      <c r="E37" s="310">
        <v>0.2</v>
      </c>
      <c r="F37" s="311">
        <v>55</v>
      </c>
      <c r="G37" s="314">
        <v>12</v>
      </c>
      <c r="H37" s="319">
        <f t="shared" ref="H37:H38" si="10">+G37/F37</f>
        <v>0.21818181818181817</v>
      </c>
      <c r="I37" s="319">
        <f t="shared" ref="I37:I38" si="11">+(G37/F37)*E37</f>
        <v>4.363636363636364E-2</v>
      </c>
      <c r="J37" s="314">
        <v>0</v>
      </c>
      <c r="K37" s="315">
        <f t="shared" ref="K37:K38" si="12">+(J37/G37)</f>
        <v>0</v>
      </c>
      <c r="L37" s="315">
        <f t="shared" ref="L37:L38" si="13">+K37*E37</f>
        <v>0</v>
      </c>
      <c r="M37" s="316">
        <f t="shared" ref="M37" si="14">+J37/F37</f>
        <v>0</v>
      </c>
      <c r="N37" s="317">
        <f t="shared" ref="N37:N38" si="15">+M37*E37</f>
        <v>0</v>
      </c>
      <c r="O37" s="318" t="s">
        <v>1862</v>
      </c>
      <c r="P37" s="285"/>
      <c r="Q37" s="267"/>
      <c r="R37" s="267"/>
      <c r="S37" s="267"/>
    </row>
    <row r="38" spans="1:19" ht="52.9" customHeight="1" thickBot="1" x14ac:dyDescent="0.3">
      <c r="A38" s="271"/>
      <c r="B38" s="307" t="s">
        <v>414</v>
      </c>
      <c r="C38" s="329" t="s">
        <v>415</v>
      </c>
      <c r="D38" s="335" t="s">
        <v>361</v>
      </c>
      <c r="E38" s="310">
        <v>0.2</v>
      </c>
      <c r="F38" s="311">
        <v>600</v>
      </c>
      <c r="G38" s="314">
        <v>150</v>
      </c>
      <c r="H38" s="319">
        <f t="shared" si="10"/>
        <v>0.25</v>
      </c>
      <c r="I38" s="319">
        <f t="shared" si="11"/>
        <v>0.05</v>
      </c>
      <c r="J38" s="314">
        <v>6</v>
      </c>
      <c r="K38" s="315">
        <f t="shared" si="12"/>
        <v>0.04</v>
      </c>
      <c r="L38" s="315">
        <f t="shared" si="13"/>
        <v>8.0000000000000002E-3</v>
      </c>
      <c r="M38" s="351">
        <f>+J38/F38</f>
        <v>0.01</v>
      </c>
      <c r="N38" s="317">
        <f t="shared" si="15"/>
        <v>2E-3</v>
      </c>
      <c r="O38" s="318" t="s">
        <v>1862</v>
      </c>
      <c r="P38" s="285"/>
      <c r="Q38" s="267"/>
      <c r="R38" s="267"/>
      <c r="S38" s="267"/>
    </row>
    <row r="39" spans="1:19" ht="28.5" customHeight="1" thickBot="1" x14ac:dyDescent="0.3">
      <c r="A39" s="271"/>
      <c r="B39" s="703" t="s">
        <v>1653</v>
      </c>
      <c r="C39" s="702"/>
      <c r="D39" s="352"/>
      <c r="E39" s="297">
        <v>0.05</v>
      </c>
      <c r="F39" s="322"/>
      <c r="G39" s="323"/>
      <c r="H39" s="324">
        <f>+AVERAGE(H40:H42)</f>
        <v>0.40860215053763443</v>
      </c>
      <c r="I39" s="324">
        <f>+I40+I41+I42</f>
        <v>0.34516129032258069</v>
      </c>
      <c r="J39" s="325"/>
      <c r="K39" s="303">
        <f>+AVERAGE(K40:K42)</f>
        <v>0.53833285971393385</v>
      </c>
      <c r="L39" s="303">
        <f>+(L40+L41+L42)*E39</f>
        <v>2.2708297811878372E-2</v>
      </c>
      <c r="M39" s="304">
        <f>+AVERAGE(M40:M42)</f>
        <v>0.24342431409216325</v>
      </c>
      <c r="N39" s="305">
        <f>+(N40+N41+N42)*E39</f>
        <v>9.3589740945466543E-3</v>
      </c>
      <c r="O39" s="306"/>
      <c r="P39" s="285"/>
      <c r="Q39" s="267"/>
      <c r="R39" s="267"/>
      <c r="S39" s="267"/>
    </row>
    <row r="40" spans="1:19" ht="66.599999999999994" customHeight="1" thickBot="1" x14ac:dyDescent="0.3">
      <c r="A40" s="271"/>
      <c r="B40" s="307" t="s">
        <v>416</v>
      </c>
      <c r="C40" s="308" t="s">
        <v>417</v>
      </c>
      <c r="D40" s="309" t="s">
        <v>361</v>
      </c>
      <c r="E40" s="310">
        <v>0.3</v>
      </c>
      <c r="F40" s="311">
        <v>600</v>
      </c>
      <c r="G40" s="314">
        <v>150</v>
      </c>
      <c r="H40" s="319">
        <f>+G40/F40</f>
        <v>0.25</v>
      </c>
      <c r="I40" s="319">
        <f>+(G40/F40)*E40</f>
        <v>7.4999999999999997E-2</v>
      </c>
      <c r="J40" s="314">
        <v>200</v>
      </c>
      <c r="K40" s="315">
        <v>1</v>
      </c>
      <c r="L40" s="315">
        <f>+K40*E40</f>
        <v>0.3</v>
      </c>
      <c r="M40" s="316">
        <f>+J40/F40</f>
        <v>0.33333333333333331</v>
      </c>
      <c r="N40" s="317">
        <f>+M40*E40</f>
        <v>9.9999999999999992E-2</v>
      </c>
      <c r="O40" s="318" t="s">
        <v>1862</v>
      </c>
      <c r="P40" s="285"/>
      <c r="Q40" s="267"/>
      <c r="R40" s="267"/>
      <c r="S40" s="267"/>
    </row>
    <row r="41" spans="1:19" ht="96" customHeight="1" thickBot="1" x14ac:dyDescent="0.3">
      <c r="A41" s="271"/>
      <c r="B41" s="307" t="s">
        <v>418</v>
      </c>
      <c r="C41" s="308" t="s">
        <v>419</v>
      </c>
      <c r="D41" s="309" t="s">
        <v>361</v>
      </c>
      <c r="E41" s="310">
        <v>0.5</v>
      </c>
      <c r="F41" s="311">
        <v>78200</v>
      </c>
      <c r="G41" s="314">
        <v>19550</v>
      </c>
      <c r="H41" s="319">
        <f>+G41/F41</f>
        <v>0.25</v>
      </c>
      <c r="I41" s="319">
        <f>+(G41/F41)*E41</f>
        <v>0.125</v>
      </c>
      <c r="J41" s="314">
        <v>2031</v>
      </c>
      <c r="K41" s="315">
        <f>+(J41/G41)</f>
        <v>0.10388746803069053</v>
      </c>
      <c r="L41" s="315">
        <f>+K41*E41</f>
        <v>5.1943734015345265E-2</v>
      </c>
      <c r="M41" s="316">
        <f>+J41/F41</f>
        <v>2.5971867007672633E-2</v>
      </c>
      <c r="N41" s="317">
        <f>+M41*E41</f>
        <v>1.2985933503836316E-2</v>
      </c>
      <c r="O41" s="318" t="s">
        <v>1862</v>
      </c>
      <c r="P41" s="285"/>
      <c r="Q41" s="267"/>
      <c r="R41" s="267"/>
      <c r="S41" s="267"/>
    </row>
    <row r="42" spans="1:19" ht="48" thickBot="1" x14ac:dyDescent="0.3">
      <c r="A42" s="271"/>
      <c r="B42" s="307" t="s">
        <v>420</v>
      </c>
      <c r="C42" s="308" t="s">
        <v>421</v>
      </c>
      <c r="D42" s="309" t="s">
        <v>361</v>
      </c>
      <c r="E42" s="310">
        <v>0.2</v>
      </c>
      <c r="F42" s="311">
        <v>62</v>
      </c>
      <c r="G42" s="314">
        <v>45</v>
      </c>
      <c r="H42" s="319">
        <f>+G42/F42</f>
        <v>0.72580645161290325</v>
      </c>
      <c r="I42" s="319">
        <f>+(G42/F42)*E42</f>
        <v>0.14516129032258066</v>
      </c>
      <c r="J42" s="314">
        <v>23</v>
      </c>
      <c r="K42" s="315">
        <f>+(J42/G42)</f>
        <v>0.51111111111111107</v>
      </c>
      <c r="L42" s="315">
        <f>+K42*E42</f>
        <v>0.10222222222222221</v>
      </c>
      <c r="M42" s="316">
        <f>+J42/F42</f>
        <v>0.37096774193548387</v>
      </c>
      <c r="N42" s="317">
        <f>+M42*E42</f>
        <v>7.4193548387096783E-2</v>
      </c>
      <c r="O42" s="318" t="s">
        <v>1862</v>
      </c>
      <c r="P42" s="285"/>
      <c r="Q42" s="267"/>
      <c r="R42" s="267"/>
      <c r="S42" s="267"/>
    </row>
    <row r="43" spans="1:19" ht="28.5" customHeight="1" thickBot="1" x14ac:dyDescent="0.3">
      <c r="A43" s="271"/>
      <c r="B43" s="703" t="s">
        <v>1654</v>
      </c>
      <c r="C43" s="702"/>
      <c r="D43" s="309"/>
      <c r="E43" s="353">
        <v>0.02</v>
      </c>
      <c r="F43" s="311"/>
      <c r="G43" s="323"/>
      <c r="H43" s="324">
        <f>+AVERAGE(H44:H48)</f>
        <v>0.40173750334135255</v>
      </c>
      <c r="I43" s="324">
        <f>+I44+I45+I46+I47+I48</f>
        <v>0.32804397219994652</v>
      </c>
      <c r="J43" s="325"/>
      <c r="K43" s="303">
        <f>+AVERAGE(K44:K48)</f>
        <v>0.45333333333333331</v>
      </c>
      <c r="L43" s="303">
        <f>+(L44+L45+L46+L47+L48)*E43</f>
        <v>7.5333333333333329E-3</v>
      </c>
      <c r="M43" s="304">
        <f>+AVERAGE(M44:M48)</f>
        <v>0.17229885057471264</v>
      </c>
      <c r="N43" s="305">
        <f>+(N44+N45+N46+N47+N48)*E43</f>
        <v>2.7574712643678163E-3</v>
      </c>
      <c r="O43" s="306"/>
      <c r="P43" s="285"/>
      <c r="Q43" s="267"/>
      <c r="R43" s="267"/>
      <c r="S43" s="267"/>
    </row>
    <row r="44" spans="1:19" ht="76.900000000000006" customHeight="1" thickBot="1" x14ac:dyDescent="0.3">
      <c r="A44" s="271"/>
      <c r="B44" s="307" t="s">
        <v>422</v>
      </c>
      <c r="C44" s="308" t="s">
        <v>423</v>
      </c>
      <c r="D44" s="309" t="s">
        <v>361</v>
      </c>
      <c r="E44" s="310">
        <v>0.25</v>
      </c>
      <c r="F44" s="311">
        <v>87</v>
      </c>
      <c r="G44" s="314">
        <v>22</v>
      </c>
      <c r="H44" s="319">
        <f>+G44/F44</f>
        <v>0.25287356321839083</v>
      </c>
      <c r="I44" s="319">
        <f>+(G44/F44)*E44</f>
        <v>6.3218390804597707E-2</v>
      </c>
      <c r="J44" s="314">
        <v>30</v>
      </c>
      <c r="K44" s="326">
        <v>1</v>
      </c>
      <c r="L44" s="315">
        <f>+K44*E44</f>
        <v>0.25</v>
      </c>
      <c r="M44" s="316">
        <f>+J44/F44</f>
        <v>0.34482758620689657</v>
      </c>
      <c r="N44" s="317">
        <f>+M44*E44</f>
        <v>8.6206896551724144E-2</v>
      </c>
      <c r="O44" s="318" t="s">
        <v>1862</v>
      </c>
      <c r="P44" s="285"/>
      <c r="Q44" s="267"/>
      <c r="R44" s="267"/>
      <c r="S44" s="267"/>
    </row>
    <row r="45" spans="1:19" ht="81" customHeight="1" thickBot="1" x14ac:dyDescent="0.3">
      <c r="A45" s="271"/>
      <c r="B45" s="307" t="s">
        <v>424</v>
      </c>
      <c r="C45" s="308" t="s">
        <v>425</v>
      </c>
      <c r="D45" s="309" t="s">
        <v>361</v>
      </c>
      <c r="E45" s="310">
        <v>0.4</v>
      </c>
      <c r="F45" s="311">
        <v>86</v>
      </c>
      <c r="G45" s="314">
        <v>22</v>
      </c>
      <c r="H45" s="319">
        <f>+G45/F45</f>
        <v>0.2558139534883721</v>
      </c>
      <c r="I45" s="319">
        <f>+(G45/F45)*E45</f>
        <v>0.10232558139534885</v>
      </c>
      <c r="J45" s="314">
        <v>0</v>
      </c>
      <c r="K45" s="326">
        <f>+(J45/G45)</f>
        <v>0</v>
      </c>
      <c r="L45" s="315">
        <f>+K45*E45</f>
        <v>0</v>
      </c>
      <c r="M45" s="316">
        <f>+J45/F45</f>
        <v>0</v>
      </c>
      <c r="N45" s="317">
        <f>+M45*E45</f>
        <v>0</v>
      </c>
      <c r="O45" s="318" t="s">
        <v>1862</v>
      </c>
      <c r="P45" s="285"/>
      <c r="Q45" s="267"/>
      <c r="R45" s="267"/>
      <c r="S45" s="267"/>
    </row>
    <row r="46" spans="1:19" ht="60" customHeight="1" thickBot="1" x14ac:dyDescent="0.3">
      <c r="A46" s="271"/>
      <c r="B46" s="307" t="s">
        <v>426</v>
      </c>
      <c r="C46" s="308" t="s">
        <v>427</v>
      </c>
      <c r="D46" s="309" t="s">
        <v>361</v>
      </c>
      <c r="E46" s="310">
        <v>0.15</v>
      </c>
      <c r="F46" s="311">
        <v>1</v>
      </c>
      <c r="G46" s="314">
        <v>0.25</v>
      </c>
      <c r="H46" s="319">
        <f>+G46/F46</f>
        <v>0.25</v>
      </c>
      <c r="I46" s="319">
        <f>+(G46/F46)*E46</f>
        <v>3.7499999999999999E-2</v>
      </c>
      <c r="J46" s="314">
        <v>0</v>
      </c>
      <c r="K46" s="326">
        <f>+(J46/G46)</f>
        <v>0</v>
      </c>
      <c r="L46" s="315">
        <f>+K46*E46</f>
        <v>0</v>
      </c>
      <c r="M46" s="316">
        <f>+J46/F46</f>
        <v>0</v>
      </c>
      <c r="N46" s="317">
        <f>+M46*E46</f>
        <v>0</v>
      </c>
      <c r="O46" s="318" t="s">
        <v>1862</v>
      </c>
      <c r="P46" s="285"/>
      <c r="Q46" s="267"/>
      <c r="R46" s="267"/>
      <c r="S46" s="267"/>
    </row>
    <row r="47" spans="1:19" ht="45" customHeight="1" thickBot="1" x14ac:dyDescent="0.3">
      <c r="A47" s="271"/>
      <c r="B47" s="307" t="s">
        <v>428</v>
      </c>
      <c r="C47" s="308" t="s">
        <v>429</v>
      </c>
      <c r="D47" s="309" t="s">
        <v>361</v>
      </c>
      <c r="E47" s="310">
        <v>0.1</v>
      </c>
      <c r="F47" s="311">
        <v>4</v>
      </c>
      <c r="G47" s="314">
        <v>1</v>
      </c>
      <c r="H47" s="319">
        <f>+G47/F47</f>
        <v>0.25</v>
      </c>
      <c r="I47" s="319">
        <f>+(G47/F47)*E47</f>
        <v>2.5000000000000001E-2</v>
      </c>
      <c r="J47" s="314">
        <v>1</v>
      </c>
      <c r="K47" s="326">
        <f>+(J47/G47)</f>
        <v>1</v>
      </c>
      <c r="L47" s="315">
        <f>+K47*E47</f>
        <v>0.1</v>
      </c>
      <c r="M47" s="316">
        <f>+J47/F47</f>
        <v>0.25</v>
      </c>
      <c r="N47" s="317">
        <f>+M47*E47</f>
        <v>2.5000000000000001E-2</v>
      </c>
      <c r="O47" s="318" t="s">
        <v>1862</v>
      </c>
      <c r="P47" s="285"/>
      <c r="Q47" s="267"/>
      <c r="R47" s="267"/>
      <c r="S47" s="267"/>
    </row>
    <row r="48" spans="1:19" ht="88.15" customHeight="1" thickBot="1" x14ac:dyDescent="0.3">
      <c r="A48" s="271"/>
      <c r="B48" s="307" t="s">
        <v>430</v>
      </c>
      <c r="C48" s="308" t="s">
        <v>431</v>
      </c>
      <c r="D48" s="309" t="s">
        <v>361</v>
      </c>
      <c r="E48" s="310">
        <v>0.1</v>
      </c>
      <c r="F48" s="311">
        <v>30</v>
      </c>
      <c r="G48" s="314">
        <v>30</v>
      </c>
      <c r="H48" s="319">
        <f>+G48/F48</f>
        <v>1</v>
      </c>
      <c r="I48" s="319">
        <f>+(G48/F48)*E48</f>
        <v>0.1</v>
      </c>
      <c r="J48" s="314">
        <v>8</v>
      </c>
      <c r="K48" s="326">
        <f>+(J48/G48)</f>
        <v>0.26666666666666666</v>
      </c>
      <c r="L48" s="315">
        <f>+K48*E48</f>
        <v>2.6666666666666668E-2</v>
      </c>
      <c r="M48" s="316">
        <f>+J48/F48</f>
        <v>0.26666666666666666</v>
      </c>
      <c r="N48" s="317">
        <f>+M48*E48</f>
        <v>2.6666666666666668E-2</v>
      </c>
      <c r="O48" s="318" t="s">
        <v>1862</v>
      </c>
      <c r="P48" s="285"/>
      <c r="Q48" s="267"/>
      <c r="R48" s="267"/>
      <c r="S48" s="267"/>
    </row>
    <row r="49" spans="1:19" ht="28.5" customHeight="1" thickBot="1" x14ac:dyDescent="0.3">
      <c r="A49" s="271"/>
      <c r="B49" s="703" t="s">
        <v>1655</v>
      </c>
      <c r="C49" s="702"/>
      <c r="D49" s="309"/>
      <c r="E49" s="297">
        <v>0.02</v>
      </c>
      <c r="F49" s="322"/>
      <c r="G49" s="323"/>
      <c r="H49" s="324"/>
      <c r="I49" s="324"/>
      <c r="J49" s="325"/>
      <c r="K49" s="303"/>
      <c r="L49" s="303"/>
      <c r="M49" s="304"/>
      <c r="N49" s="305"/>
      <c r="O49" s="306"/>
      <c r="P49" s="285"/>
      <c r="Q49" s="267"/>
      <c r="R49" s="267"/>
      <c r="S49" s="267"/>
    </row>
    <row r="50" spans="1:19" ht="86.45" customHeight="1" thickBot="1" x14ac:dyDescent="0.3">
      <c r="A50" s="271"/>
      <c r="B50" s="307" t="s">
        <v>432</v>
      </c>
      <c r="C50" s="308" t="s">
        <v>433</v>
      </c>
      <c r="D50" s="309" t="s">
        <v>361</v>
      </c>
      <c r="E50" s="310">
        <v>0.5</v>
      </c>
      <c r="F50" s="311">
        <v>15</v>
      </c>
      <c r="G50" s="314"/>
      <c r="H50" s="319"/>
      <c r="I50" s="319"/>
      <c r="J50" s="314"/>
      <c r="K50" s="315"/>
      <c r="L50" s="315"/>
      <c r="M50" s="316"/>
      <c r="N50" s="317"/>
      <c r="O50" s="318" t="s">
        <v>1862</v>
      </c>
      <c r="P50" s="285"/>
      <c r="Q50" s="267"/>
      <c r="R50" s="267"/>
      <c r="S50" s="267"/>
    </row>
    <row r="51" spans="1:19" ht="73.900000000000006" customHeight="1" thickBot="1" x14ac:dyDescent="0.3">
      <c r="A51" s="271"/>
      <c r="B51" s="307" t="s">
        <v>434</v>
      </c>
      <c r="C51" s="308" t="s">
        <v>435</v>
      </c>
      <c r="D51" s="309" t="s">
        <v>361</v>
      </c>
      <c r="E51" s="310">
        <v>0.5</v>
      </c>
      <c r="F51" s="311">
        <v>15</v>
      </c>
      <c r="G51" s="314"/>
      <c r="H51" s="319"/>
      <c r="I51" s="319"/>
      <c r="J51" s="314"/>
      <c r="K51" s="315"/>
      <c r="L51" s="315"/>
      <c r="M51" s="316"/>
      <c r="N51" s="317"/>
      <c r="O51" s="318" t="s">
        <v>1862</v>
      </c>
      <c r="P51" s="285"/>
      <c r="Q51" s="267"/>
      <c r="R51" s="267"/>
      <c r="S51" s="267"/>
    </row>
    <row r="52" spans="1:19" ht="57" customHeight="1" thickBot="1" x14ac:dyDescent="0.3">
      <c r="A52" s="271"/>
      <c r="B52" s="703" t="s">
        <v>1656</v>
      </c>
      <c r="C52" s="702"/>
      <c r="D52" s="309"/>
      <c r="E52" s="297">
        <v>0.02</v>
      </c>
      <c r="F52" s="322"/>
      <c r="G52" s="323"/>
      <c r="H52" s="324">
        <f>+AVERAGE(H53:H55)</f>
        <v>0.20288161993769471</v>
      </c>
      <c r="I52" s="324">
        <f>+I53+I54+I55</f>
        <v>0.18177570093457943</v>
      </c>
      <c r="J52" s="325"/>
      <c r="K52" s="303">
        <f>+AVERAGE(K53:K55)</f>
        <v>1</v>
      </c>
      <c r="L52" s="303">
        <f>+(L53+L54+L55)*E52</f>
        <v>0.02</v>
      </c>
      <c r="M52" s="304">
        <f>+AVERAGE(M53:M55)</f>
        <v>0.38465732087227411</v>
      </c>
      <c r="N52" s="305">
        <f>+(N53+N54+N55)*E52</f>
        <v>7.6028037383177559E-3</v>
      </c>
      <c r="O52" s="306"/>
      <c r="P52" s="285"/>
      <c r="Q52" s="267"/>
      <c r="R52" s="267"/>
      <c r="S52" s="267"/>
    </row>
    <row r="53" spans="1:19" ht="84" customHeight="1" thickBot="1" x14ac:dyDescent="0.3">
      <c r="A53" s="271"/>
      <c r="B53" s="307" t="s">
        <v>436</v>
      </c>
      <c r="C53" s="308" t="s">
        <v>437</v>
      </c>
      <c r="D53" s="309" t="s">
        <v>361</v>
      </c>
      <c r="E53" s="310">
        <v>0.5</v>
      </c>
      <c r="F53" s="311">
        <v>2000</v>
      </c>
      <c r="G53" s="314">
        <v>250</v>
      </c>
      <c r="H53" s="319">
        <f>+G53/F53</f>
        <v>0.125</v>
      </c>
      <c r="I53" s="319">
        <f>+(G53/F53)*E53</f>
        <v>6.25E-2</v>
      </c>
      <c r="J53" s="314">
        <v>350</v>
      </c>
      <c r="K53" s="315">
        <v>1</v>
      </c>
      <c r="L53" s="315">
        <f>+K53*E53</f>
        <v>0.5</v>
      </c>
      <c r="M53" s="316">
        <f>+J53/F53</f>
        <v>0.17499999999999999</v>
      </c>
      <c r="N53" s="317">
        <f>+M53*E53</f>
        <v>8.7499999999999994E-2</v>
      </c>
      <c r="O53" s="318" t="s">
        <v>1862</v>
      </c>
      <c r="P53" s="285"/>
      <c r="Q53" s="267"/>
      <c r="R53" s="267"/>
      <c r="S53" s="267"/>
    </row>
    <row r="54" spans="1:19" ht="70.900000000000006" customHeight="1" thickBot="1" x14ac:dyDescent="0.3">
      <c r="A54" s="271"/>
      <c r="B54" s="307" t="s">
        <v>438</v>
      </c>
      <c r="C54" s="308" t="s">
        <v>439</v>
      </c>
      <c r="D54" s="309" t="s">
        <v>361</v>
      </c>
      <c r="E54" s="310">
        <v>0.35</v>
      </c>
      <c r="F54" s="311">
        <v>107</v>
      </c>
      <c r="G54" s="314">
        <v>25</v>
      </c>
      <c r="H54" s="319">
        <f>+G54/F54</f>
        <v>0.23364485981308411</v>
      </c>
      <c r="I54" s="319">
        <f>+(G54/F54)*E54</f>
        <v>8.1775700934579434E-2</v>
      </c>
      <c r="J54" s="314">
        <v>78</v>
      </c>
      <c r="K54" s="315">
        <v>1</v>
      </c>
      <c r="L54" s="315">
        <f t="shared" ref="L54:L55" si="16">+K54*E54</f>
        <v>0.35</v>
      </c>
      <c r="M54" s="316">
        <f t="shared" ref="M54:M55" si="17">+J54/F54</f>
        <v>0.7289719626168224</v>
      </c>
      <c r="N54" s="317">
        <f t="shared" ref="N54:N55" si="18">+M54*E54</f>
        <v>0.2551401869158878</v>
      </c>
      <c r="O54" s="318" t="s">
        <v>1862</v>
      </c>
      <c r="P54" s="285"/>
      <c r="Q54" s="267"/>
      <c r="R54" s="267"/>
      <c r="S54" s="267"/>
    </row>
    <row r="55" spans="1:19" ht="36" customHeight="1" thickBot="1" x14ac:dyDescent="0.3">
      <c r="A55" s="271"/>
      <c r="B55" s="307" t="s">
        <v>440</v>
      </c>
      <c r="C55" s="308" t="s">
        <v>441</v>
      </c>
      <c r="D55" s="309" t="s">
        <v>361</v>
      </c>
      <c r="E55" s="310">
        <v>0.15</v>
      </c>
      <c r="F55" s="311">
        <v>4</v>
      </c>
      <c r="G55" s="314">
        <v>1</v>
      </c>
      <c r="H55" s="319">
        <f>+G55/F55</f>
        <v>0.25</v>
      </c>
      <c r="I55" s="319">
        <f>+(G55/F55)*E55</f>
        <v>3.7499999999999999E-2</v>
      </c>
      <c r="J55" s="314">
        <v>1</v>
      </c>
      <c r="K55" s="315">
        <f>+(J55/G55)</f>
        <v>1</v>
      </c>
      <c r="L55" s="315">
        <f t="shared" si="16"/>
        <v>0.15</v>
      </c>
      <c r="M55" s="316">
        <f t="shared" si="17"/>
        <v>0.25</v>
      </c>
      <c r="N55" s="317">
        <f t="shared" si="18"/>
        <v>3.7499999999999999E-2</v>
      </c>
      <c r="O55" s="318" t="s">
        <v>1862</v>
      </c>
      <c r="P55" s="285"/>
      <c r="Q55" s="267"/>
      <c r="R55" s="267"/>
      <c r="S55" s="267"/>
    </row>
    <row r="56" spans="1:19" ht="72" customHeight="1" thickBot="1" x14ac:dyDescent="0.3">
      <c r="A56" s="271"/>
      <c r="B56" s="703" t="s">
        <v>1657</v>
      </c>
      <c r="C56" s="702"/>
      <c r="D56" s="309"/>
      <c r="E56" s="297">
        <v>0.02</v>
      </c>
      <c r="F56" s="322"/>
      <c r="G56" s="323"/>
      <c r="H56" s="324">
        <f>+AVERAGE(H57:H59)</f>
        <v>0.19781931464174454</v>
      </c>
      <c r="I56" s="324">
        <f>+I57+I58+I59</f>
        <v>0.17172897196261683</v>
      </c>
      <c r="J56" s="325"/>
      <c r="K56" s="303">
        <f>+AVERAGE(K57:K59)</f>
        <v>0.66666666666666663</v>
      </c>
      <c r="L56" s="303">
        <f>+(L57+L58+L59)*E56</f>
        <v>1.8000000000000002E-2</v>
      </c>
      <c r="M56" s="304">
        <f>+AVERAGE(M57:M59)</f>
        <v>0.11448598130841121</v>
      </c>
      <c r="N56" s="305">
        <f>+(N57+N58+N59)*E56</f>
        <v>2.9345794392523369E-3</v>
      </c>
      <c r="O56" s="306"/>
      <c r="P56" s="285"/>
      <c r="Q56" s="267"/>
      <c r="R56" s="267"/>
      <c r="S56" s="267"/>
    </row>
    <row r="57" spans="1:19" ht="100.9" customHeight="1" thickBot="1" x14ac:dyDescent="0.3">
      <c r="A57" s="271"/>
      <c r="B57" s="307" t="s">
        <v>442</v>
      </c>
      <c r="C57" s="308" t="s">
        <v>443</v>
      </c>
      <c r="D57" s="309" t="s">
        <v>361</v>
      </c>
      <c r="E57" s="310">
        <v>0.5</v>
      </c>
      <c r="F57" s="311">
        <v>107</v>
      </c>
      <c r="G57" s="314">
        <v>10</v>
      </c>
      <c r="H57" s="319">
        <f>+G57/F57</f>
        <v>9.3457943925233641E-2</v>
      </c>
      <c r="I57" s="319">
        <f>+(G57/F57)*E57</f>
        <v>4.6728971962616821E-2</v>
      </c>
      <c r="J57" s="314">
        <v>10</v>
      </c>
      <c r="K57" s="315">
        <f>+(J57/G57)</f>
        <v>1</v>
      </c>
      <c r="L57" s="315">
        <f>+K57*E57</f>
        <v>0.5</v>
      </c>
      <c r="M57" s="316">
        <f>+J57/F57</f>
        <v>9.3457943925233641E-2</v>
      </c>
      <c r="N57" s="317">
        <f t="shared" ref="N57:N58" si="19">+M57*E57</f>
        <v>4.6728971962616821E-2</v>
      </c>
      <c r="O57" s="318" t="s">
        <v>1862</v>
      </c>
      <c r="P57" s="285"/>
      <c r="Q57" s="267"/>
      <c r="R57" s="267"/>
      <c r="S57" s="267"/>
    </row>
    <row r="58" spans="1:19" ht="54.6" customHeight="1" thickBot="1" x14ac:dyDescent="0.3">
      <c r="A58" s="271"/>
      <c r="B58" s="307" t="s">
        <v>444</v>
      </c>
      <c r="C58" s="308" t="s">
        <v>445</v>
      </c>
      <c r="D58" s="309" t="s">
        <v>361</v>
      </c>
      <c r="E58" s="310">
        <v>0.1</v>
      </c>
      <c r="F58" s="311">
        <v>1</v>
      </c>
      <c r="G58" s="314">
        <v>0.25</v>
      </c>
      <c r="H58" s="319">
        <f>+G58/F58</f>
        <v>0.25</v>
      </c>
      <c r="I58" s="319">
        <f>+(G58/F58)*E58</f>
        <v>2.5000000000000001E-2</v>
      </c>
      <c r="J58" s="314">
        <v>0</v>
      </c>
      <c r="K58" s="315">
        <f>+(J58/G58)</f>
        <v>0</v>
      </c>
      <c r="L58" s="315">
        <f>+K58*E58</f>
        <v>0</v>
      </c>
      <c r="M58" s="316">
        <f>+J58/F58</f>
        <v>0</v>
      </c>
      <c r="N58" s="317">
        <f t="shared" si="19"/>
        <v>0</v>
      </c>
      <c r="O58" s="318" t="s">
        <v>1862</v>
      </c>
      <c r="P58" s="285"/>
      <c r="Q58" s="267"/>
      <c r="R58" s="267"/>
      <c r="S58" s="267"/>
    </row>
    <row r="59" spans="1:19" ht="81.599999999999994" customHeight="1" thickBot="1" x14ac:dyDescent="0.3">
      <c r="A59" s="271"/>
      <c r="B59" s="307" t="s">
        <v>446</v>
      </c>
      <c r="C59" s="308" t="s">
        <v>447</v>
      </c>
      <c r="D59" s="309" t="s">
        <v>361</v>
      </c>
      <c r="E59" s="310">
        <v>0.4</v>
      </c>
      <c r="F59" s="311">
        <v>40</v>
      </c>
      <c r="G59" s="314">
        <v>10</v>
      </c>
      <c r="H59" s="319">
        <f>+G59/F59</f>
        <v>0.25</v>
      </c>
      <c r="I59" s="319">
        <f>+(G59/F59)*E59</f>
        <v>0.1</v>
      </c>
      <c r="J59" s="314">
        <v>10</v>
      </c>
      <c r="K59" s="315">
        <f>+(J59/G59)</f>
        <v>1</v>
      </c>
      <c r="L59" s="315">
        <f>+K59*E59</f>
        <v>0.4</v>
      </c>
      <c r="M59" s="316">
        <f>+J59/F59</f>
        <v>0.25</v>
      </c>
      <c r="N59" s="317">
        <f t="shared" ref="N59" si="20">+M59*E59</f>
        <v>0.1</v>
      </c>
      <c r="O59" s="318" t="s">
        <v>1862</v>
      </c>
      <c r="P59" s="285"/>
      <c r="Q59" s="267"/>
      <c r="R59" s="267"/>
      <c r="S59" s="267"/>
    </row>
    <row r="60" spans="1:19" ht="28.15" customHeight="1" thickBot="1" x14ac:dyDescent="0.3">
      <c r="A60" s="271"/>
      <c r="B60" s="703" t="s">
        <v>1658</v>
      </c>
      <c r="C60" s="702"/>
      <c r="D60" s="309"/>
      <c r="E60" s="297">
        <v>0.1</v>
      </c>
      <c r="F60" s="311"/>
      <c r="G60" s="323"/>
      <c r="H60" s="324">
        <f>+AVERAGE(H61:H67)</f>
        <v>0.21443137254901962</v>
      </c>
      <c r="I60" s="324">
        <f>+I61+I62+I63+I64+I65+I66+I67</f>
        <v>0.15490686274509805</v>
      </c>
      <c r="J60" s="325"/>
      <c r="K60" s="303">
        <f>+AVERAGE(K61:K67)</f>
        <v>0.91082380952380948</v>
      </c>
      <c r="L60" s="303">
        <f>+(L61+L62+L63+L64+L65+L66+L67)*E60</f>
        <v>7.9564761904761902E-2</v>
      </c>
      <c r="M60" s="304">
        <f>+AVERAGE(M61:M67)</f>
        <v>0.19200359477124182</v>
      </c>
      <c r="N60" s="305">
        <f>+(N61+N62+N63+N64+N65+N66+N67)*E60</f>
        <v>1.4392630718954247E-2</v>
      </c>
      <c r="O60" s="306"/>
      <c r="P60" s="285"/>
      <c r="Q60" s="267"/>
      <c r="R60" s="267"/>
      <c r="S60" s="267"/>
    </row>
    <row r="61" spans="1:19" ht="76.150000000000006" customHeight="1" thickBot="1" x14ac:dyDescent="0.3">
      <c r="A61" s="271"/>
      <c r="B61" s="307" t="s">
        <v>448</v>
      </c>
      <c r="C61" s="308" t="s">
        <v>449</v>
      </c>
      <c r="D61" s="309" t="s">
        <v>361</v>
      </c>
      <c r="E61" s="310">
        <v>0.4</v>
      </c>
      <c r="F61" s="311">
        <v>9000</v>
      </c>
      <c r="G61" s="314">
        <v>1200</v>
      </c>
      <c r="H61" s="319">
        <f t="shared" ref="H61:H66" si="21">+G61/F61</f>
        <v>0.13333333333333333</v>
      </c>
      <c r="I61" s="319">
        <f t="shared" ref="I61:I66" si="22">+(G61/F61)*E61</f>
        <v>5.3333333333333337E-2</v>
      </c>
      <c r="J61" s="314">
        <v>1123</v>
      </c>
      <c r="K61" s="315">
        <f t="shared" ref="K61:K66" si="23">+(J61/G61)</f>
        <v>0.93583333333333329</v>
      </c>
      <c r="L61" s="315">
        <f t="shared" ref="L61:L66" si="24">+K61*E61</f>
        <v>0.37433333333333335</v>
      </c>
      <c r="M61" s="316">
        <f>+J61/F61</f>
        <v>0.12477777777777778</v>
      </c>
      <c r="N61" s="317">
        <f t="shared" ref="N61:N66" si="25">+M61*E61</f>
        <v>4.9911111111111114E-2</v>
      </c>
      <c r="O61" s="318" t="s">
        <v>1862</v>
      </c>
      <c r="P61" s="285"/>
      <c r="Q61" s="267"/>
      <c r="R61" s="267"/>
      <c r="S61" s="267"/>
    </row>
    <row r="62" spans="1:19" ht="105" customHeight="1" thickBot="1" x14ac:dyDescent="0.3">
      <c r="A62" s="271"/>
      <c r="B62" s="307" t="s">
        <v>450</v>
      </c>
      <c r="C62" s="308" t="s">
        <v>451</v>
      </c>
      <c r="D62" s="309" t="s">
        <v>361</v>
      </c>
      <c r="E62" s="310">
        <v>0.15</v>
      </c>
      <c r="F62" s="311">
        <v>544</v>
      </c>
      <c r="G62" s="314">
        <v>100</v>
      </c>
      <c r="H62" s="319">
        <f t="shared" si="21"/>
        <v>0.18382352941176472</v>
      </c>
      <c r="I62" s="319">
        <f t="shared" si="22"/>
        <v>2.7573529411764709E-2</v>
      </c>
      <c r="J62" s="314">
        <v>100</v>
      </c>
      <c r="K62" s="315">
        <f t="shared" si="23"/>
        <v>1</v>
      </c>
      <c r="L62" s="315">
        <f t="shared" si="24"/>
        <v>0.15</v>
      </c>
      <c r="M62" s="316">
        <f t="shared" ref="M62:M66" si="26">+J62/F62</f>
        <v>0.18382352941176472</v>
      </c>
      <c r="N62" s="317">
        <f t="shared" si="25"/>
        <v>2.7573529411764709E-2</v>
      </c>
      <c r="O62" s="318" t="s">
        <v>1862</v>
      </c>
      <c r="P62" s="285"/>
      <c r="Q62" s="267"/>
      <c r="R62" s="267"/>
      <c r="S62" s="267"/>
    </row>
    <row r="63" spans="1:19" ht="105" customHeight="1" thickBot="1" x14ac:dyDescent="0.3">
      <c r="A63" s="271"/>
      <c r="B63" s="307" t="s">
        <v>452</v>
      </c>
      <c r="C63" s="308" t="s">
        <v>453</v>
      </c>
      <c r="D63" s="309" t="s">
        <v>361</v>
      </c>
      <c r="E63" s="310">
        <v>0.1</v>
      </c>
      <c r="F63" s="311">
        <v>12000</v>
      </c>
      <c r="G63" s="314">
        <v>2700</v>
      </c>
      <c r="H63" s="319">
        <f t="shared" si="21"/>
        <v>0.22500000000000001</v>
      </c>
      <c r="I63" s="319">
        <f t="shared" si="22"/>
        <v>2.2500000000000003E-2</v>
      </c>
      <c r="J63" s="314">
        <v>2705</v>
      </c>
      <c r="K63" s="315">
        <v>1</v>
      </c>
      <c r="L63" s="315">
        <f t="shared" si="24"/>
        <v>0.1</v>
      </c>
      <c r="M63" s="316">
        <f t="shared" si="26"/>
        <v>0.22541666666666665</v>
      </c>
      <c r="N63" s="317">
        <f t="shared" si="25"/>
        <v>2.2541666666666668E-2</v>
      </c>
      <c r="O63" s="318" t="s">
        <v>1862</v>
      </c>
      <c r="P63" s="285"/>
      <c r="Q63" s="267"/>
      <c r="R63" s="267"/>
      <c r="S63" s="267"/>
    </row>
    <row r="64" spans="1:19" ht="105" customHeight="1" thickBot="1" x14ac:dyDescent="0.3">
      <c r="A64" s="271"/>
      <c r="B64" s="307" t="s">
        <v>454</v>
      </c>
      <c r="C64" s="308" t="s">
        <v>455</v>
      </c>
      <c r="D64" s="309" t="s">
        <v>361</v>
      </c>
      <c r="E64" s="310">
        <v>0.05</v>
      </c>
      <c r="F64" s="311">
        <v>25</v>
      </c>
      <c r="G64" s="314">
        <v>7</v>
      </c>
      <c r="H64" s="319">
        <f t="shared" si="21"/>
        <v>0.28000000000000003</v>
      </c>
      <c r="I64" s="319">
        <f t="shared" si="22"/>
        <v>1.4000000000000002E-2</v>
      </c>
      <c r="J64" s="314">
        <v>5</v>
      </c>
      <c r="K64" s="315">
        <f>+(J64/G64)</f>
        <v>0.7142857142857143</v>
      </c>
      <c r="L64" s="315">
        <f>+K64*E64</f>
        <v>3.5714285714285719E-2</v>
      </c>
      <c r="M64" s="316">
        <f>+J64/F64</f>
        <v>0.2</v>
      </c>
      <c r="N64" s="317">
        <f>+M64*E64</f>
        <v>1.0000000000000002E-2</v>
      </c>
      <c r="O64" s="318" t="s">
        <v>1862</v>
      </c>
      <c r="P64" s="285"/>
      <c r="Q64" s="267"/>
      <c r="R64" s="267"/>
      <c r="S64" s="267"/>
    </row>
    <row r="65" spans="1:19" ht="105" customHeight="1" thickBot="1" x14ac:dyDescent="0.3">
      <c r="A65" s="271"/>
      <c r="B65" s="307" t="s">
        <v>456</v>
      </c>
      <c r="C65" s="308" t="s">
        <v>457</v>
      </c>
      <c r="D65" s="309" t="s">
        <v>361</v>
      </c>
      <c r="E65" s="310">
        <v>0.1</v>
      </c>
      <c r="F65" s="311">
        <v>5</v>
      </c>
      <c r="G65" s="314">
        <v>0</v>
      </c>
      <c r="H65" s="319"/>
      <c r="I65" s="319"/>
      <c r="J65" s="314"/>
      <c r="K65" s="315"/>
      <c r="L65" s="315"/>
      <c r="M65" s="316"/>
      <c r="N65" s="317"/>
      <c r="O65" s="318" t="s">
        <v>1862</v>
      </c>
      <c r="P65" s="285"/>
      <c r="Q65" s="267"/>
      <c r="R65" s="267"/>
      <c r="S65" s="267"/>
    </row>
    <row r="66" spans="1:19" ht="105" customHeight="1" thickBot="1" x14ac:dyDescent="0.3">
      <c r="A66" s="271"/>
      <c r="B66" s="307" t="s">
        <v>458</v>
      </c>
      <c r="C66" s="308" t="s">
        <v>459</v>
      </c>
      <c r="D66" s="309" t="s">
        <v>361</v>
      </c>
      <c r="E66" s="310">
        <v>0.15</v>
      </c>
      <c r="F66" s="311">
        <v>500</v>
      </c>
      <c r="G66" s="314">
        <v>125</v>
      </c>
      <c r="H66" s="319">
        <f t="shared" si="21"/>
        <v>0.25</v>
      </c>
      <c r="I66" s="319">
        <f t="shared" si="22"/>
        <v>3.7499999999999999E-2</v>
      </c>
      <c r="J66" s="314">
        <v>113</v>
      </c>
      <c r="K66" s="315">
        <f t="shared" si="23"/>
        <v>0.90400000000000003</v>
      </c>
      <c r="L66" s="315">
        <f t="shared" si="24"/>
        <v>0.1356</v>
      </c>
      <c r="M66" s="316">
        <f t="shared" si="26"/>
        <v>0.22600000000000001</v>
      </c>
      <c r="N66" s="317">
        <f t="shared" si="25"/>
        <v>3.39E-2</v>
      </c>
      <c r="O66" s="318" t="s">
        <v>1862</v>
      </c>
      <c r="P66" s="285"/>
      <c r="Q66" s="267"/>
      <c r="R66" s="267"/>
      <c r="S66" s="267"/>
    </row>
    <row r="67" spans="1:19" ht="105" customHeight="1" thickBot="1" x14ac:dyDescent="0.3">
      <c r="A67" s="271"/>
      <c r="B67" s="307" t="s">
        <v>460</v>
      </c>
      <c r="C67" s="308" t="s">
        <v>461</v>
      </c>
      <c r="D67" s="327" t="s">
        <v>361</v>
      </c>
      <c r="E67" s="310">
        <v>0.05</v>
      </c>
      <c r="F67" s="311">
        <v>200</v>
      </c>
      <c r="G67" s="314"/>
      <c r="H67" s="319"/>
      <c r="I67" s="319"/>
      <c r="J67" s="314"/>
      <c r="K67" s="315"/>
      <c r="L67" s="315"/>
      <c r="M67" s="316"/>
      <c r="N67" s="317"/>
      <c r="O67" s="318" t="s">
        <v>1862</v>
      </c>
      <c r="P67" s="285"/>
      <c r="Q67" s="267"/>
      <c r="R67" s="267"/>
      <c r="S67" s="267"/>
    </row>
    <row r="68" spans="1:19" ht="86.25" customHeight="1" thickBot="1" x14ac:dyDescent="0.3">
      <c r="A68" s="271"/>
      <c r="B68" s="703" t="s">
        <v>462</v>
      </c>
      <c r="C68" s="702"/>
      <c r="D68" s="354"/>
      <c r="E68" s="297">
        <v>0.02</v>
      </c>
      <c r="F68" s="322"/>
      <c r="G68" s="323"/>
      <c r="H68" s="324">
        <f>+AVERAGE(H69:H72)</f>
        <v>0.20065789473684209</v>
      </c>
      <c r="I68" s="324">
        <f>+I69+I70+I71+I72</f>
        <v>0.24013157894736842</v>
      </c>
      <c r="J68" s="325"/>
      <c r="K68" s="303">
        <f>+AVERAGE(K69:K72)</f>
        <v>0.72750000000000004</v>
      </c>
      <c r="L68" s="303">
        <f>+(L69+L70+L71+L72)*E68</f>
        <v>1.5910000000000001E-2</v>
      </c>
      <c r="M68" s="304">
        <f>+AVERAGE(M69:M72)</f>
        <v>0.1369736842105263</v>
      </c>
      <c r="N68" s="305">
        <f>+(N69+N70+N71+N72)*E68</f>
        <v>3.7978947368421051E-3</v>
      </c>
      <c r="O68" s="306"/>
      <c r="P68" s="285"/>
      <c r="Q68" s="267"/>
      <c r="R68" s="267"/>
      <c r="S68" s="267"/>
    </row>
    <row r="69" spans="1:19" ht="79.900000000000006" customHeight="1" thickBot="1" x14ac:dyDescent="0.3">
      <c r="A69" s="271"/>
      <c r="B69" s="307" t="s">
        <v>463</v>
      </c>
      <c r="C69" s="329" t="s">
        <v>464</v>
      </c>
      <c r="D69" s="330" t="s">
        <v>361</v>
      </c>
      <c r="E69" s="310">
        <v>0.05</v>
      </c>
      <c r="F69" s="311">
        <v>19</v>
      </c>
      <c r="G69" s="314">
        <v>1</v>
      </c>
      <c r="H69" s="319">
        <f>+G69/F69</f>
        <v>5.2631578947368418E-2</v>
      </c>
      <c r="I69" s="319">
        <f>+(G69/F69)*E69</f>
        <v>2.631578947368421E-3</v>
      </c>
      <c r="J69" s="314">
        <v>0.91</v>
      </c>
      <c r="K69" s="315">
        <f>+(J69/G69)</f>
        <v>0.91</v>
      </c>
      <c r="L69" s="315">
        <f>+K69*E69</f>
        <v>4.5500000000000006E-2</v>
      </c>
      <c r="M69" s="316">
        <f>+J69/F69</f>
        <v>4.7894736842105268E-2</v>
      </c>
      <c r="N69" s="317">
        <f>+M69*E69</f>
        <v>2.3947368421052637E-3</v>
      </c>
      <c r="O69" s="318" t="s">
        <v>1862</v>
      </c>
      <c r="P69" s="285"/>
      <c r="Q69" s="267"/>
      <c r="R69" s="267"/>
      <c r="S69" s="267"/>
    </row>
    <row r="70" spans="1:19" ht="114" customHeight="1" thickBot="1" x14ac:dyDescent="0.3">
      <c r="A70" s="271"/>
      <c r="B70" s="307" t="s">
        <v>465</v>
      </c>
      <c r="C70" s="329" t="s">
        <v>466</v>
      </c>
      <c r="D70" s="335" t="s">
        <v>361</v>
      </c>
      <c r="E70" s="310">
        <v>0.2</v>
      </c>
      <c r="F70" s="311">
        <v>1</v>
      </c>
      <c r="G70" s="314">
        <v>0.25</v>
      </c>
      <c r="H70" s="319">
        <f>+G70/F70</f>
        <v>0.25</v>
      </c>
      <c r="I70" s="319">
        <f>+(G70/F70)*E70</f>
        <v>0.05</v>
      </c>
      <c r="J70" s="314">
        <v>0</v>
      </c>
      <c r="K70" s="315">
        <f>+(J70/G70)</f>
        <v>0</v>
      </c>
      <c r="L70" s="315">
        <f>+K70*E70</f>
        <v>0</v>
      </c>
      <c r="M70" s="316">
        <f>+J70/F70</f>
        <v>0</v>
      </c>
      <c r="N70" s="317">
        <f>+M70*E70</f>
        <v>0</v>
      </c>
      <c r="O70" s="318" t="s">
        <v>1862</v>
      </c>
      <c r="P70" s="285"/>
      <c r="Q70" s="267"/>
      <c r="R70" s="267"/>
      <c r="S70" s="267"/>
    </row>
    <row r="71" spans="1:19" ht="76.150000000000006" customHeight="1" thickBot="1" x14ac:dyDescent="0.3">
      <c r="A71" s="271"/>
      <c r="B71" s="307" t="s">
        <v>467</v>
      </c>
      <c r="C71" s="329" t="s">
        <v>468</v>
      </c>
      <c r="D71" s="338" t="s">
        <v>361</v>
      </c>
      <c r="E71" s="310">
        <v>0.6</v>
      </c>
      <c r="F71" s="311">
        <v>1</v>
      </c>
      <c r="G71" s="314">
        <v>0.25</v>
      </c>
      <c r="H71" s="319">
        <f>+G71/F71</f>
        <v>0.25</v>
      </c>
      <c r="I71" s="319">
        <f>+(G71/F71)*E71</f>
        <v>0.15</v>
      </c>
      <c r="J71" s="320">
        <v>0.25</v>
      </c>
      <c r="K71" s="315">
        <v>1</v>
      </c>
      <c r="L71" s="315">
        <f>+K71*E71</f>
        <v>0.6</v>
      </c>
      <c r="M71" s="316">
        <f>+J71/F71</f>
        <v>0.25</v>
      </c>
      <c r="N71" s="317">
        <f>+M71*E71</f>
        <v>0.15</v>
      </c>
      <c r="O71" s="318" t="s">
        <v>1862</v>
      </c>
      <c r="P71" s="285"/>
      <c r="Q71" s="267"/>
      <c r="R71" s="267"/>
      <c r="S71" s="267"/>
    </row>
    <row r="72" spans="1:19" ht="75" customHeight="1" thickBot="1" x14ac:dyDescent="0.3">
      <c r="A72" s="271"/>
      <c r="B72" s="307" t="s">
        <v>469</v>
      </c>
      <c r="C72" s="329" t="s">
        <v>470</v>
      </c>
      <c r="D72" s="335" t="s">
        <v>361</v>
      </c>
      <c r="E72" s="310">
        <v>0.15</v>
      </c>
      <c r="F72" s="311">
        <v>1</v>
      </c>
      <c r="G72" s="314">
        <v>0.25</v>
      </c>
      <c r="H72" s="319">
        <f>+G72/F72</f>
        <v>0.25</v>
      </c>
      <c r="I72" s="319">
        <f>+(G72/F72)*E72</f>
        <v>3.7499999999999999E-2</v>
      </c>
      <c r="J72" s="314">
        <v>0.25</v>
      </c>
      <c r="K72" s="315">
        <f>+(J72/G72)</f>
        <v>1</v>
      </c>
      <c r="L72" s="315">
        <f>+K72*E72</f>
        <v>0.15</v>
      </c>
      <c r="M72" s="316">
        <f>+J72/F72</f>
        <v>0.25</v>
      </c>
      <c r="N72" s="317">
        <f>+M72*E72</f>
        <v>3.7499999999999999E-2</v>
      </c>
      <c r="O72" s="318" t="s">
        <v>1862</v>
      </c>
      <c r="P72" s="285"/>
      <c r="Q72" s="267"/>
      <c r="R72" s="267"/>
      <c r="S72" s="267"/>
    </row>
    <row r="73" spans="1:19" ht="42.75" customHeight="1" thickBot="1" x14ac:dyDescent="0.3">
      <c r="A73" s="271"/>
      <c r="B73" s="703" t="s">
        <v>1659</v>
      </c>
      <c r="C73" s="704"/>
      <c r="D73" s="355"/>
      <c r="E73" s="297">
        <v>0.02</v>
      </c>
      <c r="F73" s="311"/>
      <c r="G73" s="323"/>
      <c r="H73" s="324">
        <f>+AVERAGE(H74:H76)</f>
        <v>0.26633986928104575</v>
      </c>
      <c r="I73" s="324">
        <f>+I74+I75+I76</f>
        <v>0.26470588235294118</v>
      </c>
      <c r="J73" s="325"/>
      <c r="K73" s="303">
        <f>+AVERAGE(K74:K76)</f>
        <v>0.33333333333333331</v>
      </c>
      <c r="L73" s="303">
        <f>+(L74+L75+L76)*E73</f>
        <v>6.0000000000000001E-3</v>
      </c>
      <c r="M73" s="304">
        <f>+AVERAGE(M74:M76)</f>
        <v>0.10888888888888888</v>
      </c>
      <c r="N73" s="305">
        <f>+(N74+N75+N76)*E73</f>
        <v>1.9599999999999999E-3</v>
      </c>
      <c r="O73" s="306"/>
      <c r="P73" s="285"/>
      <c r="Q73" s="267"/>
      <c r="R73" s="267"/>
      <c r="S73" s="267"/>
    </row>
    <row r="74" spans="1:19" ht="57" customHeight="1" thickBot="1" x14ac:dyDescent="0.3">
      <c r="A74" s="271"/>
      <c r="B74" s="307" t="s">
        <v>471</v>
      </c>
      <c r="C74" s="329" t="s">
        <v>472</v>
      </c>
      <c r="D74" s="356" t="s">
        <v>361</v>
      </c>
      <c r="E74" s="310">
        <v>0.3</v>
      </c>
      <c r="F74" s="311">
        <v>150</v>
      </c>
      <c r="G74" s="314">
        <v>40</v>
      </c>
      <c r="H74" s="319">
        <f>+G74/F74</f>
        <v>0.26666666666666666</v>
      </c>
      <c r="I74" s="319">
        <f>+(G74/F74)*E74</f>
        <v>0.08</v>
      </c>
      <c r="J74" s="350">
        <v>49</v>
      </c>
      <c r="K74" s="315">
        <v>1</v>
      </c>
      <c r="L74" s="315">
        <f>+K74*E74</f>
        <v>0.3</v>
      </c>
      <c r="M74" s="316">
        <f>+J74/F74</f>
        <v>0.32666666666666666</v>
      </c>
      <c r="N74" s="317">
        <f>+M74*E74</f>
        <v>9.799999999999999E-2</v>
      </c>
      <c r="O74" s="318" t="s">
        <v>1862</v>
      </c>
      <c r="P74" s="285"/>
      <c r="Q74" s="267"/>
      <c r="R74" s="267"/>
      <c r="S74" s="267"/>
    </row>
    <row r="75" spans="1:19" ht="85.9" customHeight="1" thickBot="1" x14ac:dyDescent="0.3">
      <c r="A75" s="271"/>
      <c r="B75" s="307" t="s">
        <v>473</v>
      </c>
      <c r="C75" s="329" t="s">
        <v>474</v>
      </c>
      <c r="D75" s="356" t="s">
        <v>361</v>
      </c>
      <c r="E75" s="310">
        <v>0.4</v>
      </c>
      <c r="F75" s="311">
        <v>8</v>
      </c>
      <c r="G75" s="314">
        <v>2</v>
      </c>
      <c r="H75" s="319">
        <f>+G75/F75</f>
        <v>0.25</v>
      </c>
      <c r="I75" s="319">
        <f>+(G75/F75)*E75</f>
        <v>0.1</v>
      </c>
      <c r="J75" s="314">
        <v>0</v>
      </c>
      <c r="K75" s="315">
        <f>+(J75/G75)</f>
        <v>0</v>
      </c>
      <c r="L75" s="315">
        <f>+K75*E75</f>
        <v>0</v>
      </c>
      <c r="M75" s="316">
        <f>+J75/F75</f>
        <v>0</v>
      </c>
      <c r="N75" s="317">
        <f>+M75*E75</f>
        <v>0</v>
      </c>
      <c r="O75" s="318" t="s">
        <v>1862</v>
      </c>
      <c r="P75" s="285"/>
      <c r="Q75" s="267"/>
      <c r="R75" s="267"/>
      <c r="S75" s="267"/>
    </row>
    <row r="76" spans="1:19" ht="91.9" customHeight="1" thickBot="1" x14ac:dyDescent="0.3">
      <c r="A76" s="271"/>
      <c r="B76" s="307" t="s">
        <v>475</v>
      </c>
      <c r="C76" s="329" t="s">
        <v>476</v>
      </c>
      <c r="D76" s="356" t="s">
        <v>361</v>
      </c>
      <c r="E76" s="310">
        <v>0.3</v>
      </c>
      <c r="F76" s="311">
        <v>85</v>
      </c>
      <c r="G76" s="314">
        <v>24</v>
      </c>
      <c r="H76" s="319">
        <f>+G76/F76</f>
        <v>0.28235294117647058</v>
      </c>
      <c r="I76" s="319">
        <f>+(G76/F76)*E76</f>
        <v>8.4705882352941173E-2</v>
      </c>
      <c r="J76" s="314">
        <v>0</v>
      </c>
      <c r="K76" s="315">
        <f>+(J76/G76)</f>
        <v>0</v>
      </c>
      <c r="L76" s="315">
        <f>+K76*E76</f>
        <v>0</v>
      </c>
      <c r="M76" s="316">
        <f>+J76/F76</f>
        <v>0</v>
      </c>
      <c r="N76" s="317">
        <f>+M76*E76</f>
        <v>0</v>
      </c>
      <c r="O76" s="318" t="s">
        <v>1862</v>
      </c>
      <c r="P76" s="285"/>
      <c r="Q76" s="267"/>
      <c r="R76" s="267"/>
      <c r="S76" s="267"/>
    </row>
    <row r="77" spans="1:19" ht="42.75" customHeight="1" thickBot="1" x14ac:dyDescent="0.3">
      <c r="A77" s="271"/>
      <c r="B77" s="703" t="s">
        <v>1660</v>
      </c>
      <c r="C77" s="704"/>
      <c r="D77" s="356"/>
      <c r="E77" s="297">
        <v>0.1</v>
      </c>
      <c r="F77" s="322"/>
      <c r="G77" s="323"/>
      <c r="H77" s="324">
        <f>+AVERAGE(H78:H84)</f>
        <v>0.19</v>
      </c>
      <c r="I77" s="324">
        <f>+I78+I79+I80+I81+I82+I83+I84</f>
        <v>3.9E-2</v>
      </c>
      <c r="J77" s="325"/>
      <c r="K77" s="303">
        <f>+AVERAGE(K78:K84)</f>
        <v>0</v>
      </c>
      <c r="L77" s="303">
        <f>+(L78+L79+L80+L81+L82+L83+L84)*E77</f>
        <v>0</v>
      </c>
      <c r="M77" s="304">
        <f>+AVERAGE(M78:M84)</f>
        <v>0</v>
      </c>
      <c r="N77" s="305">
        <f>+(N78+N79+N80+N81+N82+N83+N84)*E77</f>
        <v>0</v>
      </c>
      <c r="O77" s="306"/>
      <c r="P77" s="285"/>
      <c r="Q77" s="267"/>
      <c r="R77" s="267"/>
      <c r="S77" s="267"/>
    </row>
    <row r="78" spans="1:19" ht="48" thickBot="1" x14ac:dyDescent="0.3">
      <c r="A78" s="271"/>
      <c r="B78" s="307" t="s">
        <v>477</v>
      </c>
      <c r="C78" s="329" t="s">
        <v>478</v>
      </c>
      <c r="D78" s="356" t="s">
        <v>479</v>
      </c>
      <c r="E78" s="310">
        <v>0.1</v>
      </c>
      <c r="F78" s="311">
        <v>20</v>
      </c>
      <c r="G78" s="314"/>
      <c r="H78" s="319"/>
      <c r="I78" s="319"/>
      <c r="J78" s="314"/>
      <c r="K78" s="315"/>
      <c r="L78" s="315"/>
      <c r="M78" s="316"/>
      <c r="N78" s="317"/>
      <c r="O78" s="357" t="s">
        <v>1559</v>
      </c>
      <c r="P78" s="285"/>
      <c r="Q78" s="267"/>
      <c r="R78" s="267"/>
      <c r="S78" s="267"/>
    </row>
    <row r="79" spans="1:19" ht="61.15" customHeight="1" thickBot="1" x14ac:dyDescent="0.3">
      <c r="A79" s="271"/>
      <c r="B79" s="307" t="s">
        <v>480</v>
      </c>
      <c r="C79" s="329" t="s">
        <v>481</v>
      </c>
      <c r="D79" s="356" t="s">
        <v>479</v>
      </c>
      <c r="E79" s="310">
        <v>0.05</v>
      </c>
      <c r="F79" s="311">
        <v>1</v>
      </c>
      <c r="G79" s="314">
        <v>0.18</v>
      </c>
      <c r="H79" s="319">
        <f>+G79/F79</f>
        <v>0.18</v>
      </c>
      <c r="I79" s="319">
        <f>+(G79/F79)*E79</f>
        <v>8.9999999999999993E-3</v>
      </c>
      <c r="J79" s="314">
        <v>0</v>
      </c>
      <c r="K79" s="315">
        <f>+(J79/G79)</f>
        <v>0</v>
      </c>
      <c r="L79" s="315">
        <f>+K79*E79</f>
        <v>0</v>
      </c>
      <c r="M79" s="316">
        <f>+J79/F79</f>
        <v>0</v>
      </c>
      <c r="N79" s="317">
        <f>+M79*E79</f>
        <v>0</v>
      </c>
      <c r="O79" s="318" t="s">
        <v>1862</v>
      </c>
      <c r="P79" s="285"/>
      <c r="Q79" s="267"/>
      <c r="R79" s="267"/>
      <c r="S79" s="267"/>
    </row>
    <row r="80" spans="1:19" ht="102.6" customHeight="1" thickBot="1" x14ac:dyDescent="0.3">
      <c r="A80" s="271"/>
      <c r="B80" s="307" t="s">
        <v>482</v>
      </c>
      <c r="C80" s="329" t="s">
        <v>483</v>
      </c>
      <c r="D80" s="356" t="s">
        <v>479</v>
      </c>
      <c r="E80" s="310">
        <v>0.2</v>
      </c>
      <c r="F80" s="311">
        <v>1526</v>
      </c>
      <c r="G80" s="314"/>
      <c r="H80" s="319"/>
      <c r="I80" s="319"/>
      <c r="J80" s="314"/>
      <c r="K80" s="315"/>
      <c r="L80" s="315"/>
      <c r="M80" s="316"/>
      <c r="N80" s="317"/>
      <c r="O80" s="357" t="s">
        <v>1559</v>
      </c>
      <c r="P80" s="285"/>
      <c r="Q80" s="267"/>
      <c r="R80" s="267"/>
      <c r="S80" s="267"/>
    </row>
    <row r="81" spans="1:19" ht="75.599999999999994" customHeight="1" thickBot="1" x14ac:dyDescent="0.3">
      <c r="A81" s="271"/>
      <c r="B81" s="307" t="s">
        <v>484</v>
      </c>
      <c r="C81" s="329" t="s">
        <v>485</v>
      </c>
      <c r="D81" s="356" t="s">
        <v>479</v>
      </c>
      <c r="E81" s="310">
        <v>0.15</v>
      </c>
      <c r="F81" s="311">
        <v>5</v>
      </c>
      <c r="G81" s="314">
        <v>1</v>
      </c>
      <c r="H81" s="319">
        <f>+G81/F81</f>
        <v>0.2</v>
      </c>
      <c r="I81" s="319">
        <f>+(G81/F81)*E81</f>
        <v>0.03</v>
      </c>
      <c r="J81" s="314">
        <v>0</v>
      </c>
      <c r="K81" s="315">
        <f>+(J81/G81)</f>
        <v>0</v>
      </c>
      <c r="L81" s="315">
        <f>+K81*E81</f>
        <v>0</v>
      </c>
      <c r="M81" s="316">
        <f>+J81/F81</f>
        <v>0</v>
      </c>
      <c r="N81" s="317">
        <f>+M81*E81</f>
        <v>0</v>
      </c>
      <c r="O81" s="318" t="s">
        <v>1862</v>
      </c>
      <c r="P81" s="285"/>
      <c r="Q81" s="267"/>
      <c r="R81" s="267"/>
      <c r="S81" s="267"/>
    </row>
    <row r="82" spans="1:19" ht="62.45" customHeight="1" thickBot="1" x14ac:dyDescent="0.3">
      <c r="A82" s="271"/>
      <c r="B82" s="307" t="s">
        <v>486</v>
      </c>
      <c r="C82" s="329" t="s">
        <v>487</v>
      </c>
      <c r="D82" s="358" t="s">
        <v>479</v>
      </c>
      <c r="E82" s="310">
        <v>0.15</v>
      </c>
      <c r="F82" s="311">
        <v>6</v>
      </c>
      <c r="G82" s="314"/>
      <c r="H82" s="319"/>
      <c r="I82" s="319"/>
      <c r="J82" s="314"/>
      <c r="K82" s="315"/>
      <c r="L82" s="315"/>
      <c r="M82" s="316"/>
      <c r="N82" s="317"/>
      <c r="O82" s="357" t="s">
        <v>1559</v>
      </c>
      <c r="P82" s="285"/>
      <c r="Q82" s="267"/>
      <c r="R82" s="267"/>
      <c r="S82" s="267"/>
    </row>
    <row r="83" spans="1:19" ht="45.6" customHeight="1" thickBot="1" x14ac:dyDescent="0.3">
      <c r="A83" s="271"/>
      <c r="B83" s="336" t="s">
        <v>488</v>
      </c>
      <c r="C83" s="337" t="s">
        <v>489</v>
      </c>
      <c r="D83" s="334" t="s">
        <v>479</v>
      </c>
      <c r="E83" s="310">
        <v>0.15</v>
      </c>
      <c r="F83" s="311">
        <v>2</v>
      </c>
      <c r="G83" s="314"/>
      <c r="H83" s="319"/>
      <c r="I83" s="319"/>
      <c r="J83" s="314"/>
      <c r="K83" s="315"/>
      <c r="L83" s="315"/>
      <c r="M83" s="316"/>
      <c r="N83" s="317"/>
      <c r="O83" s="357" t="s">
        <v>1559</v>
      </c>
      <c r="P83" s="285"/>
      <c r="Q83" s="267"/>
      <c r="R83" s="267"/>
      <c r="S83" s="267"/>
    </row>
    <row r="84" spans="1:19" ht="63" customHeight="1" thickBot="1" x14ac:dyDescent="0.3">
      <c r="A84" s="271"/>
      <c r="B84" s="341" t="s">
        <v>490</v>
      </c>
      <c r="C84" s="342" t="s">
        <v>491</v>
      </c>
      <c r="D84" s="335" t="s">
        <v>479</v>
      </c>
      <c r="E84" s="310">
        <v>0.2</v>
      </c>
      <c r="F84" s="311">
        <v>2234</v>
      </c>
      <c r="G84" s="314"/>
      <c r="H84" s="319"/>
      <c r="I84" s="319"/>
      <c r="J84" s="314"/>
      <c r="K84" s="315"/>
      <c r="L84" s="315"/>
      <c r="M84" s="316"/>
      <c r="N84" s="317"/>
      <c r="O84" s="357" t="s">
        <v>1559</v>
      </c>
      <c r="P84" s="285"/>
      <c r="Q84" s="267"/>
      <c r="R84" s="267"/>
      <c r="S84" s="267"/>
    </row>
    <row r="85" spans="1:19" ht="57" customHeight="1" thickBot="1" x14ac:dyDescent="0.3">
      <c r="A85" s="271"/>
      <c r="B85" s="705" t="s">
        <v>1661</v>
      </c>
      <c r="C85" s="707"/>
      <c r="D85" s="359"/>
      <c r="E85" s="297">
        <v>0.09</v>
      </c>
      <c r="F85" s="322"/>
      <c r="G85" s="323"/>
      <c r="H85" s="324">
        <f>+AVERAGE(H86:H90)</f>
        <v>0.36527777777777776</v>
      </c>
      <c r="I85" s="324">
        <f>+I86+I87+I88+I89+I90</f>
        <v>0.41006944444444449</v>
      </c>
      <c r="J85" s="325"/>
      <c r="K85" s="303">
        <f>+AVERAGE(K86:K90)</f>
        <v>1</v>
      </c>
      <c r="L85" s="303">
        <f>+(L86+L87+L88+L89+L90)*E85</f>
        <v>0.09</v>
      </c>
      <c r="M85" s="304">
        <f>+AVERAGE(M86:M90)</f>
        <v>0.44777777777777777</v>
      </c>
      <c r="N85" s="305">
        <f>+(N86+N87+N88+N89+N90)*E85</f>
        <v>4.2475000000000006E-2</v>
      </c>
      <c r="O85" s="306"/>
      <c r="P85" s="285"/>
      <c r="Q85" s="267"/>
      <c r="R85" s="267"/>
      <c r="S85" s="267"/>
    </row>
    <row r="86" spans="1:19" ht="72.599999999999994" customHeight="1" thickBot="1" x14ac:dyDescent="0.3">
      <c r="A86" s="271"/>
      <c r="B86" s="336" t="s">
        <v>492</v>
      </c>
      <c r="C86" s="337" t="s">
        <v>493</v>
      </c>
      <c r="D86" s="334" t="s">
        <v>494</v>
      </c>
      <c r="E86" s="310">
        <v>0.2</v>
      </c>
      <c r="F86" s="311">
        <v>1600</v>
      </c>
      <c r="G86" s="314">
        <v>400</v>
      </c>
      <c r="H86" s="319">
        <f>+G86/F86</f>
        <v>0.25</v>
      </c>
      <c r="I86" s="319">
        <f>+(G86/F86)*E86</f>
        <v>0.05</v>
      </c>
      <c r="J86" s="314">
        <v>400</v>
      </c>
      <c r="K86" s="326">
        <f>+(J86/G86)</f>
        <v>1</v>
      </c>
      <c r="L86" s="315">
        <f>+K86*E86</f>
        <v>0.2</v>
      </c>
      <c r="M86" s="316">
        <f>+J86/F86</f>
        <v>0.25</v>
      </c>
      <c r="N86" s="317">
        <f>+M86*E86</f>
        <v>0.05</v>
      </c>
      <c r="O86" s="318" t="s">
        <v>1862</v>
      </c>
      <c r="P86" s="285"/>
      <c r="Q86" s="267"/>
      <c r="R86" s="267"/>
      <c r="S86" s="267"/>
    </row>
    <row r="87" spans="1:19" ht="71.45" customHeight="1" thickBot="1" x14ac:dyDescent="0.3">
      <c r="A87" s="271"/>
      <c r="B87" s="360" t="s">
        <v>495</v>
      </c>
      <c r="C87" s="361" t="s">
        <v>496</v>
      </c>
      <c r="D87" s="330" t="s">
        <v>494</v>
      </c>
      <c r="E87" s="362">
        <v>0.2</v>
      </c>
      <c r="F87" s="311">
        <v>400</v>
      </c>
      <c r="G87" s="314">
        <v>200</v>
      </c>
      <c r="H87" s="319">
        <f>+G87/F87</f>
        <v>0.5</v>
      </c>
      <c r="I87" s="319">
        <f>+(G87/F87)*E87</f>
        <v>0.1</v>
      </c>
      <c r="J87" s="314">
        <v>200</v>
      </c>
      <c r="K87" s="326">
        <f>+(J87/G87)</f>
        <v>1</v>
      </c>
      <c r="L87" s="315">
        <f>+K87*E87</f>
        <v>0.2</v>
      </c>
      <c r="M87" s="316">
        <f>+J87/F87</f>
        <v>0.5</v>
      </c>
      <c r="N87" s="317">
        <f>+M87*E87</f>
        <v>0.1</v>
      </c>
      <c r="O87" s="318" t="s">
        <v>1862</v>
      </c>
      <c r="P87" s="285"/>
      <c r="Q87" s="267"/>
      <c r="R87" s="267"/>
      <c r="S87" s="267"/>
    </row>
    <row r="88" spans="1:19" ht="73.900000000000006" customHeight="1" thickBot="1" x14ac:dyDescent="0.3">
      <c r="A88" s="271"/>
      <c r="B88" s="360" t="s">
        <v>497</v>
      </c>
      <c r="C88" s="361" t="s">
        <v>498</v>
      </c>
      <c r="D88" s="330" t="s">
        <v>494</v>
      </c>
      <c r="E88" s="362">
        <v>0.15</v>
      </c>
      <c r="F88" s="363">
        <v>240</v>
      </c>
      <c r="G88" s="314">
        <v>65</v>
      </c>
      <c r="H88" s="319">
        <f>+G88/F88</f>
        <v>0.27083333333333331</v>
      </c>
      <c r="I88" s="319">
        <f>+(G88/F88)*E88</f>
        <v>4.0624999999999994E-2</v>
      </c>
      <c r="J88" s="314">
        <v>164</v>
      </c>
      <c r="K88" s="326">
        <v>1</v>
      </c>
      <c r="L88" s="315">
        <f>+K88*E88</f>
        <v>0.15</v>
      </c>
      <c r="M88" s="316">
        <f>+J88/F88</f>
        <v>0.68333333333333335</v>
      </c>
      <c r="N88" s="317">
        <f>+M88*E88</f>
        <v>0.10249999999999999</v>
      </c>
      <c r="O88" s="318" t="s">
        <v>1862</v>
      </c>
      <c r="P88" s="285"/>
      <c r="Q88" s="267"/>
      <c r="R88" s="267"/>
      <c r="S88" s="267"/>
    </row>
    <row r="89" spans="1:19" ht="54.6" customHeight="1" thickBot="1" x14ac:dyDescent="0.3">
      <c r="A89" s="271"/>
      <c r="B89" s="341" t="s">
        <v>499</v>
      </c>
      <c r="C89" s="342" t="s">
        <v>500</v>
      </c>
      <c r="D89" s="335" t="s">
        <v>494</v>
      </c>
      <c r="E89" s="364">
        <v>0.1</v>
      </c>
      <c r="F89" s="363">
        <v>200</v>
      </c>
      <c r="G89" s="314">
        <v>50</v>
      </c>
      <c r="H89" s="319">
        <f>+G89/F89</f>
        <v>0.25</v>
      </c>
      <c r="I89" s="319">
        <f>+(G89/F89)*E89</f>
        <v>2.5000000000000001E-2</v>
      </c>
      <c r="J89" s="314">
        <v>50</v>
      </c>
      <c r="K89" s="326">
        <v>1</v>
      </c>
      <c r="L89" s="315">
        <f>+K89*E89</f>
        <v>0.1</v>
      </c>
      <c r="M89" s="316">
        <f>+J89/F89</f>
        <v>0.25</v>
      </c>
      <c r="N89" s="317">
        <f>+M89*E89</f>
        <v>2.5000000000000001E-2</v>
      </c>
      <c r="O89" s="318" t="s">
        <v>1862</v>
      </c>
      <c r="P89" s="285"/>
      <c r="Q89" s="267"/>
      <c r="R89" s="267"/>
      <c r="S89" s="267"/>
    </row>
    <row r="90" spans="1:19" ht="76.900000000000006" customHeight="1" thickBot="1" x14ac:dyDescent="0.3">
      <c r="A90" s="271"/>
      <c r="B90" s="343" t="s">
        <v>501</v>
      </c>
      <c r="C90" s="344" t="s">
        <v>502</v>
      </c>
      <c r="D90" s="338" t="s">
        <v>494</v>
      </c>
      <c r="E90" s="365">
        <v>0.35</v>
      </c>
      <c r="F90" s="311">
        <v>9</v>
      </c>
      <c r="G90" s="314">
        <v>5</v>
      </c>
      <c r="H90" s="319">
        <f>+G90/F90</f>
        <v>0.55555555555555558</v>
      </c>
      <c r="I90" s="319">
        <f>+(G90/F90)*E90</f>
        <v>0.19444444444444445</v>
      </c>
      <c r="J90" s="314">
        <v>5</v>
      </c>
      <c r="K90" s="326">
        <f>+(J90/G90)</f>
        <v>1</v>
      </c>
      <c r="L90" s="315">
        <f>+K90*E90</f>
        <v>0.35</v>
      </c>
      <c r="M90" s="316">
        <f>+J90/F90</f>
        <v>0.55555555555555558</v>
      </c>
      <c r="N90" s="317">
        <f>+M90*E90</f>
        <v>0.19444444444444445</v>
      </c>
      <c r="O90" s="318" t="s">
        <v>1862</v>
      </c>
      <c r="P90" s="285"/>
      <c r="Q90" s="267"/>
      <c r="R90" s="267"/>
      <c r="S90" s="267"/>
    </row>
    <row r="91" spans="1:19" ht="64.150000000000006" customHeight="1" thickBot="1" x14ac:dyDescent="0.3">
      <c r="A91" s="271"/>
      <c r="B91" s="701" t="s">
        <v>1662</v>
      </c>
      <c r="C91" s="704"/>
      <c r="D91" s="366"/>
      <c r="E91" s="367">
        <v>0.1</v>
      </c>
      <c r="F91" s="368">
        <f>+E91*L91</f>
        <v>3.9149999999999997E-2</v>
      </c>
      <c r="G91" s="323"/>
      <c r="H91" s="369">
        <f>+(H92+H101+H106)/3</f>
        <v>0.36897145335135689</v>
      </c>
      <c r="I91" s="370">
        <f>+(I92+I101+I106)/3</f>
        <v>0.13546025296319508</v>
      </c>
      <c r="J91" s="323"/>
      <c r="K91" s="371">
        <f>+(K92+K101+K106)/3</f>
        <v>0.8396825396825397</v>
      </c>
      <c r="L91" s="370">
        <f>+L92+L101+L106</f>
        <v>0.39149999999999996</v>
      </c>
      <c r="M91" s="294">
        <f>(M92+M101+M106)/3</f>
        <v>0.1332971286782689</v>
      </c>
      <c r="N91" s="295">
        <f>(N92+N101+N106)</f>
        <v>0.12434438213461879</v>
      </c>
      <c r="O91" s="296"/>
      <c r="P91" s="285"/>
      <c r="Q91" s="267"/>
      <c r="R91" s="267"/>
      <c r="S91" s="267"/>
    </row>
    <row r="92" spans="1:19" ht="42.75" customHeight="1" thickBot="1" x14ac:dyDescent="0.3">
      <c r="A92" s="271"/>
      <c r="B92" s="703" t="s">
        <v>1663</v>
      </c>
      <c r="C92" s="702"/>
      <c r="D92" s="372"/>
      <c r="E92" s="297">
        <v>0.35</v>
      </c>
      <c r="F92" s="322"/>
      <c r="G92" s="323"/>
      <c r="H92" s="324">
        <f>+AVERAGE(H93:H100)</f>
        <v>0.36703340767311832</v>
      </c>
      <c r="I92" s="324">
        <f>+I93+I94+I95+I96+I97+I98+I99+I100</f>
        <v>0.19522004460387099</v>
      </c>
      <c r="J92" s="325"/>
      <c r="K92" s="303">
        <f>+AVERAGE(K93:K100)</f>
        <v>1</v>
      </c>
      <c r="L92" s="303">
        <f>+(L93+L94+L95+L96+L97+L98+L99+L100)*E92</f>
        <v>0.17499999999999996</v>
      </c>
      <c r="M92" s="674">
        <f>+AVERAGE(M93:M100)</f>
        <v>0.1583199574633781</v>
      </c>
      <c r="N92" s="674">
        <f>+(N93+N94+N95+N96+N97+N98+N99+N100)*E92</f>
        <v>5.7744382134618799E-2</v>
      </c>
      <c r="O92" s="306"/>
      <c r="P92" s="285"/>
      <c r="Q92" s="267"/>
      <c r="R92" s="267"/>
      <c r="S92" s="267"/>
    </row>
    <row r="93" spans="1:19" ht="91.15" customHeight="1" thickBot="1" x14ac:dyDescent="0.3">
      <c r="A93" s="271"/>
      <c r="B93" s="346" t="s">
        <v>503</v>
      </c>
      <c r="C93" s="373" t="s">
        <v>504</v>
      </c>
      <c r="D93" s="675" t="s">
        <v>505</v>
      </c>
      <c r="E93" s="349">
        <v>0.15</v>
      </c>
      <c r="F93" s="311">
        <v>7190</v>
      </c>
      <c r="G93" s="314">
        <v>0</v>
      </c>
      <c r="H93" s="319"/>
      <c r="I93" s="319"/>
      <c r="J93" s="314"/>
      <c r="K93" s="315"/>
      <c r="L93" s="315"/>
      <c r="M93" s="316">
        <f>+J93/F93</f>
        <v>0</v>
      </c>
      <c r="N93" s="317">
        <f t="shared" ref="N93:N96" si="27">+M93*E93</f>
        <v>0</v>
      </c>
      <c r="O93" s="318" t="s">
        <v>1862</v>
      </c>
      <c r="P93" s="285"/>
      <c r="Q93" s="267"/>
      <c r="R93" s="267"/>
      <c r="S93" s="267"/>
    </row>
    <row r="94" spans="1:19" ht="67.150000000000006" customHeight="1" thickBot="1" x14ac:dyDescent="0.3">
      <c r="A94" s="271"/>
      <c r="B94" s="307" t="s">
        <v>506</v>
      </c>
      <c r="C94" s="308" t="s">
        <v>507</v>
      </c>
      <c r="D94" s="309" t="s">
        <v>505</v>
      </c>
      <c r="E94" s="310">
        <v>0.1</v>
      </c>
      <c r="F94" s="311">
        <v>9</v>
      </c>
      <c r="G94" s="314">
        <v>0</v>
      </c>
      <c r="H94" s="319"/>
      <c r="I94" s="319"/>
      <c r="J94" s="314"/>
      <c r="K94" s="315"/>
      <c r="L94" s="315"/>
      <c r="M94" s="316">
        <v>0</v>
      </c>
      <c r="N94" s="317"/>
      <c r="O94" s="318" t="s">
        <v>1862</v>
      </c>
      <c r="P94" s="285"/>
      <c r="Q94" s="267"/>
      <c r="R94" s="267"/>
      <c r="S94" s="267"/>
    </row>
    <row r="95" spans="1:19" ht="76.150000000000006" customHeight="1" thickBot="1" x14ac:dyDescent="0.3">
      <c r="A95" s="271"/>
      <c r="B95" s="346" t="s">
        <v>508</v>
      </c>
      <c r="C95" s="373" t="s">
        <v>509</v>
      </c>
      <c r="D95" s="374" t="s">
        <v>505</v>
      </c>
      <c r="E95" s="310">
        <v>0.15</v>
      </c>
      <c r="F95" s="311">
        <v>6</v>
      </c>
      <c r="G95" s="314">
        <v>4</v>
      </c>
      <c r="H95" s="319">
        <f t="shared" ref="H95:H100" si="28">+G95/F95</f>
        <v>0.66666666666666663</v>
      </c>
      <c r="I95" s="319">
        <f t="shared" ref="I95:I100" si="29">+(G95/F95)*E95</f>
        <v>9.9999999999999992E-2</v>
      </c>
      <c r="J95" s="314">
        <v>5</v>
      </c>
      <c r="K95" s="315">
        <v>1</v>
      </c>
      <c r="L95" s="315">
        <f>+K95*E95</f>
        <v>0.15</v>
      </c>
      <c r="M95" s="316">
        <f>+J95/F95</f>
        <v>0.83333333333333337</v>
      </c>
      <c r="N95" s="317">
        <f>+M95*E95</f>
        <v>0.125</v>
      </c>
      <c r="O95" s="318" t="s">
        <v>1862</v>
      </c>
      <c r="P95" s="285"/>
      <c r="Q95" s="267"/>
      <c r="R95" s="267"/>
      <c r="S95" s="267"/>
    </row>
    <row r="96" spans="1:19" ht="63.75" thickBot="1" x14ac:dyDescent="0.3">
      <c r="A96" s="271"/>
      <c r="B96" s="307" t="s">
        <v>510</v>
      </c>
      <c r="C96" s="308" t="s">
        <v>511</v>
      </c>
      <c r="D96" s="309" t="s">
        <v>505</v>
      </c>
      <c r="E96" s="310">
        <v>0.15</v>
      </c>
      <c r="F96" s="311">
        <v>448800</v>
      </c>
      <c r="G96" s="314">
        <v>65000</v>
      </c>
      <c r="H96" s="319">
        <f t="shared" si="28"/>
        <v>0.14483065953654189</v>
      </c>
      <c r="I96" s="319">
        <f t="shared" si="29"/>
        <v>2.1724598930481284E-2</v>
      </c>
      <c r="J96" s="314">
        <v>79458</v>
      </c>
      <c r="K96" s="315">
        <v>1</v>
      </c>
      <c r="L96" s="315">
        <f>+K96*E96</f>
        <v>0.15</v>
      </c>
      <c r="M96" s="316">
        <f>+J96/F96</f>
        <v>0.17704545454545453</v>
      </c>
      <c r="N96" s="317">
        <f t="shared" si="27"/>
        <v>2.6556818181818178E-2</v>
      </c>
      <c r="O96" s="318" t="s">
        <v>1862</v>
      </c>
      <c r="P96" s="285"/>
      <c r="Q96" s="267"/>
      <c r="R96" s="267"/>
      <c r="S96" s="267"/>
    </row>
    <row r="97" spans="1:19" ht="76.900000000000006" customHeight="1" thickBot="1" x14ac:dyDescent="0.3">
      <c r="A97" s="271"/>
      <c r="B97" s="346" t="s">
        <v>512</v>
      </c>
      <c r="C97" s="373" t="s">
        <v>513</v>
      </c>
      <c r="D97" s="374" t="s">
        <v>505</v>
      </c>
      <c r="E97" s="310">
        <v>0.15</v>
      </c>
      <c r="F97" s="311">
        <v>12296</v>
      </c>
      <c r="G97" s="314">
        <v>5000</v>
      </c>
      <c r="H97" s="319">
        <f t="shared" ref="H97" si="30">+G97/F97</f>
        <v>0.4066363044892648</v>
      </c>
      <c r="I97" s="319">
        <f t="shared" ref="I97" si="31">+(G97/F97)*E97</f>
        <v>6.0995445673389714E-2</v>
      </c>
      <c r="J97" s="314">
        <v>76</v>
      </c>
      <c r="K97" s="315">
        <v>1</v>
      </c>
      <c r="L97" s="315">
        <f>+K97*E97</f>
        <v>0.15</v>
      </c>
      <c r="M97" s="316">
        <f>+J97/F97</f>
        <v>6.1808718282368247E-3</v>
      </c>
      <c r="N97" s="317">
        <f t="shared" ref="N97" si="32">+M97*E97</f>
        <v>9.2713077423552364E-4</v>
      </c>
      <c r="O97" s="318" t="s">
        <v>1862</v>
      </c>
      <c r="P97" s="285"/>
      <c r="Q97" s="267"/>
      <c r="R97" s="267"/>
      <c r="S97" s="267"/>
    </row>
    <row r="98" spans="1:19" ht="80.45" customHeight="1" thickBot="1" x14ac:dyDescent="0.3">
      <c r="A98" s="271"/>
      <c r="B98" s="307" t="s">
        <v>514</v>
      </c>
      <c r="C98" s="308" t="s">
        <v>515</v>
      </c>
      <c r="D98" s="309" t="s">
        <v>505</v>
      </c>
      <c r="E98" s="310">
        <v>0.1</v>
      </c>
      <c r="F98" s="311">
        <v>592</v>
      </c>
      <c r="G98" s="314">
        <v>0</v>
      </c>
      <c r="H98" s="319"/>
      <c r="I98" s="319"/>
      <c r="J98" s="314"/>
      <c r="K98" s="315"/>
      <c r="L98" s="315"/>
      <c r="M98" s="316">
        <v>0</v>
      </c>
      <c r="N98" s="317"/>
      <c r="O98" s="318" t="s">
        <v>1862</v>
      </c>
      <c r="P98" s="285"/>
      <c r="Q98" s="267"/>
      <c r="R98" s="267"/>
      <c r="S98" s="267"/>
    </row>
    <row r="99" spans="1:19" ht="61.15" customHeight="1" thickBot="1" x14ac:dyDescent="0.3">
      <c r="A99" s="271"/>
      <c r="B99" s="307" t="s">
        <v>516</v>
      </c>
      <c r="C99" s="308" t="s">
        <v>517</v>
      </c>
      <c r="D99" s="309" t="s">
        <v>505</v>
      </c>
      <c r="E99" s="310">
        <v>0.05</v>
      </c>
      <c r="F99" s="311">
        <v>45</v>
      </c>
      <c r="G99" s="314">
        <v>0</v>
      </c>
      <c r="H99" s="319"/>
      <c r="I99" s="319"/>
      <c r="J99" s="314"/>
      <c r="K99" s="315"/>
      <c r="L99" s="315"/>
      <c r="M99" s="316">
        <v>0</v>
      </c>
      <c r="N99" s="317"/>
      <c r="O99" s="318" t="s">
        <v>1862</v>
      </c>
      <c r="P99" s="285"/>
      <c r="Q99" s="267"/>
      <c r="R99" s="267"/>
      <c r="S99" s="267"/>
    </row>
    <row r="100" spans="1:19" ht="146.44999999999999" customHeight="1" thickBot="1" x14ac:dyDescent="0.3">
      <c r="A100" s="271"/>
      <c r="B100" s="307" t="s">
        <v>518</v>
      </c>
      <c r="C100" s="308" t="s">
        <v>519</v>
      </c>
      <c r="D100" s="375" t="s">
        <v>520</v>
      </c>
      <c r="E100" s="310">
        <v>0.05</v>
      </c>
      <c r="F100" s="676">
        <f>699282*4</f>
        <v>2797128</v>
      </c>
      <c r="G100" s="314">
        <f>246152+171307+281823</f>
        <v>699282</v>
      </c>
      <c r="H100" s="319">
        <f t="shared" si="28"/>
        <v>0.25</v>
      </c>
      <c r="I100" s="319">
        <f t="shared" si="29"/>
        <v>1.2500000000000001E-2</v>
      </c>
      <c r="J100" s="314">
        <f>246152+171307+281823</f>
        <v>699282</v>
      </c>
      <c r="K100" s="315">
        <f t="shared" ref="K100" si="33">+(J100/G100)</f>
        <v>1</v>
      </c>
      <c r="L100" s="315">
        <f>+K100*E100</f>
        <v>0.05</v>
      </c>
      <c r="M100" s="316">
        <f t="shared" ref="M100" si="34">+J100/F100</f>
        <v>0.25</v>
      </c>
      <c r="N100" s="317">
        <f>+M100*E100</f>
        <v>1.2500000000000001E-2</v>
      </c>
      <c r="O100" s="318" t="s">
        <v>1862</v>
      </c>
      <c r="P100" s="285"/>
      <c r="Q100" s="267"/>
      <c r="R100" s="267"/>
      <c r="S100" s="267"/>
    </row>
    <row r="101" spans="1:19" ht="72" customHeight="1" thickBot="1" x14ac:dyDescent="0.3">
      <c r="A101" s="271"/>
      <c r="B101" s="703" t="s">
        <v>1664</v>
      </c>
      <c r="C101" s="702"/>
      <c r="D101" s="309"/>
      <c r="E101" s="297">
        <v>0.35</v>
      </c>
      <c r="F101" s="311"/>
      <c r="G101" s="314"/>
      <c r="H101" s="324">
        <f>+AVERAGE(H102:H105)</f>
        <v>0.11488095238095238</v>
      </c>
      <c r="I101" s="324">
        <f>+I102+I103+I104+I105</f>
        <v>8.6160714285714285E-2</v>
      </c>
      <c r="J101" s="325"/>
      <c r="K101" s="303">
        <f>+AVERAGE(K102:K105)</f>
        <v>0.61904761904761907</v>
      </c>
      <c r="L101" s="303">
        <f>+(L102+L103+L104+L105)*E101</f>
        <v>0.16250000000000001</v>
      </c>
      <c r="M101" s="304">
        <f>+AVERAGE(M102:M105)</f>
        <v>0.11657142857142856</v>
      </c>
      <c r="N101" s="305">
        <f>+(N102+N103+N104+N105)*E101</f>
        <v>3.0599999999999995E-2</v>
      </c>
      <c r="O101" s="306"/>
      <c r="P101" s="285"/>
      <c r="Q101" s="267"/>
      <c r="R101" s="267"/>
      <c r="S101" s="267"/>
    </row>
    <row r="102" spans="1:19" ht="64.150000000000006" customHeight="1" thickBot="1" x14ac:dyDescent="0.3">
      <c r="A102" s="271"/>
      <c r="B102" s="346" t="s">
        <v>521</v>
      </c>
      <c r="C102" s="373" t="s">
        <v>522</v>
      </c>
      <c r="D102" s="374" t="s">
        <v>505</v>
      </c>
      <c r="E102" s="310">
        <v>0.25</v>
      </c>
      <c r="F102" s="311">
        <v>7000</v>
      </c>
      <c r="G102" s="314">
        <v>400</v>
      </c>
      <c r="H102" s="319">
        <f>+G102/F102</f>
        <v>5.7142857142857141E-2</v>
      </c>
      <c r="I102" s="319">
        <f>+(G102/F102)*E102</f>
        <v>1.4285714285714285E-2</v>
      </c>
      <c r="J102" s="314">
        <v>1923</v>
      </c>
      <c r="K102" s="315">
        <v>1</v>
      </c>
      <c r="L102" s="315">
        <f>+K102*E102</f>
        <v>0.25</v>
      </c>
      <c r="M102" s="316">
        <f>+J102/F102</f>
        <v>0.27471428571428569</v>
      </c>
      <c r="N102" s="317">
        <f>+M102*E102</f>
        <v>6.8678571428571422E-2</v>
      </c>
      <c r="O102" s="318" t="s">
        <v>1862</v>
      </c>
      <c r="P102" s="285"/>
      <c r="Q102" s="267"/>
      <c r="R102" s="267"/>
      <c r="S102" s="267"/>
    </row>
    <row r="103" spans="1:19" ht="64.150000000000006" customHeight="1" thickBot="1" x14ac:dyDescent="0.3">
      <c r="A103" s="271"/>
      <c r="B103" s="307" t="s">
        <v>523</v>
      </c>
      <c r="C103" s="308" t="s">
        <v>524</v>
      </c>
      <c r="D103" s="309" t="s">
        <v>505</v>
      </c>
      <c r="E103" s="310">
        <v>0.25</v>
      </c>
      <c r="F103" s="311">
        <v>800</v>
      </c>
      <c r="G103" s="314">
        <v>70</v>
      </c>
      <c r="H103" s="319">
        <f>+G103/F103</f>
        <v>8.7499999999999994E-2</v>
      </c>
      <c r="I103" s="319">
        <f>+(G103/F103)*E103</f>
        <v>2.1874999999999999E-2</v>
      </c>
      <c r="J103" s="314">
        <v>60</v>
      </c>
      <c r="K103" s="315">
        <f>+(J103/G103)</f>
        <v>0.8571428571428571</v>
      </c>
      <c r="L103" s="315">
        <f>+K103*E103</f>
        <v>0.21428571428571427</v>
      </c>
      <c r="M103" s="316">
        <f>+J103/F103</f>
        <v>7.4999999999999997E-2</v>
      </c>
      <c r="N103" s="317">
        <f>+M103*E103</f>
        <v>1.8749999999999999E-2</v>
      </c>
      <c r="O103" s="318" t="s">
        <v>1862</v>
      </c>
      <c r="P103" s="285"/>
      <c r="Q103" s="267"/>
      <c r="R103" s="267"/>
      <c r="S103" s="267"/>
    </row>
    <row r="104" spans="1:19" ht="64.150000000000006" customHeight="1" thickBot="1" x14ac:dyDescent="0.3">
      <c r="A104" s="271"/>
      <c r="B104" s="307" t="s">
        <v>525</v>
      </c>
      <c r="C104" s="308" t="s">
        <v>526</v>
      </c>
      <c r="D104" s="309" t="s">
        <v>520</v>
      </c>
      <c r="E104" s="310">
        <v>0.25</v>
      </c>
      <c r="F104" s="311">
        <v>5</v>
      </c>
      <c r="G104" s="314">
        <v>1</v>
      </c>
      <c r="H104" s="319">
        <f>+G104/F104</f>
        <v>0.2</v>
      </c>
      <c r="I104" s="319">
        <f>+(G104/F104)*E104</f>
        <v>0.05</v>
      </c>
      <c r="J104" s="314">
        <v>0</v>
      </c>
      <c r="K104" s="315">
        <f>+(J104/G104)</f>
        <v>0</v>
      </c>
      <c r="L104" s="315">
        <f>+K104*E104</f>
        <v>0</v>
      </c>
      <c r="M104" s="316">
        <f>+J104/F104</f>
        <v>0</v>
      </c>
      <c r="N104" s="317">
        <f>+M104*E104</f>
        <v>0</v>
      </c>
      <c r="O104" s="318" t="s">
        <v>1862</v>
      </c>
      <c r="P104" s="285"/>
      <c r="Q104" s="267"/>
      <c r="R104" s="267"/>
      <c r="S104" s="267"/>
    </row>
    <row r="105" spans="1:19" ht="64.150000000000006" customHeight="1" thickBot="1" x14ac:dyDescent="0.3">
      <c r="A105" s="271"/>
      <c r="B105" s="307" t="s">
        <v>527</v>
      </c>
      <c r="C105" s="308" t="s">
        <v>528</v>
      </c>
      <c r="D105" s="309" t="s">
        <v>520</v>
      </c>
      <c r="E105" s="310">
        <v>0.25</v>
      </c>
      <c r="F105" s="311">
        <v>6</v>
      </c>
      <c r="G105" s="314">
        <v>0</v>
      </c>
      <c r="H105" s="319"/>
      <c r="I105" s="319"/>
      <c r="J105" s="314"/>
      <c r="K105" s="315"/>
      <c r="L105" s="315"/>
      <c r="M105" s="316"/>
      <c r="N105" s="317"/>
      <c r="O105" s="318" t="s">
        <v>1862</v>
      </c>
      <c r="P105" s="285"/>
      <c r="Q105" s="267"/>
      <c r="R105" s="267"/>
      <c r="S105" s="267"/>
    </row>
    <row r="106" spans="1:19" ht="75.599999999999994" customHeight="1" thickBot="1" x14ac:dyDescent="0.3">
      <c r="A106" s="271"/>
      <c r="B106" s="703" t="s">
        <v>1665</v>
      </c>
      <c r="C106" s="702"/>
      <c r="D106" s="309"/>
      <c r="E106" s="297">
        <v>0.3</v>
      </c>
      <c r="F106" s="311"/>
      <c r="G106" s="314"/>
      <c r="H106" s="324">
        <f>+AVERAGE(H107:H118)</f>
        <v>0.625</v>
      </c>
      <c r="I106" s="324">
        <f>+I107+I108+I109+I110+I111+I112+I113+I114+I115+I116+I117+I118</f>
        <v>0.125</v>
      </c>
      <c r="J106" s="325"/>
      <c r="K106" s="303">
        <f>+AVERAGE(K107:K118)</f>
        <v>0.9</v>
      </c>
      <c r="L106" s="303">
        <f>+(L107+L108+L109+L110+L111+L112+L113+L114+L115+L116+L117+L118)*E106</f>
        <v>5.4000000000000006E-2</v>
      </c>
      <c r="M106" s="304">
        <v>0.125</v>
      </c>
      <c r="N106" s="305">
        <f>+(N107+N108+N109+N110+N111+N112+N113+N114+N115+N116+N117+N118)*E106</f>
        <v>3.6000000000000004E-2</v>
      </c>
      <c r="O106" s="376" t="s">
        <v>1597</v>
      </c>
      <c r="P106" s="285"/>
      <c r="Q106" s="267"/>
      <c r="R106" s="267"/>
      <c r="S106" s="267"/>
    </row>
    <row r="107" spans="1:19" ht="60" customHeight="1" thickBot="1" x14ac:dyDescent="0.3">
      <c r="A107" s="271"/>
      <c r="B107" s="307" t="s">
        <v>529</v>
      </c>
      <c r="C107" s="308" t="s">
        <v>530</v>
      </c>
      <c r="D107" s="309" t="s">
        <v>520</v>
      </c>
      <c r="E107" s="310">
        <v>0.1</v>
      </c>
      <c r="F107" s="311">
        <v>1</v>
      </c>
      <c r="G107" s="314">
        <v>1</v>
      </c>
      <c r="H107" s="319">
        <f>+G107/F107</f>
        <v>1</v>
      </c>
      <c r="I107" s="319">
        <f>+(G107/F107)*E107</f>
        <v>0.1</v>
      </c>
      <c r="J107" s="314">
        <v>1</v>
      </c>
      <c r="K107" s="315">
        <f>+(J107/G107)</f>
        <v>1</v>
      </c>
      <c r="L107" s="315">
        <f>+K107*E107</f>
        <v>0.1</v>
      </c>
      <c r="M107" s="316">
        <f>+J107/F107</f>
        <v>1</v>
      </c>
      <c r="N107" s="317">
        <f>+M107*E107</f>
        <v>0.1</v>
      </c>
      <c r="O107" s="357"/>
      <c r="P107" s="285"/>
      <c r="Q107" s="267"/>
      <c r="R107" s="267"/>
      <c r="S107" s="267"/>
    </row>
    <row r="108" spans="1:19" ht="86.45" customHeight="1" thickBot="1" x14ac:dyDescent="0.3">
      <c r="A108" s="271"/>
      <c r="B108" s="307" t="s">
        <v>531</v>
      </c>
      <c r="C108" s="308" t="s">
        <v>532</v>
      </c>
      <c r="D108" s="309" t="s">
        <v>520</v>
      </c>
      <c r="E108" s="310">
        <v>0.1</v>
      </c>
      <c r="F108" s="311">
        <v>4</v>
      </c>
      <c r="G108" s="314">
        <v>1</v>
      </c>
      <c r="H108" s="319">
        <f>+G108/F108</f>
        <v>0.25</v>
      </c>
      <c r="I108" s="319">
        <f>+(G108/F108)*E108</f>
        <v>2.5000000000000001E-2</v>
      </c>
      <c r="J108" s="314">
        <v>0.8</v>
      </c>
      <c r="K108" s="315">
        <f>+(J108/G108)</f>
        <v>0.8</v>
      </c>
      <c r="L108" s="315">
        <f>+K108*E108</f>
        <v>8.0000000000000016E-2</v>
      </c>
      <c r="M108" s="316">
        <f>+J108/F108</f>
        <v>0.2</v>
      </c>
      <c r="N108" s="317">
        <f>+M108*E108</f>
        <v>2.0000000000000004E-2</v>
      </c>
      <c r="O108" s="357"/>
      <c r="P108" s="285"/>
      <c r="Q108" s="267"/>
      <c r="R108" s="267"/>
      <c r="S108" s="267"/>
    </row>
    <row r="109" spans="1:19" ht="86.45" customHeight="1" thickBot="1" x14ac:dyDescent="0.3">
      <c r="A109" s="271"/>
      <c r="B109" s="307" t="s">
        <v>533</v>
      </c>
      <c r="C109" s="308" t="s">
        <v>534</v>
      </c>
      <c r="D109" s="309" t="s">
        <v>520</v>
      </c>
      <c r="E109" s="310">
        <v>0.1</v>
      </c>
      <c r="F109" s="311">
        <v>1</v>
      </c>
      <c r="G109" s="314">
        <v>0</v>
      </c>
      <c r="H109" s="319"/>
      <c r="I109" s="319"/>
      <c r="J109" s="314"/>
      <c r="K109" s="315"/>
      <c r="L109" s="315"/>
      <c r="M109" s="316"/>
      <c r="N109" s="317"/>
      <c r="O109" s="318" t="s">
        <v>1862</v>
      </c>
      <c r="P109" s="285"/>
      <c r="Q109" s="267"/>
      <c r="R109" s="267"/>
      <c r="S109" s="267"/>
    </row>
    <row r="110" spans="1:19" ht="86.45" customHeight="1" thickBot="1" x14ac:dyDescent="0.3">
      <c r="A110" s="271"/>
      <c r="B110" s="307" t="s">
        <v>535</v>
      </c>
      <c r="C110" s="308" t="s">
        <v>536</v>
      </c>
      <c r="D110" s="309" t="s">
        <v>520</v>
      </c>
      <c r="E110" s="310">
        <v>0.1</v>
      </c>
      <c r="F110" s="311">
        <v>1</v>
      </c>
      <c r="G110" s="314">
        <v>0</v>
      </c>
      <c r="H110" s="319"/>
      <c r="I110" s="319"/>
      <c r="J110" s="314"/>
      <c r="K110" s="315"/>
      <c r="L110" s="315"/>
      <c r="M110" s="316"/>
      <c r="N110" s="317"/>
      <c r="O110" s="318" t="s">
        <v>1862</v>
      </c>
      <c r="P110" s="285"/>
      <c r="Q110" s="267"/>
      <c r="R110" s="267"/>
      <c r="S110" s="267"/>
    </row>
    <row r="111" spans="1:19" ht="86.45" customHeight="1" thickBot="1" x14ac:dyDescent="0.3">
      <c r="A111" s="271"/>
      <c r="B111" s="307" t="s">
        <v>537</v>
      </c>
      <c r="C111" s="308" t="s">
        <v>538</v>
      </c>
      <c r="D111" s="309" t="s">
        <v>520</v>
      </c>
      <c r="E111" s="310">
        <v>0.1</v>
      </c>
      <c r="F111" s="311">
        <v>1</v>
      </c>
      <c r="G111" s="314">
        <v>0</v>
      </c>
      <c r="H111" s="319"/>
      <c r="I111" s="319"/>
      <c r="J111" s="377"/>
      <c r="K111" s="315"/>
      <c r="L111" s="315"/>
      <c r="M111" s="316"/>
      <c r="N111" s="317"/>
      <c r="O111" s="318" t="s">
        <v>1862</v>
      </c>
      <c r="P111" s="285"/>
      <c r="Q111" s="267"/>
      <c r="R111" s="267"/>
      <c r="S111" s="267"/>
    </row>
    <row r="112" spans="1:19" ht="86.45" customHeight="1" thickBot="1" x14ac:dyDescent="0.3">
      <c r="A112" s="271"/>
      <c r="B112" s="307" t="s">
        <v>539</v>
      </c>
      <c r="C112" s="308" t="s">
        <v>540</v>
      </c>
      <c r="D112" s="309" t="s">
        <v>520</v>
      </c>
      <c r="E112" s="310">
        <v>0.1</v>
      </c>
      <c r="F112" s="311">
        <v>4</v>
      </c>
      <c r="G112" s="314">
        <v>0</v>
      </c>
      <c r="H112" s="319"/>
      <c r="I112" s="319"/>
      <c r="J112" s="377"/>
      <c r="K112" s="315"/>
      <c r="L112" s="315"/>
      <c r="M112" s="316"/>
      <c r="N112" s="317"/>
      <c r="O112" s="318" t="s">
        <v>1862</v>
      </c>
      <c r="P112" s="285"/>
      <c r="Q112" s="267"/>
      <c r="R112" s="267"/>
      <c r="S112" s="267"/>
    </row>
    <row r="113" spans="1:19" ht="86.45" customHeight="1" thickBot="1" x14ac:dyDescent="0.3">
      <c r="A113" s="271"/>
      <c r="B113" s="307" t="s">
        <v>541</v>
      </c>
      <c r="C113" s="308" t="s">
        <v>542</v>
      </c>
      <c r="D113" s="309" t="s">
        <v>520</v>
      </c>
      <c r="E113" s="310">
        <v>0.05</v>
      </c>
      <c r="F113" s="311">
        <v>1</v>
      </c>
      <c r="G113" s="314">
        <v>0</v>
      </c>
      <c r="H113" s="319"/>
      <c r="I113" s="319"/>
      <c r="J113" s="314"/>
      <c r="K113" s="315"/>
      <c r="L113" s="315"/>
      <c r="M113" s="316"/>
      <c r="N113" s="317"/>
      <c r="O113" s="318" t="s">
        <v>1862</v>
      </c>
      <c r="P113" s="285"/>
      <c r="Q113" s="267"/>
      <c r="R113" s="267"/>
      <c r="S113" s="267"/>
    </row>
    <row r="114" spans="1:19" ht="86.45" customHeight="1" thickBot="1" x14ac:dyDescent="0.3">
      <c r="A114" s="271"/>
      <c r="B114" s="307" t="s">
        <v>543</v>
      </c>
      <c r="C114" s="308" t="s">
        <v>544</v>
      </c>
      <c r="D114" s="309" t="s">
        <v>520</v>
      </c>
      <c r="E114" s="310">
        <v>0.1</v>
      </c>
      <c r="F114" s="311">
        <v>24</v>
      </c>
      <c r="G114" s="314">
        <v>0</v>
      </c>
      <c r="H114" s="319"/>
      <c r="I114" s="319"/>
      <c r="J114" s="314"/>
      <c r="K114" s="315"/>
      <c r="L114" s="315"/>
      <c r="M114" s="316"/>
      <c r="N114" s="317"/>
      <c r="O114" s="318" t="s">
        <v>1862</v>
      </c>
      <c r="P114" s="285"/>
      <c r="Q114" s="267"/>
      <c r="R114" s="267"/>
      <c r="S114" s="267"/>
    </row>
    <row r="115" spans="1:19" ht="86.45" customHeight="1" thickBot="1" x14ac:dyDescent="0.3">
      <c r="A115" s="271"/>
      <c r="B115" s="307" t="s">
        <v>545</v>
      </c>
      <c r="C115" s="308" t="s">
        <v>546</v>
      </c>
      <c r="D115" s="309" t="s">
        <v>520</v>
      </c>
      <c r="E115" s="310">
        <v>0.1</v>
      </c>
      <c r="F115" s="311">
        <v>100000</v>
      </c>
      <c r="G115" s="314">
        <v>0</v>
      </c>
      <c r="H115" s="319"/>
      <c r="I115" s="319"/>
      <c r="J115" s="314"/>
      <c r="K115" s="315"/>
      <c r="L115" s="315"/>
      <c r="M115" s="316"/>
      <c r="N115" s="317"/>
      <c r="O115" s="318" t="s">
        <v>1862</v>
      </c>
      <c r="P115" s="285"/>
      <c r="Q115" s="267"/>
      <c r="R115" s="267"/>
      <c r="S115" s="267"/>
    </row>
    <row r="116" spans="1:19" ht="86.45" customHeight="1" thickBot="1" x14ac:dyDescent="0.3">
      <c r="A116" s="271"/>
      <c r="B116" s="307" t="s">
        <v>547</v>
      </c>
      <c r="C116" s="308" t="s">
        <v>548</v>
      </c>
      <c r="D116" s="309" t="s">
        <v>520</v>
      </c>
      <c r="E116" s="310">
        <v>0.05</v>
      </c>
      <c r="F116" s="311">
        <v>1</v>
      </c>
      <c r="G116" s="314">
        <v>0</v>
      </c>
      <c r="H116" s="319"/>
      <c r="I116" s="319"/>
      <c r="J116" s="314"/>
      <c r="K116" s="315"/>
      <c r="L116" s="315"/>
      <c r="M116" s="316"/>
      <c r="N116" s="317"/>
      <c r="O116" s="318" t="s">
        <v>1862</v>
      </c>
      <c r="P116" s="285"/>
      <c r="Q116" s="267"/>
      <c r="R116" s="267"/>
      <c r="S116" s="267"/>
    </row>
    <row r="117" spans="1:19" ht="86.45" customHeight="1" thickBot="1" x14ac:dyDescent="0.3">
      <c r="A117" s="271"/>
      <c r="B117" s="307" t="s">
        <v>549</v>
      </c>
      <c r="C117" s="308" t="s">
        <v>550</v>
      </c>
      <c r="D117" s="309" t="s">
        <v>520</v>
      </c>
      <c r="E117" s="310">
        <v>0.05</v>
      </c>
      <c r="F117" s="311">
        <v>2</v>
      </c>
      <c r="G117" s="314">
        <v>0</v>
      </c>
      <c r="H117" s="319"/>
      <c r="I117" s="319"/>
      <c r="J117" s="314"/>
      <c r="K117" s="315"/>
      <c r="L117" s="315"/>
      <c r="M117" s="316"/>
      <c r="N117" s="317"/>
      <c r="O117" s="318" t="s">
        <v>1862</v>
      </c>
      <c r="P117" s="285"/>
      <c r="Q117" s="267"/>
      <c r="R117" s="267"/>
      <c r="S117" s="267"/>
    </row>
    <row r="118" spans="1:19" ht="86.45" customHeight="1" thickBot="1" x14ac:dyDescent="0.3">
      <c r="A118" s="271"/>
      <c r="B118" s="307" t="s">
        <v>551</v>
      </c>
      <c r="C118" s="308" t="s">
        <v>552</v>
      </c>
      <c r="D118" s="309" t="s">
        <v>520</v>
      </c>
      <c r="E118" s="310">
        <v>0.05</v>
      </c>
      <c r="F118" s="311">
        <v>1</v>
      </c>
      <c r="G118" s="314">
        <v>0</v>
      </c>
      <c r="H118" s="319"/>
      <c r="I118" s="319"/>
      <c r="J118" s="314"/>
      <c r="K118" s="315"/>
      <c r="L118" s="315"/>
      <c r="M118" s="316"/>
      <c r="N118" s="317"/>
      <c r="O118" s="318" t="s">
        <v>1862</v>
      </c>
      <c r="P118" s="285"/>
      <c r="Q118" s="267"/>
      <c r="R118" s="267"/>
      <c r="S118" s="267"/>
    </row>
    <row r="119" spans="1:19" ht="41.45" customHeight="1" thickBot="1" x14ac:dyDescent="0.3">
      <c r="A119" s="271"/>
      <c r="B119" s="701" t="s">
        <v>1666</v>
      </c>
      <c r="C119" s="702"/>
      <c r="D119" s="286"/>
      <c r="E119" s="367">
        <v>0.1</v>
      </c>
      <c r="F119" s="368">
        <f>+E119*L119</f>
        <v>7.759166666666667E-2</v>
      </c>
      <c r="G119" s="323"/>
      <c r="H119" s="371">
        <f>+(H120+H122+H124+H126)/4</f>
        <v>0.17725490196078431</v>
      </c>
      <c r="I119" s="378">
        <f>+(I120+I122+I124+I126)/4</f>
        <v>0.16792156862745097</v>
      </c>
      <c r="J119" s="314"/>
      <c r="K119" s="371">
        <f>+(K120+K122+K124+K126)/4</f>
        <v>0.84770833333333329</v>
      </c>
      <c r="L119" s="379">
        <f>+L120+L122+L124+L126</f>
        <v>0.7759166666666667</v>
      </c>
      <c r="M119" s="294">
        <f>(M120+M122+M124+M126)/4</f>
        <v>0.14324852941176469</v>
      </c>
      <c r="N119" s="380">
        <f>(N120+N122+N124+N126)</f>
        <v>0.13347823529411765</v>
      </c>
      <c r="O119" s="296"/>
      <c r="P119" s="285"/>
      <c r="Q119" s="267"/>
      <c r="R119" s="267"/>
      <c r="S119" s="267"/>
    </row>
    <row r="120" spans="1:19" ht="16.5" thickBot="1" x14ac:dyDescent="0.3">
      <c r="A120" s="271"/>
      <c r="B120" s="703" t="s">
        <v>1667</v>
      </c>
      <c r="C120" s="702"/>
      <c r="D120" s="283"/>
      <c r="E120" s="297">
        <v>0.3</v>
      </c>
      <c r="F120" s="322"/>
      <c r="G120" s="323"/>
      <c r="H120" s="324">
        <f>+AVERAGE(H121)</f>
        <v>0.04</v>
      </c>
      <c r="I120" s="324">
        <f>+I121</f>
        <v>0.04</v>
      </c>
      <c r="J120" s="325"/>
      <c r="K120" s="303">
        <f>+AVERAGE(K121)</f>
        <v>0.89749999999999996</v>
      </c>
      <c r="L120" s="303">
        <f>+(L121)*E120</f>
        <v>0.26924999999999999</v>
      </c>
      <c r="M120" s="304">
        <f>+AVERAGE(M121)</f>
        <v>3.5900000000000001E-2</v>
      </c>
      <c r="N120" s="305">
        <f>+(N121)*E120</f>
        <v>1.077E-2</v>
      </c>
      <c r="O120" s="306"/>
      <c r="P120" s="285"/>
      <c r="Q120" s="267"/>
      <c r="R120" s="267"/>
      <c r="S120" s="267"/>
    </row>
    <row r="121" spans="1:19" ht="66" customHeight="1" thickBot="1" x14ac:dyDescent="0.3">
      <c r="A121" s="271"/>
      <c r="B121" s="307" t="s">
        <v>553</v>
      </c>
      <c r="C121" s="308" t="s">
        <v>554</v>
      </c>
      <c r="D121" s="309" t="s">
        <v>555</v>
      </c>
      <c r="E121" s="310">
        <v>1</v>
      </c>
      <c r="F121" s="311">
        <v>10000</v>
      </c>
      <c r="G121" s="314">
        <v>400</v>
      </c>
      <c r="H121" s="319">
        <f>+G121/F121</f>
        <v>0.04</v>
      </c>
      <c r="I121" s="319">
        <f>+(G121/F121)*E121</f>
        <v>0.04</v>
      </c>
      <c r="J121" s="314">
        <v>359</v>
      </c>
      <c r="K121" s="315">
        <f>+(J121/G121)</f>
        <v>0.89749999999999996</v>
      </c>
      <c r="L121" s="315">
        <f>+K121*E121</f>
        <v>0.89749999999999996</v>
      </c>
      <c r="M121" s="316">
        <f>+J121/F121</f>
        <v>3.5900000000000001E-2</v>
      </c>
      <c r="N121" s="317">
        <f>+M121*E121</f>
        <v>3.5900000000000001E-2</v>
      </c>
      <c r="O121" s="318" t="s">
        <v>1862</v>
      </c>
      <c r="P121" s="285"/>
      <c r="Q121" s="267"/>
      <c r="R121" s="267"/>
      <c r="S121" s="267"/>
    </row>
    <row r="122" spans="1:19" ht="28.5" customHeight="1" thickBot="1" x14ac:dyDescent="0.3">
      <c r="A122" s="271"/>
      <c r="B122" s="703" t="s">
        <v>1668</v>
      </c>
      <c r="C122" s="702"/>
      <c r="D122" s="283"/>
      <c r="E122" s="297">
        <v>0.3</v>
      </c>
      <c r="F122" s="311"/>
      <c r="G122" s="314"/>
      <c r="H122" s="324">
        <f>+AVERAGE(H123)</f>
        <v>0.21568627450980393</v>
      </c>
      <c r="I122" s="324">
        <f>+I123</f>
        <v>0.21568627450980393</v>
      </c>
      <c r="J122" s="314"/>
      <c r="K122" s="303">
        <f>+AVERAGE(K123)</f>
        <v>1</v>
      </c>
      <c r="L122" s="303">
        <f>+(L123)*E122</f>
        <v>0.3</v>
      </c>
      <c r="M122" s="304">
        <f>+AVERAGE(M123)</f>
        <v>0.22596078431372549</v>
      </c>
      <c r="N122" s="305">
        <f>+(N123)*E122</f>
        <v>6.7788235294117649E-2</v>
      </c>
      <c r="O122" s="306"/>
      <c r="P122" s="285"/>
      <c r="Q122" s="267"/>
      <c r="R122" s="267"/>
      <c r="S122" s="267"/>
    </row>
    <row r="123" spans="1:19" ht="84.6" customHeight="1" thickBot="1" x14ac:dyDescent="0.3">
      <c r="A123" s="271"/>
      <c r="B123" s="307" t="s">
        <v>556</v>
      </c>
      <c r="C123" s="308" t="s">
        <v>557</v>
      </c>
      <c r="D123" s="309" t="s">
        <v>555</v>
      </c>
      <c r="E123" s="310">
        <v>1</v>
      </c>
      <c r="F123" s="311">
        <v>12750</v>
      </c>
      <c r="G123" s="314">
        <v>2750</v>
      </c>
      <c r="H123" s="381">
        <f>+G123/F123</f>
        <v>0.21568627450980393</v>
      </c>
      <c r="I123" s="381">
        <f>+(G123/F123)*E123</f>
        <v>0.21568627450980393</v>
      </c>
      <c r="J123" s="314">
        <v>2881</v>
      </c>
      <c r="K123" s="315">
        <v>1</v>
      </c>
      <c r="L123" s="315">
        <f>+K123*E123</f>
        <v>1</v>
      </c>
      <c r="M123" s="316">
        <f>+J123/F123</f>
        <v>0.22596078431372549</v>
      </c>
      <c r="N123" s="317">
        <f>+M123*E123</f>
        <v>0.22596078431372549</v>
      </c>
      <c r="O123" s="318" t="s">
        <v>1862</v>
      </c>
      <c r="P123" s="285"/>
      <c r="Q123" s="267"/>
      <c r="R123" s="267"/>
      <c r="S123" s="267"/>
    </row>
    <row r="124" spans="1:19" ht="28.5" customHeight="1" thickBot="1" x14ac:dyDescent="0.3">
      <c r="A124" s="271"/>
      <c r="B124" s="703" t="s">
        <v>1669</v>
      </c>
      <c r="C124" s="702"/>
      <c r="D124" s="309"/>
      <c r="E124" s="297">
        <v>0.2</v>
      </c>
      <c r="F124" s="311"/>
      <c r="G124" s="314"/>
      <c r="H124" s="324">
        <f>+AVERAGE(H125)</f>
        <v>0.33</v>
      </c>
      <c r="I124" s="324">
        <f>+I125</f>
        <v>0.33</v>
      </c>
      <c r="J124" s="314"/>
      <c r="K124" s="303">
        <f>+AVERAGE(K125)</f>
        <v>0.59333333333333338</v>
      </c>
      <c r="L124" s="303">
        <f>+(L125)*E124</f>
        <v>0.11866666666666668</v>
      </c>
      <c r="M124" s="304">
        <f>+AVERAGE(M125)</f>
        <v>0.1958</v>
      </c>
      <c r="N124" s="305">
        <f>+(N125)*E124</f>
        <v>3.916E-2</v>
      </c>
      <c r="O124" s="306"/>
      <c r="P124" s="285"/>
      <c r="Q124" s="267"/>
      <c r="R124" s="267"/>
      <c r="S124" s="267"/>
    </row>
    <row r="125" spans="1:19" ht="35.450000000000003" customHeight="1" thickBot="1" x14ac:dyDescent="0.3">
      <c r="A125" s="271"/>
      <c r="B125" s="307" t="s">
        <v>558</v>
      </c>
      <c r="C125" s="308" t="s">
        <v>559</v>
      </c>
      <c r="D125" s="309" t="s">
        <v>555</v>
      </c>
      <c r="E125" s="310">
        <v>1</v>
      </c>
      <c r="F125" s="311">
        <v>5000</v>
      </c>
      <c r="G125" s="314">
        <v>1650</v>
      </c>
      <c r="H125" s="319">
        <f>+G125/F125</f>
        <v>0.33</v>
      </c>
      <c r="I125" s="319">
        <f>+(G125/F125)*E125</f>
        <v>0.33</v>
      </c>
      <c r="J125" s="314">
        <v>979</v>
      </c>
      <c r="K125" s="315">
        <f>+(J125/G125)</f>
        <v>0.59333333333333338</v>
      </c>
      <c r="L125" s="315">
        <f>+K125*E125</f>
        <v>0.59333333333333338</v>
      </c>
      <c r="M125" s="316">
        <f>+J125/F125</f>
        <v>0.1958</v>
      </c>
      <c r="N125" s="317">
        <f>+M125*E125</f>
        <v>0.1958</v>
      </c>
      <c r="O125" s="318" t="s">
        <v>1862</v>
      </c>
      <c r="P125" s="285"/>
      <c r="Q125" s="267"/>
      <c r="R125" s="267"/>
      <c r="S125" s="267"/>
    </row>
    <row r="126" spans="1:19" ht="28.5" customHeight="1" thickBot="1" x14ac:dyDescent="0.3">
      <c r="A126" s="271"/>
      <c r="B126" s="703" t="s">
        <v>1670</v>
      </c>
      <c r="C126" s="702"/>
      <c r="D126" s="309"/>
      <c r="E126" s="297">
        <v>0.2</v>
      </c>
      <c r="F126" s="311"/>
      <c r="G126" s="314"/>
      <c r="H126" s="324">
        <f>+AVERAGE(H127:H129)</f>
        <v>0.12333333333333334</v>
      </c>
      <c r="I126" s="324">
        <f>+I127+I128+I129</f>
        <v>8.5999999999999993E-2</v>
      </c>
      <c r="J126" s="325"/>
      <c r="K126" s="303">
        <f>+AVERAGE(K127:K129)</f>
        <v>0.9</v>
      </c>
      <c r="L126" s="303">
        <f>+(L127+L128+L129)*E126</f>
        <v>8.8000000000000009E-2</v>
      </c>
      <c r="M126" s="304">
        <f>+AVERAGE(M127:M129)</f>
        <v>0.11533333333333333</v>
      </c>
      <c r="N126" s="305">
        <f>+(N127+N128+N129)*E126</f>
        <v>1.5760000000000003E-2</v>
      </c>
      <c r="O126" s="306"/>
      <c r="P126" s="285"/>
      <c r="Q126" s="267"/>
      <c r="R126" s="267"/>
      <c r="S126" s="267"/>
    </row>
    <row r="127" spans="1:19" ht="63.75" thickBot="1" x14ac:dyDescent="0.3">
      <c r="A127" s="271"/>
      <c r="B127" s="307" t="s">
        <v>560</v>
      </c>
      <c r="C127" s="308" t="s">
        <v>561</v>
      </c>
      <c r="D127" s="309" t="s">
        <v>555</v>
      </c>
      <c r="E127" s="310">
        <v>0.3</v>
      </c>
      <c r="F127" s="311">
        <v>5</v>
      </c>
      <c r="G127" s="314">
        <v>0.6</v>
      </c>
      <c r="H127" s="319">
        <f>+G127/F127</f>
        <v>0.12</v>
      </c>
      <c r="I127" s="319">
        <f>+(G127/F127)*E127</f>
        <v>3.5999999999999997E-2</v>
      </c>
      <c r="J127" s="314">
        <v>0.48</v>
      </c>
      <c r="K127" s="315">
        <f>+(J127/G127)</f>
        <v>0.8</v>
      </c>
      <c r="L127" s="315">
        <f>+K127*E127</f>
        <v>0.24</v>
      </c>
      <c r="M127" s="316">
        <f>+J127/F127</f>
        <v>9.6000000000000002E-2</v>
      </c>
      <c r="N127" s="317">
        <f>+M127*E127</f>
        <v>2.8799999999999999E-2</v>
      </c>
      <c r="O127" s="318" t="s">
        <v>1862</v>
      </c>
      <c r="P127" s="285"/>
      <c r="Q127" s="267"/>
      <c r="R127" s="267"/>
      <c r="S127" s="267"/>
    </row>
    <row r="128" spans="1:19" ht="60" customHeight="1" thickBot="1" x14ac:dyDescent="0.3">
      <c r="A128" s="271"/>
      <c r="B128" s="346" t="s">
        <v>562</v>
      </c>
      <c r="C128" s="373" t="s">
        <v>563</v>
      </c>
      <c r="D128" s="309" t="s">
        <v>564</v>
      </c>
      <c r="E128" s="310">
        <v>0.5</v>
      </c>
      <c r="F128" s="311">
        <v>122</v>
      </c>
      <c r="G128" s="314">
        <v>0</v>
      </c>
      <c r="H128" s="382">
        <v>0</v>
      </c>
      <c r="I128" s="319"/>
      <c r="J128" s="314"/>
      <c r="K128" s="315"/>
      <c r="L128" s="315"/>
      <c r="M128" s="383">
        <v>0</v>
      </c>
      <c r="N128" s="317"/>
      <c r="O128" s="318" t="s">
        <v>1862</v>
      </c>
      <c r="P128" s="285"/>
      <c r="Q128" s="267"/>
      <c r="R128" s="267"/>
      <c r="S128" s="267"/>
    </row>
    <row r="129" spans="1:19" ht="34.9" customHeight="1" thickBot="1" x14ac:dyDescent="0.3">
      <c r="A129" s="271"/>
      <c r="B129" s="307" t="s">
        <v>565</v>
      </c>
      <c r="C129" s="308" t="s">
        <v>566</v>
      </c>
      <c r="D129" s="327" t="s">
        <v>555</v>
      </c>
      <c r="E129" s="310">
        <v>0.2</v>
      </c>
      <c r="F129" s="311">
        <v>4</v>
      </c>
      <c r="G129" s="314">
        <v>1</v>
      </c>
      <c r="H129" s="319">
        <f>+G129/F129</f>
        <v>0.25</v>
      </c>
      <c r="I129" s="319">
        <f>+(G129/F129)*E129</f>
        <v>0.05</v>
      </c>
      <c r="J129" s="314">
        <v>1</v>
      </c>
      <c r="K129" s="315">
        <f>+(J129/G129)</f>
        <v>1</v>
      </c>
      <c r="L129" s="315">
        <f>+K129*E129</f>
        <v>0.2</v>
      </c>
      <c r="M129" s="316">
        <f>+J129/F129</f>
        <v>0.25</v>
      </c>
      <c r="N129" s="317">
        <f>+M129*E129</f>
        <v>0.05</v>
      </c>
      <c r="O129" s="318" t="s">
        <v>1862</v>
      </c>
      <c r="P129" s="285"/>
      <c r="Q129" s="267"/>
      <c r="R129" s="267"/>
      <c r="S129" s="267"/>
    </row>
    <row r="130" spans="1:19" ht="93" customHeight="1" thickBot="1" x14ac:dyDescent="0.3">
      <c r="A130" s="271"/>
      <c r="B130" s="701" t="s">
        <v>1671</v>
      </c>
      <c r="C130" s="702"/>
      <c r="D130" s="384"/>
      <c r="E130" s="367">
        <v>0.15</v>
      </c>
      <c r="F130" s="368">
        <f>+E130*L130</f>
        <v>9.1500000000000012E-2</v>
      </c>
      <c r="G130" s="323"/>
      <c r="H130" s="371">
        <f>+(H131+H140+H145+H148+H154+H160)/5</f>
        <v>0.20772196910069538</v>
      </c>
      <c r="I130" s="378">
        <f>+(I131+I140+I145+I148+I154+I160)/5</f>
        <v>0.19506623749037066</v>
      </c>
      <c r="J130" s="314"/>
      <c r="K130" s="371">
        <f>+(K131+K140+K145+K148+K154+K160)/5</f>
        <v>0.88571428571428579</v>
      </c>
      <c r="L130" s="378">
        <f>+L131+L140+L145+L148+L154+L160</f>
        <v>0.6100000000000001</v>
      </c>
      <c r="M130" s="371">
        <f>(M131+M140+M145+M148+M154+M160)/5</f>
        <v>0.24739012602929381</v>
      </c>
      <c r="N130" s="378">
        <f>(N131+N140+N145+N148+N154+N160)</f>
        <v>0.16912241418241225</v>
      </c>
      <c r="O130" s="296"/>
      <c r="P130" s="285"/>
      <c r="Q130" s="267"/>
      <c r="R130" s="267"/>
      <c r="S130" s="267"/>
    </row>
    <row r="131" spans="1:19" ht="42.75" customHeight="1" thickBot="1" x14ac:dyDescent="0.3">
      <c r="A131" s="271"/>
      <c r="B131" s="703" t="s">
        <v>1672</v>
      </c>
      <c r="C131" s="702"/>
      <c r="D131" s="385"/>
      <c r="E131" s="297">
        <v>0.3</v>
      </c>
      <c r="F131" s="322"/>
      <c r="G131" s="323"/>
      <c r="H131" s="324">
        <f>+AVERAGE(H132:H139)</f>
        <v>0.19194317883681025</v>
      </c>
      <c r="I131" s="324">
        <f>+I132+I133+I134+I135+I136+I137+I138+I139</f>
        <v>0.1278311874518534</v>
      </c>
      <c r="J131" s="325"/>
      <c r="K131" s="303">
        <f>+AVERAGE(K132:K139)</f>
        <v>0.9285714285714286</v>
      </c>
      <c r="L131" s="303">
        <f>+(L132+L133+L134+L135+L136+L137+L138+L139)*E131</f>
        <v>0.19500000000000001</v>
      </c>
      <c r="M131" s="304">
        <f>+AVERAGE(M132:M139)</f>
        <v>0.18820063014646893</v>
      </c>
      <c r="N131" s="305">
        <f>+(N132+N133+N134+N135+N136+N137+N138+N139)*E131</f>
        <v>3.7072414182412229E-2</v>
      </c>
      <c r="O131" s="306"/>
      <c r="P131" s="285"/>
      <c r="Q131" s="267"/>
      <c r="R131" s="267"/>
      <c r="S131" s="267"/>
    </row>
    <row r="132" spans="1:19" ht="103.9" customHeight="1" thickBot="1" x14ac:dyDescent="0.3">
      <c r="A132" s="271"/>
      <c r="B132" s="307" t="s">
        <v>567</v>
      </c>
      <c r="C132" s="329" t="s">
        <v>568</v>
      </c>
      <c r="D132" s="386" t="s">
        <v>569</v>
      </c>
      <c r="E132" s="310">
        <v>0.15</v>
      </c>
      <c r="F132" s="311">
        <v>306059</v>
      </c>
      <c r="G132" s="314">
        <v>40000</v>
      </c>
      <c r="H132" s="319">
        <f t="shared" ref="H132:H139" si="35">+G132/F132</f>
        <v>0.13069375512564571</v>
      </c>
      <c r="I132" s="319">
        <f t="shared" ref="I132:I139" si="36">+(G132/F132)*E132</f>
        <v>1.9604063268846856E-2</v>
      </c>
      <c r="J132" s="387">
        <v>47985</v>
      </c>
      <c r="K132" s="315">
        <v>1</v>
      </c>
      <c r="L132" s="315">
        <f>+K132*E132</f>
        <v>0.15</v>
      </c>
      <c r="M132" s="316">
        <f t="shared" ref="M132:M134" si="37">+J132/F132</f>
        <v>0.15678349599260274</v>
      </c>
      <c r="N132" s="317">
        <f t="shared" ref="N132:N134" si="38">+M132*E132</f>
        <v>2.3517524398890412E-2</v>
      </c>
      <c r="O132" s="318" t="s">
        <v>1862</v>
      </c>
      <c r="P132" s="285"/>
      <c r="Q132" s="267"/>
      <c r="R132" s="267"/>
      <c r="S132" s="267"/>
    </row>
    <row r="133" spans="1:19" ht="58.9" customHeight="1" thickBot="1" x14ac:dyDescent="0.3">
      <c r="A133" s="271"/>
      <c r="B133" s="307" t="s">
        <v>570</v>
      </c>
      <c r="C133" s="308" t="s">
        <v>571</v>
      </c>
      <c r="D133" s="388" t="s">
        <v>569</v>
      </c>
      <c r="E133" s="310">
        <v>0.1</v>
      </c>
      <c r="F133" s="311">
        <v>18</v>
      </c>
      <c r="G133" s="314">
        <v>4</v>
      </c>
      <c r="H133" s="319">
        <f t="shared" si="35"/>
        <v>0.22222222222222221</v>
      </c>
      <c r="I133" s="319">
        <f t="shared" si="36"/>
        <v>2.2222222222222223E-2</v>
      </c>
      <c r="J133" s="314">
        <v>2</v>
      </c>
      <c r="K133" s="315">
        <f>+(J133/G133)</f>
        <v>0.5</v>
      </c>
      <c r="L133" s="315">
        <f t="shared" ref="L133:L134" si="39">+K133*E133</f>
        <v>0.05</v>
      </c>
      <c r="M133" s="316">
        <f t="shared" si="37"/>
        <v>0.1111111111111111</v>
      </c>
      <c r="N133" s="317">
        <f t="shared" si="38"/>
        <v>1.1111111111111112E-2</v>
      </c>
      <c r="O133" s="318" t="s">
        <v>1862</v>
      </c>
      <c r="P133" s="285"/>
      <c r="Q133" s="267"/>
      <c r="R133" s="267"/>
      <c r="S133" s="267"/>
    </row>
    <row r="134" spans="1:19" ht="52.9" customHeight="1" thickBot="1" x14ac:dyDescent="0.3">
      <c r="A134" s="271"/>
      <c r="B134" s="307" t="s">
        <v>572</v>
      </c>
      <c r="C134" s="308" t="s">
        <v>573</v>
      </c>
      <c r="D134" s="388" t="s">
        <v>569</v>
      </c>
      <c r="E134" s="310">
        <v>0.05</v>
      </c>
      <c r="F134" s="311">
        <v>1800</v>
      </c>
      <c r="G134" s="389">
        <v>375</v>
      </c>
      <c r="H134" s="319">
        <f t="shared" si="35"/>
        <v>0.20833333333333334</v>
      </c>
      <c r="I134" s="319">
        <f t="shared" si="36"/>
        <v>1.0416666666666668E-2</v>
      </c>
      <c r="J134" s="333">
        <v>375</v>
      </c>
      <c r="K134" s="315">
        <v>1</v>
      </c>
      <c r="L134" s="390">
        <f t="shared" si="39"/>
        <v>0.05</v>
      </c>
      <c r="M134" s="316">
        <f t="shared" si="37"/>
        <v>0.20833333333333334</v>
      </c>
      <c r="N134" s="317">
        <f t="shared" si="38"/>
        <v>1.0416666666666668E-2</v>
      </c>
      <c r="O134" s="318" t="s">
        <v>1862</v>
      </c>
      <c r="P134" s="285"/>
      <c r="Q134" s="267"/>
      <c r="R134" s="267"/>
      <c r="S134" s="267"/>
    </row>
    <row r="135" spans="1:19" ht="88.15" customHeight="1" thickBot="1" x14ac:dyDescent="0.3">
      <c r="A135" s="271"/>
      <c r="B135" s="307" t="s">
        <v>574</v>
      </c>
      <c r="C135" s="329" t="s">
        <v>575</v>
      </c>
      <c r="D135" s="391" t="s">
        <v>569</v>
      </c>
      <c r="E135" s="310">
        <v>0.1</v>
      </c>
      <c r="F135" s="311">
        <v>1</v>
      </c>
      <c r="G135" s="314">
        <v>0.2</v>
      </c>
      <c r="H135" s="319">
        <f t="shared" si="35"/>
        <v>0.2</v>
      </c>
      <c r="I135" s="319">
        <f t="shared" si="36"/>
        <v>2.0000000000000004E-2</v>
      </c>
      <c r="J135" s="333">
        <v>0.2</v>
      </c>
      <c r="K135" s="315">
        <f>+J135/G135</f>
        <v>1</v>
      </c>
      <c r="L135" s="315">
        <f t="shared" ref="L135" si="40">+K135*E135</f>
        <v>0.1</v>
      </c>
      <c r="M135" s="316">
        <f t="shared" ref="M135" si="41">+J135/F135</f>
        <v>0.2</v>
      </c>
      <c r="N135" s="317">
        <f t="shared" ref="N135" si="42">+M135*E135</f>
        <v>2.0000000000000004E-2</v>
      </c>
      <c r="O135" s="318" t="s">
        <v>1862</v>
      </c>
      <c r="P135" s="285"/>
      <c r="Q135" s="267"/>
      <c r="R135" s="267"/>
      <c r="S135" s="267"/>
    </row>
    <row r="136" spans="1:19" ht="72" customHeight="1" thickBot="1" x14ac:dyDescent="0.3">
      <c r="A136" s="271"/>
      <c r="B136" s="307" t="s">
        <v>576</v>
      </c>
      <c r="C136" s="329" t="s">
        <v>577</v>
      </c>
      <c r="D136" s="391" t="s">
        <v>569</v>
      </c>
      <c r="E136" s="310">
        <v>0.05</v>
      </c>
      <c r="F136" s="311">
        <v>1</v>
      </c>
      <c r="G136" s="314">
        <v>0.2</v>
      </c>
      <c r="H136" s="319">
        <f t="shared" si="35"/>
        <v>0.2</v>
      </c>
      <c r="I136" s="319">
        <f t="shared" si="36"/>
        <v>1.0000000000000002E-2</v>
      </c>
      <c r="J136" s="333">
        <v>0.2</v>
      </c>
      <c r="K136" s="315">
        <f>+J136/G136</f>
        <v>1</v>
      </c>
      <c r="L136" s="315">
        <f>+K136*E136</f>
        <v>0.05</v>
      </c>
      <c r="M136" s="316">
        <f>+J136/F136</f>
        <v>0.2</v>
      </c>
      <c r="N136" s="317">
        <f>+M136*E136</f>
        <v>1.0000000000000002E-2</v>
      </c>
      <c r="O136" s="318" t="s">
        <v>1862</v>
      </c>
      <c r="P136" s="285"/>
      <c r="Q136" s="267"/>
      <c r="R136" s="267"/>
      <c r="S136" s="267"/>
    </row>
    <row r="137" spans="1:19" ht="70.150000000000006" customHeight="1" thickBot="1" x14ac:dyDescent="0.3">
      <c r="A137" s="271"/>
      <c r="B137" s="307" t="s">
        <v>578</v>
      </c>
      <c r="C137" s="329" t="s">
        <v>579</v>
      </c>
      <c r="D137" s="391" t="s">
        <v>569</v>
      </c>
      <c r="E137" s="310">
        <v>0.2</v>
      </c>
      <c r="F137" s="311">
        <v>34</v>
      </c>
      <c r="G137" s="314">
        <v>6</v>
      </c>
      <c r="H137" s="319">
        <f t="shared" si="35"/>
        <v>0.17647058823529413</v>
      </c>
      <c r="I137" s="319">
        <f t="shared" si="36"/>
        <v>3.529411764705883E-2</v>
      </c>
      <c r="J137" s="314">
        <v>6</v>
      </c>
      <c r="K137" s="315">
        <f>+(J137/G137)</f>
        <v>1</v>
      </c>
      <c r="L137" s="315">
        <f>+K137*E137</f>
        <v>0.2</v>
      </c>
      <c r="M137" s="316">
        <f>+J137/F137</f>
        <v>0.17647058823529413</v>
      </c>
      <c r="N137" s="317">
        <f>+M137*E137</f>
        <v>3.529411764705883E-2</v>
      </c>
      <c r="O137" s="318" t="s">
        <v>1862</v>
      </c>
      <c r="P137" s="285"/>
      <c r="Q137" s="267"/>
      <c r="R137" s="267"/>
      <c r="S137" s="267"/>
    </row>
    <row r="138" spans="1:19" ht="64.900000000000006" customHeight="1" thickBot="1" x14ac:dyDescent="0.3">
      <c r="A138" s="271"/>
      <c r="B138" s="307" t="s">
        <v>580</v>
      </c>
      <c r="C138" s="329" t="s">
        <v>581</v>
      </c>
      <c r="D138" s="391" t="s">
        <v>569</v>
      </c>
      <c r="E138" s="310">
        <v>0.3</v>
      </c>
      <c r="F138" s="311">
        <v>2</v>
      </c>
      <c r="G138" s="314">
        <v>0</v>
      </c>
      <c r="H138" s="319"/>
      <c r="I138" s="319"/>
      <c r="J138" s="314"/>
      <c r="K138" s="315"/>
      <c r="L138" s="315"/>
      <c r="M138" s="316"/>
      <c r="N138" s="317"/>
      <c r="O138" s="318" t="s">
        <v>1862</v>
      </c>
      <c r="P138" s="285"/>
      <c r="Q138" s="267"/>
      <c r="R138" s="267"/>
      <c r="S138" s="267"/>
    </row>
    <row r="139" spans="1:19" ht="100.15" customHeight="1" thickBot="1" x14ac:dyDescent="0.3">
      <c r="A139" s="271"/>
      <c r="B139" s="307" t="s">
        <v>582</v>
      </c>
      <c r="C139" s="329" t="s">
        <v>583</v>
      </c>
      <c r="D139" s="391" t="s">
        <v>569</v>
      </c>
      <c r="E139" s="310">
        <v>0.05</v>
      </c>
      <c r="F139" s="311">
        <v>34</v>
      </c>
      <c r="G139" s="314">
        <v>7</v>
      </c>
      <c r="H139" s="319">
        <f t="shared" si="35"/>
        <v>0.20588235294117646</v>
      </c>
      <c r="I139" s="319">
        <f t="shared" si="36"/>
        <v>1.0294117647058823E-2</v>
      </c>
      <c r="J139" s="314">
        <v>9</v>
      </c>
      <c r="K139" s="315">
        <v>1</v>
      </c>
      <c r="L139" s="315">
        <f>+K139*E139</f>
        <v>0.05</v>
      </c>
      <c r="M139" s="316">
        <f>+J139/F139</f>
        <v>0.26470588235294118</v>
      </c>
      <c r="N139" s="317">
        <f>+M139*E139</f>
        <v>1.323529411764706E-2</v>
      </c>
      <c r="O139" s="318" t="s">
        <v>1862</v>
      </c>
      <c r="P139" s="285"/>
      <c r="Q139" s="267"/>
      <c r="R139" s="267"/>
      <c r="S139" s="267"/>
    </row>
    <row r="140" spans="1:19" ht="86.25" customHeight="1" thickBot="1" x14ac:dyDescent="0.3">
      <c r="A140" s="271"/>
      <c r="B140" s="703" t="s">
        <v>1673</v>
      </c>
      <c r="C140" s="702"/>
      <c r="D140" s="309"/>
      <c r="E140" s="297">
        <v>0.1</v>
      </c>
      <c r="F140" s="311"/>
      <c r="G140" s="314"/>
      <c r="H140" s="324">
        <f>+AVERAGE(H141:H144)</f>
        <v>0.22499999999999998</v>
      </c>
      <c r="I140" s="324">
        <f>+I141+I142+I143+I144</f>
        <v>0.23583333333333334</v>
      </c>
      <c r="J140" s="325"/>
      <c r="K140" s="303">
        <f>+AVERAGE(K141:K144)</f>
        <v>0.75</v>
      </c>
      <c r="L140" s="303">
        <f>+(L141+L142+L143+L144)*E140</f>
        <v>9.0000000000000011E-2</v>
      </c>
      <c r="M140" s="304">
        <f>+AVERAGE(M141:M144)</f>
        <v>0.36958333333333332</v>
      </c>
      <c r="N140" s="305">
        <f>+(N141+N142+N143+N144)*E140</f>
        <v>4.7750000000000001E-2</v>
      </c>
      <c r="O140" s="306"/>
      <c r="P140" s="285"/>
      <c r="Q140" s="267"/>
      <c r="R140" s="267"/>
      <c r="S140" s="267"/>
    </row>
    <row r="141" spans="1:19" ht="60.6" customHeight="1" thickBot="1" x14ac:dyDescent="0.3">
      <c r="A141" s="271"/>
      <c r="B141" s="307" t="s">
        <v>584</v>
      </c>
      <c r="C141" s="373" t="s">
        <v>585</v>
      </c>
      <c r="D141" s="391" t="s">
        <v>569</v>
      </c>
      <c r="E141" s="310">
        <v>0.5</v>
      </c>
      <c r="F141" s="311">
        <v>1000</v>
      </c>
      <c r="G141" s="314">
        <v>250</v>
      </c>
      <c r="H141" s="319">
        <f>+G141/F141</f>
        <v>0.25</v>
      </c>
      <c r="I141" s="319">
        <f>+(G141/F141)*E141</f>
        <v>0.125</v>
      </c>
      <c r="J141" s="314">
        <v>565</v>
      </c>
      <c r="K141" s="315">
        <v>1</v>
      </c>
      <c r="L141" s="315">
        <f>+K141*E141</f>
        <v>0.5</v>
      </c>
      <c r="M141" s="316">
        <f>+J141/F141</f>
        <v>0.56499999999999995</v>
      </c>
      <c r="N141" s="317">
        <f>+M141*E141</f>
        <v>0.28249999999999997</v>
      </c>
      <c r="O141" s="318" t="s">
        <v>1862</v>
      </c>
      <c r="P141" s="285"/>
      <c r="Q141" s="267"/>
      <c r="R141" s="267"/>
      <c r="S141" s="267"/>
    </row>
    <row r="142" spans="1:19" ht="66" customHeight="1" thickBot="1" x14ac:dyDescent="0.3">
      <c r="A142" s="271"/>
      <c r="B142" s="346" t="s">
        <v>586</v>
      </c>
      <c r="C142" s="373" t="s">
        <v>587</v>
      </c>
      <c r="D142" s="392" t="s">
        <v>569</v>
      </c>
      <c r="E142" s="349">
        <v>0.25</v>
      </c>
      <c r="F142" s="311">
        <v>100</v>
      </c>
      <c r="G142" s="314">
        <v>25</v>
      </c>
      <c r="H142" s="319">
        <f>+G142/F142</f>
        <v>0.25</v>
      </c>
      <c r="I142" s="319">
        <f>+(G142/F142)*E142</f>
        <v>6.25E-2</v>
      </c>
      <c r="J142" s="314">
        <v>58</v>
      </c>
      <c r="K142" s="315">
        <v>1</v>
      </c>
      <c r="L142" s="315">
        <f>+K142*E142</f>
        <v>0.25</v>
      </c>
      <c r="M142" s="316">
        <f>+J142/F142</f>
        <v>0.57999999999999996</v>
      </c>
      <c r="N142" s="317">
        <f>+M142*E142</f>
        <v>0.14499999999999999</v>
      </c>
      <c r="O142" s="318" t="s">
        <v>1862</v>
      </c>
      <c r="P142" s="285"/>
      <c r="Q142" s="267"/>
      <c r="R142" s="267"/>
      <c r="S142" s="267"/>
    </row>
    <row r="143" spans="1:19" ht="65.45" customHeight="1" thickBot="1" x14ac:dyDescent="0.3">
      <c r="A143" s="271"/>
      <c r="B143" s="307" t="s">
        <v>588</v>
      </c>
      <c r="C143" s="308" t="s">
        <v>589</v>
      </c>
      <c r="D143" s="391" t="s">
        <v>569</v>
      </c>
      <c r="E143" s="310">
        <v>0.15</v>
      </c>
      <c r="F143" s="311">
        <v>6</v>
      </c>
      <c r="G143" s="314">
        <v>1</v>
      </c>
      <c r="H143" s="319">
        <f>+G143/F143</f>
        <v>0.16666666666666666</v>
      </c>
      <c r="I143" s="319">
        <f>+(G143/F143)*E143</f>
        <v>2.4999999999999998E-2</v>
      </c>
      <c r="J143" s="314">
        <v>2</v>
      </c>
      <c r="K143" s="315">
        <v>1</v>
      </c>
      <c r="L143" s="315">
        <f>+K143*E143</f>
        <v>0.15</v>
      </c>
      <c r="M143" s="316">
        <f>+J143/F143</f>
        <v>0.33333333333333331</v>
      </c>
      <c r="N143" s="317">
        <f>+M143*E143</f>
        <v>4.9999999999999996E-2</v>
      </c>
      <c r="O143" s="318" t="s">
        <v>1862</v>
      </c>
      <c r="P143" s="285"/>
      <c r="Q143" s="267"/>
      <c r="R143" s="267"/>
      <c r="S143" s="267"/>
    </row>
    <row r="144" spans="1:19" ht="48" thickBot="1" x14ac:dyDescent="0.3">
      <c r="A144" s="271"/>
      <c r="B144" s="307" t="s">
        <v>590</v>
      </c>
      <c r="C144" s="308" t="s">
        <v>591</v>
      </c>
      <c r="D144" s="391" t="s">
        <v>569</v>
      </c>
      <c r="E144" s="310">
        <v>0.1</v>
      </c>
      <c r="F144" s="311">
        <v>150</v>
      </c>
      <c r="G144" s="314">
        <v>35</v>
      </c>
      <c r="H144" s="319">
        <f>+G144/F144</f>
        <v>0.23333333333333334</v>
      </c>
      <c r="I144" s="319">
        <f>+(G144/F144)*E144</f>
        <v>2.3333333333333334E-2</v>
      </c>
      <c r="J144" s="314">
        <v>0</v>
      </c>
      <c r="K144" s="315">
        <f>+(J144/G144)</f>
        <v>0</v>
      </c>
      <c r="L144" s="315">
        <f>+K144*E144</f>
        <v>0</v>
      </c>
      <c r="M144" s="316">
        <f>+J144/F144</f>
        <v>0</v>
      </c>
      <c r="N144" s="317">
        <f>+M144*E144</f>
        <v>0</v>
      </c>
      <c r="O144" s="318" t="s">
        <v>1862</v>
      </c>
      <c r="P144" s="285"/>
      <c r="Q144" s="267"/>
      <c r="R144" s="267"/>
      <c r="S144" s="267"/>
    </row>
    <row r="145" spans="1:19" ht="28.5" customHeight="1" thickBot="1" x14ac:dyDescent="0.3">
      <c r="A145" s="271"/>
      <c r="B145" s="703" t="s">
        <v>1674</v>
      </c>
      <c r="C145" s="702"/>
      <c r="D145" s="309"/>
      <c r="E145" s="297">
        <v>0.1</v>
      </c>
      <c r="F145" s="311"/>
      <c r="G145" s="314"/>
      <c r="H145" s="324">
        <f>+AVERAGE(H146:H147)</f>
        <v>0.15833333333333333</v>
      </c>
      <c r="I145" s="324">
        <f>+I146+I147</f>
        <v>0.24616666666666667</v>
      </c>
      <c r="J145" s="325"/>
      <c r="K145" s="303">
        <f>+AVERAGE(K146:K148)</f>
        <v>1</v>
      </c>
      <c r="L145" s="303">
        <f>+(L146+L147)*E145</f>
        <v>0.1</v>
      </c>
      <c r="M145" s="304">
        <f>+AVERAGE(M146:M147)</f>
        <v>0.27500000000000002</v>
      </c>
      <c r="N145" s="305">
        <f>+(N146+N147)*E145</f>
        <v>2.9049999999999999E-2</v>
      </c>
      <c r="O145" s="306"/>
      <c r="P145" s="285"/>
      <c r="Q145" s="267"/>
      <c r="R145" s="267"/>
      <c r="S145" s="267"/>
    </row>
    <row r="146" spans="1:19" ht="74.45" customHeight="1" thickBot="1" x14ac:dyDescent="0.3">
      <c r="A146" s="271"/>
      <c r="B146" s="307" t="s">
        <v>592</v>
      </c>
      <c r="C146" s="307" t="s">
        <v>593</v>
      </c>
      <c r="D146" s="391" t="s">
        <v>569</v>
      </c>
      <c r="E146" s="310">
        <v>0.19</v>
      </c>
      <c r="F146" s="311">
        <v>1800</v>
      </c>
      <c r="G146" s="314">
        <v>30</v>
      </c>
      <c r="H146" s="319">
        <f>+G146/F146</f>
        <v>1.6666666666666666E-2</v>
      </c>
      <c r="I146" s="319">
        <f>+(G146/F146)*E146</f>
        <v>3.1666666666666666E-3</v>
      </c>
      <c r="J146" s="314">
        <v>450</v>
      </c>
      <c r="K146" s="315">
        <v>1</v>
      </c>
      <c r="L146" s="315">
        <f>+K146*E146</f>
        <v>0.19</v>
      </c>
      <c r="M146" s="316">
        <f>+J146/F146</f>
        <v>0.25</v>
      </c>
      <c r="N146" s="317">
        <f>+M146*E146</f>
        <v>4.7500000000000001E-2</v>
      </c>
      <c r="O146" s="318" t="s">
        <v>1862</v>
      </c>
      <c r="P146" s="285"/>
      <c r="Q146" s="267"/>
      <c r="R146" s="267"/>
      <c r="S146" s="267"/>
    </row>
    <row r="147" spans="1:19" ht="64.150000000000006" customHeight="1" thickBot="1" x14ac:dyDescent="0.3">
      <c r="A147" s="271"/>
      <c r="B147" s="307" t="s">
        <v>594</v>
      </c>
      <c r="C147" s="307" t="s">
        <v>595</v>
      </c>
      <c r="D147" s="393" t="s">
        <v>569</v>
      </c>
      <c r="E147" s="310">
        <v>0.81</v>
      </c>
      <c r="F147" s="311">
        <v>1</v>
      </c>
      <c r="G147" s="314">
        <v>0.3</v>
      </c>
      <c r="H147" s="319">
        <f>+G147/F147</f>
        <v>0.3</v>
      </c>
      <c r="I147" s="319">
        <f>+(G147/F147)*E147</f>
        <v>0.24299999999999999</v>
      </c>
      <c r="J147" s="314">
        <v>0.3</v>
      </c>
      <c r="K147" s="315">
        <v>1</v>
      </c>
      <c r="L147" s="315">
        <f>+K147*E147</f>
        <v>0.81</v>
      </c>
      <c r="M147" s="316">
        <f>+J147/F147</f>
        <v>0.3</v>
      </c>
      <c r="N147" s="317">
        <f>+M147*E147</f>
        <v>0.24299999999999999</v>
      </c>
      <c r="O147" s="318" t="s">
        <v>1862</v>
      </c>
      <c r="P147" s="285"/>
      <c r="Q147" s="267"/>
      <c r="R147" s="267"/>
      <c r="S147" s="267"/>
    </row>
    <row r="148" spans="1:19" ht="72" customHeight="1" thickBot="1" x14ac:dyDescent="0.3">
      <c r="A148" s="271"/>
      <c r="B148" s="708" t="s">
        <v>1675</v>
      </c>
      <c r="C148" s="709"/>
      <c r="D148" s="334"/>
      <c r="E148" s="297">
        <v>0.05</v>
      </c>
      <c r="F148" s="311"/>
      <c r="G148" s="314"/>
      <c r="H148" s="324">
        <f>+AVERAGE(H149:H153)</f>
        <v>0.21333333333333335</v>
      </c>
      <c r="I148" s="324">
        <f>+I149+I150+I151+I152+I153</f>
        <v>0.128</v>
      </c>
      <c r="J148" s="325"/>
      <c r="K148" s="303">
        <f>+AVERAGE(K149:K153)</f>
        <v>1</v>
      </c>
      <c r="L148" s="303">
        <f>+(L149+L150+L151+L152+L153)*E148</f>
        <v>3.0000000000000006E-2</v>
      </c>
      <c r="M148" s="304">
        <f>+AVERAGE(M149:M153)</f>
        <v>0.21666666666666667</v>
      </c>
      <c r="N148" s="305">
        <f>+(N149+N150+N151+N152+N153)*E148</f>
        <v>6.5000000000000006E-3</v>
      </c>
      <c r="O148" s="306"/>
      <c r="P148" s="285"/>
      <c r="Q148" s="267"/>
      <c r="R148" s="267"/>
      <c r="S148" s="267"/>
    </row>
    <row r="149" spans="1:19" ht="81" customHeight="1" thickBot="1" x14ac:dyDescent="0.3">
      <c r="A149" s="271"/>
      <c r="B149" s="394" t="s">
        <v>596</v>
      </c>
      <c r="C149" s="395" t="s">
        <v>597</v>
      </c>
      <c r="D149" s="396" t="s">
        <v>569</v>
      </c>
      <c r="E149" s="310">
        <v>0.2</v>
      </c>
      <c r="F149" s="311">
        <v>1</v>
      </c>
      <c r="G149" s="314">
        <v>7.0000000000000007E-2</v>
      </c>
      <c r="H149" s="319">
        <f>+G149/F149</f>
        <v>7.0000000000000007E-2</v>
      </c>
      <c r="I149" s="319">
        <f>+(G149/F149)*E149</f>
        <v>1.4000000000000002E-2</v>
      </c>
      <c r="J149" s="314">
        <v>0.08</v>
      </c>
      <c r="K149" s="326">
        <v>1</v>
      </c>
      <c r="L149" s="315">
        <f>+K149*E149</f>
        <v>0.2</v>
      </c>
      <c r="M149" s="316">
        <f>+J149/F149</f>
        <v>0.08</v>
      </c>
      <c r="N149" s="317">
        <f>+M149*E149</f>
        <v>1.6E-2</v>
      </c>
      <c r="O149" s="318" t="s">
        <v>1862</v>
      </c>
      <c r="P149" s="285"/>
      <c r="Q149" s="267"/>
      <c r="R149" s="267"/>
      <c r="S149" s="267"/>
    </row>
    <row r="150" spans="1:19" ht="82.15" customHeight="1" thickBot="1" x14ac:dyDescent="0.3">
      <c r="A150" s="271"/>
      <c r="B150" s="343" t="s">
        <v>598</v>
      </c>
      <c r="C150" s="344" t="s">
        <v>599</v>
      </c>
      <c r="D150" s="397" t="s">
        <v>569</v>
      </c>
      <c r="E150" s="310">
        <v>0.2</v>
      </c>
      <c r="F150" s="311">
        <v>1</v>
      </c>
      <c r="G150" s="314">
        <v>7.0000000000000007E-2</v>
      </c>
      <c r="H150" s="319">
        <f>+G150/F150</f>
        <v>7.0000000000000007E-2</v>
      </c>
      <c r="I150" s="319">
        <f>+(G150/F150)*E150</f>
        <v>1.4000000000000002E-2</v>
      </c>
      <c r="J150" s="314">
        <v>7.0000000000000007E-2</v>
      </c>
      <c r="K150" s="326">
        <f>+(J150/G150)</f>
        <v>1</v>
      </c>
      <c r="L150" s="315">
        <f>+K150*E150</f>
        <v>0.2</v>
      </c>
      <c r="M150" s="316">
        <f>+J150/F150</f>
        <v>7.0000000000000007E-2</v>
      </c>
      <c r="N150" s="317">
        <f>+M150*E150</f>
        <v>1.4000000000000002E-2</v>
      </c>
      <c r="O150" s="318" t="s">
        <v>1862</v>
      </c>
      <c r="P150" s="285"/>
      <c r="Q150" s="267"/>
      <c r="R150" s="267"/>
      <c r="S150" s="267"/>
    </row>
    <row r="151" spans="1:19" ht="93.6" customHeight="1" thickBot="1" x14ac:dyDescent="0.3">
      <c r="A151" s="271"/>
      <c r="B151" s="394" t="s">
        <v>600</v>
      </c>
      <c r="C151" s="395" t="s">
        <v>601</v>
      </c>
      <c r="D151" s="396" t="s">
        <v>569</v>
      </c>
      <c r="E151" s="310">
        <v>0.2</v>
      </c>
      <c r="F151" s="311">
        <v>1</v>
      </c>
      <c r="G151" s="314">
        <v>0.5</v>
      </c>
      <c r="H151" s="319">
        <f>+G151/F151</f>
        <v>0.5</v>
      </c>
      <c r="I151" s="319">
        <f>+(G151/F151)*E151</f>
        <v>0.1</v>
      </c>
      <c r="J151" s="314">
        <v>0.5</v>
      </c>
      <c r="K151" s="326">
        <f>+(J151/G151)</f>
        <v>1</v>
      </c>
      <c r="L151" s="315">
        <f>+K151*E151</f>
        <v>0.2</v>
      </c>
      <c r="M151" s="316">
        <f>+J151/F151</f>
        <v>0.5</v>
      </c>
      <c r="N151" s="317">
        <f>+M151*E151</f>
        <v>0.1</v>
      </c>
      <c r="O151" s="318" t="s">
        <v>1862</v>
      </c>
      <c r="P151" s="285"/>
      <c r="Q151" s="267"/>
      <c r="R151" s="267"/>
      <c r="S151" s="267"/>
    </row>
    <row r="152" spans="1:19" ht="73.150000000000006" customHeight="1" thickBot="1" x14ac:dyDescent="0.3">
      <c r="A152" s="271"/>
      <c r="B152" s="343" t="s">
        <v>602</v>
      </c>
      <c r="C152" s="344" t="s">
        <v>603</v>
      </c>
      <c r="D152" s="397" t="s">
        <v>569</v>
      </c>
      <c r="E152" s="310">
        <v>0.2</v>
      </c>
      <c r="F152" s="311">
        <v>1</v>
      </c>
      <c r="G152" s="314">
        <v>0</v>
      </c>
      <c r="H152" s="319"/>
      <c r="I152" s="319"/>
      <c r="J152" s="314"/>
      <c r="K152" s="326"/>
      <c r="L152" s="315"/>
      <c r="M152" s="316"/>
      <c r="N152" s="317"/>
      <c r="O152" s="318" t="s">
        <v>1862</v>
      </c>
      <c r="P152" s="285"/>
      <c r="Q152" s="267"/>
      <c r="R152" s="267"/>
      <c r="S152" s="267"/>
    </row>
    <row r="153" spans="1:19" ht="32.25" thickBot="1" x14ac:dyDescent="0.3">
      <c r="A153" s="271"/>
      <c r="B153" s="341" t="s">
        <v>604</v>
      </c>
      <c r="C153" s="342" t="s">
        <v>605</v>
      </c>
      <c r="D153" s="396" t="s">
        <v>569</v>
      </c>
      <c r="E153" s="310">
        <v>0.2</v>
      </c>
      <c r="F153" s="311">
        <v>1</v>
      </c>
      <c r="G153" s="314">
        <v>0</v>
      </c>
      <c r="H153" s="319"/>
      <c r="I153" s="319"/>
      <c r="J153" s="314"/>
      <c r="K153" s="326"/>
      <c r="L153" s="315"/>
      <c r="M153" s="316"/>
      <c r="N153" s="317"/>
      <c r="O153" s="318" t="s">
        <v>1862</v>
      </c>
      <c r="P153" s="285"/>
      <c r="Q153" s="267"/>
      <c r="R153" s="267"/>
      <c r="S153" s="267"/>
    </row>
    <row r="154" spans="1:19" ht="57" customHeight="1" thickBot="1" x14ac:dyDescent="0.3">
      <c r="A154" s="271"/>
      <c r="B154" s="705" t="s">
        <v>1676</v>
      </c>
      <c r="C154" s="707"/>
      <c r="D154" s="355"/>
      <c r="E154" s="297">
        <v>0.3</v>
      </c>
      <c r="F154" s="311"/>
      <c r="G154" s="314"/>
      <c r="H154" s="324">
        <f>+AVERAGE(H155:H159)</f>
        <v>0.25</v>
      </c>
      <c r="I154" s="324">
        <f>+I155+I156+I157+I158+I159</f>
        <v>0.23749999999999999</v>
      </c>
      <c r="J154" s="325"/>
      <c r="K154" s="303">
        <f>+AVERAGE(K155:K159)</f>
        <v>0.75</v>
      </c>
      <c r="L154" s="303">
        <f>+(L155+L156+L157+L158+L159)*E154</f>
        <v>0.19500000000000001</v>
      </c>
      <c r="M154" s="304">
        <f>+AVERAGE(M155:M159)</f>
        <v>0.1875</v>
      </c>
      <c r="N154" s="305">
        <f>+(N155+N156+N157+N158+N159)*E154</f>
        <v>4.8750000000000002E-2</v>
      </c>
      <c r="O154" s="306"/>
      <c r="P154" s="285"/>
      <c r="Q154" s="267"/>
      <c r="R154" s="267"/>
      <c r="S154" s="267"/>
    </row>
    <row r="155" spans="1:19" ht="79.150000000000006" customHeight="1" thickBot="1" x14ac:dyDescent="0.3">
      <c r="A155" s="271"/>
      <c r="B155" s="307" t="s">
        <v>606</v>
      </c>
      <c r="C155" s="329" t="s">
        <v>607</v>
      </c>
      <c r="D155" s="396" t="s">
        <v>569</v>
      </c>
      <c r="E155" s="310">
        <v>0.45</v>
      </c>
      <c r="F155" s="311">
        <f>16*4</f>
        <v>64</v>
      </c>
      <c r="G155" s="314">
        <v>16</v>
      </c>
      <c r="H155" s="319">
        <f>+G155/F155</f>
        <v>0.25</v>
      </c>
      <c r="I155" s="319">
        <f>+(G155/F155)*E155</f>
        <v>0.1125</v>
      </c>
      <c r="J155" s="314">
        <v>16</v>
      </c>
      <c r="K155" s="326">
        <v>1</v>
      </c>
      <c r="L155" s="315">
        <f>+K155*E155</f>
        <v>0.45</v>
      </c>
      <c r="M155" s="316">
        <f>+J155/F155</f>
        <v>0.25</v>
      </c>
      <c r="N155" s="317">
        <f>+M155*E155</f>
        <v>0.1125</v>
      </c>
      <c r="O155" s="318" t="s">
        <v>1862</v>
      </c>
      <c r="P155" s="285"/>
      <c r="Q155" s="267"/>
      <c r="R155" s="267"/>
      <c r="S155" s="267"/>
    </row>
    <row r="156" spans="1:19" ht="70.150000000000006" customHeight="1" thickBot="1" x14ac:dyDescent="0.3">
      <c r="A156" s="271"/>
      <c r="B156" s="307" t="s">
        <v>608</v>
      </c>
      <c r="C156" s="329" t="s">
        <v>609</v>
      </c>
      <c r="D156" s="398" t="s">
        <v>569</v>
      </c>
      <c r="E156" s="310">
        <v>0.3</v>
      </c>
      <c r="F156" s="311">
        <v>4</v>
      </c>
      <c r="G156" s="314">
        <v>1</v>
      </c>
      <c r="H156" s="319">
        <f>+G156/F156</f>
        <v>0.25</v>
      </c>
      <c r="I156" s="319">
        <f>+(G156/F156)*E156</f>
        <v>7.4999999999999997E-2</v>
      </c>
      <c r="J156" s="314">
        <v>0</v>
      </c>
      <c r="K156" s="326">
        <f>+(J156/G156)</f>
        <v>0</v>
      </c>
      <c r="L156" s="315">
        <f>+K156*E156</f>
        <v>0</v>
      </c>
      <c r="M156" s="316">
        <f>+J156/F156</f>
        <v>0</v>
      </c>
      <c r="N156" s="317">
        <f>+M156*E156</f>
        <v>0</v>
      </c>
      <c r="O156" s="318" t="s">
        <v>1862</v>
      </c>
      <c r="P156" s="285"/>
      <c r="Q156" s="267"/>
      <c r="R156" s="267"/>
      <c r="S156" s="267"/>
    </row>
    <row r="157" spans="1:19" ht="67.150000000000006" customHeight="1" thickBot="1" x14ac:dyDescent="0.3">
      <c r="A157" s="271"/>
      <c r="B157" s="307" t="s">
        <v>610</v>
      </c>
      <c r="C157" s="329" t="s">
        <v>611</v>
      </c>
      <c r="D157" s="398" t="s">
        <v>569</v>
      </c>
      <c r="E157" s="310">
        <v>0.1</v>
      </c>
      <c r="F157" s="311">
        <v>1</v>
      </c>
      <c r="G157" s="314">
        <v>0.25</v>
      </c>
      <c r="H157" s="319">
        <f>+G157/F157</f>
        <v>0.25</v>
      </c>
      <c r="I157" s="319">
        <f>+(G157/F157)*E157</f>
        <v>2.5000000000000001E-2</v>
      </c>
      <c r="J157" s="314">
        <v>0.25</v>
      </c>
      <c r="K157" s="326">
        <f>+(J157/G157)</f>
        <v>1</v>
      </c>
      <c r="L157" s="315">
        <f>+K157*E157</f>
        <v>0.1</v>
      </c>
      <c r="M157" s="316">
        <f>+J157/F157</f>
        <v>0.25</v>
      </c>
      <c r="N157" s="317">
        <f>+M157*E157</f>
        <v>2.5000000000000001E-2</v>
      </c>
      <c r="O157" s="318" t="s">
        <v>1862</v>
      </c>
      <c r="P157" s="285"/>
      <c r="Q157" s="267"/>
      <c r="R157" s="267"/>
      <c r="S157" s="267"/>
    </row>
    <row r="158" spans="1:19" ht="147.6" customHeight="1" thickBot="1" x14ac:dyDescent="0.3">
      <c r="A158" s="271"/>
      <c r="B158" s="307" t="s">
        <v>612</v>
      </c>
      <c r="C158" s="329" t="s">
        <v>613</v>
      </c>
      <c r="D158" s="398" t="s">
        <v>569</v>
      </c>
      <c r="E158" s="310">
        <v>0.1</v>
      </c>
      <c r="F158" s="311">
        <v>4</v>
      </c>
      <c r="G158" s="314">
        <v>1</v>
      </c>
      <c r="H158" s="319">
        <f>+G158/F158</f>
        <v>0.25</v>
      </c>
      <c r="I158" s="319">
        <f>+(G158/F158)*E158</f>
        <v>2.5000000000000001E-2</v>
      </c>
      <c r="J158" s="314">
        <v>1</v>
      </c>
      <c r="K158" s="326">
        <f>+(J158/G158)</f>
        <v>1</v>
      </c>
      <c r="L158" s="315">
        <f>+K158*E158</f>
        <v>0.1</v>
      </c>
      <c r="M158" s="316">
        <f>+J158/F158</f>
        <v>0.25</v>
      </c>
      <c r="N158" s="317">
        <f>+M158*E158</f>
        <v>2.5000000000000001E-2</v>
      </c>
      <c r="O158" s="318" t="s">
        <v>1862</v>
      </c>
      <c r="P158" s="285"/>
      <c r="Q158" s="267"/>
      <c r="R158" s="267"/>
      <c r="S158" s="267"/>
    </row>
    <row r="159" spans="1:19" ht="77.45" customHeight="1" thickBot="1" x14ac:dyDescent="0.3">
      <c r="A159" s="271"/>
      <c r="B159" s="307" t="s">
        <v>614</v>
      </c>
      <c r="C159" s="308" t="s">
        <v>615</v>
      </c>
      <c r="D159" s="398" t="s">
        <v>569</v>
      </c>
      <c r="E159" s="310">
        <v>0.05</v>
      </c>
      <c r="F159" s="311">
        <v>1</v>
      </c>
      <c r="G159" s="314">
        <v>0</v>
      </c>
      <c r="H159" s="319"/>
      <c r="I159" s="319"/>
      <c r="J159" s="314"/>
      <c r="K159" s="326"/>
      <c r="L159" s="315"/>
      <c r="M159" s="316"/>
      <c r="N159" s="317"/>
      <c r="O159" s="318" t="s">
        <v>1862</v>
      </c>
      <c r="P159" s="285"/>
      <c r="Q159" s="267"/>
      <c r="R159" s="267"/>
      <c r="S159" s="267"/>
    </row>
    <row r="160" spans="1:19" ht="57" customHeight="1" thickBot="1" x14ac:dyDescent="0.3">
      <c r="A160" s="271"/>
      <c r="B160" s="703" t="s">
        <v>1677</v>
      </c>
      <c r="C160" s="702"/>
      <c r="D160" s="309"/>
      <c r="E160" s="297">
        <v>0.15</v>
      </c>
      <c r="F160" s="311"/>
      <c r="G160" s="314"/>
      <c r="H160" s="324"/>
      <c r="I160" s="324"/>
      <c r="J160" s="325"/>
      <c r="K160" s="303"/>
      <c r="L160" s="303"/>
      <c r="M160" s="304"/>
      <c r="N160" s="305"/>
      <c r="O160" s="306"/>
      <c r="P160" s="285"/>
      <c r="Q160" s="267"/>
      <c r="R160" s="267"/>
      <c r="S160" s="267"/>
    </row>
    <row r="161" spans="1:19" ht="82.15" customHeight="1" thickBot="1" x14ac:dyDescent="0.3">
      <c r="A161" s="271"/>
      <c r="B161" s="307" t="s">
        <v>616</v>
      </c>
      <c r="C161" s="308" t="s">
        <v>617</v>
      </c>
      <c r="D161" s="391" t="s">
        <v>1556</v>
      </c>
      <c r="E161" s="310">
        <v>0.35</v>
      </c>
      <c r="F161" s="311">
        <v>640</v>
      </c>
      <c r="G161" s="314">
        <v>0</v>
      </c>
      <c r="H161" s="319"/>
      <c r="I161" s="319"/>
      <c r="J161" s="314"/>
      <c r="K161" s="315"/>
      <c r="L161" s="315"/>
      <c r="M161" s="316"/>
      <c r="N161" s="317"/>
      <c r="O161" s="318" t="s">
        <v>1862</v>
      </c>
      <c r="P161" s="285"/>
      <c r="Q161" s="267"/>
      <c r="R161" s="267"/>
      <c r="S161" s="267"/>
    </row>
    <row r="162" spans="1:19" ht="74.45" customHeight="1" thickBot="1" x14ac:dyDescent="0.3">
      <c r="A162" s="271"/>
      <c r="B162" s="307" t="s">
        <v>618</v>
      </c>
      <c r="C162" s="308" t="s">
        <v>619</v>
      </c>
      <c r="D162" s="391" t="s">
        <v>1556</v>
      </c>
      <c r="E162" s="310">
        <v>0.4</v>
      </c>
      <c r="F162" s="311">
        <v>2</v>
      </c>
      <c r="G162" s="314">
        <v>0</v>
      </c>
      <c r="H162" s="319"/>
      <c r="I162" s="319"/>
      <c r="J162" s="314"/>
      <c r="K162" s="315"/>
      <c r="L162" s="315"/>
      <c r="M162" s="316"/>
      <c r="N162" s="317"/>
      <c r="O162" s="318" t="s">
        <v>1862</v>
      </c>
      <c r="P162" s="285"/>
      <c r="Q162" s="267"/>
      <c r="R162" s="267"/>
      <c r="S162" s="267"/>
    </row>
    <row r="163" spans="1:19" ht="96" customHeight="1" thickBot="1" x14ac:dyDescent="0.3">
      <c r="A163" s="271"/>
      <c r="B163" s="307" t="s">
        <v>620</v>
      </c>
      <c r="C163" s="308" t="s">
        <v>621</v>
      </c>
      <c r="D163" s="391" t="s">
        <v>1556</v>
      </c>
      <c r="E163" s="310">
        <v>0.25</v>
      </c>
      <c r="F163" s="311">
        <v>1</v>
      </c>
      <c r="G163" s="314">
        <v>0</v>
      </c>
      <c r="H163" s="319"/>
      <c r="I163" s="319"/>
      <c r="J163" s="314"/>
      <c r="K163" s="315"/>
      <c r="L163" s="315"/>
      <c r="M163" s="316"/>
      <c r="N163" s="317"/>
      <c r="O163" s="318" t="s">
        <v>1862</v>
      </c>
      <c r="P163" s="285"/>
      <c r="Q163" s="267"/>
      <c r="R163" s="267"/>
      <c r="S163" s="267"/>
    </row>
    <row r="164" spans="1:19" ht="74.45" customHeight="1" thickBot="1" x14ac:dyDescent="0.3">
      <c r="A164" s="271"/>
      <c r="B164" s="710" t="s">
        <v>1678</v>
      </c>
      <c r="C164" s="709"/>
      <c r="D164" s="330"/>
      <c r="E164" s="367">
        <v>0.2</v>
      </c>
      <c r="F164" s="368">
        <f>+E164*L164</f>
        <v>0.1569418604651163</v>
      </c>
      <c r="G164" s="323"/>
      <c r="H164" s="399">
        <f>+(H165+H170+H173+H176+H182+H184+H187)/7</f>
        <v>0.23893651055292212</v>
      </c>
      <c r="I164" s="400">
        <f>+(I165+I170+I173+I176+I182+I184+I187)/7</f>
        <v>0.22368966475650506</v>
      </c>
      <c r="J164" s="323"/>
      <c r="K164" s="371">
        <f>+(K165+K170+K173+K176+K182+K184+K187)/7</f>
        <v>0.91621262458471764</v>
      </c>
      <c r="L164" s="379">
        <f>L165+L170+L173+L176+L182+L184+L187</f>
        <v>0.78470930232558145</v>
      </c>
      <c r="M164" s="294">
        <f>(M165+M170+M173+M176+M182+M184+M187)/7</f>
        <v>0.26532184592777297</v>
      </c>
      <c r="N164" s="380">
        <f>(N165+N170+N173+N176+N182+N184+N187)</f>
        <v>0.20257591878811407</v>
      </c>
      <c r="O164" s="296"/>
      <c r="P164" s="285"/>
      <c r="Q164" s="267"/>
      <c r="R164" s="267"/>
      <c r="S164" s="267"/>
    </row>
    <row r="165" spans="1:19" ht="86.25" customHeight="1" thickBot="1" x14ac:dyDescent="0.3">
      <c r="A165" s="271"/>
      <c r="B165" s="711" t="s">
        <v>1679</v>
      </c>
      <c r="C165" s="712"/>
      <c r="D165" s="335"/>
      <c r="E165" s="297">
        <v>0.35</v>
      </c>
      <c r="F165" s="311"/>
      <c r="G165" s="323"/>
      <c r="H165" s="324">
        <f>+AVERAGE(H166:H169)</f>
        <v>0.3125</v>
      </c>
      <c r="I165" s="324">
        <f>+I166+I167+I168+I169</f>
        <v>0.3125</v>
      </c>
      <c r="J165" s="325"/>
      <c r="K165" s="303">
        <f>+AVERAGE(K166:K169)</f>
        <v>0.51</v>
      </c>
      <c r="L165" s="303">
        <f>+(L166+L167+L168+L169)*E165</f>
        <v>0.17849999999999999</v>
      </c>
      <c r="M165" s="304">
        <f>+AVERAGE(M166:M169)</f>
        <v>0.17541666666666667</v>
      </c>
      <c r="N165" s="305">
        <f>+(N166+N167+N168+N169)*E165</f>
        <v>6.139583333333333E-2</v>
      </c>
      <c r="O165" s="306"/>
      <c r="P165" s="285"/>
      <c r="Q165" s="267"/>
      <c r="R165" s="267"/>
      <c r="S165" s="267"/>
    </row>
    <row r="166" spans="1:19" ht="53.45" customHeight="1" thickBot="1" x14ac:dyDescent="0.3">
      <c r="A166" s="271"/>
      <c r="B166" s="343" t="s">
        <v>622</v>
      </c>
      <c r="C166" s="344" t="s">
        <v>623</v>
      </c>
      <c r="D166" s="397" t="s">
        <v>624</v>
      </c>
      <c r="E166" s="310">
        <v>0.25</v>
      </c>
      <c r="F166" s="311">
        <v>12</v>
      </c>
      <c r="G166" s="314">
        <v>3</v>
      </c>
      <c r="H166" s="319">
        <f>+G166/F166</f>
        <v>0.25</v>
      </c>
      <c r="I166" s="319">
        <f>+(G166/F166)*E166</f>
        <v>6.25E-2</v>
      </c>
      <c r="J166" s="314">
        <v>0</v>
      </c>
      <c r="K166" s="315">
        <f>+(J166/G166)</f>
        <v>0</v>
      </c>
      <c r="L166" s="315">
        <f>+K166*E166</f>
        <v>0</v>
      </c>
      <c r="M166" s="316">
        <f>+J166/F166</f>
        <v>0</v>
      </c>
      <c r="N166" s="317">
        <f>+M166*E166</f>
        <v>0</v>
      </c>
      <c r="O166" s="318" t="s">
        <v>1862</v>
      </c>
      <c r="P166" s="285"/>
      <c r="Q166" s="267"/>
      <c r="R166" s="267"/>
      <c r="S166" s="267"/>
    </row>
    <row r="167" spans="1:19" ht="56.45" customHeight="1" thickBot="1" x14ac:dyDescent="0.3">
      <c r="A167" s="271"/>
      <c r="B167" s="341" t="s">
        <v>625</v>
      </c>
      <c r="C167" s="342" t="s">
        <v>626</v>
      </c>
      <c r="D167" s="396" t="s">
        <v>624</v>
      </c>
      <c r="E167" s="310">
        <v>0.25</v>
      </c>
      <c r="F167" s="311">
        <v>1</v>
      </c>
      <c r="G167" s="314">
        <v>0.5</v>
      </c>
      <c r="H167" s="319">
        <f>+G167/F167</f>
        <v>0.5</v>
      </c>
      <c r="I167" s="319">
        <f>+(G167/F167)*E167</f>
        <v>0.125</v>
      </c>
      <c r="J167" s="314">
        <v>0.27</v>
      </c>
      <c r="K167" s="315">
        <f>+(J167/G167)</f>
        <v>0.54</v>
      </c>
      <c r="L167" s="315">
        <f>+K167*E167</f>
        <v>0.13500000000000001</v>
      </c>
      <c r="M167" s="316">
        <f>+J167/F167</f>
        <v>0.27</v>
      </c>
      <c r="N167" s="401">
        <f>+M167*E167</f>
        <v>6.7500000000000004E-2</v>
      </c>
      <c r="O167" s="318" t="s">
        <v>1862</v>
      </c>
      <c r="P167" s="285"/>
      <c r="Q167" s="267"/>
      <c r="R167" s="267"/>
      <c r="S167" s="267"/>
    </row>
    <row r="168" spans="1:19" ht="44.45" customHeight="1" thickBot="1" x14ac:dyDescent="0.3">
      <c r="A168" s="271"/>
      <c r="B168" s="341" t="s">
        <v>627</v>
      </c>
      <c r="C168" s="402" t="s">
        <v>628</v>
      </c>
      <c r="D168" s="396" t="s">
        <v>624</v>
      </c>
      <c r="E168" s="310">
        <v>0.25</v>
      </c>
      <c r="F168" s="311">
        <v>16</v>
      </c>
      <c r="G168" s="314">
        <v>4</v>
      </c>
      <c r="H168" s="319">
        <f>+G168/F168</f>
        <v>0.25</v>
      </c>
      <c r="I168" s="319">
        <f>+(G168/F168)*E168</f>
        <v>6.25E-2</v>
      </c>
      <c r="J168" s="314">
        <v>2</v>
      </c>
      <c r="K168" s="315">
        <f>+(J168/G168)</f>
        <v>0.5</v>
      </c>
      <c r="L168" s="315">
        <f>+K168*E168</f>
        <v>0.125</v>
      </c>
      <c r="M168" s="316">
        <f>+J168/F168</f>
        <v>0.125</v>
      </c>
      <c r="N168" s="401">
        <f>+M168*E168</f>
        <v>3.125E-2</v>
      </c>
      <c r="O168" s="318" t="s">
        <v>1862</v>
      </c>
      <c r="P168" s="285"/>
      <c r="Q168" s="267"/>
      <c r="R168" s="267"/>
      <c r="S168" s="267"/>
    </row>
    <row r="169" spans="1:19" ht="78" customHeight="1" thickBot="1" x14ac:dyDescent="0.3">
      <c r="A169" s="271"/>
      <c r="B169" s="341" t="s">
        <v>629</v>
      </c>
      <c r="C169" s="402" t="s">
        <v>630</v>
      </c>
      <c r="D169" s="396" t="s">
        <v>624</v>
      </c>
      <c r="E169" s="310">
        <v>0.25</v>
      </c>
      <c r="F169" s="311">
        <v>1200</v>
      </c>
      <c r="G169" s="314">
        <v>300</v>
      </c>
      <c r="H169" s="319">
        <f>+G169/F169</f>
        <v>0.25</v>
      </c>
      <c r="I169" s="319">
        <f>+(G169/F169)*E169</f>
        <v>6.25E-2</v>
      </c>
      <c r="J169" s="314">
        <v>368</v>
      </c>
      <c r="K169" s="315">
        <v>1</v>
      </c>
      <c r="L169" s="315">
        <f>+K169*E169</f>
        <v>0.25</v>
      </c>
      <c r="M169" s="316">
        <f>+J169/F169</f>
        <v>0.30666666666666664</v>
      </c>
      <c r="N169" s="401">
        <f>+M169*E169</f>
        <v>7.6666666666666661E-2</v>
      </c>
      <c r="O169" s="318" t="s">
        <v>1862</v>
      </c>
      <c r="P169" s="285"/>
      <c r="Q169" s="267"/>
      <c r="R169" s="267"/>
      <c r="S169" s="267"/>
    </row>
    <row r="170" spans="1:19" ht="42.75" customHeight="1" thickBot="1" x14ac:dyDescent="0.3">
      <c r="A170" s="271"/>
      <c r="B170" s="705" t="s">
        <v>1680</v>
      </c>
      <c r="C170" s="707"/>
      <c r="D170" s="355"/>
      <c r="E170" s="297">
        <v>0.2</v>
      </c>
      <c r="F170" s="311"/>
      <c r="G170" s="314"/>
      <c r="H170" s="324">
        <f>+AVERAGE(H171:H172)</f>
        <v>3.2271422261484099E-2</v>
      </c>
      <c r="I170" s="324">
        <f>+I171+I172</f>
        <v>2.6429991166077735E-2</v>
      </c>
      <c r="J170" s="325"/>
      <c r="K170" s="303">
        <f>+AVERAGE(K171:K173)</f>
        <v>0.95000000000000007</v>
      </c>
      <c r="L170" s="303">
        <f>+(L171+L172)*E170</f>
        <v>0.17900000000000002</v>
      </c>
      <c r="M170" s="304">
        <f>+AVERAGE(M171:M172)</f>
        <v>3.7196333922261481E-2</v>
      </c>
      <c r="N170" s="376">
        <f>+(N171+N172)*E170</f>
        <v>5.6649734982332153E-3</v>
      </c>
      <c r="O170" s="285"/>
      <c r="P170" s="285"/>
      <c r="Q170" s="267"/>
      <c r="R170" s="267"/>
      <c r="S170" s="267"/>
    </row>
    <row r="171" spans="1:19" ht="81.599999999999994" customHeight="1" thickBot="1" x14ac:dyDescent="0.3">
      <c r="A171" s="271"/>
      <c r="B171" s="307" t="s">
        <v>631</v>
      </c>
      <c r="C171" s="329" t="s">
        <v>632</v>
      </c>
      <c r="D171" s="398" t="s">
        <v>624</v>
      </c>
      <c r="E171" s="310">
        <v>0.7</v>
      </c>
      <c r="F171" s="311">
        <v>1132</v>
      </c>
      <c r="G171" s="314">
        <v>20</v>
      </c>
      <c r="H171" s="319">
        <f>+G171/F171</f>
        <v>1.7667844522968199E-2</v>
      </c>
      <c r="I171" s="319">
        <f>+(G171/F171)*E171</f>
        <v>1.2367491166077738E-2</v>
      </c>
      <c r="J171" s="314">
        <v>17</v>
      </c>
      <c r="K171" s="315">
        <f>+(J171/G171)</f>
        <v>0.85</v>
      </c>
      <c r="L171" s="315">
        <f>+K171*E171</f>
        <v>0.59499999999999997</v>
      </c>
      <c r="M171" s="316">
        <f>+J171/F171</f>
        <v>1.5017667844522967E-2</v>
      </c>
      <c r="N171" s="321">
        <f>+M171*E171</f>
        <v>1.0512367491166076E-2</v>
      </c>
      <c r="O171" s="318" t="s">
        <v>1862</v>
      </c>
      <c r="P171" s="285"/>
      <c r="Q171" s="267"/>
      <c r="R171" s="267"/>
      <c r="S171" s="267"/>
    </row>
    <row r="172" spans="1:19" ht="88.15" customHeight="1" thickBot="1" x14ac:dyDescent="0.3">
      <c r="A172" s="271"/>
      <c r="B172" s="307" t="s">
        <v>633</v>
      </c>
      <c r="C172" s="329" t="s">
        <v>634</v>
      </c>
      <c r="D172" s="403" t="s">
        <v>624</v>
      </c>
      <c r="E172" s="310">
        <v>0.3</v>
      </c>
      <c r="F172" s="311">
        <v>320</v>
      </c>
      <c r="G172" s="314">
        <v>15</v>
      </c>
      <c r="H172" s="319">
        <f>+G172/F172</f>
        <v>4.6875E-2</v>
      </c>
      <c r="I172" s="319">
        <f>+(G172/F172)*E172</f>
        <v>1.4062499999999999E-2</v>
      </c>
      <c r="J172" s="314">
        <v>19</v>
      </c>
      <c r="K172" s="315">
        <v>1</v>
      </c>
      <c r="L172" s="315">
        <f>+K172*E172</f>
        <v>0.3</v>
      </c>
      <c r="M172" s="316">
        <f>+J172/F172</f>
        <v>5.9374999999999997E-2</v>
      </c>
      <c r="N172" s="317">
        <f>+M172*E172</f>
        <v>1.7812499999999998E-2</v>
      </c>
      <c r="O172" s="318" t="s">
        <v>1862</v>
      </c>
      <c r="P172" s="285"/>
      <c r="Q172" s="267"/>
      <c r="R172" s="267"/>
      <c r="S172" s="267"/>
    </row>
    <row r="173" spans="1:19" ht="86.25" customHeight="1" thickBot="1" x14ac:dyDescent="0.3">
      <c r="A173" s="271"/>
      <c r="B173" s="708" t="s">
        <v>1681</v>
      </c>
      <c r="C173" s="709"/>
      <c r="D173" s="334"/>
      <c r="E173" s="297">
        <v>0.1</v>
      </c>
      <c r="F173" s="311"/>
      <c r="G173" s="314"/>
      <c r="H173" s="324">
        <f>+AVERAGE(H174:H175)</f>
        <v>0.25058139534883722</v>
      </c>
      <c r="I173" s="324">
        <f>+I174+I175</f>
        <v>0.2508139534883721</v>
      </c>
      <c r="J173" s="325"/>
      <c r="K173" s="303">
        <f>+AVERAGE(K174:K175)</f>
        <v>1</v>
      </c>
      <c r="L173" s="303">
        <f>+(L174+L175)*E173</f>
        <v>0.1</v>
      </c>
      <c r="M173" s="304">
        <f>+AVERAGE(M174:M175)</f>
        <v>0.33380620155038759</v>
      </c>
      <c r="N173" s="305">
        <f>+(N174+N175)*E173</f>
        <v>3.3399534883720931E-2</v>
      </c>
      <c r="O173" s="306"/>
      <c r="P173" s="285"/>
      <c r="Q173" s="267"/>
      <c r="R173" s="267"/>
      <c r="S173" s="267"/>
    </row>
    <row r="174" spans="1:19" ht="61.15" customHeight="1" thickBot="1" x14ac:dyDescent="0.3">
      <c r="A174" s="271"/>
      <c r="B174" s="341" t="s">
        <v>635</v>
      </c>
      <c r="C174" s="342" t="s">
        <v>636</v>
      </c>
      <c r="D174" s="396" t="s">
        <v>624</v>
      </c>
      <c r="E174" s="310">
        <v>0.7</v>
      </c>
      <c r="F174" s="311">
        <v>21500</v>
      </c>
      <c r="G174" s="314">
        <v>5400</v>
      </c>
      <c r="H174" s="319">
        <f>+G174/F174</f>
        <v>0.25116279069767444</v>
      </c>
      <c r="I174" s="319">
        <f>+(G174/F174)*E174</f>
        <v>0.17581395348837209</v>
      </c>
      <c r="J174" s="314">
        <v>7187</v>
      </c>
      <c r="K174" s="315">
        <v>1</v>
      </c>
      <c r="L174" s="315">
        <f>+K174*E174</f>
        <v>0.7</v>
      </c>
      <c r="M174" s="316">
        <f>+J174/F174</f>
        <v>0.33427906976744187</v>
      </c>
      <c r="N174" s="317">
        <f>+M174*E174</f>
        <v>0.23399534883720929</v>
      </c>
      <c r="O174" s="318" t="s">
        <v>1862</v>
      </c>
      <c r="P174" s="285"/>
      <c r="Q174" s="267"/>
      <c r="R174" s="267"/>
      <c r="S174" s="267"/>
    </row>
    <row r="175" spans="1:19" ht="71.45" customHeight="1" thickBot="1" x14ac:dyDescent="0.3">
      <c r="A175" s="271"/>
      <c r="B175" s="404" t="s">
        <v>637</v>
      </c>
      <c r="C175" s="339" t="s">
        <v>638</v>
      </c>
      <c r="D175" s="396" t="s">
        <v>624</v>
      </c>
      <c r="E175" s="310">
        <v>0.3</v>
      </c>
      <c r="F175" s="311">
        <v>12</v>
      </c>
      <c r="G175" s="314">
        <v>3</v>
      </c>
      <c r="H175" s="319">
        <f>+G175/F175</f>
        <v>0.25</v>
      </c>
      <c r="I175" s="319">
        <f>+(G175/F175)*E175</f>
        <v>7.4999999999999997E-2</v>
      </c>
      <c r="J175" s="314">
        <v>4</v>
      </c>
      <c r="K175" s="315">
        <v>1</v>
      </c>
      <c r="L175" s="315">
        <f>+K175*E175</f>
        <v>0.3</v>
      </c>
      <c r="M175" s="316">
        <f>+J175/F175</f>
        <v>0.33333333333333331</v>
      </c>
      <c r="N175" s="317">
        <f>+M175*E175</f>
        <v>9.9999999999999992E-2</v>
      </c>
      <c r="O175" s="318" t="s">
        <v>1862</v>
      </c>
      <c r="P175" s="285"/>
      <c r="Q175" s="267"/>
      <c r="R175" s="267"/>
      <c r="S175" s="267"/>
    </row>
    <row r="176" spans="1:19" ht="86.25" customHeight="1" thickBot="1" x14ac:dyDescent="0.3">
      <c r="A176" s="271"/>
      <c r="B176" s="711" t="s">
        <v>1682</v>
      </c>
      <c r="C176" s="712"/>
      <c r="D176" s="335"/>
      <c r="E176" s="297">
        <v>0.1</v>
      </c>
      <c r="F176" s="311"/>
      <c r="G176" s="314"/>
      <c r="H176" s="324">
        <f>+AVERAGE(H177:H181)</f>
        <v>0.40547619047619043</v>
      </c>
      <c r="I176" s="324">
        <f>+I177+I178+I179+I180+I181</f>
        <v>0.29269047619047617</v>
      </c>
      <c r="J176" s="325"/>
      <c r="K176" s="303">
        <f>+AVERAGE(K177:K181)</f>
        <v>0.95348837209302328</v>
      </c>
      <c r="L176" s="303">
        <f>+(L177+L178+L179+L180+L181)*E176</f>
        <v>7.7209302325581403E-2</v>
      </c>
      <c r="M176" s="304">
        <f>+AVERAGE(M177:M181)</f>
        <v>0.36753669154228857</v>
      </c>
      <c r="N176" s="305">
        <f>+(N177+N178+N179+N180+N181)*E176</f>
        <v>2.7086664889836534E-2</v>
      </c>
      <c r="O176" s="306"/>
      <c r="P176" s="285"/>
      <c r="Q176" s="267"/>
      <c r="R176" s="267"/>
      <c r="S176" s="267"/>
    </row>
    <row r="177" spans="1:19" ht="98.45" customHeight="1" thickBot="1" x14ac:dyDescent="0.3">
      <c r="A177" s="271"/>
      <c r="B177" s="343" t="s">
        <v>639</v>
      </c>
      <c r="C177" s="344" t="s">
        <v>640</v>
      </c>
      <c r="D177" s="397" t="s">
        <v>624</v>
      </c>
      <c r="E177" s="310">
        <v>0.3</v>
      </c>
      <c r="F177" s="311">
        <v>26800</v>
      </c>
      <c r="G177" s="405">
        <v>6700</v>
      </c>
      <c r="H177" s="319">
        <f>+G177/F177</f>
        <v>0.25</v>
      </c>
      <c r="I177" s="319">
        <f>+(G177/F177)*E177</f>
        <v>7.4999999999999997E-2</v>
      </c>
      <c r="J177" s="406">
        <v>6762</v>
      </c>
      <c r="K177" s="326">
        <v>1</v>
      </c>
      <c r="L177" s="315">
        <f>+K177*E177</f>
        <v>0.3</v>
      </c>
      <c r="M177" s="316">
        <f>+J177/F177</f>
        <v>0.25231343283582092</v>
      </c>
      <c r="N177" s="317">
        <f>+M177*E177</f>
        <v>7.5694029850746275E-2</v>
      </c>
      <c r="O177" s="318" t="s">
        <v>1862</v>
      </c>
      <c r="P177" s="285"/>
      <c r="Q177" s="267"/>
      <c r="R177" s="267"/>
      <c r="S177" s="267"/>
    </row>
    <row r="178" spans="1:19" ht="73.900000000000006" customHeight="1" thickBot="1" x14ac:dyDescent="0.3">
      <c r="A178" s="271"/>
      <c r="B178" s="341" t="s">
        <v>641</v>
      </c>
      <c r="C178" s="342" t="s">
        <v>642</v>
      </c>
      <c r="D178" s="396" t="s">
        <v>624</v>
      </c>
      <c r="E178" s="310">
        <v>0.1</v>
      </c>
      <c r="F178" s="311">
        <f>(51*4)+ (6)</f>
        <v>210</v>
      </c>
      <c r="G178" s="314">
        <v>55</v>
      </c>
      <c r="H178" s="319">
        <f>+G178/F178</f>
        <v>0.26190476190476192</v>
      </c>
      <c r="I178" s="319">
        <f>+(G178/F178)*E178</f>
        <v>2.6190476190476195E-2</v>
      </c>
      <c r="J178" s="314">
        <v>55</v>
      </c>
      <c r="K178" s="326">
        <f>+(J178/G178)</f>
        <v>1</v>
      </c>
      <c r="L178" s="315">
        <f>+K178*E178</f>
        <v>0.1</v>
      </c>
      <c r="M178" s="316">
        <f>+J178/F178</f>
        <v>0.26190476190476192</v>
      </c>
      <c r="N178" s="317">
        <f>+M178*E178</f>
        <v>2.6190476190476195E-2</v>
      </c>
      <c r="O178" s="318" t="s">
        <v>1862</v>
      </c>
      <c r="P178" s="285"/>
      <c r="Q178" s="267"/>
      <c r="R178" s="267"/>
      <c r="S178" s="267"/>
    </row>
    <row r="179" spans="1:19" ht="60.6" customHeight="1" thickBot="1" x14ac:dyDescent="0.3">
      <c r="A179" s="271"/>
      <c r="B179" s="343" t="s">
        <v>643</v>
      </c>
      <c r="C179" s="344" t="s">
        <v>644</v>
      </c>
      <c r="D179" s="397" t="s">
        <v>645</v>
      </c>
      <c r="E179" s="310">
        <v>0.2</v>
      </c>
      <c r="F179" s="311">
        <v>4</v>
      </c>
      <c r="G179" s="314">
        <v>0</v>
      </c>
      <c r="H179" s="319"/>
      <c r="I179" s="319"/>
      <c r="J179" s="314"/>
      <c r="K179" s="326"/>
      <c r="L179" s="315"/>
      <c r="M179" s="316"/>
      <c r="N179" s="317"/>
      <c r="O179" s="318" t="s">
        <v>1862</v>
      </c>
      <c r="P179" s="285"/>
      <c r="Q179" s="267"/>
      <c r="R179" s="267"/>
      <c r="S179" s="267"/>
    </row>
    <row r="180" spans="1:19" ht="97.9" customHeight="1" thickBot="1" x14ac:dyDescent="0.3">
      <c r="A180" s="271"/>
      <c r="B180" s="341" t="s">
        <v>646</v>
      </c>
      <c r="C180" s="342" t="s">
        <v>647</v>
      </c>
      <c r="D180" s="396" t="s">
        <v>624</v>
      </c>
      <c r="E180" s="310">
        <v>0.25</v>
      </c>
      <c r="F180" s="311">
        <v>28000</v>
      </c>
      <c r="G180" s="314">
        <v>7000</v>
      </c>
      <c r="H180" s="319">
        <f>+G180/F180</f>
        <v>0.25</v>
      </c>
      <c r="I180" s="319">
        <f>+(G180/F180)*E180</f>
        <v>6.25E-2</v>
      </c>
      <c r="J180" s="314">
        <v>7166</v>
      </c>
      <c r="K180" s="315">
        <v>1</v>
      </c>
      <c r="L180" s="315">
        <f>+K180*E180</f>
        <v>0.25</v>
      </c>
      <c r="M180" s="316">
        <f>+J180/F180</f>
        <v>0.25592857142857145</v>
      </c>
      <c r="N180" s="317">
        <f>+M180*E180</f>
        <v>6.3982142857142862E-2</v>
      </c>
      <c r="O180" s="318" t="s">
        <v>1862</v>
      </c>
      <c r="P180" s="285"/>
      <c r="Q180" s="267"/>
      <c r="R180" s="267"/>
      <c r="S180" s="267"/>
    </row>
    <row r="181" spans="1:19" ht="96.6" customHeight="1" thickBot="1" x14ac:dyDescent="0.3">
      <c r="A181" s="271"/>
      <c r="B181" s="407" t="s">
        <v>648</v>
      </c>
      <c r="C181" s="408" t="s">
        <v>649</v>
      </c>
      <c r="D181" s="409" t="s">
        <v>645</v>
      </c>
      <c r="E181" s="310">
        <v>0.15</v>
      </c>
      <c r="F181" s="311">
        <v>200</v>
      </c>
      <c r="G181" s="314">
        <v>172</v>
      </c>
      <c r="H181" s="319">
        <f>+G181/F181</f>
        <v>0.86</v>
      </c>
      <c r="I181" s="319">
        <f>+(G181/F181)*E181</f>
        <v>0.129</v>
      </c>
      <c r="J181" s="314">
        <v>140</v>
      </c>
      <c r="K181" s="315">
        <f>+(J181/G181)</f>
        <v>0.81395348837209303</v>
      </c>
      <c r="L181" s="315">
        <f>+K181*E181</f>
        <v>0.12209302325581395</v>
      </c>
      <c r="M181" s="316">
        <f>+J181/F181</f>
        <v>0.7</v>
      </c>
      <c r="N181" s="317">
        <f>+M181*E181</f>
        <v>0.105</v>
      </c>
      <c r="O181" s="318" t="s">
        <v>1862</v>
      </c>
      <c r="P181" s="285"/>
      <c r="Q181" s="267"/>
      <c r="R181" s="267"/>
      <c r="S181" s="267"/>
    </row>
    <row r="182" spans="1:19" ht="86.25" customHeight="1" thickBot="1" x14ac:dyDescent="0.3">
      <c r="A182" s="271"/>
      <c r="B182" s="703" t="s">
        <v>1683</v>
      </c>
      <c r="C182" s="704"/>
      <c r="D182" s="355"/>
      <c r="E182" s="297">
        <v>0.1</v>
      </c>
      <c r="F182" s="311"/>
      <c r="G182" s="314"/>
      <c r="H182" s="324">
        <f>+AVERAGE(H183)</f>
        <v>0.25409836065573771</v>
      </c>
      <c r="I182" s="324">
        <f>+I183</f>
        <v>0.25409836065573771</v>
      </c>
      <c r="J182" s="325"/>
      <c r="K182" s="303">
        <f>+AVERAGE(K183)</f>
        <v>1</v>
      </c>
      <c r="L182" s="303">
        <f>+(L183)*E182</f>
        <v>0.1</v>
      </c>
      <c r="M182" s="304">
        <f>+AVERAGE(M183)</f>
        <v>0.25537704918032789</v>
      </c>
      <c r="N182" s="305">
        <f>+(N183)*E182</f>
        <v>2.553770491803279E-2</v>
      </c>
      <c r="O182" s="306"/>
      <c r="P182" s="285"/>
      <c r="Q182" s="267"/>
      <c r="R182" s="267"/>
      <c r="S182" s="267"/>
    </row>
    <row r="183" spans="1:19" ht="72" customHeight="1" thickBot="1" x14ac:dyDescent="0.3">
      <c r="A183" s="271"/>
      <c r="B183" s="307" t="s">
        <v>650</v>
      </c>
      <c r="C183" s="329" t="s">
        <v>651</v>
      </c>
      <c r="D183" s="398" t="s">
        <v>624</v>
      </c>
      <c r="E183" s="310">
        <v>1</v>
      </c>
      <c r="F183" s="311">
        <v>61000</v>
      </c>
      <c r="G183" s="314">
        <v>15500</v>
      </c>
      <c r="H183" s="319">
        <f>+G183/F183</f>
        <v>0.25409836065573771</v>
      </c>
      <c r="I183" s="319">
        <f>+(G183/F183)*E183</f>
        <v>0.25409836065573771</v>
      </c>
      <c r="J183" s="314">
        <v>15578</v>
      </c>
      <c r="K183" s="315">
        <v>1</v>
      </c>
      <c r="L183" s="315">
        <f>+K183*E183</f>
        <v>1</v>
      </c>
      <c r="M183" s="316">
        <f>+J183/F183</f>
        <v>0.25537704918032789</v>
      </c>
      <c r="N183" s="317">
        <f>+M183*E183</f>
        <v>0.25537704918032789</v>
      </c>
      <c r="O183" s="318" t="s">
        <v>1862</v>
      </c>
      <c r="P183" s="285"/>
      <c r="Q183" s="267"/>
      <c r="R183" s="267"/>
      <c r="S183" s="267"/>
    </row>
    <row r="184" spans="1:19" ht="129" customHeight="1" thickBot="1" x14ac:dyDescent="0.3">
      <c r="A184" s="271"/>
      <c r="B184" s="703" t="s">
        <v>1684</v>
      </c>
      <c r="C184" s="704"/>
      <c r="D184" s="356"/>
      <c r="E184" s="297">
        <v>0.1</v>
      </c>
      <c r="F184" s="311"/>
      <c r="G184" s="314"/>
      <c r="H184" s="324">
        <f>+AVERAGE(H185:H186)</f>
        <v>0.25</v>
      </c>
      <c r="I184" s="324">
        <f>+I185+I186</f>
        <v>0.25</v>
      </c>
      <c r="J184" s="325"/>
      <c r="K184" s="303">
        <f>+AVERAGE(K185:K187)</f>
        <v>1</v>
      </c>
      <c r="L184" s="303">
        <f>+(L185+L186)*E184</f>
        <v>0.1</v>
      </c>
      <c r="M184" s="304">
        <f>+AVERAGE(M185:M186)</f>
        <v>0.30041388888888887</v>
      </c>
      <c r="N184" s="305">
        <f>+(N185+N186)*E184</f>
        <v>3.0235694444444447E-2</v>
      </c>
      <c r="O184" s="306"/>
      <c r="P184" s="285"/>
      <c r="Q184" s="267"/>
      <c r="R184" s="267"/>
      <c r="S184" s="267"/>
    </row>
    <row r="185" spans="1:19" ht="87" customHeight="1" thickBot="1" x14ac:dyDescent="0.3">
      <c r="A185" s="271"/>
      <c r="B185" s="307" t="s">
        <v>652</v>
      </c>
      <c r="C185" s="329" t="s">
        <v>653</v>
      </c>
      <c r="D185" s="398" t="s">
        <v>624</v>
      </c>
      <c r="E185" s="310">
        <v>0.55000000000000004</v>
      </c>
      <c r="F185" s="311">
        <v>180000</v>
      </c>
      <c r="G185" s="314">
        <v>45000</v>
      </c>
      <c r="H185" s="319">
        <f>+G185/F185</f>
        <v>0.25</v>
      </c>
      <c r="I185" s="319">
        <f>+(G185/F185)*E185</f>
        <v>0.13750000000000001</v>
      </c>
      <c r="J185" s="405">
        <v>57572</v>
      </c>
      <c r="K185" s="315">
        <v>1</v>
      </c>
      <c r="L185" s="315">
        <f>+K185*E185</f>
        <v>0.55000000000000004</v>
      </c>
      <c r="M185" s="316">
        <f>+J185/F185</f>
        <v>0.31984444444444443</v>
      </c>
      <c r="N185" s="317">
        <f>+M185*E185</f>
        <v>0.17591444444444446</v>
      </c>
      <c r="O185" s="318" t="s">
        <v>1862</v>
      </c>
      <c r="P185" s="285"/>
      <c r="Q185" s="267"/>
      <c r="R185" s="267"/>
      <c r="S185" s="267"/>
    </row>
    <row r="186" spans="1:19" ht="84" customHeight="1" thickBot="1" x14ac:dyDescent="0.3">
      <c r="A186" s="271"/>
      <c r="B186" s="307" t="s">
        <v>654</v>
      </c>
      <c r="C186" s="329" t="s">
        <v>655</v>
      </c>
      <c r="D186" s="398" t="s">
        <v>624</v>
      </c>
      <c r="E186" s="310">
        <v>0.45</v>
      </c>
      <c r="F186" s="311">
        <v>120000</v>
      </c>
      <c r="G186" s="314">
        <v>30000</v>
      </c>
      <c r="H186" s="319">
        <f>+G186/F186</f>
        <v>0.25</v>
      </c>
      <c r="I186" s="319">
        <f>+(G186/F186)*E186</f>
        <v>0.1125</v>
      </c>
      <c r="J186" s="406">
        <v>33718</v>
      </c>
      <c r="K186" s="315">
        <v>1</v>
      </c>
      <c r="L186" s="315">
        <f>+K186*E186</f>
        <v>0.45</v>
      </c>
      <c r="M186" s="316">
        <f>+J186/F186</f>
        <v>0.28098333333333331</v>
      </c>
      <c r="N186" s="317">
        <f>+M186*E186</f>
        <v>0.12644249999999999</v>
      </c>
      <c r="O186" s="318" t="s">
        <v>1862</v>
      </c>
      <c r="P186" s="285"/>
      <c r="Q186" s="267"/>
      <c r="R186" s="267"/>
      <c r="S186" s="267"/>
    </row>
    <row r="187" spans="1:19" ht="42.75" customHeight="1" thickBot="1" x14ac:dyDescent="0.3">
      <c r="A187" s="271"/>
      <c r="B187" s="703" t="s">
        <v>1685</v>
      </c>
      <c r="C187" s="704"/>
      <c r="D187" s="356"/>
      <c r="E187" s="297">
        <v>0.05</v>
      </c>
      <c r="F187" s="311"/>
      <c r="G187" s="314"/>
      <c r="H187" s="324">
        <f>+AVERAGE(H188:H191)</f>
        <v>0.16762820512820512</v>
      </c>
      <c r="I187" s="324">
        <f>+I188+I189+I190+I191</f>
        <v>0.1792948717948718</v>
      </c>
      <c r="J187" s="325"/>
      <c r="K187" s="303">
        <f>+AVERAGE(K188:K191)</f>
        <v>1</v>
      </c>
      <c r="L187" s="303">
        <f>+(L188+L189+L190+L191)*E187</f>
        <v>0.05</v>
      </c>
      <c r="M187" s="304">
        <f>+AVERAGE(M188:M191)</f>
        <v>0.38750608974358969</v>
      </c>
      <c r="N187" s="305">
        <f>+(N188+N189+N190+N191)*E187</f>
        <v>1.9255512820512823E-2</v>
      </c>
      <c r="O187" s="306"/>
      <c r="P187" s="285"/>
      <c r="Q187" s="267"/>
      <c r="R187" s="267"/>
      <c r="S187" s="267"/>
    </row>
    <row r="188" spans="1:19" ht="85.15" customHeight="1" thickBot="1" x14ac:dyDescent="0.3">
      <c r="A188" s="271"/>
      <c r="B188" s="307" t="s">
        <v>656</v>
      </c>
      <c r="C188" s="329" t="s">
        <v>657</v>
      </c>
      <c r="D188" s="398" t="s">
        <v>624</v>
      </c>
      <c r="E188" s="310">
        <v>0.2</v>
      </c>
      <c r="F188" s="311">
        <v>200</v>
      </c>
      <c r="G188" s="314">
        <v>20</v>
      </c>
      <c r="H188" s="319">
        <f>+G188/F188</f>
        <v>0.1</v>
      </c>
      <c r="I188" s="319">
        <f>+(G188/F188)*E188</f>
        <v>2.0000000000000004E-2</v>
      </c>
      <c r="J188" s="314">
        <v>70</v>
      </c>
      <c r="K188" s="315">
        <v>1</v>
      </c>
      <c r="L188" s="315">
        <f>+K188*E188</f>
        <v>0.2</v>
      </c>
      <c r="M188" s="316">
        <f>+J188/F188</f>
        <v>0.35</v>
      </c>
      <c r="N188" s="317">
        <f>+M188*E188</f>
        <v>6.9999999999999993E-2</v>
      </c>
      <c r="O188" s="318" t="s">
        <v>1862</v>
      </c>
      <c r="P188" s="285"/>
      <c r="Q188" s="267"/>
      <c r="R188" s="267"/>
      <c r="S188" s="267"/>
    </row>
    <row r="189" spans="1:19" ht="78" customHeight="1" thickBot="1" x14ac:dyDescent="0.3">
      <c r="A189" s="271"/>
      <c r="B189" s="307" t="s">
        <v>658</v>
      </c>
      <c r="C189" s="329" t="s">
        <v>659</v>
      </c>
      <c r="D189" s="398" t="s">
        <v>624</v>
      </c>
      <c r="E189" s="310">
        <v>0.35</v>
      </c>
      <c r="F189" s="311">
        <v>60000</v>
      </c>
      <c r="G189" s="314">
        <v>15000</v>
      </c>
      <c r="H189" s="319">
        <f>+G189/F189</f>
        <v>0.25</v>
      </c>
      <c r="I189" s="319">
        <f>+(G189/F189)*E189</f>
        <v>8.7499999999999994E-2</v>
      </c>
      <c r="J189" s="314">
        <v>20000</v>
      </c>
      <c r="K189" s="315">
        <v>1</v>
      </c>
      <c r="L189" s="315">
        <f>+K189*E189</f>
        <v>0.35</v>
      </c>
      <c r="M189" s="316">
        <f>+J189/F189</f>
        <v>0.33333333333333331</v>
      </c>
      <c r="N189" s="317">
        <f>+M189*E189</f>
        <v>0.11666666666666665</v>
      </c>
      <c r="O189" s="318" t="s">
        <v>1862</v>
      </c>
      <c r="P189" s="285"/>
      <c r="Q189" s="267"/>
      <c r="R189" s="267"/>
      <c r="S189" s="267"/>
    </row>
    <row r="190" spans="1:19" ht="68.45" customHeight="1" thickBot="1" x14ac:dyDescent="0.3">
      <c r="A190" s="271"/>
      <c r="B190" s="307" t="s">
        <v>660</v>
      </c>
      <c r="C190" s="329" t="s">
        <v>661</v>
      </c>
      <c r="D190" s="398" t="s">
        <v>624</v>
      </c>
      <c r="E190" s="310">
        <v>0.2</v>
      </c>
      <c r="F190" s="311">
        <v>96</v>
      </c>
      <c r="G190" s="314">
        <v>16</v>
      </c>
      <c r="H190" s="319">
        <f>+G190/F190</f>
        <v>0.16666666666666666</v>
      </c>
      <c r="I190" s="319">
        <f>+(G190/F190)*E190</f>
        <v>3.3333333333333333E-2</v>
      </c>
      <c r="J190" s="410">
        <v>35</v>
      </c>
      <c r="K190" s="315">
        <v>1</v>
      </c>
      <c r="L190" s="315">
        <f>+K190*E190</f>
        <v>0.2</v>
      </c>
      <c r="M190" s="316">
        <f>+J190/F190</f>
        <v>0.36458333333333331</v>
      </c>
      <c r="N190" s="317">
        <f>+M190*E190</f>
        <v>7.2916666666666671E-2</v>
      </c>
      <c r="O190" s="318" t="s">
        <v>1862</v>
      </c>
      <c r="P190" s="285"/>
      <c r="Q190" s="267"/>
      <c r="R190" s="267"/>
      <c r="S190" s="267"/>
    </row>
    <row r="191" spans="1:19" ht="86.45" customHeight="1" thickBot="1" x14ac:dyDescent="0.3">
      <c r="A191" s="271"/>
      <c r="B191" s="307" t="s">
        <v>662</v>
      </c>
      <c r="C191" s="329" t="s">
        <v>663</v>
      </c>
      <c r="D191" s="398" t="s">
        <v>624</v>
      </c>
      <c r="E191" s="310">
        <v>0.25</v>
      </c>
      <c r="F191" s="311">
        <v>65000</v>
      </c>
      <c r="G191" s="314">
        <v>10000</v>
      </c>
      <c r="H191" s="319">
        <f>+G191/F191</f>
        <v>0.15384615384615385</v>
      </c>
      <c r="I191" s="411">
        <f>+(G191/F191)*E191</f>
        <v>3.8461538461538464E-2</v>
      </c>
      <c r="J191" s="412">
        <v>32637</v>
      </c>
      <c r="K191" s="413">
        <v>1</v>
      </c>
      <c r="L191" s="315">
        <f>+K191*E191</f>
        <v>0.25</v>
      </c>
      <c r="M191" s="316">
        <f>+J191/F191</f>
        <v>0.50210769230769225</v>
      </c>
      <c r="N191" s="317">
        <f>+M191*E191</f>
        <v>0.12552692307692306</v>
      </c>
      <c r="O191" s="318" t="s">
        <v>1862</v>
      </c>
      <c r="P191" s="285"/>
      <c r="Q191" s="267"/>
      <c r="R191" s="267"/>
      <c r="S191" s="267"/>
    </row>
    <row r="192" spans="1:19" ht="78" customHeight="1" thickBot="1" x14ac:dyDescent="0.3">
      <c r="A192" s="271"/>
      <c r="B192" s="701" t="s">
        <v>1686</v>
      </c>
      <c r="C192" s="704"/>
      <c r="D192" s="414"/>
      <c r="E192" s="367">
        <v>0.15</v>
      </c>
      <c r="F192" s="368">
        <f>+E192*L192</f>
        <v>0.10303125</v>
      </c>
      <c r="G192" s="314"/>
      <c r="H192" s="369">
        <f>+(H193+H198+H203)/3</f>
        <v>0.22748025208211589</v>
      </c>
      <c r="I192" s="415">
        <f>+(I193+I198+I203)/3</f>
        <v>0.17546330652877265</v>
      </c>
      <c r="J192" s="416"/>
      <c r="K192" s="417">
        <f>+(K193+K198+K203)/3</f>
        <v>0.94739583333333333</v>
      </c>
      <c r="L192" s="370">
        <f>L193+L198+L203</f>
        <v>0.68687500000000001</v>
      </c>
      <c r="M192" s="294">
        <f>(M193+M198+M203)/3</f>
        <v>0.33997892066194169</v>
      </c>
      <c r="N192" s="415">
        <f>(N193+N198+N203)</f>
        <v>0.24110540532107533</v>
      </c>
      <c r="O192" s="296"/>
      <c r="P192" s="285"/>
      <c r="Q192" s="267"/>
      <c r="R192" s="267"/>
      <c r="S192" s="267"/>
    </row>
    <row r="193" spans="1:19" ht="42.75" customHeight="1" thickBot="1" x14ac:dyDescent="0.3">
      <c r="A193" s="271"/>
      <c r="B193" s="703" t="s">
        <v>1687</v>
      </c>
      <c r="C193" s="702"/>
      <c r="D193" s="352"/>
      <c r="E193" s="297">
        <v>0.5</v>
      </c>
      <c r="F193" s="311"/>
      <c r="G193" s="314"/>
      <c r="H193" s="324">
        <f>+AVERAGE(H194:H197)</f>
        <v>0.23879427591508487</v>
      </c>
      <c r="I193" s="304">
        <f>+I194+I195+I196+I197</f>
        <v>0.11410989888238424</v>
      </c>
      <c r="J193" s="418"/>
      <c r="K193" s="419">
        <f>+AVERAGE(K194:K197)</f>
        <v>1</v>
      </c>
      <c r="L193" s="303">
        <f>+(L194+L195+L196+L197)*E193</f>
        <v>0.25</v>
      </c>
      <c r="M193" s="304">
        <f>+AVERAGE(M194:M197)</f>
        <v>0.33240983608865465</v>
      </c>
      <c r="N193" s="305">
        <f>+(N194+N195+N196+N197)*E193</f>
        <v>8.0094974636120198E-2</v>
      </c>
      <c r="O193" s="306"/>
      <c r="P193" s="285"/>
      <c r="Q193" s="267"/>
      <c r="R193" s="267"/>
      <c r="S193" s="267"/>
    </row>
    <row r="194" spans="1:19" ht="104.45" customHeight="1" thickBot="1" x14ac:dyDescent="0.3">
      <c r="A194" s="271"/>
      <c r="B194" s="307" t="s">
        <v>664</v>
      </c>
      <c r="C194" s="308" t="s">
        <v>665</v>
      </c>
      <c r="D194" s="309" t="s">
        <v>666</v>
      </c>
      <c r="E194" s="310">
        <v>0.15</v>
      </c>
      <c r="F194" s="311">
        <v>2800</v>
      </c>
      <c r="G194" s="314">
        <v>700</v>
      </c>
      <c r="H194" s="319">
        <f>+G194/F194</f>
        <v>0.25</v>
      </c>
      <c r="I194" s="411">
        <f>+(G194/F194)*E194</f>
        <v>3.7499999999999999E-2</v>
      </c>
      <c r="J194" s="420">
        <v>1265</v>
      </c>
      <c r="K194" s="413">
        <v>1</v>
      </c>
      <c r="L194" s="315">
        <f>+K194*E194</f>
        <v>0.15</v>
      </c>
      <c r="M194" s="316">
        <f>+J194/F194</f>
        <v>0.45178571428571429</v>
      </c>
      <c r="N194" s="317">
        <f>+M194*E194</f>
        <v>6.7767857142857144E-2</v>
      </c>
      <c r="O194" s="318" t="s">
        <v>1862</v>
      </c>
      <c r="P194" s="285"/>
      <c r="Q194" s="267"/>
      <c r="R194" s="267"/>
      <c r="S194" s="267"/>
    </row>
    <row r="195" spans="1:19" ht="177.6" customHeight="1" thickBot="1" x14ac:dyDescent="0.3">
      <c r="A195" s="271"/>
      <c r="B195" s="307" t="s">
        <v>667</v>
      </c>
      <c r="C195" s="308" t="s">
        <v>668</v>
      </c>
      <c r="D195" s="309" t="s">
        <v>666</v>
      </c>
      <c r="E195" s="310">
        <v>0.2</v>
      </c>
      <c r="F195" s="311">
        <v>33822</v>
      </c>
      <c r="G195" s="314">
        <v>4500</v>
      </c>
      <c r="H195" s="319">
        <f>+G195/F195</f>
        <v>0.13304949441192124</v>
      </c>
      <c r="I195" s="411">
        <f>+(G195/F195)*E195</f>
        <v>2.6609898882384249E-2</v>
      </c>
      <c r="J195" s="420">
        <v>7174</v>
      </c>
      <c r="K195" s="413">
        <v>1</v>
      </c>
      <c r="L195" s="315">
        <f>+K195*E195</f>
        <v>0.2</v>
      </c>
      <c r="M195" s="316">
        <f>+J195/F195</f>
        <v>0.21211046064691622</v>
      </c>
      <c r="N195" s="317">
        <f>+M195*E195</f>
        <v>4.2422092129383249E-2</v>
      </c>
      <c r="O195" s="318" t="s">
        <v>1862</v>
      </c>
      <c r="P195" s="285"/>
      <c r="Q195" s="267"/>
      <c r="R195" s="267"/>
      <c r="S195" s="267"/>
    </row>
    <row r="196" spans="1:19" ht="110.45" customHeight="1" thickBot="1" x14ac:dyDescent="0.3">
      <c r="A196" s="271"/>
      <c r="B196" s="307" t="s">
        <v>669</v>
      </c>
      <c r="C196" s="308" t="s">
        <v>670</v>
      </c>
      <c r="D196" s="309" t="s">
        <v>666</v>
      </c>
      <c r="E196" s="310">
        <v>0.5</v>
      </c>
      <c r="F196" s="311">
        <v>2</v>
      </c>
      <c r="G196" s="314">
        <v>0</v>
      </c>
      <c r="H196" s="319"/>
      <c r="I196" s="411"/>
      <c r="J196" s="412"/>
      <c r="K196" s="413"/>
      <c r="L196" s="315"/>
      <c r="M196" s="316"/>
      <c r="N196" s="317">
        <v>0</v>
      </c>
      <c r="O196" s="318" t="s">
        <v>1862</v>
      </c>
      <c r="P196" s="285"/>
      <c r="Q196" s="267"/>
      <c r="R196" s="267"/>
      <c r="S196" s="267"/>
    </row>
    <row r="197" spans="1:19" ht="78" customHeight="1" thickBot="1" x14ac:dyDescent="0.3">
      <c r="A197" s="271"/>
      <c r="B197" s="307" t="s">
        <v>671</v>
      </c>
      <c r="C197" s="308" t="s">
        <v>672</v>
      </c>
      <c r="D197" s="309" t="s">
        <v>666</v>
      </c>
      <c r="E197" s="310">
        <v>0.15</v>
      </c>
      <c r="F197" s="311">
        <v>3</v>
      </c>
      <c r="G197" s="314">
        <v>1</v>
      </c>
      <c r="H197" s="319">
        <f>+G197/F197</f>
        <v>0.33333333333333331</v>
      </c>
      <c r="I197" s="411">
        <f>+(G197/F197)*E197</f>
        <v>4.9999999999999996E-2</v>
      </c>
      <c r="J197" s="412">
        <v>1</v>
      </c>
      <c r="K197" s="413">
        <f>+(J197/G197)</f>
        <v>1</v>
      </c>
      <c r="L197" s="315">
        <f>+K197*E197</f>
        <v>0.15</v>
      </c>
      <c r="M197" s="316">
        <f>+J197/F197</f>
        <v>0.33333333333333331</v>
      </c>
      <c r="N197" s="317">
        <f>+M197*E197</f>
        <v>4.9999999999999996E-2</v>
      </c>
      <c r="O197" s="318" t="s">
        <v>1862</v>
      </c>
      <c r="P197" s="285"/>
      <c r="Q197" s="267"/>
      <c r="R197" s="267"/>
      <c r="S197" s="267"/>
    </row>
    <row r="198" spans="1:19" ht="86.25" customHeight="1" thickBot="1" x14ac:dyDescent="0.3">
      <c r="A198" s="271"/>
      <c r="B198" s="703" t="s">
        <v>1688</v>
      </c>
      <c r="C198" s="702"/>
      <c r="D198" s="309"/>
      <c r="E198" s="297">
        <v>0.25</v>
      </c>
      <c r="F198" s="311"/>
      <c r="G198" s="314"/>
      <c r="H198" s="324">
        <f>+AVERAGE(H199:H202)</f>
        <v>0.28819444444444442</v>
      </c>
      <c r="I198" s="324">
        <f>+I199+I200+I201+I202</f>
        <v>0.25486111111111115</v>
      </c>
      <c r="J198" s="301"/>
      <c r="K198" s="303">
        <f>+AVERAGE(K199:K202)</f>
        <v>0.84218749999999998</v>
      </c>
      <c r="L198" s="303">
        <f>+(L199+L200+L201+L202)*E198</f>
        <v>0.18687500000000004</v>
      </c>
      <c r="M198" s="304">
        <f>+AVERAGE(M199:M202)</f>
        <v>0.25733506944444445</v>
      </c>
      <c r="N198" s="305">
        <f>+(N199+N200+N201+N202)*E198</f>
        <v>5.0629340277777775E-2</v>
      </c>
      <c r="O198" s="306"/>
      <c r="P198" s="285"/>
      <c r="Q198" s="267"/>
      <c r="R198" s="267"/>
      <c r="S198" s="267"/>
    </row>
    <row r="199" spans="1:19" ht="137.44999999999999" customHeight="1" thickBot="1" x14ac:dyDescent="0.3">
      <c r="A199" s="271"/>
      <c r="B199" s="307" t="s">
        <v>673</v>
      </c>
      <c r="C199" s="308" t="s">
        <v>674</v>
      </c>
      <c r="D199" s="309" t="s">
        <v>666</v>
      </c>
      <c r="E199" s="310">
        <v>0.4</v>
      </c>
      <c r="F199" s="311">
        <v>36000</v>
      </c>
      <c r="G199" s="412">
        <v>10000</v>
      </c>
      <c r="H199" s="319">
        <f>+G199/F199</f>
        <v>0.27777777777777779</v>
      </c>
      <c r="I199" s="319">
        <f>+(G199/F199)*E199</f>
        <v>0.11111111111111112</v>
      </c>
      <c r="J199" s="412">
        <v>10810</v>
      </c>
      <c r="K199" s="315">
        <v>1</v>
      </c>
      <c r="L199" s="315">
        <f>+K199*E199</f>
        <v>0.4</v>
      </c>
      <c r="M199" s="316">
        <f>+J199/F199</f>
        <v>0.30027777777777775</v>
      </c>
      <c r="N199" s="317">
        <f>+M199*E199</f>
        <v>0.12011111111111111</v>
      </c>
      <c r="O199" s="318" t="s">
        <v>1862</v>
      </c>
      <c r="P199" s="285"/>
      <c r="Q199" s="267"/>
      <c r="R199" s="267"/>
      <c r="S199" s="267"/>
    </row>
    <row r="200" spans="1:19" ht="138.6" customHeight="1" thickBot="1" x14ac:dyDescent="0.3">
      <c r="A200" s="271"/>
      <c r="B200" s="307" t="s">
        <v>675</v>
      </c>
      <c r="C200" s="308" t="s">
        <v>676</v>
      </c>
      <c r="D200" s="309" t="s">
        <v>666</v>
      </c>
      <c r="E200" s="310">
        <v>0.4</v>
      </c>
      <c r="F200" s="311">
        <f>480*4</f>
        <v>1920</v>
      </c>
      <c r="G200" s="412">
        <v>480</v>
      </c>
      <c r="H200" s="319">
        <f>+G200/F200</f>
        <v>0.25</v>
      </c>
      <c r="I200" s="319">
        <f>+(G200/F200)*E200</f>
        <v>0.1</v>
      </c>
      <c r="J200" s="412">
        <v>177</v>
      </c>
      <c r="K200" s="315">
        <f>+(J200/G200)</f>
        <v>0.36875000000000002</v>
      </c>
      <c r="L200" s="315">
        <f>+K200*E200</f>
        <v>0.14750000000000002</v>
      </c>
      <c r="M200" s="316">
        <f>+J200/F200</f>
        <v>9.2187500000000006E-2</v>
      </c>
      <c r="N200" s="317">
        <f>+M200*E200</f>
        <v>3.6875000000000005E-2</v>
      </c>
      <c r="O200" s="318" t="s">
        <v>1862</v>
      </c>
      <c r="P200" s="285"/>
      <c r="Q200" s="267"/>
      <c r="R200" s="267"/>
      <c r="S200" s="267"/>
    </row>
    <row r="201" spans="1:19" ht="133.9" customHeight="1" thickBot="1" x14ac:dyDescent="0.3">
      <c r="A201" s="271"/>
      <c r="B201" s="307" t="s">
        <v>677</v>
      </c>
      <c r="C201" s="308" t="s">
        <v>678</v>
      </c>
      <c r="D201" s="309" t="s">
        <v>666</v>
      </c>
      <c r="E201" s="310">
        <v>0.05</v>
      </c>
      <c r="F201" s="311">
        <v>1</v>
      </c>
      <c r="G201" s="412">
        <v>0.5</v>
      </c>
      <c r="H201" s="319">
        <f>+G201/F201</f>
        <v>0.5</v>
      </c>
      <c r="I201" s="319">
        <f>+(G201/F201)*E201</f>
        <v>2.5000000000000001E-2</v>
      </c>
      <c r="J201" s="412">
        <v>0.5</v>
      </c>
      <c r="K201" s="315">
        <f>+(J201/G201)</f>
        <v>1</v>
      </c>
      <c r="L201" s="315">
        <f>+K201*E201</f>
        <v>0.05</v>
      </c>
      <c r="M201" s="316">
        <f>+J201/F201</f>
        <v>0.5</v>
      </c>
      <c r="N201" s="317">
        <f>+M201*E201</f>
        <v>2.5000000000000001E-2</v>
      </c>
      <c r="O201" s="318" t="s">
        <v>1862</v>
      </c>
      <c r="P201" s="285"/>
      <c r="Q201" s="267"/>
      <c r="R201" s="267"/>
      <c r="S201" s="267"/>
    </row>
    <row r="202" spans="1:19" ht="108.6" customHeight="1" thickBot="1" x14ac:dyDescent="0.3">
      <c r="A202" s="271"/>
      <c r="B202" s="307" t="s">
        <v>679</v>
      </c>
      <c r="C202" s="308" t="s">
        <v>680</v>
      </c>
      <c r="D202" s="309" t="s">
        <v>666</v>
      </c>
      <c r="E202" s="310">
        <v>0.15</v>
      </c>
      <c r="F202" s="421">
        <v>8000</v>
      </c>
      <c r="G202" s="412">
        <v>1000</v>
      </c>
      <c r="H202" s="422">
        <f>+G202/F202</f>
        <v>0.125</v>
      </c>
      <c r="I202" s="422">
        <f>+(G202/F202)*E202</f>
        <v>1.8749999999999999E-2</v>
      </c>
      <c r="J202" s="412">
        <v>1095</v>
      </c>
      <c r="K202" s="423">
        <v>1</v>
      </c>
      <c r="L202" s="423">
        <f>+K202*E202</f>
        <v>0.15</v>
      </c>
      <c r="M202" s="424">
        <f>+J202/F202</f>
        <v>0.136875</v>
      </c>
      <c r="N202" s="425">
        <f>+M202*E202</f>
        <v>2.0531249999999997E-2</v>
      </c>
      <c r="O202" s="318" t="s">
        <v>1862</v>
      </c>
      <c r="P202" s="285"/>
      <c r="Q202" s="267"/>
      <c r="R202" s="267"/>
      <c r="S202" s="267"/>
    </row>
    <row r="203" spans="1:19" ht="57" customHeight="1" thickBot="1" x14ac:dyDescent="0.3">
      <c r="A203" s="271"/>
      <c r="B203" s="703" t="s">
        <v>1689</v>
      </c>
      <c r="C203" s="702"/>
      <c r="D203" s="309"/>
      <c r="E203" s="426">
        <v>0.25</v>
      </c>
      <c r="F203" s="427"/>
      <c r="G203" s="412"/>
      <c r="H203" s="376">
        <f>+AVERAGE(H204:H205)</f>
        <v>0.1554520358868185</v>
      </c>
      <c r="I203" s="376">
        <f>+I204+I205</f>
        <v>0.15741890959282262</v>
      </c>
      <c r="J203" s="428"/>
      <c r="K203" s="429">
        <f>+AVERAGE(K204:K206)</f>
        <v>1</v>
      </c>
      <c r="L203" s="429">
        <f>+(L204+L205)*E203</f>
        <v>0.25</v>
      </c>
      <c r="M203" s="376">
        <f>+AVERAGE(M204:M205)</f>
        <v>0.43019185645272601</v>
      </c>
      <c r="N203" s="305">
        <f>+(N204+N205)*E203</f>
        <v>0.11038109040717736</v>
      </c>
      <c r="O203" s="306"/>
      <c r="P203" s="285"/>
      <c r="Q203" s="267"/>
      <c r="R203" s="267"/>
      <c r="S203" s="267"/>
    </row>
    <row r="204" spans="1:19" ht="141.6" customHeight="1" thickBot="1" x14ac:dyDescent="0.3">
      <c r="A204" s="271"/>
      <c r="B204" s="307" t="s">
        <v>681</v>
      </c>
      <c r="C204" s="308" t="s">
        <v>682</v>
      </c>
      <c r="D204" s="309" t="s">
        <v>666</v>
      </c>
      <c r="E204" s="310">
        <v>0.8</v>
      </c>
      <c r="F204" s="427">
        <v>63000</v>
      </c>
      <c r="G204" s="412">
        <v>10000</v>
      </c>
      <c r="H204" s="430">
        <f>+G204/F204</f>
        <v>0.15873015873015872</v>
      </c>
      <c r="I204" s="430">
        <f>+(G204/F204)*E204</f>
        <v>0.12698412698412698</v>
      </c>
      <c r="J204" s="412">
        <v>28292</v>
      </c>
      <c r="K204" s="401">
        <v>1</v>
      </c>
      <c r="L204" s="401">
        <f>+K204*E204</f>
        <v>0.8</v>
      </c>
      <c r="M204" s="401">
        <f>+J204/F204</f>
        <v>0.44907936507936508</v>
      </c>
      <c r="N204" s="317">
        <f>+M204*E204</f>
        <v>0.35926349206349206</v>
      </c>
      <c r="O204" s="318" t="s">
        <v>1862</v>
      </c>
      <c r="P204" s="285"/>
      <c r="Q204" s="267"/>
      <c r="R204" s="267"/>
      <c r="S204" s="267"/>
    </row>
    <row r="205" spans="1:19" ht="144.6" customHeight="1" thickBot="1" x14ac:dyDescent="0.3">
      <c r="A205" s="271"/>
      <c r="B205" s="431" t="s">
        <v>683</v>
      </c>
      <c r="C205" s="432" t="s">
        <v>684</v>
      </c>
      <c r="D205" s="433" t="s">
        <v>666</v>
      </c>
      <c r="E205" s="310">
        <v>0.2</v>
      </c>
      <c r="F205" s="427">
        <v>2300</v>
      </c>
      <c r="G205" s="412">
        <v>350</v>
      </c>
      <c r="H205" s="430">
        <f>+G205/F205</f>
        <v>0.15217391304347827</v>
      </c>
      <c r="I205" s="430">
        <f>+(G205/F205)*E205</f>
        <v>3.0434782608695657E-2</v>
      </c>
      <c r="J205" s="412">
        <v>946</v>
      </c>
      <c r="K205" s="401">
        <v>1</v>
      </c>
      <c r="L205" s="401">
        <f>+K205*E205</f>
        <v>0.2</v>
      </c>
      <c r="M205" s="401">
        <f>+J205/F205</f>
        <v>0.41130434782608694</v>
      </c>
      <c r="N205" s="317">
        <f>+M205*E205</f>
        <v>8.2260869565217387E-2</v>
      </c>
      <c r="O205" s="318" t="s">
        <v>1862</v>
      </c>
      <c r="P205" s="285"/>
      <c r="Q205" s="267"/>
      <c r="R205" s="267"/>
      <c r="S205" s="267"/>
    </row>
    <row r="206" spans="1:19" ht="15.75" customHeight="1" thickBot="1" x14ac:dyDescent="0.3">
      <c r="A206" s="267"/>
      <c r="B206" s="434"/>
      <c r="C206" s="434"/>
      <c r="D206" s="434"/>
      <c r="E206" s="434"/>
      <c r="F206" s="435"/>
      <c r="G206" s="434"/>
      <c r="H206" s="434"/>
      <c r="I206" s="434"/>
      <c r="J206" s="434"/>
      <c r="K206" s="434"/>
      <c r="L206" s="434"/>
      <c r="M206" s="434"/>
      <c r="N206" s="434"/>
      <c r="O206" s="434"/>
      <c r="P206" s="267"/>
      <c r="Q206" s="267"/>
      <c r="R206" s="267"/>
      <c r="S206" s="267"/>
    </row>
    <row r="207" spans="1:19" ht="15.75" customHeight="1" thickBot="1" x14ac:dyDescent="0.3">
      <c r="A207" s="267"/>
      <c r="B207" s="267"/>
      <c r="C207" s="267"/>
      <c r="D207" s="267"/>
      <c r="E207" s="267"/>
      <c r="F207" s="269"/>
      <c r="G207" s="267"/>
      <c r="H207" s="267"/>
      <c r="I207" s="267"/>
      <c r="J207" s="267"/>
      <c r="K207" s="267"/>
      <c r="L207" s="267"/>
      <c r="M207" s="267"/>
      <c r="N207" s="267"/>
      <c r="O207" s="267"/>
      <c r="P207" s="267"/>
      <c r="Q207" s="267"/>
      <c r="R207" s="267"/>
      <c r="S207" s="267"/>
    </row>
    <row r="208" spans="1:19" ht="15.75" customHeight="1" thickBot="1" x14ac:dyDescent="0.3">
      <c r="A208" s="267"/>
      <c r="B208" s="267"/>
      <c r="C208" s="267"/>
      <c r="D208" s="267"/>
      <c r="E208" s="267"/>
      <c r="F208" s="269"/>
      <c r="G208" s="267"/>
      <c r="H208" s="267"/>
      <c r="I208" s="267"/>
      <c r="J208" s="267"/>
      <c r="K208" s="267"/>
      <c r="L208" s="267"/>
      <c r="M208" s="267"/>
      <c r="N208" s="267"/>
      <c r="O208" s="267"/>
      <c r="P208" s="267"/>
      <c r="Q208" s="267"/>
      <c r="R208" s="267"/>
      <c r="S208" s="267"/>
    </row>
    <row r="209" spans="1:19" ht="15.75" customHeight="1" thickBot="1" x14ac:dyDescent="0.3">
      <c r="A209" s="267"/>
      <c r="B209" s="267"/>
      <c r="C209" s="267"/>
      <c r="D209" s="267"/>
      <c r="E209" s="267"/>
      <c r="F209" s="269"/>
      <c r="G209" s="267"/>
      <c r="H209" s="267"/>
      <c r="I209" s="267"/>
      <c r="J209" s="267"/>
      <c r="K209" s="267"/>
      <c r="L209" s="267"/>
      <c r="M209" s="267"/>
      <c r="N209" s="267"/>
      <c r="O209" s="267"/>
      <c r="P209" s="267"/>
      <c r="Q209" s="267"/>
      <c r="R209" s="267"/>
      <c r="S209" s="267"/>
    </row>
    <row r="210" spans="1:19" ht="15.75" customHeight="1" thickBot="1" x14ac:dyDescent="0.3">
      <c r="A210" s="267"/>
      <c r="B210" s="267"/>
      <c r="C210" s="267"/>
      <c r="D210" s="267"/>
      <c r="E210" s="267"/>
      <c r="F210" s="269"/>
      <c r="G210" s="267"/>
      <c r="H210" s="267"/>
      <c r="I210" s="267"/>
      <c r="J210" s="267"/>
      <c r="K210" s="267"/>
      <c r="L210" s="267"/>
      <c r="M210" s="267"/>
      <c r="N210" s="267"/>
      <c r="O210" s="267"/>
      <c r="P210" s="267"/>
      <c r="Q210" s="267"/>
      <c r="R210" s="267"/>
      <c r="S210" s="267"/>
    </row>
    <row r="211" spans="1:19" ht="15.75" customHeight="1" thickBot="1" x14ac:dyDescent="0.3">
      <c r="A211" s="267"/>
      <c r="B211" s="267"/>
      <c r="C211" s="267"/>
      <c r="D211" s="267"/>
      <c r="E211" s="267"/>
      <c r="F211" s="269"/>
      <c r="G211" s="267"/>
      <c r="H211" s="267"/>
      <c r="I211" s="267"/>
      <c r="J211" s="267"/>
      <c r="K211" s="267"/>
      <c r="L211" s="267"/>
      <c r="M211" s="267"/>
      <c r="N211" s="267"/>
      <c r="O211" s="267"/>
      <c r="P211" s="267"/>
      <c r="Q211" s="267"/>
      <c r="R211" s="267"/>
      <c r="S211" s="267"/>
    </row>
    <row r="212" spans="1:19" ht="15.75" customHeight="1" thickBot="1" x14ac:dyDescent="0.3">
      <c r="A212" s="267"/>
      <c r="B212" s="267"/>
      <c r="C212" s="267"/>
      <c r="D212" s="267"/>
      <c r="E212" s="267"/>
      <c r="F212" s="269"/>
      <c r="G212" s="267"/>
      <c r="H212" s="267"/>
      <c r="I212" s="267"/>
      <c r="J212" s="267"/>
      <c r="K212" s="267"/>
      <c r="L212" s="267"/>
      <c r="M212" s="267"/>
      <c r="N212" s="267"/>
      <c r="O212" s="267"/>
      <c r="P212" s="267"/>
      <c r="Q212" s="267"/>
      <c r="R212" s="267"/>
      <c r="S212" s="267"/>
    </row>
    <row r="213" spans="1:19" ht="15.75" customHeight="1" thickBot="1" x14ac:dyDescent="0.3">
      <c r="A213" s="267"/>
      <c r="B213" s="267"/>
      <c r="C213" s="267"/>
      <c r="D213" s="267"/>
      <c r="E213" s="267"/>
      <c r="F213" s="269"/>
      <c r="G213" s="267"/>
      <c r="H213" s="267"/>
      <c r="I213" s="267"/>
      <c r="J213" s="267"/>
      <c r="K213" s="267"/>
      <c r="L213" s="267"/>
      <c r="M213" s="267"/>
      <c r="N213" s="267"/>
      <c r="O213" s="267"/>
      <c r="P213" s="267"/>
      <c r="Q213" s="267"/>
      <c r="R213" s="267"/>
      <c r="S213" s="267"/>
    </row>
    <row r="214" spans="1:19" ht="15.75" customHeight="1" thickBot="1" x14ac:dyDescent="0.3">
      <c r="A214" s="267"/>
      <c r="B214" s="267"/>
      <c r="C214" s="267"/>
      <c r="D214" s="267"/>
      <c r="E214" s="267"/>
      <c r="F214" s="269"/>
      <c r="G214" s="267"/>
      <c r="H214" s="267"/>
      <c r="I214" s="267"/>
      <c r="J214" s="267"/>
      <c r="K214" s="267"/>
      <c r="L214" s="267"/>
      <c r="M214" s="267"/>
      <c r="N214" s="267"/>
      <c r="O214" s="267"/>
      <c r="P214" s="267"/>
      <c r="Q214" s="267"/>
      <c r="R214" s="267"/>
      <c r="S214" s="267"/>
    </row>
    <row r="215" spans="1:19" ht="15.75" customHeight="1" thickBot="1" x14ac:dyDescent="0.3">
      <c r="A215" s="267"/>
      <c r="B215" s="267"/>
      <c r="C215" s="267"/>
      <c r="D215" s="267"/>
      <c r="E215" s="267"/>
      <c r="F215" s="269"/>
      <c r="G215" s="267"/>
      <c r="H215" s="267"/>
      <c r="I215" s="267"/>
      <c r="J215" s="267"/>
      <c r="K215" s="267"/>
      <c r="L215" s="267"/>
      <c r="M215" s="267"/>
      <c r="N215" s="267"/>
      <c r="O215" s="267"/>
      <c r="P215" s="267"/>
      <c r="Q215" s="267"/>
      <c r="R215" s="267"/>
      <c r="S215" s="267"/>
    </row>
    <row r="216" spans="1:19" ht="15.75" customHeight="1" thickBot="1" x14ac:dyDescent="0.3">
      <c r="A216" s="267"/>
      <c r="B216" s="267"/>
      <c r="C216" s="267"/>
      <c r="D216" s="267"/>
      <c r="E216" s="267"/>
      <c r="F216" s="269"/>
      <c r="G216" s="267"/>
      <c r="H216" s="267"/>
      <c r="I216" s="267"/>
      <c r="J216" s="267"/>
      <c r="K216" s="267"/>
      <c r="L216" s="267"/>
      <c r="M216" s="267"/>
      <c r="N216" s="267"/>
      <c r="O216" s="267"/>
      <c r="P216" s="267"/>
      <c r="Q216" s="267"/>
      <c r="R216" s="267"/>
      <c r="S216" s="267"/>
    </row>
    <row r="217" spans="1:19" ht="15.75" customHeight="1" thickBot="1" x14ac:dyDescent="0.3">
      <c r="A217" s="267"/>
      <c r="B217" s="267"/>
      <c r="C217" s="267"/>
      <c r="D217" s="267"/>
      <c r="E217" s="267"/>
      <c r="F217" s="269"/>
      <c r="G217" s="267"/>
      <c r="H217" s="267"/>
      <c r="I217" s="267"/>
      <c r="J217" s="267"/>
      <c r="K217" s="267"/>
      <c r="L217" s="267"/>
      <c r="M217" s="267"/>
      <c r="N217" s="267"/>
      <c r="O217" s="267"/>
      <c r="P217" s="267"/>
      <c r="Q217" s="267"/>
      <c r="R217" s="267"/>
      <c r="S217" s="267"/>
    </row>
    <row r="218" spans="1:19" ht="15.75" customHeight="1" thickBot="1" x14ac:dyDescent="0.3">
      <c r="A218" s="267"/>
      <c r="B218" s="267"/>
      <c r="C218" s="267"/>
      <c r="D218" s="267"/>
      <c r="E218" s="267"/>
      <c r="F218" s="269"/>
      <c r="G218" s="267"/>
      <c r="H218" s="267"/>
      <c r="I218" s="267"/>
      <c r="J218" s="267"/>
      <c r="K218" s="267"/>
      <c r="L218" s="267"/>
      <c r="M218" s="267"/>
      <c r="N218" s="267"/>
      <c r="O218" s="267"/>
      <c r="P218" s="267"/>
      <c r="Q218" s="267"/>
      <c r="R218" s="267"/>
      <c r="S218" s="267"/>
    </row>
    <row r="219" spans="1:19" ht="15.75" customHeight="1" thickBot="1" x14ac:dyDescent="0.3">
      <c r="A219" s="267"/>
      <c r="B219" s="267"/>
      <c r="C219" s="267"/>
      <c r="D219" s="267"/>
      <c r="E219" s="267"/>
      <c r="F219" s="269"/>
      <c r="G219" s="267"/>
      <c r="H219" s="267"/>
      <c r="I219" s="267"/>
      <c r="J219" s="267"/>
      <c r="K219" s="267"/>
      <c r="L219" s="267"/>
      <c r="M219" s="267"/>
      <c r="N219" s="267"/>
      <c r="O219" s="267"/>
      <c r="P219" s="267"/>
      <c r="Q219" s="267"/>
      <c r="R219" s="267"/>
      <c r="S219" s="267"/>
    </row>
    <row r="220" spans="1:19" ht="15.75" customHeight="1" thickBot="1" x14ac:dyDescent="0.3">
      <c r="A220" s="267"/>
      <c r="B220" s="267"/>
      <c r="C220" s="267"/>
      <c r="D220" s="267"/>
      <c r="E220" s="267"/>
      <c r="F220" s="269"/>
      <c r="G220" s="267"/>
      <c r="H220" s="267"/>
      <c r="I220" s="267"/>
      <c r="J220" s="267"/>
      <c r="K220" s="267"/>
      <c r="L220" s="267"/>
      <c r="M220" s="267"/>
      <c r="N220" s="267"/>
      <c r="O220" s="267"/>
      <c r="P220" s="267"/>
      <c r="Q220" s="267"/>
      <c r="R220" s="267"/>
      <c r="S220" s="267"/>
    </row>
    <row r="221" spans="1:19" ht="15.75" customHeight="1" thickBot="1" x14ac:dyDescent="0.3">
      <c r="A221" s="267"/>
      <c r="B221" s="267"/>
      <c r="C221" s="267"/>
      <c r="D221" s="267"/>
      <c r="E221" s="267"/>
      <c r="F221" s="269"/>
      <c r="G221" s="267"/>
      <c r="H221" s="267"/>
      <c r="I221" s="267"/>
      <c r="J221" s="267"/>
      <c r="K221" s="267"/>
      <c r="L221" s="267"/>
      <c r="M221" s="267"/>
      <c r="N221" s="267"/>
      <c r="O221" s="267"/>
      <c r="P221" s="267"/>
      <c r="Q221" s="267"/>
      <c r="R221" s="267"/>
      <c r="S221" s="267"/>
    </row>
    <row r="222" spans="1:19" ht="15.75" customHeight="1" thickBot="1" x14ac:dyDescent="0.3">
      <c r="A222" s="267"/>
      <c r="B222" s="267"/>
      <c r="C222" s="267"/>
      <c r="D222" s="267"/>
      <c r="E222" s="267"/>
      <c r="F222" s="269"/>
      <c r="G222" s="267"/>
      <c r="H222" s="267"/>
      <c r="I222" s="267"/>
      <c r="J222" s="267"/>
      <c r="K222" s="267"/>
      <c r="L222" s="267"/>
      <c r="M222" s="267"/>
      <c r="N222" s="267"/>
      <c r="O222" s="267"/>
      <c r="P222" s="267"/>
      <c r="Q222" s="267"/>
      <c r="R222" s="267"/>
      <c r="S222" s="267"/>
    </row>
    <row r="223" spans="1:19" ht="15.75" customHeight="1" thickBot="1" x14ac:dyDescent="0.3">
      <c r="A223" s="267"/>
      <c r="B223" s="267"/>
      <c r="C223" s="267"/>
      <c r="D223" s="267"/>
      <c r="E223" s="267"/>
      <c r="F223" s="269"/>
      <c r="G223" s="267"/>
      <c r="H223" s="267"/>
      <c r="I223" s="267"/>
      <c r="J223" s="267"/>
      <c r="K223" s="267"/>
      <c r="L223" s="267"/>
      <c r="M223" s="267"/>
      <c r="N223" s="267"/>
      <c r="O223" s="267"/>
      <c r="P223" s="267"/>
      <c r="Q223" s="267"/>
      <c r="R223" s="267"/>
      <c r="S223" s="267"/>
    </row>
    <row r="224" spans="1:19" ht="15.75" customHeight="1" thickBot="1" x14ac:dyDescent="0.3">
      <c r="A224" s="267"/>
      <c r="B224" s="267"/>
      <c r="C224" s="267"/>
      <c r="D224" s="267"/>
      <c r="E224" s="267"/>
      <c r="F224" s="269"/>
      <c r="G224" s="267"/>
      <c r="H224" s="267"/>
      <c r="I224" s="267"/>
      <c r="J224" s="267"/>
      <c r="K224" s="267"/>
      <c r="L224" s="267"/>
      <c r="M224" s="267"/>
      <c r="N224" s="267"/>
      <c r="O224" s="267"/>
      <c r="P224" s="267"/>
      <c r="Q224" s="267"/>
      <c r="R224" s="267"/>
      <c r="S224" s="267"/>
    </row>
    <row r="225" spans="1:19" ht="15.75" customHeight="1" thickBot="1" x14ac:dyDescent="0.3">
      <c r="A225" s="267"/>
      <c r="B225" s="267"/>
      <c r="C225" s="267"/>
      <c r="D225" s="267"/>
      <c r="E225" s="267"/>
      <c r="F225" s="269"/>
      <c r="G225" s="267"/>
      <c r="H225" s="267"/>
      <c r="I225" s="267"/>
      <c r="J225" s="267"/>
      <c r="K225" s="267"/>
      <c r="L225" s="267"/>
      <c r="M225" s="267"/>
      <c r="N225" s="267"/>
      <c r="O225" s="267"/>
      <c r="P225" s="267"/>
      <c r="Q225" s="267"/>
      <c r="R225" s="267"/>
      <c r="S225" s="267"/>
    </row>
    <row r="226" spans="1:19" ht="15.75" customHeight="1" thickBot="1" x14ac:dyDescent="0.3">
      <c r="A226" s="267"/>
      <c r="B226" s="267"/>
      <c r="C226" s="267"/>
      <c r="D226" s="267"/>
      <c r="E226" s="267"/>
      <c r="F226" s="269"/>
      <c r="G226" s="267"/>
      <c r="H226" s="267"/>
      <c r="I226" s="267"/>
      <c r="J226" s="267"/>
      <c r="K226" s="267"/>
      <c r="L226" s="267"/>
      <c r="M226" s="267"/>
      <c r="N226" s="267"/>
      <c r="O226" s="267"/>
      <c r="P226" s="267"/>
      <c r="Q226" s="267"/>
      <c r="R226" s="267"/>
      <c r="S226" s="267"/>
    </row>
    <row r="227" spans="1:19" ht="15.75" customHeight="1" thickBot="1" x14ac:dyDescent="0.3">
      <c r="A227" s="267"/>
      <c r="B227" s="267"/>
      <c r="C227" s="267"/>
      <c r="D227" s="267"/>
      <c r="E227" s="267"/>
      <c r="F227" s="269"/>
      <c r="G227" s="267"/>
      <c r="H227" s="267"/>
      <c r="I227" s="267"/>
      <c r="J227" s="267"/>
      <c r="K227" s="267"/>
      <c r="L227" s="267"/>
      <c r="M227" s="267"/>
      <c r="N227" s="267"/>
      <c r="O227" s="267"/>
      <c r="P227" s="267"/>
      <c r="Q227" s="267"/>
      <c r="R227" s="267"/>
      <c r="S227" s="267"/>
    </row>
    <row r="228" spans="1:19" ht="15.75" customHeight="1" thickBot="1" x14ac:dyDescent="0.3">
      <c r="A228" s="267"/>
      <c r="B228" s="267"/>
      <c r="C228" s="267"/>
      <c r="D228" s="267"/>
      <c r="E228" s="267"/>
      <c r="F228" s="269"/>
      <c r="G228" s="267"/>
      <c r="H228" s="267"/>
      <c r="I228" s="267"/>
      <c r="J228" s="267"/>
      <c r="K228" s="267"/>
      <c r="L228" s="267"/>
      <c r="M228" s="267"/>
      <c r="N228" s="267"/>
      <c r="O228" s="267"/>
      <c r="P228" s="267"/>
      <c r="Q228" s="267"/>
      <c r="R228" s="267"/>
      <c r="S228" s="267"/>
    </row>
    <row r="229" spans="1:19" ht="15.75" customHeight="1" thickBot="1" x14ac:dyDescent="0.3">
      <c r="A229" s="267"/>
      <c r="B229" s="267"/>
      <c r="C229" s="267"/>
      <c r="D229" s="267"/>
      <c r="E229" s="267"/>
      <c r="F229" s="269"/>
      <c r="G229" s="267"/>
      <c r="H229" s="267"/>
      <c r="I229" s="267"/>
      <c r="J229" s="267"/>
      <c r="K229" s="267"/>
      <c r="L229" s="267"/>
      <c r="M229" s="267"/>
      <c r="N229" s="267"/>
      <c r="O229" s="267"/>
      <c r="P229" s="267"/>
      <c r="Q229" s="267"/>
      <c r="R229" s="267"/>
      <c r="S229" s="267"/>
    </row>
    <row r="230" spans="1:19" ht="15.75" customHeight="1" thickBot="1" x14ac:dyDescent="0.3">
      <c r="A230" s="267"/>
      <c r="B230" s="267"/>
      <c r="C230" s="267"/>
      <c r="D230" s="267"/>
      <c r="E230" s="267"/>
      <c r="F230" s="269"/>
      <c r="G230" s="267"/>
      <c r="H230" s="267"/>
      <c r="I230" s="267"/>
      <c r="J230" s="267"/>
      <c r="K230" s="267"/>
      <c r="L230" s="267"/>
      <c r="M230" s="267"/>
      <c r="N230" s="267"/>
      <c r="O230" s="267"/>
      <c r="P230" s="267"/>
      <c r="Q230" s="267"/>
      <c r="R230" s="267"/>
      <c r="S230" s="267"/>
    </row>
    <row r="231" spans="1:19" ht="15.75" customHeight="1" thickBot="1" x14ac:dyDescent="0.3">
      <c r="A231" s="267"/>
      <c r="B231" s="267"/>
      <c r="C231" s="267"/>
      <c r="D231" s="267"/>
      <c r="E231" s="267"/>
      <c r="F231" s="269"/>
      <c r="G231" s="267"/>
      <c r="H231" s="267"/>
      <c r="I231" s="267"/>
      <c r="J231" s="267"/>
      <c r="K231" s="267"/>
      <c r="L231" s="267"/>
      <c r="M231" s="267"/>
      <c r="N231" s="267"/>
      <c r="O231" s="267"/>
      <c r="P231" s="267"/>
      <c r="Q231" s="267"/>
      <c r="R231" s="267"/>
      <c r="S231" s="267"/>
    </row>
    <row r="232" spans="1:19" ht="15.75" customHeight="1" thickBot="1" x14ac:dyDescent="0.3">
      <c r="A232" s="267"/>
      <c r="B232" s="267"/>
      <c r="C232" s="267"/>
      <c r="D232" s="267"/>
      <c r="E232" s="267"/>
      <c r="F232" s="269"/>
      <c r="G232" s="267"/>
      <c r="H232" s="267"/>
      <c r="I232" s="267"/>
      <c r="J232" s="267"/>
      <c r="K232" s="267"/>
      <c r="L232" s="267"/>
      <c r="M232" s="267"/>
      <c r="N232" s="267"/>
      <c r="O232" s="267"/>
      <c r="P232" s="267"/>
      <c r="Q232" s="267"/>
      <c r="R232" s="267"/>
      <c r="S232" s="267"/>
    </row>
    <row r="233" spans="1:19" ht="15.75" customHeight="1" thickBot="1" x14ac:dyDescent="0.3">
      <c r="A233" s="267"/>
      <c r="B233" s="267"/>
      <c r="C233" s="267"/>
      <c r="D233" s="267"/>
      <c r="E233" s="267"/>
      <c r="F233" s="269"/>
      <c r="G233" s="267"/>
      <c r="H233" s="267"/>
      <c r="I233" s="267"/>
      <c r="J233" s="267"/>
      <c r="K233" s="267"/>
      <c r="L233" s="267"/>
      <c r="M233" s="267"/>
      <c r="N233" s="267"/>
      <c r="O233" s="267"/>
      <c r="P233" s="267"/>
      <c r="Q233" s="267"/>
      <c r="R233" s="267"/>
      <c r="S233" s="267"/>
    </row>
    <row r="234" spans="1:19" ht="15.75" customHeight="1" thickBot="1" x14ac:dyDescent="0.3">
      <c r="A234" s="267"/>
      <c r="B234" s="267"/>
      <c r="C234" s="267"/>
      <c r="D234" s="267"/>
      <c r="E234" s="267"/>
      <c r="F234" s="269"/>
      <c r="G234" s="267"/>
      <c r="H234" s="267"/>
      <c r="I234" s="267"/>
      <c r="J234" s="267"/>
      <c r="K234" s="267"/>
      <c r="L234" s="267"/>
      <c r="M234" s="267"/>
      <c r="N234" s="267"/>
      <c r="O234" s="267"/>
      <c r="P234" s="267"/>
      <c r="Q234" s="267"/>
      <c r="R234" s="267"/>
      <c r="S234" s="267"/>
    </row>
    <row r="235" spans="1:19" ht="15.75" customHeight="1" thickBot="1" x14ac:dyDescent="0.3">
      <c r="A235" s="267"/>
      <c r="B235" s="267"/>
      <c r="C235" s="267"/>
      <c r="D235" s="267"/>
      <c r="E235" s="267"/>
      <c r="F235" s="269"/>
      <c r="G235" s="267"/>
      <c r="H235" s="267"/>
      <c r="I235" s="267"/>
      <c r="J235" s="267"/>
      <c r="K235" s="267"/>
      <c r="L235" s="267"/>
      <c r="M235" s="267"/>
      <c r="N235" s="267"/>
      <c r="O235" s="267"/>
      <c r="P235" s="267"/>
      <c r="Q235" s="267"/>
      <c r="R235" s="267"/>
      <c r="S235" s="267"/>
    </row>
    <row r="236" spans="1:19" ht="15.75" customHeight="1" thickBot="1" x14ac:dyDescent="0.3">
      <c r="A236" s="267"/>
      <c r="B236" s="267"/>
      <c r="C236" s="267"/>
      <c r="D236" s="267"/>
      <c r="E236" s="267"/>
      <c r="F236" s="269"/>
      <c r="G236" s="267"/>
      <c r="H236" s="267"/>
      <c r="I236" s="267"/>
      <c r="J236" s="267"/>
      <c r="K236" s="267"/>
      <c r="L236" s="267"/>
      <c r="M236" s="267"/>
      <c r="N236" s="267"/>
      <c r="O236" s="267"/>
      <c r="P236" s="267"/>
      <c r="Q236" s="267"/>
      <c r="R236" s="267"/>
      <c r="S236" s="267"/>
    </row>
    <row r="237" spans="1:19" ht="15.75" customHeight="1" thickBot="1" x14ac:dyDescent="0.3">
      <c r="A237" s="267"/>
      <c r="B237" s="267"/>
      <c r="C237" s="267"/>
      <c r="D237" s="267"/>
      <c r="E237" s="267"/>
      <c r="F237" s="269"/>
      <c r="G237" s="267"/>
      <c r="H237" s="267"/>
      <c r="I237" s="267"/>
      <c r="J237" s="267"/>
      <c r="K237" s="267"/>
      <c r="L237" s="267"/>
      <c r="M237" s="267"/>
      <c r="N237" s="267"/>
      <c r="O237" s="267"/>
      <c r="P237" s="267"/>
      <c r="Q237" s="267"/>
      <c r="R237" s="267"/>
      <c r="S237" s="267"/>
    </row>
    <row r="238" spans="1:19" ht="15.75" customHeight="1" thickBot="1" x14ac:dyDescent="0.3">
      <c r="A238" s="267"/>
      <c r="B238" s="267"/>
      <c r="C238" s="267"/>
      <c r="D238" s="267"/>
      <c r="E238" s="267"/>
      <c r="F238" s="269"/>
      <c r="G238" s="267"/>
      <c r="H238" s="267"/>
      <c r="I238" s="267"/>
      <c r="J238" s="267"/>
      <c r="K238" s="267"/>
      <c r="L238" s="267"/>
      <c r="M238" s="267"/>
      <c r="N238" s="267"/>
      <c r="O238" s="267"/>
      <c r="P238" s="267"/>
      <c r="Q238" s="267"/>
      <c r="R238" s="267"/>
      <c r="S238" s="267"/>
    </row>
    <row r="239" spans="1:19" ht="15.75" customHeight="1" thickBot="1" x14ac:dyDescent="0.3">
      <c r="A239" s="267"/>
      <c r="B239" s="267"/>
      <c r="C239" s="267"/>
      <c r="D239" s="267"/>
      <c r="E239" s="267"/>
      <c r="F239" s="269"/>
      <c r="G239" s="267"/>
      <c r="H239" s="267"/>
      <c r="I239" s="267"/>
      <c r="J239" s="267"/>
      <c r="K239" s="267"/>
      <c r="L239" s="267"/>
      <c r="M239" s="267"/>
      <c r="N239" s="267"/>
      <c r="O239" s="267"/>
      <c r="P239" s="267"/>
      <c r="Q239" s="267"/>
      <c r="R239" s="267"/>
      <c r="S239" s="267"/>
    </row>
    <row r="240" spans="1:19" ht="15.75" customHeight="1" thickBot="1" x14ac:dyDescent="0.3">
      <c r="A240" s="267"/>
      <c r="B240" s="267"/>
      <c r="C240" s="267"/>
      <c r="D240" s="267"/>
      <c r="E240" s="267"/>
      <c r="F240" s="269"/>
      <c r="G240" s="267"/>
      <c r="H240" s="267"/>
      <c r="I240" s="267"/>
      <c r="J240" s="267"/>
      <c r="K240" s="267"/>
      <c r="L240" s="267"/>
      <c r="M240" s="267"/>
      <c r="N240" s="267"/>
      <c r="O240" s="267"/>
      <c r="P240" s="267"/>
      <c r="Q240" s="267"/>
      <c r="R240" s="267"/>
      <c r="S240" s="267"/>
    </row>
    <row r="241" spans="1:19" ht="15.75" customHeight="1" thickBot="1" x14ac:dyDescent="0.3">
      <c r="A241" s="267"/>
      <c r="B241" s="267"/>
      <c r="C241" s="267"/>
      <c r="D241" s="267"/>
      <c r="E241" s="267"/>
      <c r="F241" s="269"/>
      <c r="G241" s="267"/>
      <c r="H241" s="267"/>
      <c r="I241" s="267"/>
      <c r="J241" s="267"/>
      <c r="K241" s="267"/>
      <c r="L241" s="267"/>
      <c r="M241" s="267"/>
      <c r="N241" s="267"/>
      <c r="O241" s="267"/>
      <c r="P241" s="267"/>
      <c r="Q241" s="267"/>
      <c r="R241" s="267"/>
      <c r="S241" s="267"/>
    </row>
    <row r="242" spans="1:19" ht="15.75" customHeight="1" thickBot="1" x14ac:dyDescent="0.3">
      <c r="A242" s="267"/>
      <c r="B242" s="267"/>
      <c r="C242" s="267"/>
      <c r="D242" s="267"/>
      <c r="E242" s="267"/>
      <c r="F242" s="269"/>
      <c r="G242" s="267"/>
      <c r="H242" s="267"/>
      <c r="I242" s="267"/>
      <c r="J242" s="267"/>
      <c r="K242" s="267"/>
      <c r="L242" s="267"/>
      <c r="M242" s="267"/>
      <c r="N242" s="267"/>
      <c r="O242" s="267"/>
      <c r="P242" s="267"/>
      <c r="Q242" s="267"/>
      <c r="R242" s="267"/>
      <c r="S242" s="267"/>
    </row>
    <row r="243" spans="1:19" ht="15.75" customHeight="1" thickBot="1" x14ac:dyDescent="0.3">
      <c r="A243" s="267"/>
      <c r="B243" s="267"/>
      <c r="C243" s="267"/>
      <c r="D243" s="267"/>
      <c r="E243" s="267"/>
      <c r="F243" s="269"/>
      <c r="G243" s="267"/>
      <c r="H243" s="267"/>
      <c r="I243" s="267"/>
      <c r="J243" s="267"/>
      <c r="K243" s="267"/>
      <c r="L243" s="267"/>
      <c r="M243" s="267"/>
      <c r="N243" s="267"/>
      <c r="O243" s="267"/>
      <c r="P243" s="267"/>
      <c r="Q243" s="267"/>
      <c r="R243" s="267"/>
      <c r="S243" s="267"/>
    </row>
    <row r="244" spans="1:19" ht="15.75" customHeight="1" thickBot="1" x14ac:dyDescent="0.3">
      <c r="A244" s="267"/>
      <c r="B244" s="267"/>
      <c r="C244" s="267"/>
      <c r="D244" s="267"/>
      <c r="E244" s="267"/>
      <c r="F244" s="269"/>
      <c r="G244" s="267"/>
      <c r="H244" s="267"/>
      <c r="I244" s="267"/>
      <c r="J244" s="267"/>
      <c r="K244" s="267"/>
      <c r="L244" s="267"/>
      <c r="M244" s="267"/>
      <c r="N244" s="267"/>
      <c r="O244" s="267"/>
      <c r="P244" s="267"/>
      <c r="Q244" s="267"/>
      <c r="R244" s="267"/>
      <c r="S244" s="267"/>
    </row>
    <row r="245" spans="1:19" ht="15.75" customHeight="1" thickBot="1" x14ac:dyDescent="0.3">
      <c r="A245" s="267"/>
      <c r="B245" s="267"/>
      <c r="C245" s="267"/>
      <c r="D245" s="267"/>
      <c r="E245" s="267"/>
      <c r="F245" s="269"/>
      <c r="G245" s="267"/>
      <c r="H245" s="267"/>
      <c r="I245" s="267"/>
      <c r="J245" s="267"/>
      <c r="K245" s="267"/>
      <c r="L245" s="267"/>
      <c r="M245" s="267"/>
      <c r="N245" s="267"/>
      <c r="O245" s="267"/>
      <c r="P245" s="267"/>
      <c r="Q245" s="267"/>
      <c r="R245" s="267"/>
      <c r="S245" s="267"/>
    </row>
    <row r="246" spans="1:19" ht="15.75" customHeight="1" thickBot="1" x14ac:dyDescent="0.3">
      <c r="A246" s="267"/>
      <c r="B246" s="267"/>
      <c r="C246" s="267"/>
      <c r="D246" s="267"/>
      <c r="E246" s="267"/>
      <c r="F246" s="269"/>
      <c r="G246" s="267"/>
      <c r="H246" s="267"/>
      <c r="I246" s="267"/>
      <c r="J246" s="267"/>
      <c r="K246" s="267"/>
      <c r="L246" s="267"/>
      <c r="M246" s="267"/>
      <c r="N246" s="267"/>
      <c r="O246" s="267"/>
      <c r="P246" s="267"/>
      <c r="Q246" s="267"/>
      <c r="R246" s="267"/>
      <c r="S246" s="267"/>
    </row>
    <row r="247" spans="1:19" ht="15.75" customHeight="1" thickBot="1" x14ac:dyDescent="0.3">
      <c r="A247" s="267"/>
      <c r="B247" s="267"/>
      <c r="C247" s="267"/>
      <c r="D247" s="267"/>
      <c r="E247" s="267"/>
      <c r="F247" s="269"/>
      <c r="G247" s="267"/>
      <c r="H247" s="267"/>
      <c r="I247" s="267"/>
      <c r="J247" s="267"/>
      <c r="K247" s="267"/>
      <c r="L247" s="267"/>
      <c r="M247" s="267"/>
      <c r="N247" s="267"/>
      <c r="O247" s="267"/>
      <c r="P247" s="267"/>
      <c r="Q247" s="267"/>
      <c r="R247" s="267"/>
      <c r="S247" s="267"/>
    </row>
    <row r="248" spans="1:19" ht="15.75" customHeight="1" thickBot="1" x14ac:dyDescent="0.3">
      <c r="A248" s="267"/>
      <c r="B248" s="267"/>
      <c r="C248" s="267"/>
      <c r="D248" s="267"/>
      <c r="E248" s="267"/>
      <c r="F248" s="269"/>
      <c r="G248" s="267"/>
      <c r="H248" s="267"/>
      <c r="I248" s="267"/>
      <c r="J248" s="267"/>
      <c r="K248" s="267"/>
      <c r="L248" s="267"/>
      <c r="M248" s="267"/>
      <c r="N248" s="267"/>
      <c r="O248" s="267"/>
      <c r="P248" s="267"/>
      <c r="Q248" s="267"/>
      <c r="R248" s="267"/>
      <c r="S248" s="267"/>
    </row>
    <row r="249" spans="1:19" ht="15.75" customHeight="1" thickBot="1" x14ac:dyDescent="0.3">
      <c r="A249" s="267"/>
      <c r="B249" s="267"/>
      <c r="C249" s="267"/>
      <c r="D249" s="267"/>
      <c r="E249" s="267"/>
      <c r="F249" s="269"/>
      <c r="G249" s="267"/>
      <c r="H249" s="267"/>
      <c r="I249" s="267"/>
      <c r="J249" s="267"/>
      <c r="K249" s="267"/>
      <c r="L249" s="267"/>
      <c r="M249" s="267"/>
      <c r="N249" s="267"/>
      <c r="O249" s="267"/>
      <c r="P249" s="267"/>
      <c r="Q249" s="267"/>
      <c r="R249" s="267"/>
      <c r="S249" s="267"/>
    </row>
    <row r="250" spans="1:19" ht="15.75" customHeight="1" thickBot="1" x14ac:dyDescent="0.3">
      <c r="A250" s="267"/>
      <c r="B250" s="267"/>
      <c r="C250" s="267"/>
      <c r="D250" s="267"/>
      <c r="E250" s="267"/>
      <c r="F250" s="269"/>
      <c r="G250" s="267"/>
      <c r="H250" s="267"/>
      <c r="I250" s="267"/>
      <c r="J250" s="267"/>
      <c r="K250" s="267"/>
      <c r="L250" s="267"/>
      <c r="M250" s="267"/>
      <c r="N250" s="267"/>
      <c r="O250" s="267"/>
      <c r="P250" s="267"/>
      <c r="Q250" s="267"/>
      <c r="R250" s="267"/>
      <c r="S250" s="267"/>
    </row>
    <row r="251" spans="1:19" ht="15.75" customHeight="1" thickBot="1" x14ac:dyDescent="0.3">
      <c r="A251" s="267"/>
      <c r="B251" s="267"/>
      <c r="C251" s="267"/>
      <c r="D251" s="267"/>
      <c r="E251" s="267"/>
      <c r="F251" s="269"/>
      <c r="G251" s="267"/>
      <c r="H251" s="267"/>
      <c r="I251" s="267"/>
      <c r="J251" s="267"/>
      <c r="K251" s="267"/>
      <c r="L251" s="267"/>
      <c r="M251" s="267"/>
      <c r="N251" s="267"/>
      <c r="O251" s="267"/>
      <c r="P251" s="267"/>
      <c r="Q251" s="267"/>
      <c r="R251" s="267"/>
      <c r="S251" s="267"/>
    </row>
    <row r="252" spans="1:19" ht="15.75" customHeight="1" thickBot="1" x14ac:dyDescent="0.3">
      <c r="A252" s="267"/>
      <c r="B252" s="267"/>
      <c r="C252" s="267"/>
      <c r="D252" s="267"/>
      <c r="E252" s="267"/>
      <c r="F252" s="269"/>
      <c r="G252" s="267"/>
      <c r="H252" s="267"/>
      <c r="I252" s="267"/>
      <c r="J252" s="267"/>
      <c r="K252" s="267"/>
      <c r="L252" s="267"/>
      <c r="M252" s="267"/>
      <c r="N252" s="267"/>
      <c r="O252" s="267"/>
      <c r="P252" s="267"/>
      <c r="Q252" s="267"/>
      <c r="R252" s="267"/>
      <c r="S252" s="267"/>
    </row>
    <row r="253" spans="1:19" ht="15.75" customHeight="1" thickBot="1" x14ac:dyDescent="0.3">
      <c r="A253" s="267"/>
      <c r="B253" s="267"/>
      <c r="C253" s="267"/>
      <c r="D253" s="267"/>
      <c r="E253" s="267"/>
      <c r="F253" s="269"/>
      <c r="G253" s="267"/>
      <c r="H253" s="267"/>
      <c r="I253" s="267"/>
      <c r="J253" s="267"/>
      <c r="K253" s="267"/>
      <c r="L253" s="267"/>
      <c r="M253" s="267"/>
      <c r="N253" s="267"/>
      <c r="O253" s="267"/>
      <c r="P253" s="267"/>
      <c r="Q253" s="267"/>
      <c r="R253" s="267"/>
      <c r="S253" s="267"/>
    </row>
    <row r="254" spans="1:19" ht="15.75" customHeight="1" thickBot="1" x14ac:dyDescent="0.3">
      <c r="A254" s="267"/>
      <c r="B254" s="267"/>
      <c r="C254" s="267"/>
      <c r="D254" s="267"/>
      <c r="E254" s="267"/>
      <c r="F254" s="269"/>
      <c r="G254" s="267"/>
      <c r="H254" s="267"/>
      <c r="I254" s="267"/>
      <c r="J254" s="267"/>
      <c r="K254" s="267"/>
      <c r="L254" s="267"/>
      <c r="M254" s="267"/>
      <c r="N254" s="267"/>
      <c r="O254" s="267"/>
      <c r="P254" s="267"/>
      <c r="Q254" s="267"/>
      <c r="R254" s="267"/>
      <c r="S254" s="267"/>
    </row>
    <row r="255" spans="1:19" ht="15.75" customHeight="1" thickBot="1" x14ac:dyDescent="0.3">
      <c r="A255" s="267"/>
      <c r="B255" s="267"/>
      <c r="C255" s="267"/>
      <c r="D255" s="267"/>
      <c r="E255" s="267"/>
      <c r="F255" s="269"/>
      <c r="G255" s="267"/>
      <c r="H255" s="267"/>
      <c r="I255" s="267"/>
      <c r="J255" s="267"/>
      <c r="K255" s="267"/>
      <c r="L255" s="267"/>
      <c r="M255" s="267"/>
      <c r="N255" s="267"/>
      <c r="O255" s="267"/>
      <c r="P255" s="267"/>
      <c r="Q255" s="267"/>
      <c r="R255" s="267"/>
      <c r="S255" s="267"/>
    </row>
    <row r="256" spans="1:19" ht="15.75" customHeight="1" thickBot="1" x14ac:dyDescent="0.3">
      <c r="A256" s="267"/>
      <c r="B256" s="267"/>
      <c r="C256" s="267"/>
      <c r="D256" s="267"/>
      <c r="E256" s="267"/>
      <c r="F256" s="269"/>
      <c r="G256" s="267"/>
      <c r="H256" s="267"/>
      <c r="I256" s="267"/>
      <c r="J256" s="267"/>
      <c r="K256" s="267"/>
      <c r="L256" s="267"/>
      <c r="M256" s="267"/>
      <c r="N256" s="267"/>
      <c r="O256" s="267"/>
      <c r="P256" s="267"/>
      <c r="Q256" s="267"/>
      <c r="R256" s="267"/>
      <c r="S256" s="267"/>
    </row>
    <row r="257" spans="1:19" ht="15.75" customHeight="1" thickBot="1" x14ac:dyDescent="0.3">
      <c r="A257" s="267"/>
      <c r="B257" s="267"/>
      <c r="C257" s="267"/>
      <c r="D257" s="267"/>
      <c r="E257" s="267"/>
      <c r="F257" s="269"/>
      <c r="G257" s="267"/>
      <c r="H257" s="267"/>
      <c r="I257" s="267"/>
      <c r="J257" s="267"/>
      <c r="K257" s="267"/>
      <c r="L257" s="267"/>
      <c r="M257" s="267"/>
      <c r="N257" s="267"/>
      <c r="O257" s="267"/>
      <c r="P257" s="267"/>
      <c r="Q257" s="267"/>
      <c r="R257" s="267"/>
      <c r="S257" s="267"/>
    </row>
    <row r="258" spans="1:19" ht="15.75" customHeight="1" thickBot="1" x14ac:dyDescent="0.3">
      <c r="A258" s="267"/>
      <c r="B258" s="267"/>
      <c r="C258" s="267"/>
      <c r="D258" s="267"/>
      <c r="E258" s="267"/>
      <c r="F258" s="269"/>
      <c r="G258" s="267"/>
      <c r="H258" s="267"/>
      <c r="I258" s="267"/>
      <c r="J258" s="267"/>
      <c r="K258" s="267"/>
      <c r="L258" s="267"/>
      <c r="M258" s="267"/>
      <c r="N258" s="267"/>
      <c r="O258" s="267"/>
      <c r="P258" s="267"/>
      <c r="Q258" s="267"/>
      <c r="R258" s="267"/>
      <c r="S258" s="267"/>
    </row>
    <row r="259" spans="1:19" ht="15.75" customHeight="1" thickBot="1" x14ac:dyDescent="0.3">
      <c r="A259" s="267"/>
      <c r="B259" s="267"/>
      <c r="C259" s="267"/>
      <c r="D259" s="267"/>
      <c r="E259" s="267"/>
      <c r="F259" s="269"/>
      <c r="G259" s="267"/>
      <c r="H259" s="267"/>
      <c r="I259" s="267"/>
      <c r="J259" s="267"/>
      <c r="K259" s="267"/>
      <c r="L259" s="267"/>
      <c r="M259" s="267"/>
      <c r="N259" s="267"/>
      <c r="O259" s="267"/>
      <c r="P259" s="267"/>
      <c r="Q259" s="267"/>
      <c r="R259" s="267"/>
      <c r="S259" s="267"/>
    </row>
    <row r="260" spans="1:19" ht="15.75" customHeight="1" thickBot="1" x14ac:dyDescent="0.3">
      <c r="A260" s="267"/>
      <c r="B260" s="267"/>
      <c r="C260" s="267"/>
      <c r="D260" s="267"/>
      <c r="E260" s="267"/>
      <c r="F260" s="269"/>
      <c r="G260" s="267"/>
      <c r="H260" s="267"/>
      <c r="I260" s="267"/>
      <c r="J260" s="267"/>
      <c r="K260" s="267"/>
      <c r="L260" s="267"/>
      <c r="M260" s="267"/>
      <c r="N260" s="267"/>
      <c r="O260" s="267"/>
      <c r="P260" s="267"/>
      <c r="Q260" s="267"/>
      <c r="R260" s="267"/>
      <c r="S260" s="267"/>
    </row>
    <row r="261" spans="1:19" ht="15.75" customHeight="1" thickBot="1" x14ac:dyDescent="0.3">
      <c r="A261" s="267"/>
      <c r="B261" s="267"/>
      <c r="C261" s="267"/>
      <c r="D261" s="267"/>
      <c r="E261" s="267"/>
      <c r="F261" s="269"/>
      <c r="G261" s="267"/>
      <c r="H261" s="267"/>
      <c r="I261" s="267"/>
      <c r="J261" s="267"/>
      <c r="K261" s="267"/>
      <c r="L261" s="267"/>
      <c r="M261" s="267"/>
      <c r="N261" s="267"/>
      <c r="O261" s="267"/>
      <c r="P261" s="267"/>
      <c r="Q261" s="267"/>
      <c r="R261" s="267"/>
      <c r="S261" s="267"/>
    </row>
    <row r="262" spans="1:19" ht="15.75" customHeight="1" thickBot="1" x14ac:dyDescent="0.3">
      <c r="A262" s="267"/>
      <c r="B262" s="267"/>
      <c r="C262" s="267"/>
      <c r="D262" s="267"/>
      <c r="E262" s="267"/>
      <c r="F262" s="269"/>
      <c r="G262" s="267"/>
      <c r="H262" s="267"/>
      <c r="I262" s="267"/>
      <c r="J262" s="267"/>
      <c r="K262" s="267"/>
      <c r="L262" s="267"/>
      <c r="M262" s="267"/>
      <c r="N262" s="267"/>
      <c r="O262" s="267"/>
      <c r="P262" s="267"/>
      <c r="Q262" s="267"/>
      <c r="R262" s="267"/>
      <c r="S262" s="267"/>
    </row>
    <row r="263" spans="1:19" ht="15.75" customHeight="1" thickBot="1" x14ac:dyDescent="0.3">
      <c r="A263" s="267"/>
      <c r="B263" s="267"/>
      <c r="C263" s="267"/>
      <c r="D263" s="267"/>
      <c r="E263" s="267"/>
      <c r="F263" s="269"/>
      <c r="G263" s="267"/>
      <c r="H263" s="267"/>
      <c r="I263" s="267"/>
      <c r="J263" s="267"/>
      <c r="K263" s="267"/>
      <c r="L263" s="267"/>
      <c r="M263" s="267"/>
      <c r="N263" s="267"/>
      <c r="O263" s="267"/>
      <c r="P263" s="267"/>
      <c r="Q263" s="267"/>
      <c r="R263" s="267"/>
      <c r="S263" s="267"/>
    </row>
    <row r="264" spans="1:19" ht="15.75" customHeight="1" thickBot="1" x14ac:dyDescent="0.3">
      <c r="A264" s="267"/>
      <c r="B264" s="267"/>
      <c r="C264" s="267"/>
      <c r="D264" s="267"/>
      <c r="E264" s="267"/>
      <c r="F264" s="269"/>
      <c r="G264" s="267"/>
      <c r="H264" s="267"/>
      <c r="I264" s="267"/>
      <c r="J264" s="267"/>
      <c r="K264" s="267"/>
      <c r="L264" s="267"/>
      <c r="M264" s="267"/>
      <c r="N264" s="267"/>
      <c r="O264" s="267"/>
      <c r="P264" s="267"/>
      <c r="Q264" s="267"/>
      <c r="R264" s="267"/>
      <c r="S264" s="267"/>
    </row>
    <row r="265" spans="1:19" ht="15.75" customHeight="1" thickBot="1" x14ac:dyDescent="0.3">
      <c r="A265" s="267"/>
      <c r="B265" s="267"/>
      <c r="C265" s="267"/>
      <c r="D265" s="267"/>
      <c r="E265" s="267"/>
      <c r="F265" s="269"/>
      <c r="G265" s="267"/>
      <c r="H265" s="267"/>
      <c r="I265" s="267"/>
      <c r="J265" s="267"/>
      <c r="K265" s="267"/>
      <c r="L265" s="267"/>
      <c r="M265" s="267"/>
      <c r="N265" s="267"/>
      <c r="O265" s="267"/>
      <c r="P265" s="267"/>
      <c r="Q265" s="267"/>
      <c r="R265" s="267"/>
      <c r="S265" s="267"/>
    </row>
    <row r="266" spans="1:19" ht="15.75" customHeight="1" thickBot="1" x14ac:dyDescent="0.3">
      <c r="A266" s="267"/>
      <c r="B266" s="267"/>
      <c r="C266" s="267"/>
      <c r="D266" s="267"/>
      <c r="E266" s="267"/>
      <c r="F266" s="269"/>
      <c r="G266" s="267"/>
      <c r="H266" s="267"/>
      <c r="I266" s="267"/>
      <c r="J266" s="267"/>
      <c r="K266" s="267"/>
      <c r="L266" s="267"/>
      <c r="M266" s="267"/>
      <c r="N266" s="267"/>
      <c r="O266" s="267"/>
      <c r="P266" s="267"/>
      <c r="Q266" s="267"/>
      <c r="R266" s="267"/>
      <c r="S266" s="267"/>
    </row>
    <row r="267" spans="1:19" ht="15.75" customHeight="1" thickBot="1" x14ac:dyDescent="0.3">
      <c r="A267" s="267"/>
      <c r="B267" s="267"/>
      <c r="C267" s="267"/>
      <c r="D267" s="267"/>
      <c r="E267" s="267"/>
      <c r="F267" s="269"/>
      <c r="G267" s="267"/>
      <c r="H267" s="267"/>
      <c r="I267" s="267"/>
      <c r="J267" s="267"/>
      <c r="K267" s="267"/>
      <c r="L267" s="267"/>
      <c r="M267" s="267"/>
      <c r="N267" s="267"/>
      <c r="O267" s="267"/>
      <c r="P267" s="267"/>
      <c r="Q267" s="267"/>
      <c r="R267" s="267"/>
      <c r="S267" s="267"/>
    </row>
    <row r="268" spans="1:19" ht="15.75" customHeight="1" thickBot="1" x14ac:dyDescent="0.3">
      <c r="A268" s="267"/>
      <c r="B268" s="267"/>
      <c r="C268" s="267"/>
      <c r="D268" s="267"/>
      <c r="E268" s="267"/>
      <c r="F268" s="269"/>
      <c r="G268" s="267"/>
      <c r="H268" s="267"/>
      <c r="I268" s="267"/>
      <c r="J268" s="267"/>
      <c r="K268" s="267"/>
      <c r="L268" s="267"/>
      <c r="M268" s="267"/>
      <c r="N268" s="267"/>
      <c r="O268" s="267"/>
      <c r="P268" s="267"/>
      <c r="Q268" s="267"/>
      <c r="R268" s="267"/>
      <c r="S268" s="267"/>
    </row>
    <row r="269" spans="1:19" ht="15.75" customHeight="1" thickBot="1" x14ac:dyDescent="0.3">
      <c r="A269" s="267"/>
      <c r="B269" s="267"/>
      <c r="C269" s="267"/>
      <c r="D269" s="267"/>
      <c r="E269" s="267"/>
      <c r="F269" s="269"/>
      <c r="G269" s="267"/>
      <c r="H269" s="267"/>
      <c r="I269" s="267"/>
      <c r="J269" s="267"/>
      <c r="K269" s="267"/>
      <c r="L269" s="267"/>
      <c r="M269" s="267"/>
      <c r="N269" s="267"/>
      <c r="O269" s="267"/>
      <c r="P269" s="267"/>
      <c r="Q269" s="267"/>
      <c r="R269" s="267"/>
      <c r="S269" s="267"/>
    </row>
    <row r="270" spans="1:19" ht="15.75" customHeight="1" thickBot="1" x14ac:dyDescent="0.3">
      <c r="A270" s="267"/>
      <c r="B270" s="267"/>
      <c r="C270" s="267"/>
      <c r="D270" s="267"/>
      <c r="E270" s="267"/>
      <c r="F270" s="269"/>
      <c r="G270" s="267"/>
      <c r="H270" s="267"/>
      <c r="I270" s="267"/>
      <c r="J270" s="267"/>
      <c r="K270" s="267"/>
      <c r="L270" s="267"/>
      <c r="M270" s="267"/>
      <c r="N270" s="267"/>
      <c r="O270" s="267"/>
      <c r="P270" s="267"/>
      <c r="Q270" s="267"/>
      <c r="R270" s="267"/>
      <c r="S270" s="267"/>
    </row>
    <row r="271" spans="1:19" ht="15.75" customHeight="1" thickBot="1" x14ac:dyDescent="0.3">
      <c r="A271" s="267"/>
      <c r="B271" s="267"/>
      <c r="C271" s="267"/>
      <c r="D271" s="267"/>
      <c r="E271" s="267"/>
      <c r="F271" s="269"/>
      <c r="G271" s="267"/>
      <c r="H271" s="267"/>
      <c r="I271" s="267"/>
      <c r="J271" s="267"/>
      <c r="K271" s="267"/>
      <c r="L271" s="267"/>
      <c r="M271" s="267"/>
      <c r="N271" s="267"/>
      <c r="O271" s="267"/>
      <c r="P271" s="267"/>
      <c r="Q271" s="267"/>
      <c r="R271" s="267"/>
      <c r="S271" s="267"/>
    </row>
    <row r="272" spans="1:19" ht="15.75" customHeight="1" thickBot="1" x14ac:dyDescent="0.3">
      <c r="A272" s="267"/>
      <c r="B272" s="267"/>
      <c r="C272" s="267"/>
      <c r="D272" s="267"/>
      <c r="E272" s="267"/>
      <c r="F272" s="269"/>
      <c r="G272" s="267"/>
      <c r="H272" s="267"/>
      <c r="I272" s="267"/>
      <c r="J272" s="267"/>
      <c r="K272" s="267"/>
      <c r="L272" s="267"/>
      <c r="M272" s="267"/>
      <c r="N272" s="267"/>
      <c r="O272" s="267"/>
      <c r="P272" s="267"/>
      <c r="Q272" s="267"/>
      <c r="R272" s="267"/>
      <c r="S272" s="267"/>
    </row>
    <row r="273" spans="1:19" ht="15.75" customHeight="1" thickBot="1" x14ac:dyDescent="0.3">
      <c r="A273" s="267"/>
      <c r="B273" s="267"/>
      <c r="C273" s="267"/>
      <c r="D273" s="267"/>
      <c r="E273" s="267"/>
      <c r="F273" s="269"/>
      <c r="G273" s="267"/>
      <c r="H273" s="267"/>
      <c r="I273" s="267"/>
      <c r="J273" s="267"/>
      <c r="K273" s="267"/>
      <c r="L273" s="267"/>
      <c r="M273" s="267"/>
      <c r="N273" s="267"/>
      <c r="O273" s="267"/>
      <c r="P273" s="267"/>
      <c r="Q273" s="267"/>
      <c r="R273" s="267"/>
      <c r="S273" s="267"/>
    </row>
    <row r="274" spans="1:19" ht="15.75" customHeight="1" thickBot="1" x14ac:dyDescent="0.3">
      <c r="A274" s="267"/>
      <c r="B274" s="267"/>
      <c r="C274" s="267"/>
      <c r="D274" s="267"/>
      <c r="E274" s="267"/>
      <c r="F274" s="269"/>
      <c r="G274" s="267"/>
      <c r="H274" s="267"/>
      <c r="I274" s="267"/>
      <c r="J274" s="267"/>
      <c r="K274" s="267"/>
      <c r="L274" s="267"/>
      <c r="M274" s="267"/>
      <c r="N274" s="267"/>
      <c r="O274" s="267"/>
      <c r="P274" s="267"/>
      <c r="Q274" s="267"/>
      <c r="R274" s="267"/>
      <c r="S274" s="267"/>
    </row>
    <row r="275" spans="1:19" ht="15.75" customHeight="1" thickBot="1" x14ac:dyDescent="0.3">
      <c r="A275" s="267"/>
      <c r="B275" s="267"/>
      <c r="C275" s="267"/>
      <c r="D275" s="267"/>
      <c r="E275" s="267"/>
      <c r="F275" s="269"/>
      <c r="G275" s="267"/>
      <c r="H275" s="267"/>
      <c r="I275" s="267"/>
      <c r="J275" s="267"/>
      <c r="K275" s="267"/>
      <c r="L275" s="267"/>
      <c r="M275" s="267"/>
      <c r="N275" s="267"/>
      <c r="O275" s="267"/>
      <c r="P275" s="267"/>
      <c r="Q275" s="267"/>
      <c r="R275" s="267"/>
      <c r="S275" s="267"/>
    </row>
    <row r="276" spans="1:19" ht="15.75" customHeight="1" thickBot="1" x14ac:dyDescent="0.3">
      <c r="A276" s="267"/>
      <c r="B276" s="267"/>
      <c r="C276" s="267"/>
      <c r="D276" s="267"/>
      <c r="E276" s="267"/>
      <c r="F276" s="269"/>
      <c r="G276" s="267"/>
      <c r="H276" s="267"/>
      <c r="I276" s="267"/>
      <c r="J276" s="267"/>
      <c r="K276" s="267"/>
      <c r="L276" s="267"/>
      <c r="M276" s="267"/>
      <c r="N276" s="267"/>
      <c r="O276" s="267"/>
      <c r="P276" s="267"/>
      <c r="Q276" s="267"/>
      <c r="R276" s="267"/>
      <c r="S276" s="267"/>
    </row>
    <row r="277" spans="1:19" ht="15.75" customHeight="1" thickBot="1" x14ac:dyDescent="0.3">
      <c r="A277" s="267"/>
      <c r="B277" s="267"/>
      <c r="C277" s="267"/>
      <c r="D277" s="267"/>
      <c r="E277" s="267"/>
      <c r="F277" s="269"/>
      <c r="G277" s="267"/>
      <c r="H277" s="267"/>
      <c r="I277" s="267"/>
      <c r="J277" s="267"/>
      <c r="K277" s="267"/>
      <c r="L277" s="267"/>
      <c r="M277" s="267"/>
      <c r="N277" s="267"/>
      <c r="O277" s="267"/>
      <c r="P277" s="267"/>
      <c r="Q277" s="267"/>
      <c r="R277" s="267"/>
      <c r="S277" s="267"/>
    </row>
    <row r="278" spans="1:19" ht="15.75" customHeight="1" thickBot="1" x14ac:dyDescent="0.3">
      <c r="A278" s="267"/>
      <c r="B278" s="267"/>
      <c r="C278" s="267"/>
      <c r="D278" s="267"/>
      <c r="E278" s="267"/>
      <c r="F278" s="269"/>
      <c r="G278" s="267"/>
      <c r="H278" s="267"/>
      <c r="I278" s="267"/>
      <c r="J278" s="267"/>
      <c r="K278" s="267"/>
      <c r="L278" s="267"/>
      <c r="M278" s="267"/>
      <c r="N278" s="267"/>
      <c r="O278" s="267"/>
      <c r="P278" s="267"/>
      <c r="Q278" s="267"/>
      <c r="R278" s="267"/>
      <c r="S278" s="267"/>
    </row>
    <row r="279" spans="1:19" ht="15.75" customHeight="1" thickBot="1" x14ac:dyDescent="0.3">
      <c r="A279" s="267"/>
      <c r="B279" s="267"/>
      <c r="C279" s="267"/>
      <c r="D279" s="267"/>
      <c r="E279" s="267"/>
      <c r="F279" s="269"/>
      <c r="G279" s="267"/>
      <c r="H279" s="267"/>
      <c r="I279" s="267"/>
      <c r="J279" s="267"/>
      <c r="K279" s="267"/>
      <c r="L279" s="267"/>
      <c r="M279" s="267"/>
      <c r="N279" s="267"/>
      <c r="O279" s="267"/>
      <c r="P279" s="267"/>
      <c r="Q279" s="267"/>
      <c r="R279" s="267"/>
      <c r="S279" s="267"/>
    </row>
    <row r="280" spans="1:19" ht="15.75" customHeight="1" thickBot="1" x14ac:dyDescent="0.3">
      <c r="A280" s="267"/>
      <c r="B280" s="267"/>
      <c r="C280" s="267"/>
      <c r="D280" s="267"/>
      <c r="E280" s="267"/>
      <c r="F280" s="269"/>
      <c r="G280" s="267"/>
      <c r="H280" s="267"/>
      <c r="I280" s="267"/>
      <c r="J280" s="267"/>
      <c r="K280" s="267"/>
      <c r="L280" s="267"/>
      <c r="M280" s="267"/>
      <c r="N280" s="267"/>
      <c r="O280" s="267"/>
      <c r="P280" s="267"/>
      <c r="Q280" s="267"/>
      <c r="R280" s="267"/>
      <c r="S280" s="267"/>
    </row>
    <row r="281" spans="1:19" ht="15.75" customHeight="1" thickBot="1" x14ac:dyDescent="0.3">
      <c r="A281" s="267"/>
      <c r="B281" s="267"/>
      <c r="C281" s="267"/>
      <c r="D281" s="267"/>
      <c r="E281" s="267"/>
      <c r="F281" s="269"/>
      <c r="G281" s="267"/>
      <c r="H281" s="267"/>
      <c r="I281" s="267"/>
      <c r="J281" s="267"/>
      <c r="K281" s="267"/>
      <c r="L281" s="267"/>
      <c r="M281" s="267"/>
      <c r="N281" s="267"/>
      <c r="O281" s="267"/>
      <c r="P281" s="267"/>
      <c r="Q281" s="267"/>
      <c r="R281" s="267"/>
      <c r="S281" s="267"/>
    </row>
    <row r="282" spans="1:19" ht="15.75" customHeight="1" thickBot="1" x14ac:dyDescent="0.3">
      <c r="A282" s="267"/>
      <c r="B282" s="267"/>
      <c r="C282" s="267"/>
      <c r="D282" s="267"/>
      <c r="E282" s="267"/>
      <c r="F282" s="269"/>
      <c r="G282" s="267"/>
      <c r="H282" s="267"/>
      <c r="I282" s="267"/>
      <c r="J282" s="267"/>
      <c r="K282" s="267"/>
      <c r="L282" s="267"/>
      <c r="M282" s="267"/>
      <c r="N282" s="267"/>
      <c r="O282" s="267"/>
      <c r="P282" s="267"/>
      <c r="Q282" s="267"/>
      <c r="R282" s="267"/>
      <c r="S282" s="267"/>
    </row>
    <row r="283" spans="1:19" ht="15.75" customHeight="1" thickBot="1" x14ac:dyDescent="0.3">
      <c r="A283" s="267"/>
      <c r="B283" s="267"/>
      <c r="C283" s="267"/>
      <c r="D283" s="267"/>
      <c r="E283" s="267"/>
      <c r="F283" s="269"/>
      <c r="G283" s="267"/>
      <c r="H283" s="267"/>
      <c r="I283" s="267"/>
      <c r="J283" s="267"/>
      <c r="K283" s="267"/>
      <c r="L283" s="267"/>
      <c r="M283" s="267"/>
      <c r="N283" s="267"/>
      <c r="O283" s="267"/>
      <c r="P283" s="267"/>
      <c r="Q283" s="267"/>
      <c r="R283" s="267"/>
      <c r="S283" s="267"/>
    </row>
    <row r="284" spans="1:19" ht="15.75" customHeight="1" thickBot="1" x14ac:dyDescent="0.3">
      <c r="A284" s="267"/>
      <c r="B284" s="267"/>
      <c r="C284" s="267"/>
      <c r="D284" s="267"/>
      <c r="E284" s="267"/>
      <c r="F284" s="269"/>
      <c r="G284" s="267"/>
      <c r="H284" s="267"/>
      <c r="I284" s="267"/>
      <c r="J284" s="267"/>
      <c r="K284" s="267"/>
      <c r="L284" s="267"/>
      <c r="M284" s="267"/>
      <c r="N284" s="267"/>
      <c r="O284" s="267"/>
      <c r="P284" s="267"/>
      <c r="Q284" s="267"/>
      <c r="R284" s="267"/>
      <c r="S284" s="267"/>
    </row>
    <row r="285" spans="1:19" ht="15.75" customHeight="1" thickBot="1" x14ac:dyDescent="0.3">
      <c r="A285" s="267"/>
      <c r="B285" s="267"/>
      <c r="C285" s="267"/>
      <c r="D285" s="267"/>
      <c r="E285" s="267"/>
      <c r="F285" s="269"/>
      <c r="G285" s="267"/>
      <c r="H285" s="267"/>
      <c r="I285" s="267"/>
      <c r="J285" s="267"/>
      <c r="K285" s="267"/>
      <c r="L285" s="267"/>
      <c r="M285" s="267"/>
      <c r="N285" s="267"/>
      <c r="O285" s="267"/>
      <c r="P285" s="267"/>
      <c r="Q285" s="267"/>
      <c r="R285" s="267"/>
      <c r="S285" s="267"/>
    </row>
    <row r="286" spans="1:19" ht="15.75" customHeight="1" thickBot="1" x14ac:dyDescent="0.3">
      <c r="A286" s="267"/>
      <c r="B286" s="267"/>
      <c r="C286" s="267"/>
      <c r="D286" s="267"/>
      <c r="E286" s="267"/>
      <c r="F286" s="269"/>
      <c r="G286" s="267"/>
      <c r="H286" s="267"/>
      <c r="I286" s="267"/>
      <c r="J286" s="267"/>
      <c r="K286" s="267"/>
      <c r="L286" s="267"/>
      <c r="M286" s="267"/>
      <c r="N286" s="267"/>
      <c r="O286" s="267"/>
      <c r="P286" s="267"/>
      <c r="Q286" s="267"/>
      <c r="R286" s="267"/>
      <c r="S286" s="267"/>
    </row>
    <row r="287" spans="1:19" ht="15.75" customHeight="1" thickBot="1" x14ac:dyDescent="0.3">
      <c r="A287" s="267"/>
      <c r="B287" s="267"/>
      <c r="C287" s="267"/>
      <c r="D287" s="267"/>
      <c r="E287" s="267"/>
      <c r="F287" s="269"/>
      <c r="G287" s="267"/>
      <c r="H287" s="267"/>
      <c r="I287" s="267"/>
      <c r="J287" s="267"/>
      <c r="K287" s="267"/>
      <c r="L287" s="267"/>
      <c r="M287" s="267"/>
      <c r="N287" s="267"/>
      <c r="O287" s="267"/>
      <c r="P287" s="267"/>
      <c r="Q287" s="267"/>
      <c r="R287" s="267"/>
      <c r="S287" s="267"/>
    </row>
    <row r="288" spans="1:19" ht="15.75" customHeight="1" thickBot="1" x14ac:dyDescent="0.3">
      <c r="A288" s="267"/>
      <c r="B288" s="267"/>
      <c r="C288" s="267"/>
      <c r="D288" s="267"/>
      <c r="E288" s="267"/>
      <c r="F288" s="269"/>
      <c r="G288" s="267"/>
      <c r="H288" s="267"/>
      <c r="I288" s="267"/>
      <c r="J288" s="267"/>
      <c r="K288" s="267"/>
      <c r="L288" s="267"/>
      <c r="M288" s="267"/>
      <c r="N288" s="267"/>
      <c r="O288" s="267"/>
      <c r="P288" s="267"/>
      <c r="Q288" s="267"/>
      <c r="R288" s="267"/>
      <c r="S288" s="267"/>
    </row>
    <row r="289" spans="1:19" ht="15.75" customHeight="1" thickBot="1" x14ac:dyDescent="0.3">
      <c r="A289" s="267"/>
      <c r="B289" s="267"/>
      <c r="C289" s="267"/>
      <c r="D289" s="267"/>
      <c r="E289" s="267"/>
      <c r="F289" s="269"/>
      <c r="G289" s="267"/>
      <c r="H289" s="267"/>
      <c r="I289" s="267"/>
      <c r="J289" s="267"/>
      <c r="K289" s="267"/>
      <c r="L289" s="267"/>
      <c r="M289" s="267"/>
      <c r="N289" s="267"/>
      <c r="O289" s="267"/>
      <c r="P289" s="267"/>
      <c r="Q289" s="267"/>
      <c r="R289" s="267"/>
      <c r="S289" s="267"/>
    </row>
    <row r="290" spans="1:19" ht="15.75" customHeight="1" thickBot="1" x14ac:dyDescent="0.3">
      <c r="A290" s="267"/>
      <c r="B290" s="267"/>
      <c r="C290" s="267"/>
      <c r="D290" s="267"/>
      <c r="E290" s="267"/>
      <c r="F290" s="269"/>
      <c r="G290" s="267"/>
      <c r="H290" s="267"/>
      <c r="I290" s="267"/>
      <c r="J290" s="267"/>
      <c r="K290" s="267"/>
      <c r="L290" s="267"/>
      <c r="M290" s="267"/>
      <c r="N290" s="267"/>
      <c r="O290" s="267"/>
      <c r="P290" s="267"/>
      <c r="Q290" s="267"/>
      <c r="R290" s="267"/>
      <c r="S290" s="267"/>
    </row>
    <row r="291" spans="1:19" ht="15.75" customHeight="1" thickBot="1" x14ac:dyDescent="0.3">
      <c r="A291" s="267"/>
      <c r="B291" s="267"/>
      <c r="C291" s="267"/>
      <c r="D291" s="267"/>
      <c r="E291" s="267"/>
      <c r="F291" s="269"/>
      <c r="G291" s="267"/>
      <c r="H291" s="267"/>
      <c r="I291" s="267"/>
      <c r="J291" s="267"/>
      <c r="K291" s="267"/>
      <c r="L291" s="267"/>
      <c r="M291" s="267"/>
      <c r="N291" s="267"/>
      <c r="O291" s="267"/>
      <c r="P291" s="267"/>
      <c r="Q291" s="267"/>
      <c r="R291" s="267"/>
      <c r="S291" s="267"/>
    </row>
    <row r="292" spans="1:19" ht="15.75" customHeight="1" thickBot="1" x14ac:dyDescent="0.3">
      <c r="A292" s="267"/>
      <c r="B292" s="267"/>
      <c r="C292" s="267"/>
      <c r="D292" s="267"/>
      <c r="E292" s="267"/>
      <c r="F292" s="269"/>
      <c r="G292" s="267"/>
      <c r="H292" s="267"/>
      <c r="I292" s="267"/>
      <c r="J292" s="267"/>
      <c r="K292" s="267"/>
      <c r="L292" s="267"/>
      <c r="M292" s="267"/>
      <c r="N292" s="267"/>
      <c r="O292" s="267"/>
      <c r="P292" s="267"/>
      <c r="Q292" s="267"/>
      <c r="R292" s="267"/>
      <c r="S292" s="267"/>
    </row>
    <row r="293" spans="1:19" ht="15.75" customHeight="1" thickBot="1" x14ac:dyDescent="0.3">
      <c r="A293" s="267"/>
      <c r="B293" s="267"/>
      <c r="C293" s="267"/>
      <c r="D293" s="267"/>
      <c r="E293" s="267"/>
      <c r="F293" s="269"/>
      <c r="G293" s="267"/>
      <c r="H293" s="267"/>
      <c r="I293" s="267"/>
      <c r="J293" s="267"/>
      <c r="K293" s="267"/>
      <c r="L293" s="267"/>
      <c r="M293" s="267"/>
      <c r="N293" s="267"/>
      <c r="O293" s="267"/>
      <c r="P293" s="267"/>
      <c r="Q293" s="267"/>
      <c r="R293" s="267"/>
      <c r="S293" s="267"/>
    </row>
    <row r="294" spans="1:19" ht="15.75" customHeight="1" thickBot="1" x14ac:dyDescent="0.3">
      <c r="A294" s="267"/>
      <c r="B294" s="267"/>
      <c r="C294" s="267"/>
      <c r="D294" s="267"/>
      <c r="E294" s="267"/>
      <c r="F294" s="269"/>
      <c r="G294" s="267"/>
      <c r="H294" s="267"/>
      <c r="I294" s="267"/>
      <c r="J294" s="267"/>
      <c r="K294" s="267"/>
      <c r="L294" s="267"/>
      <c r="M294" s="267"/>
      <c r="N294" s="267"/>
      <c r="O294" s="267"/>
      <c r="P294" s="267"/>
      <c r="Q294" s="267"/>
      <c r="R294" s="267"/>
      <c r="S294" s="267"/>
    </row>
    <row r="295" spans="1:19" ht="15.75" customHeight="1" thickBot="1" x14ac:dyDescent="0.3">
      <c r="A295" s="267"/>
      <c r="B295" s="267"/>
      <c r="C295" s="267"/>
      <c r="D295" s="267"/>
      <c r="E295" s="267"/>
      <c r="F295" s="269"/>
      <c r="G295" s="267"/>
      <c r="H295" s="267"/>
      <c r="I295" s="267"/>
      <c r="J295" s="267"/>
      <c r="K295" s="267"/>
      <c r="L295" s="267"/>
      <c r="M295" s="267"/>
      <c r="N295" s="267"/>
      <c r="O295" s="267"/>
      <c r="P295" s="267"/>
      <c r="Q295" s="267"/>
      <c r="R295" s="267"/>
      <c r="S295" s="267"/>
    </row>
    <row r="296" spans="1:19" ht="15.75" customHeight="1" thickBot="1" x14ac:dyDescent="0.3">
      <c r="A296" s="267"/>
      <c r="B296" s="267"/>
      <c r="C296" s="267"/>
      <c r="D296" s="267"/>
      <c r="E296" s="267"/>
      <c r="F296" s="269"/>
      <c r="G296" s="267"/>
      <c r="H296" s="267"/>
      <c r="I296" s="267"/>
      <c r="J296" s="267"/>
      <c r="K296" s="267"/>
      <c r="L296" s="267"/>
      <c r="M296" s="267"/>
      <c r="N296" s="267"/>
      <c r="O296" s="267"/>
      <c r="P296" s="267"/>
      <c r="Q296" s="267"/>
      <c r="R296" s="267"/>
      <c r="S296" s="267"/>
    </row>
    <row r="297" spans="1:19" ht="15.75" customHeight="1" thickBot="1" x14ac:dyDescent="0.3">
      <c r="A297" s="267"/>
      <c r="B297" s="267"/>
      <c r="C297" s="267"/>
      <c r="D297" s="267"/>
      <c r="E297" s="267"/>
      <c r="F297" s="269"/>
      <c r="G297" s="267"/>
      <c r="H297" s="267"/>
      <c r="I297" s="267"/>
      <c r="J297" s="267"/>
      <c r="K297" s="267"/>
      <c r="L297" s="267"/>
      <c r="M297" s="267"/>
      <c r="N297" s="267"/>
      <c r="O297" s="267"/>
      <c r="P297" s="267"/>
      <c r="Q297" s="267"/>
      <c r="R297" s="267"/>
      <c r="S297" s="267"/>
    </row>
    <row r="298" spans="1:19" ht="15.75" customHeight="1" thickBot="1" x14ac:dyDescent="0.3">
      <c r="A298" s="267"/>
      <c r="B298" s="267"/>
      <c r="C298" s="267"/>
      <c r="D298" s="267"/>
      <c r="E298" s="267"/>
      <c r="F298" s="269"/>
      <c r="G298" s="267"/>
      <c r="H298" s="267"/>
      <c r="I298" s="267"/>
      <c r="J298" s="267"/>
      <c r="K298" s="267"/>
      <c r="L298" s="267"/>
      <c r="M298" s="267"/>
      <c r="N298" s="267"/>
      <c r="O298" s="267"/>
      <c r="P298" s="267"/>
      <c r="Q298" s="267"/>
      <c r="R298" s="267"/>
      <c r="S298" s="267"/>
    </row>
    <row r="299" spans="1:19" ht="15.75" customHeight="1" thickBot="1" x14ac:dyDescent="0.3">
      <c r="A299" s="267"/>
      <c r="B299" s="267"/>
      <c r="C299" s="267"/>
      <c r="D299" s="267"/>
      <c r="E299" s="267"/>
      <c r="F299" s="269"/>
      <c r="G299" s="267"/>
      <c r="H299" s="267"/>
      <c r="I299" s="267"/>
      <c r="J299" s="267"/>
      <c r="K299" s="267"/>
      <c r="L299" s="267"/>
      <c r="M299" s="267"/>
      <c r="N299" s="267"/>
      <c r="O299" s="267"/>
      <c r="P299" s="267"/>
      <c r="Q299" s="267"/>
      <c r="R299" s="267"/>
      <c r="S299" s="267"/>
    </row>
    <row r="300" spans="1:19" ht="15.75" customHeight="1" thickBot="1" x14ac:dyDescent="0.3">
      <c r="A300" s="267"/>
      <c r="B300" s="267"/>
      <c r="C300" s="267"/>
      <c r="D300" s="267"/>
      <c r="E300" s="267"/>
      <c r="F300" s="269"/>
      <c r="G300" s="267"/>
      <c r="H300" s="267"/>
      <c r="I300" s="267"/>
      <c r="J300" s="267"/>
      <c r="K300" s="267"/>
      <c r="L300" s="267"/>
      <c r="M300" s="267"/>
      <c r="N300" s="267"/>
      <c r="O300" s="267"/>
      <c r="P300" s="267"/>
      <c r="Q300" s="267"/>
      <c r="R300" s="267"/>
      <c r="S300" s="267"/>
    </row>
    <row r="301" spans="1:19" ht="15.75" customHeight="1" thickBot="1" x14ac:dyDescent="0.3">
      <c r="A301" s="267"/>
      <c r="B301" s="267"/>
      <c r="C301" s="267"/>
      <c r="D301" s="267"/>
      <c r="E301" s="267"/>
      <c r="F301" s="269"/>
      <c r="G301" s="267"/>
      <c r="H301" s="267"/>
      <c r="I301" s="267"/>
      <c r="J301" s="267"/>
      <c r="K301" s="267"/>
      <c r="L301" s="267"/>
      <c r="M301" s="267"/>
      <c r="N301" s="267"/>
      <c r="O301" s="267"/>
      <c r="P301" s="267"/>
      <c r="Q301" s="267"/>
      <c r="R301" s="267"/>
      <c r="S301" s="267"/>
    </row>
    <row r="302" spans="1:19" ht="15.75" customHeight="1" thickBot="1" x14ac:dyDescent="0.3">
      <c r="A302" s="267"/>
      <c r="B302" s="267"/>
      <c r="C302" s="267"/>
      <c r="D302" s="267"/>
      <c r="E302" s="267"/>
      <c r="F302" s="269"/>
      <c r="G302" s="267"/>
      <c r="H302" s="267"/>
      <c r="I302" s="267"/>
      <c r="J302" s="267"/>
      <c r="K302" s="267"/>
      <c r="L302" s="267"/>
      <c r="M302" s="267"/>
      <c r="N302" s="267"/>
      <c r="O302" s="267"/>
      <c r="P302" s="267"/>
      <c r="Q302" s="267"/>
      <c r="R302" s="267"/>
      <c r="S302" s="267"/>
    </row>
    <row r="303" spans="1:19" ht="15.75" customHeight="1" thickBot="1" x14ac:dyDescent="0.3">
      <c r="A303" s="267"/>
      <c r="B303" s="267"/>
      <c r="C303" s="267"/>
      <c r="D303" s="267"/>
      <c r="E303" s="267"/>
      <c r="F303" s="269"/>
      <c r="G303" s="267"/>
      <c r="H303" s="267"/>
      <c r="I303" s="267"/>
      <c r="J303" s="267"/>
      <c r="K303" s="267"/>
      <c r="L303" s="267"/>
      <c r="M303" s="267"/>
      <c r="N303" s="267"/>
      <c r="O303" s="267"/>
      <c r="P303" s="267"/>
      <c r="Q303" s="267"/>
      <c r="R303" s="267"/>
      <c r="S303" s="267"/>
    </row>
    <row r="304" spans="1:19" ht="15.75" customHeight="1" thickBot="1" x14ac:dyDescent="0.3">
      <c r="A304" s="267"/>
      <c r="B304" s="267"/>
      <c r="C304" s="267"/>
      <c r="D304" s="267"/>
      <c r="E304" s="267"/>
      <c r="F304" s="269"/>
      <c r="G304" s="267"/>
      <c r="H304" s="267"/>
      <c r="I304" s="267"/>
      <c r="J304" s="267"/>
      <c r="K304" s="267"/>
      <c r="L304" s="267"/>
      <c r="M304" s="267"/>
      <c r="N304" s="267"/>
      <c r="O304" s="267"/>
      <c r="P304" s="267"/>
      <c r="Q304" s="267"/>
      <c r="R304" s="267"/>
      <c r="S304" s="267"/>
    </row>
    <row r="305" spans="1:19" ht="15.75" customHeight="1" thickBot="1" x14ac:dyDescent="0.3">
      <c r="A305" s="267"/>
      <c r="B305" s="267"/>
      <c r="C305" s="267"/>
      <c r="D305" s="267"/>
      <c r="E305" s="267"/>
      <c r="F305" s="269"/>
      <c r="G305" s="267"/>
      <c r="H305" s="267"/>
      <c r="I305" s="267"/>
      <c r="J305" s="267"/>
      <c r="K305" s="267"/>
      <c r="L305" s="267"/>
      <c r="M305" s="267"/>
      <c r="N305" s="267"/>
      <c r="O305" s="267"/>
      <c r="P305" s="267"/>
      <c r="Q305" s="267"/>
      <c r="R305" s="267"/>
      <c r="S305" s="267"/>
    </row>
    <row r="306" spans="1:19" ht="15.75" customHeight="1" thickBot="1" x14ac:dyDescent="0.3">
      <c r="A306" s="267"/>
      <c r="B306" s="267"/>
      <c r="C306" s="267"/>
      <c r="D306" s="267"/>
      <c r="E306" s="267"/>
      <c r="F306" s="269"/>
      <c r="G306" s="267"/>
      <c r="H306" s="267"/>
      <c r="I306" s="267"/>
      <c r="J306" s="267"/>
      <c r="K306" s="267"/>
      <c r="L306" s="267"/>
      <c r="M306" s="267"/>
      <c r="N306" s="267"/>
      <c r="O306" s="267"/>
      <c r="P306" s="267"/>
      <c r="Q306" s="267"/>
      <c r="R306" s="267"/>
      <c r="S306" s="267"/>
    </row>
    <row r="307" spans="1:19" ht="15.75" customHeight="1" thickBot="1" x14ac:dyDescent="0.3">
      <c r="A307" s="267"/>
      <c r="B307" s="267"/>
      <c r="C307" s="267"/>
      <c r="D307" s="267"/>
      <c r="E307" s="267"/>
      <c r="F307" s="269"/>
      <c r="G307" s="267"/>
      <c r="H307" s="267"/>
      <c r="I307" s="267"/>
      <c r="J307" s="267"/>
      <c r="K307" s="267"/>
      <c r="L307" s="267"/>
      <c r="M307" s="267"/>
      <c r="N307" s="267"/>
      <c r="O307" s="267"/>
      <c r="P307" s="267"/>
      <c r="Q307" s="267"/>
      <c r="R307" s="267"/>
      <c r="S307" s="267"/>
    </row>
    <row r="308" spans="1:19" ht="15.75" customHeight="1" thickBot="1" x14ac:dyDescent="0.3">
      <c r="A308" s="267"/>
      <c r="B308" s="267"/>
      <c r="C308" s="267"/>
      <c r="D308" s="267"/>
      <c r="E308" s="267"/>
      <c r="F308" s="269"/>
      <c r="G308" s="267"/>
      <c r="H308" s="267"/>
      <c r="I308" s="267"/>
      <c r="J308" s="267"/>
      <c r="K308" s="267"/>
      <c r="L308" s="267"/>
      <c r="M308" s="267"/>
      <c r="N308" s="267"/>
      <c r="O308" s="267"/>
      <c r="P308" s="267"/>
      <c r="Q308" s="267"/>
      <c r="R308" s="267"/>
      <c r="S308" s="267"/>
    </row>
    <row r="309" spans="1:19" ht="15.75" customHeight="1" thickBot="1" x14ac:dyDescent="0.3">
      <c r="A309" s="267"/>
      <c r="B309" s="267"/>
      <c r="C309" s="267"/>
      <c r="D309" s="267"/>
      <c r="E309" s="267"/>
      <c r="F309" s="269"/>
      <c r="G309" s="267"/>
      <c r="H309" s="267"/>
      <c r="I309" s="267"/>
      <c r="J309" s="267"/>
      <c r="K309" s="267"/>
      <c r="L309" s="267"/>
      <c r="M309" s="267"/>
      <c r="N309" s="267"/>
      <c r="O309" s="267"/>
      <c r="P309" s="267"/>
      <c r="Q309" s="267"/>
      <c r="R309" s="267"/>
      <c r="S309" s="267"/>
    </row>
    <row r="310" spans="1:19" ht="15.75" customHeight="1" thickBot="1" x14ac:dyDescent="0.3">
      <c r="A310" s="267"/>
      <c r="B310" s="267"/>
      <c r="C310" s="267"/>
      <c r="D310" s="267"/>
      <c r="E310" s="267"/>
      <c r="F310" s="269"/>
      <c r="G310" s="267"/>
      <c r="H310" s="267"/>
      <c r="I310" s="267"/>
      <c r="J310" s="267"/>
      <c r="K310" s="267"/>
      <c r="L310" s="267"/>
      <c r="M310" s="267"/>
      <c r="N310" s="267"/>
      <c r="O310" s="267"/>
      <c r="P310" s="267"/>
      <c r="Q310" s="267"/>
      <c r="R310" s="267"/>
      <c r="S310" s="267"/>
    </row>
    <row r="311" spans="1:19" ht="15.75" customHeight="1" thickBot="1" x14ac:dyDescent="0.3">
      <c r="A311" s="267"/>
      <c r="B311" s="267"/>
      <c r="C311" s="267"/>
      <c r="D311" s="267"/>
      <c r="E311" s="267"/>
      <c r="F311" s="269"/>
      <c r="G311" s="267"/>
      <c r="H311" s="267"/>
      <c r="I311" s="267"/>
      <c r="J311" s="267"/>
      <c r="K311" s="267"/>
      <c r="L311" s="267"/>
      <c r="M311" s="267"/>
      <c r="N311" s="267"/>
      <c r="O311" s="267"/>
      <c r="P311" s="267"/>
      <c r="Q311" s="267"/>
      <c r="R311" s="267"/>
      <c r="S311" s="267"/>
    </row>
    <row r="312" spans="1:19" ht="15.75" customHeight="1" thickBot="1" x14ac:dyDescent="0.3">
      <c r="A312" s="267"/>
      <c r="B312" s="267"/>
      <c r="C312" s="267"/>
      <c r="D312" s="267"/>
      <c r="E312" s="267"/>
      <c r="F312" s="269"/>
      <c r="G312" s="267"/>
      <c r="H312" s="267"/>
      <c r="I312" s="267"/>
      <c r="J312" s="267"/>
      <c r="K312" s="267"/>
      <c r="L312" s="267"/>
      <c r="M312" s="267"/>
      <c r="N312" s="267"/>
      <c r="O312" s="267"/>
      <c r="P312" s="267"/>
      <c r="Q312" s="267"/>
      <c r="R312" s="267"/>
      <c r="S312" s="267"/>
    </row>
    <row r="313" spans="1:19" ht="15.75" customHeight="1" thickBot="1" x14ac:dyDescent="0.3">
      <c r="A313" s="267"/>
      <c r="B313" s="267"/>
      <c r="C313" s="267"/>
      <c r="D313" s="267"/>
      <c r="E313" s="267"/>
      <c r="F313" s="269"/>
      <c r="G313" s="267"/>
      <c r="H313" s="267"/>
      <c r="I313" s="267"/>
      <c r="J313" s="267"/>
      <c r="K313" s="267"/>
      <c r="L313" s="267"/>
      <c r="M313" s="267"/>
      <c r="N313" s="267"/>
      <c r="O313" s="267"/>
      <c r="P313" s="267"/>
      <c r="Q313" s="267"/>
      <c r="R313" s="267"/>
      <c r="S313" s="267"/>
    </row>
    <row r="314" spans="1:19" ht="15.75" customHeight="1" thickBot="1" x14ac:dyDescent="0.3">
      <c r="A314" s="267"/>
      <c r="B314" s="267"/>
      <c r="C314" s="267"/>
      <c r="D314" s="267"/>
      <c r="E314" s="267"/>
      <c r="F314" s="269"/>
      <c r="G314" s="267"/>
      <c r="H314" s="267"/>
      <c r="I314" s="267"/>
      <c r="J314" s="267"/>
      <c r="K314" s="267"/>
      <c r="L314" s="267"/>
      <c r="M314" s="267"/>
      <c r="N314" s="267"/>
      <c r="O314" s="267"/>
      <c r="P314" s="267"/>
      <c r="Q314" s="267"/>
      <c r="R314" s="267"/>
      <c r="S314" s="267"/>
    </row>
    <row r="315" spans="1:19" ht="15.75" customHeight="1" thickBot="1" x14ac:dyDescent="0.3">
      <c r="A315" s="267"/>
      <c r="B315" s="267"/>
      <c r="C315" s="267"/>
      <c r="D315" s="267"/>
      <c r="E315" s="267"/>
      <c r="F315" s="269"/>
      <c r="G315" s="267"/>
      <c r="H315" s="267"/>
      <c r="I315" s="267"/>
      <c r="J315" s="267"/>
      <c r="K315" s="267"/>
      <c r="L315" s="267"/>
      <c r="M315" s="267"/>
      <c r="N315" s="267"/>
      <c r="O315" s="267"/>
      <c r="P315" s="267"/>
      <c r="Q315" s="267"/>
      <c r="R315" s="267"/>
      <c r="S315" s="267"/>
    </row>
    <row r="316" spans="1:19" ht="15.75" customHeight="1" thickBot="1" x14ac:dyDescent="0.3">
      <c r="A316" s="267"/>
      <c r="B316" s="267"/>
      <c r="C316" s="267"/>
      <c r="D316" s="267"/>
      <c r="E316" s="267"/>
      <c r="F316" s="269"/>
      <c r="G316" s="267"/>
      <c r="H316" s="267"/>
      <c r="I316" s="267"/>
      <c r="J316" s="267"/>
      <c r="K316" s="267"/>
      <c r="L316" s="267"/>
      <c r="M316" s="267"/>
      <c r="N316" s="267"/>
      <c r="O316" s="267"/>
      <c r="P316" s="267"/>
      <c r="Q316" s="267"/>
      <c r="R316" s="267"/>
      <c r="S316" s="267"/>
    </row>
    <row r="317" spans="1:19" ht="15.75" customHeight="1" thickBot="1" x14ac:dyDescent="0.3">
      <c r="A317" s="267"/>
      <c r="B317" s="267"/>
      <c r="C317" s="267"/>
      <c r="D317" s="267"/>
      <c r="E317" s="267"/>
      <c r="F317" s="269"/>
      <c r="G317" s="267"/>
      <c r="H317" s="267"/>
      <c r="I317" s="267"/>
      <c r="J317" s="267"/>
      <c r="K317" s="267"/>
      <c r="L317" s="267"/>
      <c r="M317" s="267"/>
      <c r="N317" s="267"/>
      <c r="O317" s="267"/>
      <c r="P317" s="267"/>
      <c r="Q317" s="267"/>
      <c r="R317" s="267"/>
      <c r="S317" s="267"/>
    </row>
    <row r="318" spans="1:19" ht="15.75" customHeight="1" thickBot="1" x14ac:dyDescent="0.3">
      <c r="A318" s="267"/>
      <c r="B318" s="267"/>
      <c r="C318" s="267"/>
      <c r="D318" s="267"/>
      <c r="E318" s="267"/>
      <c r="F318" s="269"/>
      <c r="G318" s="267"/>
      <c r="H318" s="267"/>
      <c r="I318" s="267"/>
      <c r="J318" s="267"/>
      <c r="K318" s="267"/>
      <c r="L318" s="267"/>
      <c r="M318" s="267"/>
      <c r="N318" s="267"/>
      <c r="O318" s="267"/>
      <c r="P318" s="267"/>
      <c r="Q318" s="267"/>
      <c r="R318" s="267"/>
      <c r="S318" s="267"/>
    </row>
    <row r="319" spans="1:19" ht="15.75" customHeight="1" thickBot="1" x14ac:dyDescent="0.3">
      <c r="A319" s="267"/>
      <c r="B319" s="267"/>
      <c r="C319" s="267"/>
      <c r="D319" s="267"/>
      <c r="E319" s="267"/>
      <c r="F319" s="269"/>
      <c r="G319" s="267"/>
      <c r="H319" s="267"/>
      <c r="I319" s="267"/>
      <c r="J319" s="267"/>
      <c r="K319" s="267"/>
      <c r="L319" s="267"/>
      <c r="M319" s="267"/>
      <c r="N319" s="267"/>
      <c r="O319" s="267"/>
      <c r="P319" s="267"/>
      <c r="Q319" s="267"/>
      <c r="R319" s="267"/>
      <c r="S319" s="267"/>
    </row>
    <row r="320" spans="1:19" ht="15.75" customHeight="1" thickBot="1" x14ac:dyDescent="0.3">
      <c r="A320" s="267"/>
      <c r="B320" s="267"/>
      <c r="C320" s="267"/>
      <c r="D320" s="267"/>
      <c r="E320" s="267"/>
      <c r="F320" s="269"/>
      <c r="G320" s="267"/>
      <c r="H320" s="267"/>
      <c r="I320" s="267"/>
      <c r="J320" s="267"/>
      <c r="K320" s="267"/>
      <c r="L320" s="267"/>
      <c r="M320" s="267"/>
      <c r="N320" s="267"/>
      <c r="O320" s="267"/>
      <c r="P320" s="267"/>
      <c r="Q320" s="267"/>
      <c r="R320" s="267"/>
      <c r="S320" s="267"/>
    </row>
    <row r="321" spans="1:19" ht="15.75" customHeight="1" thickBot="1" x14ac:dyDescent="0.3">
      <c r="A321" s="267"/>
      <c r="B321" s="267"/>
      <c r="C321" s="267"/>
      <c r="D321" s="267"/>
      <c r="E321" s="267"/>
      <c r="F321" s="269"/>
      <c r="G321" s="267"/>
      <c r="H321" s="267"/>
      <c r="I321" s="267"/>
      <c r="J321" s="267"/>
      <c r="K321" s="267"/>
      <c r="L321" s="267"/>
      <c r="M321" s="267"/>
      <c r="N321" s="267"/>
      <c r="O321" s="267"/>
      <c r="P321" s="267"/>
      <c r="Q321" s="267"/>
      <c r="R321" s="267"/>
      <c r="S321" s="267"/>
    </row>
    <row r="322" spans="1:19" ht="15.75" customHeight="1" thickBot="1" x14ac:dyDescent="0.3">
      <c r="A322" s="267"/>
      <c r="B322" s="267"/>
      <c r="C322" s="267"/>
      <c r="D322" s="267"/>
      <c r="E322" s="267"/>
      <c r="F322" s="269"/>
      <c r="G322" s="267"/>
      <c r="H322" s="267"/>
      <c r="I322" s="267"/>
      <c r="J322" s="267"/>
      <c r="K322" s="267"/>
      <c r="L322" s="267"/>
      <c r="M322" s="267"/>
      <c r="N322" s="267"/>
      <c r="O322" s="267"/>
      <c r="P322" s="267"/>
      <c r="Q322" s="267"/>
      <c r="R322" s="267"/>
      <c r="S322" s="267"/>
    </row>
    <row r="323" spans="1:19" ht="15.75" customHeight="1" thickBot="1" x14ac:dyDescent="0.3">
      <c r="A323" s="267"/>
      <c r="B323" s="267"/>
      <c r="C323" s="267"/>
      <c r="D323" s="267"/>
      <c r="E323" s="267"/>
      <c r="F323" s="269"/>
      <c r="G323" s="267"/>
      <c r="H323" s="267"/>
      <c r="I323" s="267"/>
      <c r="J323" s="267"/>
      <c r="K323" s="267"/>
      <c r="L323" s="267"/>
      <c r="M323" s="267"/>
      <c r="N323" s="267"/>
      <c r="O323" s="267"/>
      <c r="P323" s="267"/>
      <c r="Q323" s="267"/>
      <c r="R323" s="267"/>
      <c r="S323" s="267"/>
    </row>
    <row r="324" spans="1:19" ht="15.75" customHeight="1" thickBot="1" x14ac:dyDescent="0.3">
      <c r="A324" s="267"/>
      <c r="B324" s="267"/>
      <c r="C324" s="267"/>
      <c r="D324" s="267"/>
      <c r="E324" s="267"/>
      <c r="F324" s="269"/>
      <c r="G324" s="267"/>
      <c r="H324" s="267"/>
      <c r="I324" s="267"/>
      <c r="J324" s="267"/>
      <c r="K324" s="267"/>
      <c r="L324" s="267"/>
      <c r="M324" s="267"/>
      <c r="N324" s="267"/>
      <c r="O324" s="267"/>
      <c r="P324" s="267"/>
      <c r="Q324" s="267"/>
      <c r="R324" s="267"/>
      <c r="S324" s="267"/>
    </row>
    <row r="325" spans="1:19" ht="15.75" customHeight="1" thickBot="1" x14ac:dyDescent="0.3">
      <c r="A325" s="267"/>
      <c r="B325" s="267"/>
      <c r="C325" s="267"/>
      <c r="D325" s="267"/>
      <c r="E325" s="267"/>
      <c r="F325" s="269"/>
      <c r="G325" s="267"/>
      <c r="H325" s="267"/>
      <c r="I325" s="267"/>
      <c r="J325" s="267"/>
      <c r="K325" s="267"/>
      <c r="L325" s="267"/>
      <c r="M325" s="267"/>
      <c r="N325" s="267"/>
      <c r="O325" s="267"/>
      <c r="P325" s="267"/>
      <c r="Q325" s="267"/>
      <c r="R325" s="267"/>
      <c r="S325" s="267"/>
    </row>
    <row r="326" spans="1:19" ht="15.75" customHeight="1" thickBot="1" x14ac:dyDescent="0.3">
      <c r="A326" s="267"/>
      <c r="B326" s="267"/>
      <c r="C326" s="267"/>
      <c r="D326" s="267"/>
      <c r="E326" s="267"/>
      <c r="F326" s="269"/>
      <c r="G326" s="267"/>
      <c r="H326" s="267"/>
      <c r="I326" s="267"/>
      <c r="J326" s="267"/>
      <c r="K326" s="267"/>
      <c r="L326" s="267"/>
      <c r="M326" s="267"/>
      <c r="N326" s="267"/>
      <c r="O326" s="267"/>
      <c r="P326" s="267"/>
      <c r="Q326" s="267"/>
      <c r="R326" s="267"/>
      <c r="S326" s="267"/>
    </row>
    <row r="327" spans="1:19" ht="15.75" customHeight="1" thickBot="1" x14ac:dyDescent="0.3">
      <c r="A327" s="267"/>
      <c r="B327" s="267"/>
      <c r="C327" s="267"/>
      <c r="D327" s="267"/>
      <c r="E327" s="267"/>
      <c r="F327" s="269"/>
      <c r="G327" s="267"/>
      <c r="H327" s="267"/>
      <c r="I327" s="267"/>
      <c r="J327" s="267"/>
      <c r="K327" s="267"/>
      <c r="L327" s="267"/>
      <c r="M327" s="267"/>
      <c r="N327" s="267"/>
      <c r="O327" s="267"/>
      <c r="P327" s="267"/>
      <c r="Q327" s="267"/>
      <c r="R327" s="267"/>
      <c r="S327" s="267"/>
    </row>
    <row r="328" spans="1:19" ht="15.75" customHeight="1" thickBot="1" x14ac:dyDescent="0.3">
      <c r="A328" s="267"/>
      <c r="B328" s="267"/>
      <c r="C328" s="267"/>
      <c r="D328" s="267"/>
      <c r="E328" s="267"/>
      <c r="F328" s="269"/>
      <c r="G328" s="267"/>
      <c r="H328" s="267"/>
      <c r="I328" s="267"/>
      <c r="J328" s="267"/>
      <c r="K328" s="267"/>
      <c r="L328" s="267"/>
      <c r="M328" s="267"/>
      <c r="N328" s="267"/>
      <c r="O328" s="267"/>
      <c r="P328" s="267"/>
      <c r="Q328" s="267"/>
      <c r="R328" s="267"/>
      <c r="S328" s="267"/>
    </row>
    <row r="329" spans="1:19" ht="15.75" customHeight="1" thickBot="1" x14ac:dyDescent="0.3">
      <c r="A329" s="267"/>
      <c r="B329" s="267"/>
      <c r="C329" s="267"/>
      <c r="D329" s="267"/>
      <c r="E329" s="267"/>
      <c r="F329" s="269"/>
      <c r="G329" s="267"/>
      <c r="H329" s="267"/>
      <c r="I329" s="267"/>
      <c r="J329" s="267"/>
      <c r="K329" s="267"/>
      <c r="L329" s="267"/>
      <c r="M329" s="267"/>
      <c r="N329" s="267"/>
      <c r="O329" s="267"/>
      <c r="P329" s="267"/>
      <c r="Q329" s="267"/>
      <c r="R329" s="267"/>
      <c r="S329" s="267"/>
    </row>
    <row r="330" spans="1:19" ht="15.75" customHeight="1" thickBot="1" x14ac:dyDescent="0.3">
      <c r="A330" s="267"/>
      <c r="B330" s="267"/>
      <c r="C330" s="267"/>
      <c r="D330" s="267"/>
      <c r="E330" s="267"/>
      <c r="F330" s="269"/>
      <c r="G330" s="267"/>
      <c r="H330" s="267"/>
      <c r="I330" s="267"/>
      <c r="J330" s="267"/>
      <c r="K330" s="267"/>
      <c r="L330" s="267"/>
      <c r="M330" s="267"/>
      <c r="N330" s="267"/>
      <c r="O330" s="267"/>
      <c r="P330" s="267"/>
      <c r="Q330" s="267"/>
      <c r="R330" s="267"/>
      <c r="S330" s="267"/>
    </row>
    <row r="331" spans="1:19" ht="15.75" customHeight="1" thickBot="1" x14ac:dyDescent="0.3">
      <c r="A331" s="267"/>
      <c r="B331" s="267"/>
      <c r="C331" s="267"/>
      <c r="D331" s="267"/>
      <c r="E331" s="267"/>
      <c r="F331" s="269"/>
      <c r="G331" s="267"/>
      <c r="H331" s="267"/>
      <c r="I331" s="267"/>
      <c r="J331" s="267"/>
      <c r="K331" s="267"/>
      <c r="L331" s="267"/>
      <c r="M331" s="267"/>
      <c r="N331" s="267"/>
      <c r="O331" s="267"/>
      <c r="P331" s="267"/>
      <c r="Q331" s="267"/>
      <c r="R331" s="267"/>
      <c r="S331" s="267"/>
    </row>
    <row r="332" spans="1:19" ht="15.75" customHeight="1" thickBot="1" x14ac:dyDescent="0.3">
      <c r="A332" s="267"/>
      <c r="B332" s="267"/>
      <c r="C332" s="267"/>
      <c r="D332" s="267"/>
      <c r="E332" s="267"/>
      <c r="F332" s="269"/>
      <c r="G332" s="267"/>
      <c r="H332" s="267"/>
      <c r="I332" s="267"/>
      <c r="J332" s="267"/>
      <c r="K332" s="267"/>
      <c r="L332" s="267"/>
      <c r="M332" s="267"/>
      <c r="N332" s="267"/>
      <c r="O332" s="267"/>
      <c r="P332" s="267"/>
      <c r="Q332" s="267"/>
      <c r="R332" s="267"/>
      <c r="S332" s="267"/>
    </row>
    <row r="333" spans="1:19" ht="15.75" customHeight="1" thickBot="1" x14ac:dyDescent="0.3">
      <c r="A333" s="267"/>
      <c r="B333" s="267"/>
      <c r="C333" s="267"/>
      <c r="D333" s="267"/>
      <c r="E333" s="267"/>
      <c r="F333" s="269"/>
      <c r="G333" s="267"/>
      <c r="H333" s="267"/>
      <c r="I333" s="267"/>
      <c r="J333" s="267"/>
      <c r="K333" s="267"/>
      <c r="L333" s="267"/>
      <c r="M333" s="267"/>
      <c r="N333" s="267"/>
      <c r="O333" s="267"/>
      <c r="P333" s="267"/>
      <c r="Q333" s="267"/>
      <c r="R333" s="267"/>
      <c r="S333" s="267"/>
    </row>
    <row r="334" spans="1:19" ht="15.75" customHeight="1" thickBot="1" x14ac:dyDescent="0.3">
      <c r="A334" s="267"/>
      <c r="B334" s="267"/>
      <c r="C334" s="267"/>
      <c r="D334" s="267"/>
      <c r="E334" s="267"/>
      <c r="F334" s="269"/>
      <c r="G334" s="267"/>
      <c r="H334" s="267"/>
      <c r="I334" s="267"/>
      <c r="J334" s="267"/>
      <c r="K334" s="267"/>
      <c r="L334" s="267"/>
      <c r="M334" s="267"/>
      <c r="N334" s="267"/>
      <c r="O334" s="267"/>
      <c r="P334" s="267"/>
      <c r="Q334" s="267"/>
      <c r="R334" s="267"/>
      <c r="S334" s="267"/>
    </row>
    <row r="335" spans="1:19" ht="15.75" customHeight="1" thickBot="1" x14ac:dyDescent="0.3">
      <c r="A335" s="267"/>
      <c r="B335" s="267"/>
      <c r="C335" s="267"/>
      <c r="D335" s="267"/>
      <c r="E335" s="267"/>
      <c r="F335" s="269"/>
      <c r="G335" s="267"/>
      <c r="H335" s="267"/>
      <c r="I335" s="267"/>
      <c r="J335" s="267"/>
      <c r="K335" s="267"/>
      <c r="L335" s="267"/>
      <c r="M335" s="267"/>
      <c r="N335" s="267"/>
      <c r="O335" s="267"/>
      <c r="P335" s="267"/>
      <c r="Q335" s="267"/>
      <c r="R335" s="267"/>
      <c r="S335" s="267"/>
    </row>
    <row r="336" spans="1:19" ht="15.75" customHeight="1" thickBot="1" x14ac:dyDescent="0.3">
      <c r="A336" s="267"/>
      <c r="B336" s="267"/>
      <c r="C336" s="267"/>
      <c r="D336" s="267"/>
      <c r="E336" s="267"/>
      <c r="F336" s="269"/>
      <c r="G336" s="267"/>
      <c r="H336" s="267"/>
      <c r="I336" s="267"/>
      <c r="J336" s="267"/>
      <c r="K336" s="267"/>
      <c r="L336" s="267"/>
      <c r="M336" s="267"/>
      <c r="N336" s="267"/>
      <c r="O336" s="267"/>
      <c r="P336" s="267"/>
      <c r="Q336" s="267"/>
      <c r="R336" s="267"/>
      <c r="S336" s="267"/>
    </row>
    <row r="337" spans="1:19" ht="15.75" customHeight="1" thickBot="1" x14ac:dyDescent="0.3">
      <c r="A337" s="267"/>
      <c r="B337" s="267"/>
      <c r="C337" s="267"/>
      <c r="D337" s="267"/>
      <c r="E337" s="267"/>
      <c r="F337" s="269"/>
      <c r="G337" s="267"/>
      <c r="H337" s="267"/>
      <c r="I337" s="267"/>
      <c r="J337" s="267"/>
      <c r="K337" s="267"/>
      <c r="L337" s="267"/>
      <c r="M337" s="267"/>
      <c r="N337" s="267"/>
      <c r="O337" s="267"/>
      <c r="P337" s="267"/>
      <c r="Q337" s="267"/>
      <c r="R337" s="267"/>
      <c r="S337" s="267"/>
    </row>
    <row r="338" spans="1:19" ht="15.75" customHeight="1" thickBot="1" x14ac:dyDescent="0.3">
      <c r="A338" s="267"/>
      <c r="B338" s="267"/>
      <c r="C338" s="267"/>
      <c r="D338" s="267"/>
      <c r="E338" s="267"/>
      <c r="F338" s="269"/>
      <c r="G338" s="267"/>
      <c r="H338" s="267"/>
      <c r="I338" s="267"/>
      <c r="J338" s="267"/>
      <c r="K338" s="267"/>
      <c r="L338" s="267"/>
      <c r="M338" s="267"/>
      <c r="N338" s="267"/>
      <c r="O338" s="267"/>
      <c r="P338" s="267"/>
      <c r="Q338" s="267"/>
      <c r="R338" s="267"/>
      <c r="S338" s="267"/>
    </row>
    <row r="339" spans="1:19" ht="15.75" customHeight="1" thickBot="1" x14ac:dyDescent="0.3">
      <c r="A339" s="267"/>
      <c r="B339" s="267"/>
      <c r="C339" s="267"/>
      <c r="D339" s="267"/>
      <c r="E339" s="267"/>
      <c r="F339" s="269"/>
      <c r="G339" s="267"/>
      <c r="H339" s="267"/>
      <c r="I339" s="267"/>
      <c r="J339" s="267"/>
      <c r="K339" s="267"/>
      <c r="L339" s="267"/>
      <c r="M339" s="267"/>
      <c r="N339" s="267"/>
      <c r="O339" s="267"/>
      <c r="P339" s="267"/>
      <c r="Q339" s="267"/>
      <c r="R339" s="267"/>
      <c r="S339" s="267"/>
    </row>
    <row r="340" spans="1:19" ht="15.75" customHeight="1" thickBot="1" x14ac:dyDescent="0.3">
      <c r="A340" s="267"/>
      <c r="B340" s="267"/>
      <c r="C340" s="267"/>
      <c r="D340" s="267"/>
      <c r="E340" s="267"/>
      <c r="F340" s="269"/>
      <c r="G340" s="267"/>
      <c r="H340" s="267"/>
      <c r="I340" s="267"/>
      <c r="J340" s="267"/>
      <c r="K340" s="267"/>
      <c r="L340" s="267"/>
      <c r="M340" s="267"/>
      <c r="N340" s="267"/>
      <c r="O340" s="267"/>
      <c r="P340" s="267"/>
      <c r="Q340" s="267"/>
      <c r="R340" s="267"/>
      <c r="S340" s="267"/>
    </row>
    <row r="341" spans="1:19" ht="15.75" customHeight="1" thickBot="1" x14ac:dyDescent="0.3">
      <c r="A341" s="267"/>
      <c r="B341" s="267"/>
      <c r="C341" s="267"/>
      <c r="D341" s="267"/>
      <c r="E341" s="267"/>
      <c r="F341" s="269"/>
      <c r="G341" s="267"/>
      <c r="H341" s="267"/>
      <c r="I341" s="267"/>
      <c r="J341" s="267"/>
      <c r="K341" s="267"/>
      <c r="L341" s="267"/>
      <c r="M341" s="267"/>
      <c r="N341" s="267"/>
      <c r="O341" s="267"/>
      <c r="P341" s="267"/>
      <c r="Q341" s="267"/>
      <c r="R341" s="267"/>
      <c r="S341" s="267"/>
    </row>
    <row r="342" spans="1:19" ht="15.75" customHeight="1" thickBot="1" x14ac:dyDescent="0.3">
      <c r="A342" s="267"/>
      <c r="B342" s="267"/>
      <c r="C342" s="267"/>
      <c r="D342" s="267"/>
      <c r="E342" s="267"/>
      <c r="F342" s="269"/>
      <c r="G342" s="267"/>
      <c r="H342" s="267"/>
      <c r="I342" s="267"/>
      <c r="J342" s="267"/>
      <c r="K342" s="267"/>
      <c r="L342" s="267"/>
      <c r="M342" s="267"/>
      <c r="N342" s="267"/>
      <c r="O342" s="267"/>
      <c r="P342" s="267"/>
      <c r="Q342" s="267"/>
      <c r="R342" s="267"/>
      <c r="S342" s="267"/>
    </row>
    <row r="343" spans="1:19" ht="15.75" customHeight="1" thickBot="1" x14ac:dyDescent="0.3">
      <c r="A343" s="267"/>
      <c r="B343" s="267"/>
      <c r="C343" s="267"/>
      <c r="D343" s="267"/>
      <c r="E343" s="267"/>
      <c r="F343" s="269"/>
      <c r="G343" s="267"/>
      <c r="H343" s="267"/>
      <c r="I343" s="267"/>
      <c r="J343" s="267"/>
      <c r="K343" s="267"/>
      <c r="L343" s="267"/>
      <c r="M343" s="267"/>
      <c r="N343" s="267"/>
      <c r="O343" s="267"/>
      <c r="P343" s="267"/>
      <c r="Q343" s="267"/>
      <c r="R343" s="267"/>
      <c r="S343" s="267"/>
    </row>
    <row r="344" spans="1:19" ht="15.75" customHeight="1" thickBot="1" x14ac:dyDescent="0.3">
      <c r="A344" s="267"/>
      <c r="B344" s="267"/>
      <c r="C344" s="267"/>
      <c r="D344" s="267"/>
      <c r="E344" s="267"/>
      <c r="F344" s="269"/>
      <c r="G344" s="267"/>
      <c r="H344" s="267"/>
      <c r="I344" s="267"/>
      <c r="J344" s="267"/>
      <c r="K344" s="267"/>
      <c r="L344" s="267"/>
      <c r="M344" s="267"/>
      <c r="N344" s="267"/>
      <c r="O344" s="267"/>
      <c r="P344" s="267"/>
      <c r="Q344" s="267"/>
      <c r="R344" s="267"/>
      <c r="S344" s="267"/>
    </row>
    <row r="345" spans="1:19" ht="15.75" customHeight="1" thickBot="1" x14ac:dyDescent="0.3">
      <c r="A345" s="267"/>
      <c r="B345" s="267"/>
      <c r="C345" s="267"/>
      <c r="D345" s="267"/>
      <c r="E345" s="267"/>
      <c r="F345" s="269"/>
      <c r="G345" s="267"/>
      <c r="H345" s="267"/>
      <c r="I345" s="267"/>
      <c r="J345" s="267"/>
      <c r="K345" s="267"/>
      <c r="L345" s="267"/>
      <c r="M345" s="267"/>
      <c r="N345" s="267"/>
      <c r="O345" s="267"/>
      <c r="P345" s="267"/>
      <c r="Q345" s="267"/>
      <c r="R345" s="267"/>
      <c r="S345" s="267"/>
    </row>
    <row r="346" spans="1:19" ht="15.75" customHeight="1" thickBot="1" x14ac:dyDescent="0.3">
      <c r="A346" s="267"/>
      <c r="B346" s="267"/>
      <c r="C346" s="267"/>
      <c r="D346" s="267"/>
      <c r="E346" s="267"/>
      <c r="F346" s="269"/>
      <c r="G346" s="267"/>
      <c r="H346" s="267"/>
      <c r="I346" s="267"/>
      <c r="J346" s="267"/>
      <c r="K346" s="267"/>
      <c r="L346" s="267"/>
      <c r="M346" s="267"/>
      <c r="N346" s="267"/>
      <c r="O346" s="267"/>
      <c r="P346" s="267"/>
      <c r="Q346" s="267"/>
      <c r="R346" s="267"/>
      <c r="S346" s="267"/>
    </row>
    <row r="347" spans="1:19" ht="15.75" customHeight="1" thickBot="1" x14ac:dyDescent="0.3">
      <c r="A347" s="267"/>
      <c r="B347" s="267"/>
      <c r="C347" s="267"/>
      <c r="D347" s="267"/>
      <c r="E347" s="267"/>
      <c r="F347" s="269"/>
      <c r="G347" s="267"/>
      <c r="H347" s="267"/>
      <c r="I347" s="267"/>
      <c r="J347" s="267"/>
      <c r="K347" s="267"/>
      <c r="L347" s="267"/>
      <c r="M347" s="267"/>
      <c r="N347" s="267"/>
      <c r="O347" s="267"/>
      <c r="P347" s="267"/>
      <c r="Q347" s="267"/>
      <c r="R347" s="267"/>
      <c r="S347" s="267"/>
    </row>
    <row r="348" spans="1:19" ht="15.75" customHeight="1" thickBot="1" x14ac:dyDescent="0.3">
      <c r="A348" s="267"/>
      <c r="B348" s="267"/>
      <c r="C348" s="267"/>
      <c r="D348" s="267"/>
      <c r="E348" s="267"/>
      <c r="F348" s="269"/>
      <c r="G348" s="267"/>
      <c r="H348" s="267"/>
      <c r="I348" s="267"/>
      <c r="J348" s="267"/>
      <c r="K348" s="267"/>
      <c r="L348" s="267"/>
      <c r="M348" s="267"/>
      <c r="N348" s="267"/>
      <c r="O348" s="267"/>
      <c r="P348" s="267"/>
      <c r="Q348" s="267"/>
      <c r="R348" s="267"/>
      <c r="S348" s="267"/>
    </row>
    <row r="349" spans="1:19" ht="15.75" customHeight="1" thickBot="1" x14ac:dyDescent="0.3">
      <c r="A349" s="267"/>
      <c r="B349" s="267"/>
      <c r="C349" s="267"/>
      <c r="D349" s="267"/>
      <c r="E349" s="267"/>
      <c r="F349" s="269"/>
      <c r="G349" s="267"/>
      <c r="H349" s="267"/>
      <c r="I349" s="267"/>
      <c r="J349" s="267"/>
      <c r="K349" s="267"/>
      <c r="L349" s="267"/>
      <c r="M349" s="267"/>
      <c r="N349" s="267"/>
      <c r="O349" s="267"/>
      <c r="P349" s="267"/>
      <c r="Q349" s="267"/>
      <c r="R349" s="267"/>
      <c r="S349" s="267"/>
    </row>
    <row r="350" spans="1:19" ht="15.75" customHeight="1" thickBot="1" x14ac:dyDescent="0.3">
      <c r="A350" s="267"/>
      <c r="B350" s="267"/>
      <c r="C350" s="267"/>
      <c r="D350" s="267"/>
      <c r="E350" s="267"/>
      <c r="F350" s="269"/>
      <c r="G350" s="267"/>
      <c r="H350" s="267"/>
      <c r="I350" s="267"/>
      <c r="J350" s="267"/>
      <c r="K350" s="267"/>
      <c r="L350" s="267"/>
      <c r="M350" s="267"/>
      <c r="N350" s="267"/>
      <c r="O350" s="267"/>
      <c r="P350" s="267"/>
      <c r="Q350" s="267"/>
      <c r="R350" s="267"/>
      <c r="S350" s="267"/>
    </row>
    <row r="351" spans="1:19" ht="15.75" customHeight="1" thickBot="1" x14ac:dyDescent="0.3">
      <c r="A351" s="267"/>
      <c r="B351" s="267"/>
      <c r="C351" s="267"/>
      <c r="D351" s="267"/>
      <c r="E351" s="267"/>
      <c r="F351" s="269"/>
      <c r="G351" s="267"/>
      <c r="H351" s="267"/>
      <c r="I351" s="267"/>
      <c r="J351" s="267"/>
      <c r="K351" s="267"/>
      <c r="L351" s="267"/>
      <c r="M351" s="267"/>
      <c r="N351" s="267"/>
      <c r="O351" s="267"/>
      <c r="P351" s="267"/>
      <c r="Q351" s="267"/>
      <c r="R351" s="267"/>
      <c r="S351" s="267"/>
    </row>
    <row r="352" spans="1:19" ht="15.75" customHeight="1" thickBot="1" x14ac:dyDescent="0.3">
      <c r="A352" s="267"/>
      <c r="B352" s="267"/>
      <c r="C352" s="267"/>
      <c r="D352" s="267"/>
      <c r="E352" s="267"/>
      <c r="F352" s="269"/>
      <c r="G352" s="267"/>
      <c r="H352" s="267"/>
      <c r="I352" s="267"/>
      <c r="J352" s="267"/>
      <c r="K352" s="267"/>
      <c r="L352" s="267"/>
      <c r="M352" s="267"/>
      <c r="N352" s="267"/>
      <c r="O352" s="267"/>
      <c r="P352" s="267"/>
      <c r="Q352" s="267"/>
      <c r="R352" s="267"/>
      <c r="S352" s="267"/>
    </row>
    <row r="353" spans="1:19" ht="15.75" customHeight="1" thickBot="1" x14ac:dyDescent="0.3">
      <c r="A353" s="267"/>
      <c r="B353" s="267"/>
      <c r="C353" s="267"/>
      <c r="D353" s="267"/>
      <c r="E353" s="267"/>
      <c r="F353" s="269"/>
      <c r="G353" s="267"/>
      <c r="H353" s="267"/>
      <c r="I353" s="267"/>
      <c r="J353" s="267"/>
      <c r="K353" s="267"/>
      <c r="L353" s="267"/>
      <c r="M353" s="267"/>
      <c r="N353" s="267"/>
      <c r="O353" s="267"/>
      <c r="P353" s="267"/>
      <c r="Q353" s="267"/>
      <c r="R353" s="267"/>
      <c r="S353" s="267"/>
    </row>
    <row r="354" spans="1:19" ht="15.75" customHeight="1" thickBot="1" x14ac:dyDescent="0.3">
      <c r="A354" s="267"/>
      <c r="B354" s="267"/>
      <c r="C354" s="267"/>
      <c r="D354" s="267"/>
      <c r="E354" s="267"/>
      <c r="F354" s="269"/>
      <c r="G354" s="267"/>
      <c r="H354" s="267"/>
      <c r="I354" s="267"/>
      <c r="J354" s="267"/>
      <c r="K354" s="267"/>
      <c r="L354" s="267"/>
      <c r="M354" s="267"/>
      <c r="N354" s="267"/>
      <c r="O354" s="267"/>
      <c r="P354" s="267"/>
      <c r="Q354" s="267"/>
      <c r="R354" s="267"/>
      <c r="S354" s="267"/>
    </row>
    <row r="355" spans="1:19" ht="15.75" customHeight="1" thickBot="1" x14ac:dyDescent="0.3">
      <c r="A355" s="267"/>
      <c r="B355" s="267"/>
      <c r="C355" s="267"/>
      <c r="D355" s="267"/>
      <c r="E355" s="267"/>
      <c r="F355" s="269"/>
      <c r="G355" s="267"/>
      <c r="H355" s="267"/>
      <c r="I355" s="267"/>
      <c r="J355" s="267"/>
      <c r="K355" s="267"/>
      <c r="L355" s="267"/>
      <c r="M355" s="267"/>
      <c r="N355" s="267"/>
      <c r="O355" s="267"/>
      <c r="P355" s="267"/>
      <c r="Q355" s="267"/>
      <c r="R355" s="267"/>
      <c r="S355" s="267"/>
    </row>
    <row r="356" spans="1:19" ht="15.75" customHeight="1" thickBot="1" x14ac:dyDescent="0.3">
      <c r="A356" s="267"/>
      <c r="B356" s="267"/>
      <c r="C356" s="267"/>
      <c r="D356" s="267"/>
      <c r="E356" s="267"/>
      <c r="F356" s="269"/>
      <c r="G356" s="267"/>
      <c r="H356" s="267"/>
      <c r="I356" s="267"/>
      <c r="J356" s="267"/>
      <c r="K356" s="267"/>
      <c r="L356" s="267"/>
      <c r="M356" s="267"/>
      <c r="N356" s="267"/>
      <c r="O356" s="267"/>
      <c r="P356" s="267"/>
      <c r="Q356" s="267"/>
      <c r="R356" s="267"/>
      <c r="S356" s="267"/>
    </row>
    <row r="357" spans="1:19" ht="15.75" customHeight="1" thickBot="1" x14ac:dyDescent="0.3">
      <c r="A357" s="267"/>
      <c r="B357" s="267"/>
      <c r="C357" s="267"/>
      <c r="D357" s="267"/>
      <c r="E357" s="267"/>
      <c r="F357" s="269"/>
      <c r="G357" s="267"/>
      <c r="H357" s="267"/>
      <c r="I357" s="267"/>
      <c r="J357" s="267"/>
      <c r="K357" s="267"/>
      <c r="L357" s="267"/>
      <c r="M357" s="267"/>
      <c r="N357" s="267"/>
      <c r="O357" s="267"/>
      <c r="P357" s="267"/>
      <c r="Q357" s="267"/>
      <c r="R357" s="267"/>
      <c r="S357" s="267"/>
    </row>
    <row r="358" spans="1:19" ht="15.75" customHeight="1" thickBot="1" x14ac:dyDescent="0.3">
      <c r="A358" s="267"/>
      <c r="B358" s="267"/>
      <c r="C358" s="267"/>
      <c r="D358" s="267"/>
      <c r="E358" s="267"/>
      <c r="F358" s="269"/>
      <c r="G358" s="267"/>
      <c r="H358" s="267"/>
      <c r="I358" s="267"/>
      <c r="J358" s="267"/>
      <c r="K358" s="267"/>
      <c r="L358" s="267"/>
      <c r="M358" s="267"/>
      <c r="N358" s="267"/>
      <c r="O358" s="267"/>
      <c r="P358" s="267"/>
      <c r="Q358" s="267"/>
      <c r="R358" s="267"/>
      <c r="S358" s="267"/>
    </row>
    <row r="359" spans="1:19" ht="15.75" customHeight="1" thickBot="1" x14ac:dyDescent="0.3">
      <c r="A359" s="267"/>
      <c r="B359" s="267"/>
      <c r="C359" s="267"/>
      <c r="D359" s="267"/>
      <c r="E359" s="267"/>
      <c r="F359" s="269"/>
      <c r="G359" s="267"/>
      <c r="H359" s="267"/>
      <c r="I359" s="267"/>
      <c r="J359" s="267"/>
      <c r="K359" s="267"/>
      <c r="L359" s="267"/>
      <c r="M359" s="267"/>
      <c r="N359" s="267"/>
      <c r="O359" s="267"/>
      <c r="P359" s="267"/>
      <c r="Q359" s="267"/>
      <c r="R359" s="267"/>
      <c r="S359" s="267"/>
    </row>
    <row r="360" spans="1:19" ht="15.75" customHeight="1" thickBot="1" x14ac:dyDescent="0.3">
      <c r="A360" s="267"/>
      <c r="B360" s="267"/>
      <c r="C360" s="267"/>
      <c r="D360" s="267"/>
      <c r="E360" s="267"/>
      <c r="F360" s="269"/>
      <c r="G360" s="267"/>
      <c r="H360" s="267"/>
      <c r="I360" s="267"/>
      <c r="J360" s="267"/>
      <c r="K360" s="267"/>
      <c r="L360" s="267"/>
      <c r="M360" s="267"/>
      <c r="N360" s="267"/>
      <c r="O360" s="267"/>
      <c r="P360" s="267"/>
      <c r="Q360" s="267"/>
      <c r="R360" s="267"/>
      <c r="S360" s="267"/>
    </row>
    <row r="361" spans="1:19" ht="15.75" customHeight="1" thickBot="1" x14ac:dyDescent="0.3">
      <c r="A361" s="267"/>
      <c r="B361" s="267"/>
      <c r="C361" s="267"/>
      <c r="D361" s="267"/>
      <c r="E361" s="267"/>
      <c r="F361" s="269"/>
      <c r="G361" s="267"/>
      <c r="H361" s="267"/>
      <c r="I361" s="267"/>
      <c r="J361" s="267"/>
      <c r="K361" s="267"/>
      <c r="L361" s="267"/>
      <c r="M361" s="267"/>
      <c r="N361" s="267"/>
      <c r="O361" s="267"/>
      <c r="P361" s="267"/>
      <c r="Q361" s="267"/>
      <c r="R361" s="267"/>
      <c r="S361" s="267"/>
    </row>
    <row r="362" spans="1:19" ht="15.75" customHeight="1" thickBot="1" x14ac:dyDescent="0.3">
      <c r="A362" s="267"/>
      <c r="B362" s="267"/>
      <c r="C362" s="267"/>
      <c r="D362" s="267"/>
      <c r="E362" s="267"/>
      <c r="F362" s="269"/>
      <c r="G362" s="267"/>
      <c r="H362" s="267"/>
      <c r="I362" s="267"/>
      <c r="J362" s="267"/>
      <c r="K362" s="267"/>
      <c r="L362" s="267"/>
      <c r="M362" s="267"/>
      <c r="N362" s="267"/>
      <c r="O362" s="267"/>
      <c r="P362" s="267"/>
      <c r="Q362" s="267"/>
      <c r="R362" s="267"/>
      <c r="S362" s="267"/>
    </row>
    <row r="363" spans="1:19" ht="15.75" customHeight="1" thickBot="1" x14ac:dyDescent="0.3">
      <c r="A363" s="267"/>
      <c r="B363" s="267"/>
      <c r="C363" s="267"/>
      <c r="D363" s="267"/>
      <c r="E363" s="267"/>
      <c r="F363" s="269"/>
      <c r="G363" s="267"/>
      <c r="H363" s="267"/>
      <c r="I363" s="267"/>
      <c r="J363" s="267"/>
      <c r="K363" s="267"/>
      <c r="L363" s="267"/>
      <c r="M363" s="267"/>
      <c r="N363" s="267"/>
      <c r="O363" s="267"/>
      <c r="P363" s="267"/>
      <c r="Q363" s="267"/>
      <c r="R363" s="267"/>
      <c r="S363" s="267"/>
    </row>
    <row r="364" spans="1:19" ht="15.75" customHeight="1" thickBot="1" x14ac:dyDescent="0.3">
      <c r="A364" s="267"/>
      <c r="B364" s="267"/>
      <c r="C364" s="267"/>
      <c r="D364" s="267"/>
      <c r="E364" s="267"/>
      <c r="F364" s="269"/>
      <c r="G364" s="267"/>
      <c r="H364" s="267"/>
      <c r="I364" s="267"/>
      <c r="J364" s="267"/>
      <c r="K364" s="267"/>
      <c r="L364" s="267"/>
      <c r="M364" s="267"/>
      <c r="N364" s="267"/>
      <c r="O364" s="267"/>
      <c r="P364" s="267"/>
      <c r="Q364" s="267"/>
      <c r="R364" s="267"/>
      <c r="S364" s="267"/>
    </row>
    <row r="365" spans="1:19" ht="15.75" customHeight="1" thickBot="1" x14ac:dyDescent="0.3">
      <c r="A365" s="267"/>
      <c r="B365" s="267"/>
      <c r="C365" s="267"/>
      <c r="D365" s="267"/>
      <c r="E365" s="267"/>
      <c r="F365" s="269"/>
      <c r="G365" s="267"/>
      <c r="H365" s="267"/>
      <c r="I365" s="267"/>
      <c r="J365" s="267"/>
      <c r="K365" s="267"/>
      <c r="L365" s="267"/>
      <c r="M365" s="267"/>
      <c r="N365" s="267"/>
      <c r="O365" s="267"/>
      <c r="P365" s="267"/>
      <c r="Q365" s="267"/>
      <c r="R365" s="267"/>
      <c r="S365" s="267"/>
    </row>
    <row r="366" spans="1:19" ht="15.75" customHeight="1" thickBot="1" x14ac:dyDescent="0.3">
      <c r="A366" s="267"/>
      <c r="B366" s="267"/>
      <c r="C366" s="267"/>
      <c r="D366" s="267"/>
      <c r="E366" s="267"/>
      <c r="F366" s="269"/>
      <c r="G366" s="267"/>
      <c r="H366" s="267"/>
      <c r="I366" s="267"/>
      <c r="J366" s="267"/>
      <c r="K366" s="267"/>
      <c r="L366" s="267"/>
      <c r="M366" s="267"/>
      <c r="N366" s="267"/>
      <c r="O366" s="267"/>
      <c r="P366" s="267"/>
      <c r="Q366" s="267"/>
      <c r="R366" s="267"/>
      <c r="S366" s="267"/>
    </row>
    <row r="367" spans="1:19" ht="15.75" customHeight="1" thickBot="1" x14ac:dyDescent="0.3">
      <c r="A367" s="267"/>
      <c r="B367" s="267"/>
      <c r="C367" s="267"/>
      <c r="D367" s="267"/>
      <c r="E367" s="267"/>
      <c r="F367" s="269"/>
      <c r="G367" s="267"/>
      <c r="H367" s="267"/>
      <c r="I367" s="267"/>
      <c r="J367" s="267"/>
      <c r="K367" s="267"/>
      <c r="L367" s="267"/>
      <c r="M367" s="267"/>
      <c r="N367" s="267"/>
      <c r="O367" s="267"/>
      <c r="P367" s="267"/>
      <c r="Q367" s="267"/>
      <c r="R367" s="267"/>
      <c r="S367" s="267"/>
    </row>
    <row r="368" spans="1:19" ht="15.75" customHeight="1" thickBot="1" x14ac:dyDescent="0.3">
      <c r="A368" s="267"/>
      <c r="B368" s="267"/>
      <c r="C368" s="267"/>
      <c r="D368" s="267"/>
      <c r="E368" s="267"/>
      <c r="F368" s="269"/>
      <c r="G368" s="267"/>
      <c r="H368" s="267"/>
      <c r="I368" s="267"/>
      <c r="J368" s="267"/>
      <c r="K368" s="267"/>
      <c r="L368" s="267"/>
      <c r="M368" s="267"/>
      <c r="N368" s="267"/>
      <c r="O368" s="267"/>
      <c r="P368" s="267"/>
      <c r="Q368" s="267"/>
      <c r="R368" s="267"/>
      <c r="S368" s="267"/>
    </row>
    <row r="369" spans="1:19" ht="15.75" customHeight="1" thickBot="1" x14ac:dyDescent="0.3">
      <c r="A369" s="267"/>
      <c r="B369" s="267"/>
      <c r="C369" s="267"/>
      <c r="D369" s="267"/>
      <c r="E369" s="267"/>
      <c r="F369" s="269"/>
      <c r="G369" s="267"/>
      <c r="H369" s="267"/>
      <c r="I369" s="267"/>
      <c r="J369" s="267"/>
      <c r="K369" s="267"/>
      <c r="L369" s="267"/>
      <c r="M369" s="267"/>
      <c r="N369" s="267"/>
      <c r="O369" s="267"/>
      <c r="P369" s="267"/>
      <c r="Q369" s="267"/>
      <c r="R369" s="267"/>
      <c r="S369" s="267"/>
    </row>
    <row r="370" spans="1:19" ht="15.75" customHeight="1" thickBot="1" x14ac:dyDescent="0.3">
      <c r="A370" s="267"/>
      <c r="B370" s="267"/>
      <c r="C370" s="267"/>
      <c r="D370" s="267"/>
      <c r="E370" s="267"/>
      <c r="F370" s="269"/>
      <c r="G370" s="267"/>
      <c r="H370" s="267"/>
      <c r="I370" s="267"/>
      <c r="J370" s="267"/>
      <c r="K370" s="267"/>
      <c r="L370" s="267"/>
      <c r="M370" s="267"/>
      <c r="N370" s="267"/>
      <c r="O370" s="267"/>
      <c r="P370" s="267"/>
      <c r="Q370" s="267"/>
      <c r="R370" s="267"/>
      <c r="S370" s="267"/>
    </row>
    <row r="371" spans="1:19" ht="15.75" customHeight="1" thickBot="1" x14ac:dyDescent="0.3">
      <c r="A371" s="267"/>
      <c r="B371" s="267"/>
      <c r="C371" s="267"/>
      <c r="D371" s="267"/>
      <c r="E371" s="267"/>
      <c r="F371" s="269"/>
      <c r="G371" s="267"/>
      <c r="H371" s="267"/>
      <c r="I371" s="267"/>
      <c r="J371" s="267"/>
      <c r="K371" s="267"/>
      <c r="L371" s="267"/>
      <c r="M371" s="267"/>
      <c r="N371" s="267"/>
      <c r="O371" s="267"/>
      <c r="P371" s="267"/>
      <c r="Q371" s="267"/>
      <c r="R371" s="267"/>
      <c r="S371" s="267"/>
    </row>
    <row r="372" spans="1:19" ht="15.75" customHeight="1" thickBot="1" x14ac:dyDescent="0.3">
      <c r="A372" s="267"/>
      <c r="B372" s="267"/>
      <c r="C372" s="267"/>
      <c r="D372" s="267"/>
      <c r="E372" s="267"/>
      <c r="F372" s="269"/>
      <c r="G372" s="267"/>
      <c r="H372" s="267"/>
      <c r="I372" s="267"/>
      <c r="J372" s="267"/>
      <c r="K372" s="267"/>
      <c r="L372" s="267"/>
      <c r="M372" s="267"/>
      <c r="N372" s="267"/>
      <c r="O372" s="267"/>
      <c r="P372" s="267"/>
      <c r="Q372" s="267"/>
      <c r="R372" s="267"/>
      <c r="S372" s="267"/>
    </row>
    <row r="373" spans="1:19" ht="15.75" customHeight="1" thickBot="1" x14ac:dyDescent="0.3">
      <c r="A373" s="267"/>
      <c r="B373" s="267"/>
      <c r="C373" s="267"/>
      <c r="D373" s="267"/>
      <c r="E373" s="267"/>
      <c r="F373" s="269"/>
      <c r="G373" s="267"/>
      <c r="H373" s="267"/>
      <c r="I373" s="267"/>
      <c r="J373" s="267"/>
      <c r="K373" s="267"/>
      <c r="L373" s="267"/>
      <c r="M373" s="267"/>
      <c r="N373" s="267"/>
      <c r="O373" s="267"/>
      <c r="P373" s="267"/>
      <c r="Q373" s="267"/>
      <c r="R373" s="267"/>
      <c r="S373" s="267"/>
    </row>
    <row r="374" spans="1:19" ht="15.75" customHeight="1" thickBot="1" x14ac:dyDescent="0.3">
      <c r="A374" s="267"/>
      <c r="B374" s="267"/>
      <c r="C374" s="267"/>
      <c r="D374" s="267"/>
      <c r="E374" s="267"/>
      <c r="F374" s="269"/>
      <c r="G374" s="267"/>
      <c r="H374" s="267"/>
      <c r="I374" s="267"/>
      <c r="J374" s="267"/>
      <c r="K374" s="267"/>
      <c r="L374" s="267"/>
      <c r="M374" s="267"/>
      <c r="N374" s="267"/>
      <c r="O374" s="267"/>
      <c r="P374" s="267"/>
      <c r="Q374" s="267"/>
      <c r="R374" s="267"/>
      <c r="S374" s="267"/>
    </row>
    <row r="375" spans="1:19" ht="15.75" customHeight="1" thickBot="1" x14ac:dyDescent="0.3">
      <c r="A375" s="267"/>
      <c r="B375" s="267"/>
      <c r="C375" s="267"/>
      <c r="D375" s="267"/>
      <c r="E375" s="267"/>
      <c r="F375" s="269"/>
      <c r="G375" s="267"/>
      <c r="H375" s="267"/>
      <c r="I375" s="267"/>
      <c r="J375" s="267"/>
      <c r="K375" s="267"/>
      <c r="L375" s="267"/>
      <c r="M375" s="267"/>
      <c r="N375" s="267"/>
      <c r="O375" s="267"/>
      <c r="P375" s="267"/>
      <c r="Q375" s="267"/>
      <c r="R375" s="267"/>
      <c r="S375" s="267"/>
    </row>
    <row r="376" spans="1:19" ht="15.75" customHeight="1" thickBot="1" x14ac:dyDescent="0.3">
      <c r="A376" s="267"/>
      <c r="B376" s="267"/>
      <c r="C376" s="267"/>
      <c r="D376" s="267"/>
      <c r="E376" s="267"/>
      <c r="F376" s="269"/>
      <c r="G376" s="267"/>
      <c r="H376" s="267"/>
      <c r="I376" s="267"/>
      <c r="J376" s="267"/>
      <c r="K376" s="267"/>
      <c r="L376" s="267"/>
      <c r="M376" s="267"/>
      <c r="N376" s="267"/>
      <c r="O376" s="267"/>
      <c r="P376" s="267"/>
      <c r="Q376" s="267"/>
      <c r="R376" s="267"/>
      <c r="S376" s="267"/>
    </row>
    <row r="377" spans="1:19" ht="15.75" customHeight="1" thickBot="1" x14ac:dyDescent="0.3">
      <c r="A377" s="267"/>
      <c r="B377" s="267"/>
      <c r="C377" s="267"/>
      <c r="D377" s="267"/>
      <c r="E377" s="267"/>
      <c r="F377" s="269"/>
      <c r="G377" s="267"/>
      <c r="H377" s="267"/>
      <c r="I377" s="267"/>
      <c r="J377" s="267"/>
      <c r="K377" s="267"/>
      <c r="L377" s="267"/>
      <c r="M377" s="267"/>
      <c r="N377" s="267"/>
      <c r="O377" s="267"/>
      <c r="P377" s="267"/>
      <c r="Q377" s="267"/>
      <c r="R377" s="267"/>
      <c r="S377" s="267"/>
    </row>
    <row r="378" spans="1:19" ht="15.75" customHeight="1" thickBot="1" x14ac:dyDescent="0.3">
      <c r="A378" s="267"/>
      <c r="B378" s="267"/>
      <c r="C378" s="267"/>
      <c r="D378" s="267"/>
      <c r="E378" s="267"/>
      <c r="F378" s="269"/>
      <c r="G378" s="267"/>
      <c r="H378" s="267"/>
      <c r="I378" s="267"/>
      <c r="J378" s="267"/>
      <c r="K378" s="267"/>
      <c r="L378" s="267"/>
      <c r="M378" s="267"/>
      <c r="N378" s="267"/>
      <c r="O378" s="267"/>
      <c r="P378" s="267"/>
      <c r="Q378" s="267"/>
      <c r="R378" s="267"/>
      <c r="S378" s="267"/>
    </row>
    <row r="379" spans="1:19" ht="15.75" customHeight="1" thickBot="1" x14ac:dyDescent="0.3">
      <c r="A379" s="267"/>
      <c r="B379" s="267"/>
      <c r="C379" s="267"/>
      <c r="D379" s="267"/>
      <c r="E379" s="267"/>
      <c r="F379" s="269"/>
      <c r="G379" s="267"/>
      <c r="H379" s="267"/>
      <c r="I379" s="267"/>
      <c r="J379" s="267"/>
      <c r="K379" s="267"/>
      <c r="L379" s="267"/>
      <c r="M379" s="267"/>
      <c r="N379" s="267"/>
      <c r="O379" s="267"/>
      <c r="P379" s="267"/>
      <c r="Q379" s="267"/>
      <c r="R379" s="267"/>
      <c r="S379" s="267"/>
    </row>
    <row r="380" spans="1:19" ht="15.75" customHeight="1" thickBot="1" x14ac:dyDescent="0.3">
      <c r="A380" s="267"/>
      <c r="B380" s="267"/>
      <c r="C380" s="267"/>
      <c r="D380" s="267"/>
      <c r="E380" s="267"/>
      <c r="F380" s="269"/>
      <c r="G380" s="267"/>
      <c r="H380" s="267"/>
      <c r="I380" s="267"/>
      <c r="J380" s="267"/>
      <c r="K380" s="267"/>
      <c r="L380" s="267"/>
      <c r="M380" s="267"/>
      <c r="N380" s="267"/>
      <c r="O380" s="267"/>
      <c r="P380" s="267"/>
      <c r="Q380" s="267"/>
      <c r="R380" s="267"/>
      <c r="S380" s="267"/>
    </row>
    <row r="381" spans="1:19" ht="15.75" customHeight="1" thickBot="1" x14ac:dyDescent="0.3">
      <c r="A381" s="267"/>
      <c r="B381" s="267"/>
      <c r="C381" s="267"/>
      <c r="D381" s="267"/>
      <c r="E381" s="267"/>
      <c r="F381" s="269"/>
      <c r="G381" s="267"/>
      <c r="H381" s="267"/>
      <c r="I381" s="267"/>
      <c r="J381" s="267"/>
      <c r="K381" s="267"/>
      <c r="L381" s="267"/>
      <c r="M381" s="267"/>
      <c r="N381" s="267"/>
      <c r="O381" s="267"/>
      <c r="P381" s="267"/>
      <c r="Q381" s="267"/>
      <c r="R381" s="267"/>
      <c r="S381" s="267"/>
    </row>
    <row r="382" spans="1:19" ht="15.75" customHeight="1" thickBot="1" x14ac:dyDescent="0.3">
      <c r="A382" s="267"/>
      <c r="B382" s="267"/>
      <c r="C382" s="267"/>
      <c r="D382" s="267"/>
      <c r="E382" s="267"/>
      <c r="F382" s="269"/>
      <c r="G382" s="267"/>
      <c r="H382" s="267"/>
      <c r="I382" s="267"/>
      <c r="J382" s="267"/>
      <c r="K382" s="267"/>
      <c r="L382" s="267"/>
      <c r="M382" s="267"/>
      <c r="N382" s="267"/>
      <c r="O382" s="267"/>
      <c r="P382" s="267"/>
      <c r="Q382" s="267"/>
      <c r="R382" s="267"/>
      <c r="S382" s="267"/>
    </row>
    <row r="383" spans="1:19" ht="15.75" customHeight="1" thickBot="1" x14ac:dyDescent="0.3">
      <c r="A383" s="267"/>
      <c r="B383" s="267"/>
      <c r="C383" s="267"/>
      <c r="D383" s="267"/>
      <c r="E383" s="267"/>
      <c r="F383" s="269"/>
      <c r="G383" s="267"/>
      <c r="H383" s="267"/>
      <c r="I383" s="267"/>
      <c r="J383" s="267"/>
      <c r="K383" s="267"/>
      <c r="L383" s="267"/>
      <c r="M383" s="267"/>
      <c r="N383" s="267"/>
      <c r="O383" s="267"/>
      <c r="P383" s="267"/>
      <c r="Q383" s="267"/>
      <c r="R383" s="267"/>
      <c r="S383" s="267"/>
    </row>
    <row r="384" spans="1:19" ht="15.75" customHeight="1" thickBot="1" x14ac:dyDescent="0.3">
      <c r="A384" s="267"/>
      <c r="B384" s="267"/>
      <c r="C384" s="267"/>
      <c r="D384" s="267"/>
      <c r="E384" s="267"/>
      <c r="F384" s="269"/>
      <c r="G384" s="267"/>
      <c r="H384" s="267"/>
      <c r="I384" s="267"/>
      <c r="J384" s="267"/>
      <c r="K384" s="267"/>
      <c r="L384" s="267"/>
      <c r="M384" s="267"/>
      <c r="N384" s="267"/>
      <c r="O384" s="267"/>
      <c r="P384" s="267"/>
      <c r="Q384" s="267"/>
      <c r="R384" s="267"/>
      <c r="S384" s="267"/>
    </row>
    <row r="385" spans="1:19" ht="15.75" customHeight="1" thickBot="1" x14ac:dyDescent="0.3">
      <c r="A385" s="267"/>
      <c r="B385" s="267"/>
      <c r="C385" s="267"/>
      <c r="D385" s="267"/>
      <c r="E385" s="267"/>
      <c r="F385" s="269"/>
      <c r="G385" s="267"/>
      <c r="H385" s="267"/>
      <c r="I385" s="267"/>
      <c r="J385" s="267"/>
      <c r="K385" s="267"/>
      <c r="L385" s="267"/>
      <c r="M385" s="267"/>
      <c r="N385" s="267"/>
      <c r="O385" s="267"/>
      <c r="P385" s="267"/>
      <c r="Q385" s="267"/>
      <c r="R385" s="267"/>
      <c r="S385" s="267"/>
    </row>
    <row r="386" spans="1:19" ht="15.75" customHeight="1" thickBot="1" x14ac:dyDescent="0.3">
      <c r="A386" s="267"/>
      <c r="B386" s="267"/>
      <c r="C386" s="267"/>
      <c r="D386" s="267"/>
      <c r="E386" s="267"/>
      <c r="F386" s="269"/>
      <c r="G386" s="267"/>
      <c r="H386" s="267"/>
      <c r="I386" s="267"/>
      <c r="J386" s="267"/>
      <c r="K386" s="267"/>
      <c r="L386" s="267"/>
      <c r="M386" s="267"/>
      <c r="N386" s="267"/>
      <c r="O386" s="267"/>
      <c r="P386" s="267"/>
      <c r="Q386" s="267"/>
      <c r="R386" s="267"/>
      <c r="S386" s="267"/>
    </row>
    <row r="387" spans="1:19" ht="15.75" customHeight="1" thickBot="1" x14ac:dyDescent="0.3">
      <c r="A387" s="267"/>
      <c r="B387" s="267"/>
      <c r="C387" s="267"/>
      <c r="D387" s="267"/>
      <c r="E387" s="267"/>
      <c r="F387" s="269"/>
      <c r="G387" s="267"/>
      <c r="H387" s="267"/>
      <c r="I387" s="267"/>
      <c r="J387" s="267"/>
      <c r="K387" s="267"/>
      <c r="L387" s="267"/>
      <c r="M387" s="267"/>
      <c r="N387" s="267"/>
      <c r="O387" s="267"/>
      <c r="P387" s="267"/>
      <c r="Q387" s="267"/>
      <c r="R387" s="267"/>
      <c r="S387" s="267"/>
    </row>
    <row r="388" spans="1:19" ht="15.75" customHeight="1" thickBot="1" x14ac:dyDescent="0.3">
      <c r="A388" s="267"/>
      <c r="B388" s="267"/>
      <c r="C388" s="267"/>
      <c r="D388" s="267"/>
      <c r="E388" s="267"/>
      <c r="F388" s="269"/>
      <c r="G388" s="267"/>
      <c r="H388" s="267"/>
      <c r="I388" s="267"/>
      <c r="J388" s="267"/>
      <c r="K388" s="267"/>
      <c r="L388" s="267"/>
      <c r="M388" s="267"/>
      <c r="N388" s="267"/>
      <c r="O388" s="267"/>
      <c r="P388" s="267"/>
      <c r="Q388" s="267"/>
      <c r="R388" s="267"/>
      <c r="S388" s="267"/>
    </row>
    <row r="389" spans="1:19" ht="15.75" customHeight="1" thickBot="1" x14ac:dyDescent="0.3">
      <c r="A389" s="267"/>
      <c r="B389" s="267"/>
      <c r="C389" s="267"/>
      <c r="D389" s="267"/>
      <c r="E389" s="267"/>
      <c r="F389" s="269"/>
      <c r="G389" s="267"/>
      <c r="H389" s="267"/>
      <c r="I389" s="267"/>
      <c r="J389" s="267"/>
      <c r="K389" s="267"/>
      <c r="L389" s="267"/>
      <c r="M389" s="267"/>
      <c r="N389" s="267"/>
      <c r="O389" s="267"/>
      <c r="P389" s="267"/>
      <c r="Q389" s="267"/>
      <c r="R389" s="267"/>
      <c r="S389" s="267"/>
    </row>
    <row r="390" spans="1:19" ht="15.75" customHeight="1" thickBot="1" x14ac:dyDescent="0.3">
      <c r="A390" s="267"/>
      <c r="B390" s="267"/>
      <c r="C390" s="267"/>
      <c r="D390" s="267"/>
      <c r="E390" s="267"/>
      <c r="F390" s="269"/>
      <c r="G390" s="267"/>
      <c r="H390" s="267"/>
      <c r="I390" s="267"/>
      <c r="J390" s="267"/>
      <c r="K390" s="267"/>
      <c r="L390" s="267"/>
      <c r="M390" s="267"/>
      <c r="N390" s="267"/>
      <c r="O390" s="267"/>
      <c r="P390" s="267"/>
      <c r="Q390" s="267"/>
      <c r="R390" s="267"/>
      <c r="S390" s="267"/>
    </row>
    <row r="391" spans="1:19" ht="15.75" customHeight="1" thickBot="1" x14ac:dyDescent="0.3">
      <c r="A391" s="267"/>
      <c r="B391" s="267"/>
      <c r="C391" s="267"/>
      <c r="D391" s="267"/>
      <c r="E391" s="267"/>
      <c r="F391" s="269"/>
      <c r="G391" s="267"/>
      <c r="H391" s="267"/>
      <c r="I391" s="267"/>
      <c r="J391" s="267"/>
      <c r="K391" s="267"/>
      <c r="L391" s="267"/>
      <c r="M391" s="267"/>
      <c r="N391" s="267"/>
      <c r="O391" s="267"/>
      <c r="P391" s="267"/>
      <c r="Q391" s="267"/>
      <c r="R391" s="267"/>
      <c r="S391" s="267"/>
    </row>
    <row r="392" spans="1:19" ht="15.75" customHeight="1" thickBot="1" x14ac:dyDescent="0.3">
      <c r="A392" s="267"/>
      <c r="B392" s="267"/>
      <c r="C392" s="267"/>
      <c r="D392" s="267"/>
      <c r="E392" s="267"/>
      <c r="F392" s="269"/>
      <c r="G392" s="267"/>
      <c r="H392" s="267"/>
      <c r="I392" s="267"/>
      <c r="J392" s="267"/>
      <c r="K392" s="267"/>
      <c r="L392" s="267"/>
      <c r="M392" s="267"/>
      <c r="N392" s="267"/>
      <c r="O392" s="267"/>
      <c r="P392" s="267"/>
      <c r="Q392" s="267"/>
      <c r="R392" s="267"/>
      <c r="S392" s="267"/>
    </row>
    <row r="393" spans="1:19" ht="15.75" customHeight="1" thickBot="1" x14ac:dyDescent="0.3">
      <c r="A393" s="267"/>
      <c r="B393" s="267"/>
      <c r="C393" s="267"/>
      <c r="D393" s="267"/>
      <c r="E393" s="267"/>
      <c r="F393" s="269"/>
      <c r="G393" s="267"/>
      <c r="H393" s="267"/>
      <c r="I393" s="267"/>
      <c r="J393" s="267"/>
      <c r="K393" s="267"/>
      <c r="L393" s="267"/>
      <c r="M393" s="267"/>
      <c r="N393" s="267"/>
      <c r="O393" s="267"/>
      <c r="P393" s="267"/>
      <c r="Q393" s="267"/>
      <c r="R393" s="267"/>
      <c r="S393" s="267"/>
    </row>
    <row r="394" spans="1:19" ht="15.75" customHeight="1" thickBot="1" x14ac:dyDescent="0.3">
      <c r="A394" s="267"/>
      <c r="B394" s="267"/>
      <c r="C394" s="267"/>
      <c r="D394" s="267"/>
      <c r="E394" s="267"/>
      <c r="F394" s="269"/>
      <c r="G394" s="267"/>
      <c r="H394" s="267"/>
      <c r="I394" s="267"/>
      <c r="J394" s="267"/>
      <c r="K394" s="267"/>
      <c r="L394" s="267"/>
      <c r="M394" s="267"/>
      <c r="N394" s="267"/>
      <c r="O394" s="267"/>
      <c r="P394" s="267"/>
      <c r="Q394" s="267"/>
      <c r="R394" s="267"/>
      <c r="S394" s="267"/>
    </row>
    <row r="395" spans="1:19" ht="15.75" customHeight="1" thickBot="1" x14ac:dyDescent="0.3">
      <c r="A395" s="267"/>
      <c r="B395" s="267"/>
      <c r="C395" s="267"/>
      <c r="D395" s="267"/>
      <c r="E395" s="267"/>
      <c r="F395" s="269"/>
      <c r="G395" s="267"/>
      <c r="H395" s="267"/>
      <c r="I395" s="267"/>
      <c r="J395" s="267"/>
      <c r="K395" s="267"/>
      <c r="L395" s="267"/>
      <c r="M395" s="267"/>
      <c r="N395" s="267"/>
      <c r="O395" s="267"/>
      <c r="P395" s="267"/>
      <c r="Q395" s="267"/>
      <c r="R395" s="267"/>
      <c r="S395" s="267"/>
    </row>
    <row r="396" spans="1:19" ht="15.75" customHeight="1" thickBot="1" x14ac:dyDescent="0.3">
      <c r="A396" s="267"/>
      <c r="B396" s="267"/>
      <c r="C396" s="267"/>
      <c r="D396" s="267"/>
      <c r="E396" s="267"/>
      <c r="F396" s="269"/>
      <c r="G396" s="267"/>
      <c r="H396" s="267"/>
      <c r="I396" s="267"/>
      <c r="J396" s="267"/>
      <c r="K396" s="267"/>
      <c r="L396" s="267"/>
      <c r="M396" s="267"/>
      <c r="N396" s="267"/>
      <c r="O396" s="267"/>
      <c r="P396" s="267"/>
      <c r="Q396" s="267"/>
      <c r="R396" s="267"/>
      <c r="S396" s="267"/>
    </row>
    <row r="397" spans="1:19" ht="15.75" customHeight="1" thickBot="1" x14ac:dyDescent="0.3">
      <c r="A397" s="267"/>
      <c r="B397" s="267"/>
      <c r="C397" s="267"/>
      <c r="D397" s="267"/>
      <c r="E397" s="267"/>
      <c r="F397" s="269"/>
      <c r="G397" s="267"/>
      <c r="H397" s="267"/>
      <c r="I397" s="267"/>
      <c r="J397" s="267"/>
      <c r="K397" s="267"/>
      <c r="L397" s="267"/>
      <c r="M397" s="267"/>
      <c r="N397" s="267"/>
      <c r="O397" s="267"/>
      <c r="P397" s="267"/>
      <c r="Q397" s="267"/>
      <c r="R397" s="267"/>
      <c r="S397" s="267"/>
    </row>
    <row r="398" spans="1:19" ht="15.75" customHeight="1" thickBot="1" x14ac:dyDescent="0.3">
      <c r="A398" s="267"/>
      <c r="B398" s="267"/>
      <c r="C398" s="267"/>
      <c r="D398" s="267"/>
      <c r="E398" s="267"/>
      <c r="F398" s="269"/>
      <c r="G398" s="267"/>
      <c r="H398" s="267"/>
      <c r="I398" s="267"/>
      <c r="J398" s="267"/>
      <c r="K398" s="267"/>
      <c r="L398" s="267"/>
      <c r="M398" s="267"/>
      <c r="N398" s="267"/>
      <c r="O398" s="267"/>
      <c r="P398" s="267"/>
      <c r="Q398" s="267"/>
      <c r="R398" s="267"/>
      <c r="S398" s="267"/>
    </row>
    <row r="399" spans="1:19" ht="15.75" customHeight="1" thickBot="1" x14ac:dyDescent="0.3">
      <c r="A399" s="267"/>
      <c r="B399" s="267"/>
      <c r="C399" s="267"/>
      <c r="D399" s="267"/>
      <c r="E399" s="267"/>
      <c r="F399" s="269"/>
      <c r="G399" s="267"/>
      <c r="H399" s="267"/>
      <c r="I399" s="267"/>
      <c r="J399" s="267"/>
      <c r="K399" s="267"/>
      <c r="L399" s="267"/>
      <c r="M399" s="267"/>
      <c r="N399" s="267"/>
      <c r="O399" s="267"/>
      <c r="P399" s="267"/>
      <c r="Q399" s="267"/>
      <c r="R399" s="267"/>
      <c r="S399" s="267"/>
    </row>
    <row r="400" spans="1:19" ht="15.75" customHeight="1" thickBot="1" x14ac:dyDescent="0.3">
      <c r="A400" s="267"/>
      <c r="B400" s="267"/>
      <c r="C400" s="267"/>
      <c r="D400" s="267"/>
      <c r="E400" s="267"/>
      <c r="F400" s="269"/>
      <c r="G400" s="267"/>
      <c r="H400" s="267"/>
      <c r="I400" s="267"/>
      <c r="J400" s="267"/>
      <c r="K400" s="267"/>
      <c r="L400" s="267"/>
      <c r="M400" s="267"/>
      <c r="N400" s="267"/>
      <c r="O400" s="267"/>
      <c r="P400" s="267"/>
      <c r="Q400" s="267"/>
      <c r="R400" s="267"/>
      <c r="S400" s="267"/>
    </row>
    <row r="401" spans="1:19" ht="15.75" customHeight="1" thickBot="1" x14ac:dyDescent="0.3">
      <c r="A401" s="267"/>
      <c r="B401" s="267"/>
      <c r="C401" s="267"/>
      <c r="D401" s="267"/>
      <c r="E401" s="267"/>
      <c r="F401" s="269"/>
      <c r="G401" s="267"/>
      <c r="H401" s="267"/>
      <c r="I401" s="267"/>
      <c r="J401" s="267"/>
      <c r="K401" s="267"/>
      <c r="L401" s="267"/>
      <c r="M401" s="267"/>
      <c r="N401" s="267"/>
      <c r="O401" s="267"/>
      <c r="P401" s="267"/>
      <c r="Q401" s="267"/>
      <c r="R401" s="267"/>
      <c r="S401" s="267"/>
    </row>
    <row r="402" spans="1:19" ht="15.75" customHeight="1" thickBot="1" x14ac:dyDescent="0.3">
      <c r="A402" s="267"/>
      <c r="B402" s="267"/>
      <c r="C402" s="267"/>
      <c r="D402" s="267"/>
      <c r="E402" s="267"/>
      <c r="F402" s="269"/>
      <c r="G402" s="267"/>
      <c r="H402" s="267"/>
      <c r="I402" s="267"/>
      <c r="J402" s="267"/>
      <c r="K402" s="267"/>
      <c r="L402" s="267"/>
      <c r="M402" s="267"/>
      <c r="N402" s="267"/>
      <c r="O402" s="267"/>
      <c r="P402" s="267"/>
      <c r="Q402" s="267"/>
      <c r="R402" s="267"/>
      <c r="S402" s="267"/>
    </row>
    <row r="403" spans="1:19" ht="15.75" customHeight="1" thickBot="1" x14ac:dyDescent="0.3">
      <c r="A403" s="267"/>
      <c r="B403" s="267"/>
      <c r="C403" s="267"/>
      <c r="D403" s="267"/>
      <c r="E403" s="267"/>
      <c r="F403" s="269"/>
      <c r="G403" s="267"/>
      <c r="H403" s="267"/>
      <c r="I403" s="267"/>
      <c r="J403" s="267"/>
      <c r="K403" s="267"/>
      <c r="L403" s="267"/>
      <c r="M403" s="267"/>
      <c r="N403" s="267"/>
      <c r="O403" s="267"/>
      <c r="P403" s="267"/>
      <c r="Q403" s="267"/>
      <c r="R403" s="267"/>
      <c r="S403" s="267"/>
    </row>
    <row r="404" spans="1:19" ht="15.75" customHeight="1" thickBot="1" x14ac:dyDescent="0.3">
      <c r="A404" s="267"/>
      <c r="B404" s="267"/>
      <c r="C404" s="267"/>
      <c r="D404" s="267"/>
      <c r="E404" s="267"/>
      <c r="F404" s="269"/>
      <c r="G404" s="267"/>
      <c r="H404" s="267"/>
      <c r="I404" s="267"/>
      <c r="J404" s="267"/>
      <c r="K404" s="267"/>
      <c r="L404" s="267"/>
      <c r="M404" s="267"/>
      <c r="N404" s="267"/>
      <c r="O404" s="267"/>
      <c r="P404" s="267"/>
      <c r="Q404" s="267"/>
      <c r="R404" s="267"/>
      <c r="S404" s="267"/>
    </row>
    <row r="405" spans="1:19" ht="15.75" customHeight="1" thickBot="1" x14ac:dyDescent="0.3">
      <c r="A405" s="267"/>
      <c r="B405" s="267"/>
      <c r="C405" s="267"/>
      <c r="D405" s="267"/>
      <c r="E405" s="267"/>
      <c r="F405" s="269"/>
      <c r="G405" s="267"/>
      <c r="H405" s="267"/>
      <c r="I405" s="267"/>
      <c r="J405" s="267"/>
      <c r="K405" s="267"/>
      <c r="L405" s="267"/>
      <c r="M405" s="267"/>
      <c r="N405" s="267"/>
      <c r="O405" s="267"/>
      <c r="P405" s="267"/>
      <c r="Q405" s="267"/>
      <c r="R405" s="267"/>
      <c r="S405" s="267"/>
    </row>
    <row r="406" spans="1:19" ht="15.75" customHeight="1" x14ac:dyDescent="0.25"/>
    <row r="407" spans="1:19" ht="15.75" customHeight="1" x14ac:dyDescent="0.25"/>
    <row r="408" spans="1:19" ht="15.75" customHeight="1" x14ac:dyDescent="0.25"/>
    <row r="409" spans="1:19" ht="15.75" customHeight="1" x14ac:dyDescent="0.25"/>
    <row r="410" spans="1:19" ht="15.75" customHeight="1" x14ac:dyDescent="0.25"/>
    <row r="411" spans="1:19" ht="15.75" customHeight="1" x14ac:dyDescent="0.25"/>
    <row r="412" spans="1:19" ht="15.75" customHeight="1" x14ac:dyDescent="0.25"/>
    <row r="413" spans="1:19" ht="15.75" customHeight="1" x14ac:dyDescent="0.25"/>
    <row r="414" spans="1:19" ht="15.75" customHeight="1" x14ac:dyDescent="0.25"/>
    <row r="415" spans="1:19" ht="15.75" customHeight="1" x14ac:dyDescent="0.25"/>
    <row r="416" spans="1:19"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password="DEFC" sheet="1" objects="1" scenarios="1"/>
  <autoFilter ref="A2:Z205"/>
  <mergeCells count="47">
    <mergeCell ref="B182:C182"/>
    <mergeCell ref="B184:C184"/>
    <mergeCell ref="B164:C164"/>
    <mergeCell ref="B165:C165"/>
    <mergeCell ref="B170:C170"/>
    <mergeCell ref="B173:C173"/>
    <mergeCell ref="B176:C176"/>
    <mergeCell ref="B187:C187"/>
    <mergeCell ref="B192:C192"/>
    <mergeCell ref="B193:C193"/>
    <mergeCell ref="B198:C198"/>
    <mergeCell ref="B203:C203"/>
    <mergeCell ref="B140:C140"/>
    <mergeCell ref="B145:C145"/>
    <mergeCell ref="B148:C148"/>
    <mergeCell ref="B154:C154"/>
    <mergeCell ref="B160:C160"/>
    <mergeCell ref="B122:C122"/>
    <mergeCell ref="B124:C124"/>
    <mergeCell ref="B126:C126"/>
    <mergeCell ref="B130:C130"/>
    <mergeCell ref="B131:C131"/>
    <mergeCell ref="B92:C92"/>
    <mergeCell ref="B101:C101"/>
    <mergeCell ref="B106:C106"/>
    <mergeCell ref="B119:C119"/>
    <mergeCell ref="B120:C120"/>
    <mergeCell ref="B68:C68"/>
    <mergeCell ref="B73:C73"/>
    <mergeCell ref="B77:C77"/>
    <mergeCell ref="B85:C85"/>
    <mergeCell ref="B91:C91"/>
    <mergeCell ref="B43:C43"/>
    <mergeCell ref="B49:C49"/>
    <mergeCell ref="B52:C52"/>
    <mergeCell ref="B56:C56"/>
    <mergeCell ref="B60:C60"/>
    <mergeCell ref="B15:C15"/>
    <mergeCell ref="B21:C21"/>
    <mergeCell ref="B29:C29"/>
    <mergeCell ref="B34:C34"/>
    <mergeCell ref="B39:C39"/>
    <mergeCell ref="B2:C2"/>
    <mergeCell ref="B3:C3"/>
    <mergeCell ref="B4:C4"/>
    <mergeCell ref="B5:C5"/>
    <mergeCell ref="B12:C1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zoomScale="40" zoomScaleNormal="40" workbookViewId="0">
      <pane ySplit="2" topLeftCell="A18" activePane="bottomLeft" state="frozen"/>
      <selection activeCell="K14" sqref="K14"/>
      <selection pane="bottomLeft" activeCell="F126" sqref="F126"/>
    </sheetView>
  </sheetViews>
  <sheetFormatPr baseColWidth="10" defaultColWidth="14.42578125" defaultRowHeight="15" customHeight="1" x14ac:dyDescent="0.3"/>
  <cols>
    <col min="1" max="1" width="10.7109375" style="440" customWidth="1"/>
    <col min="2" max="2" width="69.85546875" style="440" customWidth="1"/>
    <col min="3" max="3" width="71.85546875" style="440" customWidth="1"/>
    <col min="4" max="4" width="40.5703125" style="440" customWidth="1"/>
    <col min="5" max="5" width="31.28515625" style="538" customWidth="1"/>
    <col min="6" max="6" width="32.7109375" style="440" customWidth="1"/>
    <col min="7" max="7" width="33.28515625" style="440" customWidth="1"/>
    <col min="8" max="8" width="34.7109375" style="440" customWidth="1"/>
    <col min="9" max="9" width="30.28515625" style="440" customWidth="1"/>
    <col min="10" max="10" width="19.85546875" style="440" customWidth="1"/>
    <col min="11" max="11" width="33.5703125" style="440" customWidth="1"/>
    <col min="12" max="12" width="35.28515625" style="440" customWidth="1"/>
    <col min="13" max="14" width="33.7109375" style="440" customWidth="1"/>
    <col min="15" max="15" width="39.85546875" style="440" customWidth="1"/>
    <col min="16" max="16" width="35.85546875" style="440" hidden="1" customWidth="1"/>
    <col min="17" max="17" width="23.140625" style="440" hidden="1" customWidth="1"/>
    <col min="18" max="18" width="26" style="440" hidden="1" customWidth="1"/>
    <col min="19" max="19" width="21.42578125" style="440" hidden="1" customWidth="1"/>
    <col min="20" max="20" width="24.7109375" style="440" hidden="1" customWidth="1"/>
    <col min="21" max="22" width="10.7109375" style="440" hidden="1" customWidth="1"/>
    <col min="23" max="27" width="10.7109375" style="440" customWidth="1"/>
    <col min="28" max="16384" width="14.42578125" style="440"/>
  </cols>
  <sheetData>
    <row r="1" spans="1:21" ht="19.5" thickBot="1" x14ac:dyDescent="0.35">
      <c r="A1" s="437"/>
      <c r="B1" s="438"/>
      <c r="C1" s="438"/>
      <c r="D1" s="438"/>
      <c r="E1" s="439"/>
      <c r="F1" s="438"/>
      <c r="G1" s="438"/>
      <c r="H1" s="438"/>
      <c r="I1" s="438"/>
      <c r="J1" s="438"/>
      <c r="K1" s="438"/>
      <c r="L1" s="438"/>
      <c r="M1" s="438"/>
      <c r="N1" s="438"/>
      <c r="O1" s="438"/>
      <c r="P1" s="437"/>
      <c r="Q1" s="437"/>
      <c r="R1" s="437"/>
      <c r="S1" s="437"/>
      <c r="T1" s="437"/>
    </row>
    <row r="2" spans="1:21" ht="180" customHeight="1" thickBot="1" x14ac:dyDescent="0.35">
      <c r="A2" s="441"/>
      <c r="B2" s="713" t="s">
        <v>0</v>
      </c>
      <c r="C2" s="714"/>
      <c r="D2" s="442" t="s">
        <v>1</v>
      </c>
      <c r="E2" s="443" t="s">
        <v>2</v>
      </c>
      <c r="F2" s="444" t="s">
        <v>3</v>
      </c>
      <c r="G2" s="444" t="s">
        <v>4</v>
      </c>
      <c r="H2" s="445" t="s">
        <v>5</v>
      </c>
      <c r="I2" s="446" t="s">
        <v>6</v>
      </c>
      <c r="J2" s="447" t="s">
        <v>1852</v>
      </c>
      <c r="K2" s="448" t="s">
        <v>8</v>
      </c>
      <c r="L2" s="449" t="s">
        <v>9</v>
      </c>
      <c r="M2" s="448" t="s">
        <v>1863</v>
      </c>
      <c r="N2" s="450" t="s">
        <v>1854</v>
      </c>
      <c r="O2" s="451" t="s">
        <v>1856</v>
      </c>
      <c r="P2" s="452" t="s">
        <v>7</v>
      </c>
      <c r="Q2" s="448" t="s">
        <v>8</v>
      </c>
      <c r="R2" s="449" t="s">
        <v>9</v>
      </c>
      <c r="S2" s="448" t="s">
        <v>10</v>
      </c>
      <c r="T2" s="453" t="s">
        <v>11</v>
      </c>
      <c r="U2" s="449" t="s">
        <v>12</v>
      </c>
    </row>
    <row r="3" spans="1:21" s="550" customFormat="1" ht="93" customHeight="1" thickBot="1" x14ac:dyDescent="0.6">
      <c r="A3" s="539"/>
      <c r="B3" s="699" t="s">
        <v>1796</v>
      </c>
      <c r="C3" s="700"/>
      <c r="D3" s="540"/>
      <c r="E3" s="541">
        <v>0.15</v>
      </c>
      <c r="F3" s="542"/>
      <c r="G3" s="543"/>
      <c r="H3" s="544">
        <f>+(H4+H15+H33+H45+H67+H100+H124)/7</f>
        <v>0.25743535350812591</v>
      </c>
      <c r="I3" s="545">
        <f>+(I4+I15+I33+I45+I67+I100+I124)/7</f>
        <v>0.20388140901442245</v>
      </c>
      <c r="J3" s="546"/>
      <c r="K3" s="544">
        <f>+(K4+K15+K33+K45+K67+K100+K124)/7</f>
        <v>0.9432222222222223</v>
      </c>
      <c r="L3" s="545">
        <f>F4+F15+F33+F45+F67+F100+F124</f>
        <v>0.52797500000000008</v>
      </c>
      <c r="M3" s="544">
        <f>+(M4+M15+M33+M45+M67+M100+M124)/7</f>
        <v>0.23537004965661618</v>
      </c>
      <c r="N3" s="545">
        <f>+(N4+N15+N33+N45+N67+N100+N124)/7</f>
        <v>0.19709284711832917</v>
      </c>
      <c r="O3" s="547"/>
      <c r="P3" s="548"/>
      <c r="Q3" s="549"/>
      <c r="R3" s="549"/>
      <c r="S3" s="549"/>
      <c r="T3" s="549"/>
    </row>
    <row r="4" spans="1:21" ht="78" customHeight="1" thickBot="1" x14ac:dyDescent="0.35">
      <c r="A4" s="441"/>
      <c r="B4" s="717" t="s">
        <v>1795</v>
      </c>
      <c r="C4" s="718"/>
      <c r="D4" s="454"/>
      <c r="E4" s="456">
        <v>0.1</v>
      </c>
      <c r="F4" s="457">
        <f>+E4*L4</f>
        <v>9.64E-2</v>
      </c>
      <c r="G4" s="458"/>
      <c r="H4" s="459">
        <f>+(H5+H11)/2</f>
        <v>0.32500000000000001</v>
      </c>
      <c r="I4" s="460">
        <f>+(I5+I11)/2</f>
        <v>0.33750000000000002</v>
      </c>
      <c r="J4" s="461"/>
      <c r="K4" s="459">
        <f>+(K5+K11)/2</f>
        <v>0.98</v>
      </c>
      <c r="L4" s="460">
        <f>+L5+L11</f>
        <v>0.96399999999999997</v>
      </c>
      <c r="M4" s="459">
        <f>(M5+M11)/2</f>
        <v>0.37</v>
      </c>
      <c r="N4" s="460">
        <f>+N5+N11</f>
        <v>0.32100000000000001</v>
      </c>
      <c r="O4" s="462"/>
      <c r="P4" s="455"/>
      <c r="Q4" s="437"/>
      <c r="R4" s="437"/>
      <c r="S4" s="437"/>
      <c r="T4" s="437"/>
    </row>
    <row r="5" spans="1:21" ht="39" customHeight="1" thickBot="1" x14ac:dyDescent="0.35">
      <c r="A5" s="441"/>
      <c r="B5" s="715" t="s">
        <v>1707</v>
      </c>
      <c r="C5" s="718"/>
      <c r="D5" s="463"/>
      <c r="E5" s="464">
        <v>0.4</v>
      </c>
      <c r="F5" s="465"/>
      <c r="G5" s="466"/>
      <c r="H5" s="467">
        <f>+AVERAGE(H6:H10)</f>
        <v>0.4</v>
      </c>
      <c r="I5" s="467">
        <f>+I6+I7+I8+I9+I10</f>
        <v>0.42499999999999999</v>
      </c>
      <c r="J5" s="468"/>
      <c r="K5" s="469">
        <f>+AVERAGE(K6:K10)</f>
        <v>1</v>
      </c>
      <c r="L5" s="469">
        <f>+(L6+L7+L8+L9+L10)*E5</f>
        <v>0.4</v>
      </c>
      <c r="M5" s="467">
        <f>+AVERAGE(M6:M10)</f>
        <v>0.5</v>
      </c>
      <c r="N5" s="467">
        <f>+(N6+N7+N8+N9+N10)*E5</f>
        <v>0.18000000000000002</v>
      </c>
      <c r="O5" s="470"/>
      <c r="P5" s="455"/>
      <c r="Q5" s="437"/>
      <c r="R5" s="437"/>
      <c r="S5" s="437"/>
      <c r="T5" s="437"/>
    </row>
    <row r="6" spans="1:21" ht="45" customHeight="1" thickBot="1" x14ac:dyDescent="0.35">
      <c r="A6" s="441"/>
      <c r="B6" s="471" t="s">
        <v>685</v>
      </c>
      <c r="C6" s="472" t="s">
        <v>1397</v>
      </c>
      <c r="D6" s="463"/>
      <c r="E6" s="473">
        <v>0.05</v>
      </c>
      <c r="F6" s="474">
        <v>1</v>
      </c>
      <c r="G6" s="468">
        <v>0.5</v>
      </c>
      <c r="H6" s="475">
        <f>+G6/F6</f>
        <v>0.5</v>
      </c>
      <c r="I6" s="475">
        <f>+(G6/F6)*E6</f>
        <v>2.5000000000000001E-2</v>
      </c>
      <c r="J6" s="468">
        <v>1</v>
      </c>
      <c r="K6" s="476">
        <v>1</v>
      </c>
      <c r="L6" s="477">
        <f>+K6*E6</f>
        <v>0.05</v>
      </c>
      <c r="M6" s="475">
        <f>+J6/F6</f>
        <v>1</v>
      </c>
      <c r="N6" s="475">
        <f>+M6*E6</f>
        <v>0.05</v>
      </c>
      <c r="O6" s="478" t="s">
        <v>1598</v>
      </c>
      <c r="P6" s="455"/>
      <c r="Q6" s="437"/>
      <c r="R6" s="437"/>
      <c r="S6" s="437"/>
      <c r="T6" s="437"/>
    </row>
    <row r="7" spans="1:21" ht="59.45" customHeight="1" thickBot="1" x14ac:dyDescent="0.35">
      <c r="A7" s="441"/>
      <c r="B7" s="471" t="s">
        <v>686</v>
      </c>
      <c r="C7" s="472" t="s">
        <v>1398</v>
      </c>
      <c r="D7" s="463" t="s">
        <v>687</v>
      </c>
      <c r="E7" s="473">
        <v>0.25</v>
      </c>
      <c r="F7" s="474">
        <v>4</v>
      </c>
      <c r="G7" s="468">
        <v>2</v>
      </c>
      <c r="H7" s="475">
        <f>+G7/F7</f>
        <v>0.5</v>
      </c>
      <c r="I7" s="475">
        <f>+(G7/F7)*E7</f>
        <v>0.125</v>
      </c>
      <c r="J7" s="468">
        <v>2</v>
      </c>
      <c r="K7" s="476">
        <f>+(J7/G7)</f>
        <v>1</v>
      </c>
      <c r="L7" s="477">
        <f>+K7*E7</f>
        <v>0.25</v>
      </c>
      <c r="M7" s="475">
        <f>+J7/F7</f>
        <v>0.5</v>
      </c>
      <c r="N7" s="475">
        <f>+M7*E7</f>
        <v>0.125</v>
      </c>
      <c r="O7" s="479" t="s">
        <v>1862</v>
      </c>
      <c r="P7" s="455"/>
      <c r="Q7" s="437"/>
      <c r="R7" s="437"/>
      <c r="S7" s="437"/>
      <c r="T7" s="437"/>
    </row>
    <row r="8" spans="1:21" ht="93.6" customHeight="1" thickBot="1" x14ac:dyDescent="0.35">
      <c r="A8" s="441"/>
      <c r="B8" s="480" t="s">
        <v>688</v>
      </c>
      <c r="C8" s="481" t="s">
        <v>1399</v>
      </c>
      <c r="D8" s="482" t="s">
        <v>687</v>
      </c>
      <c r="E8" s="473">
        <v>0.25</v>
      </c>
      <c r="F8" s="474">
        <v>8</v>
      </c>
      <c r="G8" s="468">
        <v>2</v>
      </c>
      <c r="H8" s="475">
        <f>+G8/F8</f>
        <v>0.25</v>
      </c>
      <c r="I8" s="475">
        <f>+(G8/F8)*E8</f>
        <v>6.25E-2</v>
      </c>
      <c r="J8" s="468">
        <v>2</v>
      </c>
      <c r="K8" s="476">
        <f>+(J8/G8)</f>
        <v>1</v>
      </c>
      <c r="L8" s="477">
        <f>+K8*E8</f>
        <v>0.25</v>
      </c>
      <c r="M8" s="475">
        <f>+J8/F8</f>
        <v>0.25</v>
      </c>
      <c r="N8" s="475">
        <f>+M8*E8</f>
        <v>6.25E-2</v>
      </c>
      <c r="O8" s="479" t="s">
        <v>1862</v>
      </c>
      <c r="P8" s="455"/>
      <c r="Q8" s="437"/>
      <c r="R8" s="437"/>
      <c r="S8" s="437"/>
      <c r="T8" s="437"/>
    </row>
    <row r="9" spans="1:21" ht="75.599999999999994" customHeight="1" thickBot="1" x14ac:dyDescent="0.35">
      <c r="A9" s="441"/>
      <c r="B9" s="471" t="s">
        <v>689</v>
      </c>
      <c r="C9" s="483" t="s">
        <v>1400</v>
      </c>
      <c r="D9" s="484" t="s">
        <v>687</v>
      </c>
      <c r="E9" s="473">
        <v>0.4</v>
      </c>
      <c r="F9" s="474">
        <v>4</v>
      </c>
      <c r="G9" s="468">
        <v>2</v>
      </c>
      <c r="H9" s="475">
        <f>+G9/F9</f>
        <v>0.5</v>
      </c>
      <c r="I9" s="475">
        <f>+(G9/F9)*E9</f>
        <v>0.2</v>
      </c>
      <c r="J9" s="468">
        <v>2</v>
      </c>
      <c r="K9" s="475">
        <f>+(J9/G9)</f>
        <v>1</v>
      </c>
      <c r="L9" s="477">
        <f>+K9*E9</f>
        <v>0.4</v>
      </c>
      <c r="M9" s="475">
        <f>+J9/F9</f>
        <v>0.5</v>
      </c>
      <c r="N9" s="475">
        <f>+M9*E9</f>
        <v>0.2</v>
      </c>
      <c r="O9" s="479" t="s">
        <v>1862</v>
      </c>
      <c r="P9" s="455"/>
      <c r="Q9" s="437"/>
      <c r="R9" s="437"/>
      <c r="S9" s="437"/>
      <c r="T9" s="437"/>
    </row>
    <row r="10" spans="1:21" ht="61.5" customHeight="1" thickBot="1" x14ac:dyDescent="0.35">
      <c r="A10" s="441"/>
      <c r="B10" s="471" t="s">
        <v>690</v>
      </c>
      <c r="C10" s="483" t="s">
        <v>1401</v>
      </c>
      <c r="D10" s="485" t="s">
        <v>687</v>
      </c>
      <c r="E10" s="473">
        <v>0.05</v>
      </c>
      <c r="F10" s="474">
        <v>4</v>
      </c>
      <c r="G10" s="468">
        <v>1</v>
      </c>
      <c r="H10" s="475">
        <f>+G10/F10</f>
        <v>0.25</v>
      </c>
      <c r="I10" s="475">
        <f>+(G10/F10)*E10</f>
        <v>1.2500000000000001E-2</v>
      </c>
      <c r="J10" s="468">
        <v>1</v>
      </c>
      <c r="K10" s="475">
        <f>+(J10/G10)</f>
        <v>1</v>
      </c>
      <c r="L10" s="477">
        <f>+K10*E10</f>
        <v>0.05</v>
      </c>
      <c r="M10" s="475">
        <f>+J10/F10</f>
        <v>0.25</v>
      </c>
      <c r="N10" s="475">
        <f>+M10*E10</f>
        <v>1.2500000000000001E-2</v>
      </c>
      <c r="O10" s="479" t="s">
        <v>1862</v>
      </c>
      <c r="P10" s="455"/>
      <c r="Q10" s="437"/>
      <c r="R10" s="437"/>
      <c r="S10" s="437"/>
      <c r="T10" s="437"/>
    </row>
    <row r="11" spans="1:21" ht="28.5" customHeight="1" thickBot="1" x14ac:dyDescent="0.35">
      <c r="A11" s="441"/>
      <c r="B11" s="715" t="s">
        <v>1708</v>
      </c>
      <c r="C11" s="716"/>
      <c r="D11" s="485"/>
      <c r="E11" s="464">
        <v>0.6</v>
      </c>
      <c r="F11" s="465"/>
      <c r="G11" s="466"/>
      <c r="H11" s="467">
        <f>+AVERAGE(H12:H14)</f>
        <v>0.25</v>
      </c>
      <c r="I11" s="467">
        <f>+I12+I13+I14</f>
        <v>0.25</v>
      </c>
      <c r="J11" s="468"/>
      <c r="K11" s="469">
        <f>+AVERAGE(K12:K14)</f>
        <v>0.96</v>
      </c>
      <c r="L11" s="469">
        <f>+(L12+L13+L14)*E11</f>
        <v>0.56399999999999995</v>
      </c>
      <c r="M11" s="467">
        <f>+AVERAGE(M12:M14)</f>
        <v>0.24</v>
      </c>
      <c r="N11" s="467">
        <f>+(N12+N13+N14)*E11</f>
        <v>0.14099999999999999</v>
      </c>
      <c r="O11" s="470"/>
      <c r="P11" s="455"/>
      <c r="Q11" s="437"/>
      <c r="R11" s="437"/>
      <c r="S11" s="437"/>
      <c r="T11" s="437"/>
    </row>
    <row r="12" spans="1:21" ht="49.15" customHeight="1" thickBot="1" x14ac:dyDescent="0.35">
      <c r="A12" s="441"/>
      <c r="B12" s="471" t="s">
        <v>691</v>
      </c>
      <c r="C12" s="483" t="s">
        <v>1402</v>
      </c>
      <c r="D12" s="485" t="s">
        <v>687</v>
      </c>
      <c r="E12" s="473">
        <v>0.25</v>
      </c>
      <c r="F12" s="474">
        <v>4</v>
      </c>
      <c r="G12" s="468">
        <v>1</v>
      </c>
      <c r="H12" s="475">
        <f>+G12/F12</f>
        <v>0.25</v>
      </c>
      <c r="I12" s="475">
        <f>+(G12/F12)*E12</f>
        <v>6.25E-2</v>
      </c>
      <c r="J12" s="468">
        <v>1</v>
      </c>
      <c r="K12" s="476">
        <f>+(J12/G12)</f>
        <v>1</v>
      </c>
      <c r="L12" s="477">
        <f>+K12*E12</f>
        <v>0.25</v>
      </c>
      <c r="M12" s="475">
        <f>+J12/F12</f>
        <v>0.25</v>
      </c>
      <c r="N12" s="475">
        <f>+M12*E12</f>
        <v>6.25E-2</v>
      </c>
      <c r="O12" s="479" t="s">
        <v>1862</v>
      </c>
      <c r="P12" s="455"/>
      <c r="Q12" s="437"/>
      <c r="R12" s="437"/>
      <c r="S12" s="437"/>
      <c r="T12" s="437"/>
    </row>
    <row r="13" spans="1:21" ht="57.6" customHeight="1" thickBot="1" x14ac:dyDescent="0.35">
      <c r="A13" s="441"/>
      <c r="B13" s="471" t="s">
        <v>692</v>
      </c>
      <c r="C13" s="483" t="s">
        <v>1403</v>
      </c>
      <c r="D13" s="485" t="s">
        <v>687</v>
      </c>
      <c r="E13" s="473">
        <v>0.5</v>
      </c>
      <c r="F13" s="474">
        <v>100</v>
      </c>
      <c r="G13" s="468">
        <v>25</v>
      </c>
      <c r="H13" s="475">
        <f>+G13/F13</f>
        <v>0.25</v>
      </c>
      <c r="I13" s="475">
        <f>+(G13/F13)*E13</f>
        <v>0.125</v>
      </c>
      <c r="J13" s="468">
        <v>22</v>
      </c>
      <c r="K13" s="476">
        <f>+(J13/G13)</f>
        <v>0.88</v>
      </c>
      <c r="L13" s="477">
        <f>+K13*E13</f>
        <v>0.44</v>
      </c>
      <c r="M13" s="475">
        <f>+J13/F13</f>
        <v>0.22</v>
      </c>
      <c r="N13" s="475">
        <f>+M13*E13</f>
        <v>0.11</v>
      </c>
      <c r="O13" s="479" t="s">
        <v>1862</v>
      </c>
      <c r="P13" s="455"/>
      <c r="Q13" s="437"/>
      <c r="R13" s="437"/>
      <c r="S13" s="437"/>
      <c r="T13" s="437"/>
    </row>
    <row r="14" spans="1:21" ht="72.599999999999994" customHeight="1" thickBot="1" x14ac:dyDescent="0.35">
      <c r="A14" s="441"/>
      <c r="B14" s="471" t="s">
        <v>693</v>
      </c>
      <c r="C14" s="483" t="s">
        <v>1404</v>
      </c>
      <c r="D14" s="485" t="s">
        <v>687</v>
      </c>
      <c r="E14" s="473">
        <v>0.25</v>
      </c>
      <c r="F14" s="474">
        <v>4</v>
      </c>
      <c r="G14" s="468">
        <v>1</v>
      </c>
      <c r="H14" s="475">
        <f>+G14/F14</f>
        <v>0.25</v>
      </c>
      <c r="I14" s="475">
        <f>+(G14/F14)*E14</f>
        <v>6.25E-2</v>
      </c>
      <c r="J14" s="468">
        <v>1</v>
      </c>
      <c r="K14" s="476">
        <f>+(J14/G14)</f>
        <v>1</v>
      </c>
      <c r="L14" s="477">
        <f>+K14*E14</f>
        <v>0.25</v>
      </c>
      <c r="M14" s="475">
        <f>+J14/F14</f>
        <v>0.25</v>
      </c>
      <c r="N14" s="475">
        <f>+M14*E14</f>
        <v>6.25E-2</v>
      </c>
      <c r="O14" s="479" t="s">
        <v>1862</v>
      </c>
      <c r="P14" s="455"/>
      <c r="Q14" s="437"/>
      <c r="R14" s="437"/>
      <c r="S14" s="437"/>
      <c r="T14" s="437"/>
    </row>
    <row r="15" spans="1:21" ht="93" customHeight="1" thickBot="1" x14ac:dyDescent="0.35">
      <c r="A15" s="441"/>
      <c r="B15" s="717" t="s">
        <v>1797</v>
      </c>
      <c r="C15" s="718"/>
      <c r="D15" s="485"/>
      <c r="E15" s="456">
        <v>0.15</v>
      </c>
      <c r="F15" s="457">
        <f>+E15*L15</f>
        <v>9.7499999999999989E-2</v>
      </c>
      <c r="G15" s="461"/>
      <c r="H15" s="459">
        <f>+(H16+H21+H24+H28)/4</f>
        <v>0.28770833333333334</v>
      </c>
      <c r="I15" s="460">
        <f>+(I16+I21+I24+I28)/4</f>
        <v>0.20433333333333331</v>
      </c>
      <c r="J15" s="461"/>
      <c r="K15" s="459">
        <f>+(K16+K21+K24+K28)/4</f>
        <v>1</v>
      </c>
      <c r="L15" s="460">
        <f>+L16+L21+L24+L28</f>
        <v>0.64999999999999991</v>
      </c>
      <c r="M15" s="459">
        <f>(M16+M21+M24+M28)/4</f>
        <v>0.23097916666666671</v>
      </c>
      <c r="N15" s="460">
        <f>+N16+N21+N24+N28</f>
        <v>0.373</v>
      </c>
      <c r="O15" s="486"/>
      <c r="P15" s="455"/>
      <c r="Q15" s="437"/>
      <c r="R15" s="437"/>
      <c r="S15" s="437"/>
      <c r="T15" s="437"/>
    </row>
    <row r="16" spans="1:21" ht="72" customHeight="1" thickBot="1" x14ac:dyDescent="0.35">
      <c r="A16" s="441"/>
      <c r="B16" s="715" t="s">
        <v>1709</v>
      </c>
      <c r="C16" s="716"/>
      <c r="D16" s="485"/>
      <c r="E16" s="464">
        <v>0.25</v>
      </c>
      <c r="F16" s="487"/>
      <c r="G16" s="468"/>
      <c r="H16" s="467">
        <f>+AVERAGE(H17:H20)</f>
        <v>0.25</v>
      </c>
      <c r="I16" s="467">
        <f>+I17+I18+I19+I20</f>
        <v>0.25</v>
      </c>
      <c r="J16" s="466"/>
      <c r="K16" s="469">
        <f>+AVERAGE(K17:K20)</f>
        <v>1</v>
      </c>
      <c r="L16" s="469">
        <f>+(L17+L18+L19+L20)*E16</f>
        <v>0.25</v>
      </c>
      <c r="M16" s="467">
        <f>+AVERAGE(M17:M20)</f>
        <v>0.4375</v>
      </c>
      <c r="N16" s="467">
        <f>+(N17+N18+N19+N20)*E16</f>
        <v>0.17500000000000002</v>
      </c>
      <c r="O16" s="470"/>
      <c r="P16" s="455"/>
      <c r="Q16" s="437"/>
      <c r="R16" s="437"/>
      <c r="S16" s="437"/>
      <c r="T16" s="437"/>
    </row>
    <row r="17" spans="1:20" ht="49.9" customHeight="1" thickBot="1" x14ac:dyDescent="0.35">
      <c r="A17" s="441"/>
      <c r="B17" s="471" t="s">
        <v>694</v>
      </c>
      <c r="C17" s="483" t="s">
        <v>1405</v>
      </c>
      <c r="D17" s="485" t="s">
        <v>687</v>
      </c>
      <c r="E17" s="473">
        <v>0.1</v>
      </c>
      <c r="F17" s="474">
        <v>4</v>
      </c>
      <c r="G17" s="468">
        <v>1</v>
      </c>
      <c r="H17" s="475">
        <f>+G17/F17</f>
        <v>0.25</v>
      </c>
      <c r="I17" s="475">
        <f>+(G17/F17)*E17</f>
        <v>2.5000000000000001E-2</v>
      </c>
      <c r="J17" s="468">
        <v>1</v>
      </c>
      <c r="K17" s="475">
        <f>+(J17/G17)</f>
        <v>1</v>
      </c>
      <c r="L17" s="475">
        <f>+K17*E17</f>
        <v>0.1</v>
      </c>
      <c r="M17" s="475">
        <f>+J17/F17</f>
        <v>0.25</v>
      </c>
      <c r="N17" s="475">
        <f>+M17*E17</f>
        <v>2.5000000000000001E-2</v>
      </c>
      <c r="O17" s="479" t="s">
        <v>1862</v>
      </c>
      <c r="P17" s="455"/>
      <c r="Q17" s="437"/>
      <c r="R17" s="437"/>
      <c r="S17" s="437"/>
      <c r="T17" s="437"/>
    </row>
    <row r="18" spans="1:20" ht="38.25" thickBot="1" x14ac:dyDescent="0.35">
      <c r="A18" s="488"/>
      <c r="B18" s="471" t="s">
        <v>695</v>
      </c>
      <c r="C18" s="483" t="s">
        <v>1406</v>
      </c>
      <c r="D18" s="485" t="s">
        <v>687</v>
      </c>
      <c r="E18" s="473">
        <v>0.1</v>
      </c>
      <c r="F18" s="474">
        <v>4</v>
      </c>
      <c r="G18" s="468">
        <v>1</v>
      </c>
      <c r="H18" s="475">
        <f>+G18/F18</f>
        <v>0.25</v>
      </c>
      <c r="I18" s="475">
        <f>+(G18/F18)*E18</f>
        <v>2.5000000000000001E-2</v>
      </c>
      <c r="J18" s="468">
        <v>1</v>
      </c>
      <c r="K18" s="475">
        <f>+(J18/G18)</f>
        <v>1</v>
      </c>
      <c r="L18" s="475">
        <f>+K18*E18</f>
        <v>0.1</v>
      </c>
      <c r="M18" s="475">
        <f>+J18/F18</f>
        <v>0.25</v>
      </c>
      <c r="N18" s="475">
        <f>+M18*E18</f>
        <v>2.5000000000000001E-2</v>
      </c>
      <c r="O18" s="479" t="s">
        <v>1862</v>
      </c>
      <c r="P18" s="455"/>
      <c r="Q18" s="437"/>
      <c r="R18" s="437"/>
      <c r="S18" s="437"/>
      <c r="T18" s="437"/>
    </row>
    <row r="19" spans="1:20" ht="50.45" customHeight="1" thickBot="1" x14ac:dyDescent="0.35">
      <c r="A19" s="441"/>
      <c r="B19" s="489" t="s">
        <v>696</v>
      </c>
      <c r="C19" s="490" t="s">
        <v>1407</v>
      </c>
      <c r="D19" s="485" t="s">
        <v>687</v>
      </c>
      <c r="E19" s="473">
        <v>0.6</v>
      </c>
      <c r="F19" s="474">
        <v>400</v>
      </c>
      <c r="G19" s="468">
        <v>100</v>
      </c>
      <c r="H19" s="475">
        <f>+G19/F19</f>
        <v>0.25</v>
      </c>
      <c r="I19" s="475">
        <f>+(G19/F19)*E19</f>
        <v>0.15</v>
      </c>
      <c r="J19" s="468">
        <v>630</v>
      </c>
      <c r="K19" s="475">
        <v>1</v>
      </c>
      <c r="L19" s="475">
        <f>+K19*E19</f>
        <v>0.6</v>
      </c>
      <c r="M19" s="475">
        <v>1</v>
      </c>
      <c r="N19" s="475">
        <f>+M19*E19</f>
        <v>0.6</v>
      </c>
      <c r="O19" s="491" t="s">
        <v>1878</v>
      </c>
      <c r="P19" s="455"/>
      <c r="Q19" s="437"/>
      <c r="R19" s="437"/>
      <c r="S19" s="437"/>
      <c r="T19" s="437"/>
    </row>
    <row r="20" spans="1:20" ht="45" customHeight="1" thickBot="1" x14ac:dyDescent="0.35">
      <c r="A20" s="441"/>
      <c r="B20" s="471" t="s">
        <v>697</v>
      </c>
      <c r="C20" s="483" t="s">
        <v>1408</v>
      </c>
      <c r="D20" s="485" t="s">
        <v>687</v>
      </c>
      <c r="E20" s="473">
        <v>0.2</v>
      </c>
      <c r="F20" s="474">
        <v>4</v>
      </c>
      <c r="G20" s="468">
        <v>1</v>
      </c>
      <c r="H20" s="475">
        <f>+G20/F20</f>
        <v>0.25</v>
      </c>
      <c r="I20" s="475">
        <f>+(G20/F20)*E20</f>
        <v>0.05</v>
      </c>
      <c r="J20" s="468">
        <v>1</v>
      </c>
      <c r="K20" s="475">
        <f>+(J20/G20)</f>
        <v>1</v>
      </c>
      <c r="L20" s="475">
        <f>+K20*E20</f>
        <v>0.2</v>
      </c>
      <c r="M20" s="475">
        <f>+J20/F20</f>
        <v>0.25</v>
      </c>
      <c r="N20" s="475">
        <f>+M20*E20</f>
        <v>0.05</v>
      </c>
      <c r="O20" s="479" t="s">
        <v>1862</v>
      </c>
      <c r="P20" s="455"/>
      <c r="Q20" s="437"/>
      <c r="R20" s="437"/>
      <c r="S20" s="437"/>
      <c r="T20" s="437"/>
    </row>
    <row r="21" spans="1:20" ht="42.75" customHeight="1" thickBot="1" x14ac:dyDescent="0.35">
      <c r="A21" s="441"/>
      <c r="B21" s="715" t="s">
        <v>1710</v>
      </c>
      <c r="C21" s="716"/>
      <c r="D21" s="485"/>
      <c r="E21" s="464">
        <v>0.1</v>
      </c>
      <c r="F21" s="474"/>
      <c r="G21" s="468"/>
      <c r="H21" s="467">
        <f>+AVERAGE(H22:H23)</f>
        <v>0.13416666666666666</v>
      </c>
      <c r="I21" s="467">
        <f>+I22+I23</f>
        <v>0.15733333333333333</v>
      </c>
      <c r="J21" s="468"/>
      <c r="K21" s="469">
        <f>+AVERAGE(K22:K24)</f>
        <v>1</v>
      </c>
      <c r="L21" s="469">
        <f>+(L22+L23)*E21</f>
        <v>0.1</v>
      </c>
      <c r="M21" s="467">
        <f>+AVERAGE(M22:M23)</f>
        <v>0.22916666666666669</v>
      </c>
      <c r="N21" s="467">
        <f>+(N22+N23)*E21</f>
        <v>2.7000000000000003E-2</v>
      </c>
      <c r="O21" s="470"/>
      <c r="P21" s="455"/>
      <c r="Q21" s="437"/>
      <c r="R21" s="437"/>
      <c r="S21" s="437"/>
      <c r="T21" s="437"/>
    </row>
    <row r="22" spans="1:20" ht="60" customHeight="1" thickBot="1" x14ac:dyDescent="0.35">
      <c r="A22" s="441"/>
      <c r="B22" s="489" t="s">
        <v>698</v>
      </c>
      <c r="C22" s="490" t="s">
        <v>1409</v>
      </c>
      <c r="D22" s="492" t="s">
        <v>700</v>
      </c>
      <c r="E22" s="493">
        <v>0.6</v>
      </c>
      <c r="F22" s="474">
        <v>60</v>
      </c>
      <c r="G22" s="468">
        <v>15</v>
      </c>
      <c r="H22" s="475">
        <f>+G22/F22</f>
        <v>0.25</v>
      </c>
      <c r="I22" s="475">
        <f>+(G22/F22)*E22</f>
        <v>0.15</v>
      </c>
      <c r="J22" s="468">
        <v>26</v>
      </c>
      <c r="K22" s="475">
        <v>1</v>
      </c>
      <c r="L22" s="475">
        <f>+K22*E22</f>
        <v>0.6</v>
      </c>
      <c r="M22" s="475">
        <f>+J22/F22</f>
        <v>0.43333333333333335</v>
      </c>
      <c r="N22" s="475">
        <f>+M22*E22</f>
        <v>0.26</v>
      </c>
      <c r="O22" s="491" t="s">
        <v>1878</v>
      </c>
      <c r="P22" s="455"/>
      <c r="Q22" s="437"/>
      <c r="R22" s="437"/>
      <c r="S22" s="437"/>
      <c r="T22" s="437"/>
    </row>
    <row r="23" spans="1:20" ht="73.150000000000006" customHeight="1" thickBot="1" x14ac:dyDescent="0.35">
      <c r="A23" s="441"/>
      <c r="B23" s="489" t="s">
        <v>699</v>
      </c>
      <c r="C23" s="490" t="s">
        <v>1410</v>
      </c>
      <c r="D23" s="492" t="s">
        <v>700</v>
      </c>
      <c r="E23" s="493">
        <v>0.4</v>
      </c>
      <c r="F23" s="474">
        <v>1200</v>
      </c>
      <c r="G23" s="468">
        <v>22</v>
      </c>
      <c r="H23" s="475">
        <f>+G23/F23</f>
        <v>1.8333333333333333E-2</v>
      </c>
      <c r="I23" s="475">
        <f>+(G23/F23)*E23</f>
        <v>7.3333333333333341E-3</v>
      </c>
      <c r="J23" s="468">
        <v>30</v>
      </c>
      <c r="K23" s="475">
        <v>1</v>
      </c>
      <c r="L23" s="475">
        <f>+K23*E23</f>
        <v>0.4</v>
      </c>
      <c r="M23" s="475">
        <f>+J23/F23</f>
        <v>2.5000000000000001E-2</v>
      </c>
      <c r="N23" s="475">
        <f>+M23*E23</f>
        <v>1.0000000000000002E-2</v>
      </c>
      <c r="O23" s="479" t="s">
        <v>1862</v>
      </c>
      <c r="P23" s="455"/>
      <c r="Q23" s="437"/>
      <c r="R23" s="437"/>
      <c r="S23" s="437"/>
      <c r="T23" s="437"/>
    </row>
    <row r="24" spans="1:20" ht="42.75" customHeight="1" thickBot="1" x14ac:dyDescent="0.35">
      <c r="A24" s="441"/>
      <c r="B24" s="715" t="s">
        <v>1711</v>
      </c>
      <c r="C24" s="716"/>
      <c r="D24" s="485"/>
      <c r="E24" s="464">
        <v>0.3</v>
      </c>
      <c r="F24" s="487"/>
      <c r="G24" s="461"/>
      <c r="H24" s="467">
        <f>+AVERAGE(H25:H27)</f>
        <v>0.16666666666666666</v>
      </c>
      <c r="I24" s="467">
        <f>+I25+I26+I27</f>
        <v>4.9999999999999996E-2</v>
      </c>
      <c r="J24" s="466"/>
      <c r="K24" s="469">
        <f>+AVERAGE(K25:K27)</f>
        <v>1</v>
      </c>
      <c r="L24" s="469">
        <f>+(L25+L26+L27)*E24</f>
        <v>0.09</v>
      </c>
      <c r="M24" s="467">
        <f>+AVERAGE(M25:M29)*0.33</f>
        <v>0.10725000000000001</v>
      </c>
      <c r="N24" s="467">
        <f>+(N25+N26+N27)*E24</f>
        <v>4.4999999999999998E-2</v>
      </c>
      <c r="O24" s="470"/>
      <c r="P24" s="455"/>
      <c r="Q24" s="437"/>
      <c r="R24" s="437"/>
      <c r="S24" s="437"/>
      <c r="T24" s="437"/>
    </row>
    <row r="25" spans="1:20" ht="55.15" customHeight="1" thickBot="1" x14ac:dyDescent="0.35">
      <c r="A25" s="441"/>
      <c r="B25" s="480" t="s">
        <v>701</v>
      </c>
      <c r="C25" s="494" t="s">
        <v>1411</v>
      </c>
      <c r="D25" s="495" t="s">
        <v>702</v>
      </c>
      <c r="E25" s="496">
        <v>0.3</v>
      </c>
      <c r="F25" s="474">
        <v>60</v>
      </c>
      <c r="G25" s="468">
        <v>10</v>
      </c>
      <c r="H25" s="475">
        <f>+G25/F25</f>
        <v>0.16666666666666666</v>
      </c>
      <c r="I25" s="475">
        <f>+(G25/F25)*E25</f>
        <v>4.9999999999999996E-2</v>
      </c>
      <c r="J25" s="468">
        <v>30</v>
      </c>
      <c r="K25" s="475">
        <v>1</v>
      </c>
      <c r="L25" s="475">
        <f>+K25*E25</f>
        <v>0.3</v>
      </c>
      <c r="M25" s="475">
        <f>+J25/F25</f>
        <v>0.5</v>
      </c>
      <c r="N25" s="475">
        <f>+M25*E25</f>
        <v>0.15</v>
      </c>
      <c r="O25" s="479" t="s">
        <v>1862</v>
      </c>
      <c r="P25" s="455"/>
      <c r="Q25" s="437"/>
      <c r="R25" s="437"/>
      <c r="S25" s="437"/>
      <c r="T25" s="437"/>
    </row>
    <row r="26" spans="1:20" ht="66.599999999999994" customHeight="1" thickBot="1" x14ac:dyDescent="0.35">
      <c r="A26" s="441"/>
      <c r="B26" s="471" t="s">
        <v>703</v>
      </c>
      <c r="C26" s="483" t="s">
        <v>1412</v>
      </c>
      <c r="D26" s="485" t="s">
        <v>704</v>
      </c>
      <c r="E26" s="473">
        <v>0.6</v>
      </c>
      <c r="F26" s="474">
        <v>2</v>
      </c>
      <c r="G26" s="468">
        <v>0</v>
      </c>
      <c r="H26" s="475"/>
      <c r="I26" s="475"/>
      <c r="J26" s="468"/>
      <c r="K26" s="475"/>
      <c r="L26" s="475"/>
      <c r="M26" s="475"/>
      <c r="N26" s="475"/>
      <c r="O26" s="479" t="s">
        <v>1862</v>
      </c>
      <c r="P26" s="455"/>
      <c r="Q26" s="437"/>
      <c r="R26" s="437"/>
      <c r="S26" s="437"/>
      <c r="T26" s="437"/>
    </row>
    <row r="27" spans="1:20" ht="70.150000000000006" customHeight="1" thickBot="1" x14ac:dyDescent="0.35">
      <c r="A27" s="441"/>
      <c r="B27" s="471" t="s">
        <v>705</v>
      </c>
      <c r="C27" s="483" t="s">
        <v>1413</v>
      </c>
      <c r="D27" s="485" t="s">
        <v>1555</v>
      </c>
      <c r="E27" s="473">
        <v>0.1</v>
      </c>
      <c r="F27" s="474">
        <v>5</v>
      </c>
      <c r="G27" s="468">
        <v>0</v>
      </c>
      <c r="H27" s="475"/>
      <c r="I27" s="475"/>
      <c r="J27" s="468"/>
      <c r="K27" s="475"/>
      <c r="L27" s="475"/>
      <c r="M27" s="475"/>
      <c r="N27" s="475"/>
      <c r="O27" s="479" t="s">
        <v>1862</v>
      </c>
      <c r="P27" s="455"/>
      <c r="Q27" s="437"/>
      <c r="R27" s="437"/>
      <c r="S27" s="437"/>
      <c r="T27" s="437"/>
    </row>
    <row r="28" spans="1:20" ht="42.75" customHeight="1" thickBot="1" x14ac:dyDescent="0.35">
      <c r="A28" s="441"/>
      <c r="B28" s="715" t="s">
        <v>1712</v>
      </c>
      <c r="C28" s="716"/>
      <c r="D28" s="485"/>
      <c r="E28" s="464">
        <v>0.35</v>
      </c>
      <c r="F28" s="487"/>
      <c r="G28" s="461"/>
      <c r="H28" s="467">
        <f>+AVERAGE(H29:H32)</f>
        <v>0.6</v>
      </c>
      <c r="I28" s="467">
        <f>+I29+I30+I31+I32</f>
        <v>0.36</v>
      </c>
      <c r="J28" s="466"/>
      <c r="K28" s="469">
        <f>+AVERAGE(K29:K32)</f>
        <v>1</v>
      </c>
      <c r="L28" s="469">
        <f>+(L29+L30+L31+L32)*E28</f>
        <v>0.21</v>
      </c>
      <c r="M28" s="467">
        <f>+AVERAGE(M29:M32)*0.25</f>
        <v>0.15</v>
      </c>
      <c r="N28" s="467">
        <f>+(N29+N30+N31+N32)*E28</f>
        <v>0.126</v>
      </c>
      <c r="O28" s="470"/>
      <c r="P28" s="455"/>
      <c r="Q28" s="437"/>
      <c r="R28" s="437"/>
      <c r="S28" s="437"/>
      <c r="T28" s="437"/>
    </row>
    <row r="29" spans="1:20" ht="80.45" customHeight="1" thickBot="1" x14ac:dyDescent="0.35">
      <c r="A29" s="441"/>
      <c r="B29" s="471" t="s">
        <v>706</v>
      </c>
      <c r="C29" s="483" t="s">
        <v>1414</v>
      </c>
      <c r="D29" s="485" t="s">
        <v>564</v>
      </c>
      <c r="E29" s="473">
        <v>0.15</v>
      </c>
      <c r="F29" s="474">
        <v>1</v>
      </c>
      <c r="G29" s="468"/>
      <c r="H29" s="475"/>
      <c r="I29" s="475"/>
      <c r="J29" s="468"/>
      <c r="K29" s="475"/>
      <c r="L29" s="475"/>
      <c r="M29" s="475"/>
      <c r="N29" s="475"/>
      <c r="O29" s="479" t="s">
        <v>1862</v>
      </c>
      <c r="P29" s="455"/>
      <c r="Q29" s="437"/>
      <c r="R29" s="437"/>
      <c r="S29" s="437"/>
      <c r="T29" s="437"/>
    </row>
    <row r="30" spans="1:20" ht="56.45" customHeight="1" thickBot="1" x14ac:dyDescent="0.35">
      <c r="A30" s="441"/>
      <c r="B30" s="471" t="s">
        <v>707</v>
      </c>
      <c r="C30" s="483" t="s">
        <v>1415</v>
      </c>
      <c r="D30" s="485" t="s">
        <v>564</v>
      </c>
      <c r="E30" s="473">
        <v>0.15</v>
      </c>
      <c r="F30" s="474">
        <v>1</v>
      </c>
      <c r="G30" s="468"/>
      <c r="H30" s="475"/>
      <c r="I30" s="475"/>
      <c r="J30" s="468"/>
      <c r="K30" s="475"/>
      <c r="L30" s="475"/>
      <c r="M30" s="475"/>
      <c r="N30" s="475"/>
      <c r="O30" s="479" t="s">
        <v>1862</v>
      </c>
      <c r="P30" s="455"/>
      <c r="Q30" s="437"/>
      <c r="R30" s="437"/>
      <c r="S30" s="437"/>
      <c r="T30" s="437"/>
    </row>
    <row r="31" spans="1:20" ht="58.15" customHeight="1" thickBot="1" x14ac:dyDescent="0.35">
      <c r="A31" s="441"/>
      <c r="B31" s="480" t="s">
        <v>708</v>
      </c>
      <c r="C31" s="494" t="s">
        <v>1416</v>
      </c>
      <c r="D31" s="485" t="s">
        <v>687</v>
      </c>
      <c r="E31" s="473">
        <v>0.6</v>
      </c>
      <c r="F31" s="474">
        <v>1</v>
      </c>
      <c r="G31" s="468">
        <v>0.6</v>
      </c>
      <c r="H31" s="475">
        <f>+G31/F31</f>
        <v>0.6</v>
      </c>
      <c r="I31" s="475">
        <f>+(G31/F31)*E31</f>
        <v>0.36</v>
      </c>
      <c r="J31" s="468">
        <v>0.6</v>
      </c>
      <c r="K31" s="475">
        <f>+(J31/G31)</f>
        <v>1</v>
      </c>
      <c r="L31" s="475">
        <f>+K31*E31</f>
        <v>0.6</v>
      </c>
      <c r="M31" s="475">
        <f>+J31/F31</f>
        <v>0.6</v>
      </c>
      <c r="N31" s="475">
        <f>+M31*E31</f>
        <v>0.36</v>
      </c>
      <c r="O31" s="479" t="s">
        <v>1862</v>
      </c>
      <c r="P31" s="455"/>
      <c r="Q31" s="437"/>
      <c r="R31" s="437"/>
      <c r="S31" s="437"/>
      <c r="T31" s="437"/>
    </row>
    <row r="32" spans="1:20" ht="81.599999999999994" customHeight="1" thickBot="1" x14ac:dyDescent="0.35">
      <c r="A32" s="441"/>
      <c r="B32" s="471" t="s">
        <v>709</v>
      </c>
      <c r="C32" s="483" t="s">
        <v>1417</v>
      </c>
      <c r="D32" s="485" t="s">
        <v>687</v>
      </c>
      <c r="E32" s="473">
        <v>0.1</v>
      </c>
      <c r="F32" s="474">
        <v>1</v>
      </c>
      <c r="G32" s="468"/>
      <c r="H32" s="475"/>
      <c r="I32" s="475"/>
      <c r="J32" s="468"/>
      <c r="K32" s="475"/>
      <c r="L32" s="475"/>
      <c r="M32" s="475"/>
      <c r="N32" s="475"/>
      <c r="O32" s="479" t="s">
        <v>1862</v>
      </c>
      <c r="P32" s="455"/>
      <c r="Q32" s="437"/>
      <c r="R32" s="437"/>
      <c r="S32" s="437"/>
      <c r="T32" s="437"/>
    </row>
    <row r="33" spans="1:20" ht="78" customHeight="1" thickBot="1" x14ac:dyDescent="0.35">
      <c r="A33" s="441"/>
      <c r="B33" s="717" t="s">
        <v>1798</v>
      </c>
      <c r="C33" s="716"/>
      <c r="D33" s="485"/>
      <c r="E33" s="456">
        <v>0.15</v>
      </c>
      <c r="F33" s="457">
        <f>+E33*L33</f>
        <v>0.09</v>
      </c>
      <c r="G33" s="461"/>
      <c r="H33" s="459">
        <f>+(H34+H40+H43)/3</f>
        <v>0.36472934472934471</v>
      </c>
      <c r="I33" s="460">
        <f>+(I34+I40+I43)/3</f>
        <v>0.25547008547008548</v>
      </c>
      <c r="J33" s="461"/>
      <c r="K33" s="459">
        <f>+(K34+K40+K43)/3</f>
        <v>0.88888888888888884</v>
      </c>
      <c r="L33" s="460">
        <f>L34+L40+L43</f>
        <v>0.6</v>
      </c>
      <c r="M33" s="459">
        <f>(M34+M40+M43)/3</f>
        <v>0.28650042735042736</v>
      </c>
      <c r="N33" s="460">
        <f>N34+N40+N43</f>
        <v>0.23447615384615383</v>
      </c>
      <c r="O33" s="486"/>
      <c r="P33" s="455"/>
      <c r="Q33" s="437"/>
      <c r="R33" s="437"/>
      <c r="S33" s="437"/>
      <c r="T33" s="437"/>
    </row>
    <row r="34" spans="1:20" ht="54" customHeight="1" thickBot="1" x14ac:dyDescent="0.35">
      <c r="A34" s="441"/>
      <c r="B34" s="715" t="s">
        <v>1713</v>
      </c>
      <c r="C34" s="716"/>
      <c r="D34" s="485"/>
      <c r="E34" s="464">
        <v>0.5</v>
      </c>
      <c r="F34" s="487"/>
      <c r="G34" s="461"/>
      <c r="H34" s="467">
        <f>+AVERAGE(H35:H39)</f>
        <v>8.6111111111111097E-2</v>
      </c>
      <c r="I34" s="467">
        <f>+I35+I36+I37+I38+I39</f>
        <v>5.0833333333333328E-2</v>
      </c>
      <c r="J34" s="466"/>
      <c r="K34" s="469">
        <f>+AVERAGE(K35:K39)</f>
        <v>0.66666666666666663</v>
      </c>
      <c r="L34" s="469">
        <f>+(L35+L36+L37+L38+L39)*E34</f>
        <v>0.22499999999999998</v>
      </c>
      <c r="M34" s="467">
        <f>+AVERAGE(M35:M39)</f>
        <v>0.10536666666666666</v>
      </c>
      <c r="N34" s="467">
        <f>+(N35+N36+N37+N38+N39)*E34</f>
        <v>4.5942499999999997E-2</v>
      </c>
      <c r="O34" s="470"/>
      <c r="P34" s="455"/>
      <c r="Q34" s="437"/>
      <c r="R34" s="437"/>
      <c r="S34" s="437"/>
      <c r="T34" s="437"/>
    </row>
    <row r="35" spans="1:20" ht="60" customHeight="1" thickBot="1" x14ac:dyDescent="0.35">
      <c r="A35" s="441"/>
      <c r="B35" s="480" t="s">
        <v>710</v>
      </c>
      <c r="C35" s="494" t="s">
        <v>1418</v>
      </c>
      <c r="D35" s="495" t="s">
        <v>711</v>
      </c>
      <c r="E35" s="496">
        <v>0.2</v>
      </c>
      <c r="F35" s="474">
        <v>3</v>
      </c>
      <c r="G35" s="468">
        <v>0</v>
      </c>
      <c r="H35" s="475"/>
      <c r="I35" s="475"/>
      <c r="J35" s="468"/>
      <c r="K35" s="475"/>
      <c r="L35" s="475"/>
      <c r="M35" s="475"/>
      <c r="N35" s="475"/>
      <c r="O35" s="558" t="s">
        <v>1564</v>
      </c>
      <c r="P35" s="455"/>
      <c r="Q35" s="437"/>
      <c r="R35" s="437"/>
      <c r="S35" s="437"/>
      <c r="T35" s="437"/>
    </row>
    <row r="36" spans="1:20" ht="63.6" customHeight="1" thickBot="1" x14ac:dyDescent="0.35">
      <c r="A36" s="441"/>
      <c r="B36" s="480" t="s">
        <v>712</v>
      </c>
      <c r="C36" s="494" t="s">
        <v>1419</v>
      </c>
      <c r="D36" s="495" t="s">
        <v>62</v>
      </c>
      <c r="E36" s="496">
        <v>0.25</v>
      </c>
      <c r="F36" s="474">
        <v>500</v>
      </c>
      <c r="G36" s="468"/>
      <c r="H36" s="475"/>
      <c r="I36" s="475"/>
      <c r="J36" s="468"/>
      <c r="K36" s="475"/>
      <c r="L36" s="475"/>
      <c r="M36" s="475"/>
      <c r="N36" s="475"/>
      <c r="O36" s="558" t="s">
        <v>1571</v>
      </c>
      <c r="P36" s="455"/>
      <c r="Q36" s="437"/>
      <c r="R36" s="437"/>
      <c r="S36" s="437"/>
      <c r="T36" s="437"/>
    </row>
    <row r="37" spans="1:20" ht="64.900000000000006" customHeight="1" thickBot="1" x14ac:dyDescent="0.35">
      <c r="A37" s="441"/>
      <c r="B37" s="471" t="s">
        <v>713</v>
      </c>
      <c r="C37" s="483" t="s">
        <v>1420</v>
      </c>
      <c r="D37" s="485" t="s">
        <v>687</v>
      </c>
      <c r="E37" s="473">
        <v>0.1</v>
      </c>
      <c r="F37" s="474">
        <v>4</v>
      </c>
      <c r="G37" s="468">
        <v>0.3</v>
      </c>
      <c r="H37" s="475">
        <f>+G37/F37</f>
        <v>7.4999999999999997E-2</v>
      </c>
      <c r="I37" s="475">
        <f>+(G37/F37)*E37</f>
        <v>7.4999999999999997E-3</v>
      </c>
      <c r="J37" s="468">
        <v>0.3</v>
      </c>
      <c r="K37" s="475">
        <f>+(J37/G37)</f>
        <v>1</v>
      </c>
      <c r="L37" s="475">
        <f>+K37*E37</f>
        <v>0.1</v>
      </c>
      <c r="M37" s="475">
        <f>+J37/F37</f>
        <v>7.4999999999999997E-2</v>
      </c>
      <c r="N37" s="475">
        <f>+M37*E37</f>
        <v>7.4999999999999997E-3</v>
      </c>
      <c r="O37" s="479" t="s">
        <v>1862</v>
      </c>
      <c r="P37" s="455"/>
      <c r="Q37" s="437"/>
      <c r="R37" s="437"/>
      <c r="S37" s="437"/>
      <c r="T37" s="437"/>
    </row>
    <row r="38" spans="1:20" ht="78.599999999999994" customHeight="1" thickBot="1" x14ac:dyDescent="0.35">
      <c r="A38" s="441"/>
      <c r="B38" s="471" t="s">
        <v>714</v>
      </c>
      <c r="C38" s="483" t="s">
        <v>1421</v>
      </c>
      <c r="D38" s="485" t="s">
        <v>687</v>
      </c>
      <c r="E38" s="473">
        <v>0.1</v>
      </c>
      <c r="F38" s="474">
        <v>3</v>
      </c>
      <c r="G38" s="468">
        <v>0.25</v>
      </c>
      <c r="H38" s="475">
        <f>+G38/F38</f>
        <v>8.3333333333333329E-2</v>
      </c>
      <c r="I38" s="475">
        <f>+(G38/F38)*E38</f>
        <v>8.3333333333333332E-3</v>
      </c>
      <c r="J38" s="468">
        <v>0</v>
      </c>
      <c r="K38" s="475">
        <f>+(J38/G38)</f>
        <v>0</v>
      </c>
      <c r="L38" s="475">
        <f>+K38*E38</f>
        <v>0</v>
      </c>
      <c r="M38" s="475">
        <f>+J38/F38</f>
        <v>0</v>
      </c>
      <c r="N38" s="475">
        <f>+M38*E38</f>
        <v>0</v>
      </c>
      <c r="O38" s="479" t="s">
        <v>1862</v>
      </c>
      <c r="P38" s="455"/>
      <c r="Q38" s="437"/>
      <c r="R38" s="437"/>
      <c r="S38" s="437"/>
      <c r="T38" s="437"/>
    </row>
    <row r="39" spans="1:20" ht="64.150000000000006" customHeight="1" thickBot="1" x14ac:dyDescent="0.35">
      <c r="A39" s="441"/>
      <c r="B39" s="471" t="s">
        <v>715</v>
      </c>
      <c r="C39" s="483" t="s">
        <v>1422</v>
      </c>
      <c r="D39" s="485" t="s">
        <v>687</v>
      </c>
      <c r="E39" s="473">
        <v>0.35</v>
      </c>
      <c r="F39" s="474">
        <v>10000</v>
      </c>
      <c r="G39" s="468">
        <v>1000</v>
      </c>
      <c r="H39" s="475">
        <f>+G39/F39</f>
        <v>0.1</v>
      </c>
      <c r="I39" s="475">
        <f>+(G39/F39)*E39</f>
        <v>3.4999999999999996E-2</v>
      </c>
      <c r="J39" s="468">
        <v>2411</v>
      </c>
      <c r="K39" s="475">
        <v>1</v>
      </c>
      <c r="L39" s="475">
        <f>+K39*E39</f>
        <v>0.35</v>
      </c>
      <c r="M39" s="475">
        <f>+J39/F39</f>
        <v>0.24110000000000001</v>
      </c>
      <c r="N39" s="475">
        <f>+M39*E39</f>
        <v>8.4385000000000002E-2</v>
      </c>
      <c r="O39" s="479" t="s">
        <v>1862</v>
      </c>
      <c r="P39" s="455"/>
      <c r="Q39" s="437"/>
      <c r="R39" s="437"/>
      <c r="S39" s="437"/>
      <c r="T39" s="437"/>
    </row>
    <row r="40" spans="1:20" ht="28.5" customHeight="1" thickBot="1" x14ac:dyDescent="0.35">
      <c r="A40" s="441"/>
      <c r="B40" s="715" t="s">
        <v>1714</v>
      </c>
      <c r="C40" s="716"/>
      <c r="D40" s="485"/>
      <c r="E40" s="464">
        <v>0.25</v>
      </c>
      <c r="F40" s="474"/>
      <c r="G40" s="468"/>
      <c r="H40" s="467">
        <f>+AVERAGE(H41:H42)</f>
        <v>0.58499999999999996</v>
      </c>
      <c r="I40" s="467">
        <f>+I41+I42</f>
        <v>0.29249999999999998</v>
      </c>
      <c r="J40" s="466"/>
      <c r="K40" s="469">
        <f>+AVERAGE(K41:K43)</f>
        <v>1</v>
      </c>
      <c r="L40" s="469">
        <f>+(L41+L42)*E40</f>
        <v>0.125</v>
      </c>
      <c r="M40" s="467">
        <f>+AVERAGE(M41:M42)*0.5</f>
        <v>0.30875000000000002</v>
      </c>
      <c r="N40" s="467">
        <f>+(N41+N42)*E40</f>
        <v>7.7187500000000006E-2</v>
      </c>
      <c r="O40" s="498"/>
      <c r="P40" s="455"/>
      <c r="Q40" s="437"/>
      <c r="R40" s="437"/>
      <c r="S40" s="437"/>
      <c r="T40" s="437"/>
    </row>
    <row r="41" spans="1:20" ht="69.599999999999994" customHeight="1" thickBot="1" x14ac:dyDescent="0.35">
      <c r="A41" s="441"/>
      <c r="B41" s="471" t="s">
        <v>716</v>
      </c>
      <c r="C41" s="483" t="s">
        <v>1423</v>
      </c>
      <c r="D41" s="485" t="s">
        <v>520</v>
      </c>
      <c r="E41" s="473">
        <v>0.5</v>
      </c>
      <c r="F41" s="474">
        <v>400</v>
      </c>
      <c r="G41" s="468">
        <v>234</v>
      </c>
      <c r="H41" s="475">
        <f>+G41/F41</f>
        <v>0.58499999999999996</v>
      </c>
      <c r="I41" s="475">
        <f>+(G41/F41)*E41</f>
        <v>0.29249999999999998</v>
      </c>
      <c r="J41" s="468">
        <v>247</v>
      </c>
      <c r="K41" s="475">
        <v>1</v>
      </c>
      <c r="L41" s="475">
        <f>+K41*E41</f>
        <v>0.5</v>
      </c>
      <c r="M41" s="475">
        <f>+J41/F41</f>
        <v>0.61750000000000005</v>
      </c>
      <c r="N41" s="475">
        <f>+M41*E41</f>
        <v>0.30875000000000002</v>
      </c>
      <c r="O41" s="479" t="s">
        <v>1862</v>
      </c>
      <c r="P41" s="455"/>
      <c r="Q41" s="437"/>
      <c r="R41" s="437"/>
      <c r="S41" s="437"/>
      <c r="T41" s="437"/>
    </row>
    <row r="42" spans="1:20" ht="75" customHeight="1" thickBot="1" x14ac:dyDescent="0.35">
      <c r="A42" s="441"/>
      <c r="B42" s="471" t="s">
        <v>717</v>
      </c>
      <c r="C42" s="483" t="s">
        <v>1424</v>
      </c>
      <c r="D42" s="485" t="s">
        <v>520</v>
      </c>
      <c r="E42" s="473">
        <v>0.5</v>
      </c>
      <c r="F42" s="474">
        <v>400</v>
      </c>
      <c r="G42" s="468">
        <v>0</v>
      </c>
      <c r="H42" s="475"/>
      <c r="I42" s="475"/>
      <c r="J42" s="468"/>
      <c r="K42" s="475"/>
      <c r="L42" s="475"/>
      <c r="M42" s="475"/>
      <c r="N42" s="475"/>
      <c r="O42" s="479" t="s">
        <v>1862</v>
      </c>
      <c r="P42" s="455"/>
      <c r="Q42" s="437"/>
      <c r="R42" s="437"/>
      <c r="S42" s="437"/>
      <c r="T42" s="437"/>
    </row>
    <row r="43" spans="1:20" ht="72" customHeight="1" thickBot="1" x14ac:dyDescent="0.35">
      <c r="A43" s="441"/>
      <c r="B43" s="715" t="s">
        <v>1715</v>
      </c>
      <c r="C43" s="716"/>
      <c r="D43" s="485"/>
      <c r="E43" s="464">
        <v>0.25</v>
      </c>
      <c r="F43" s="474"/>
      <c r="G43" s="468"/>
      <c r="H43" s="467">
        <f>+AVERAGE(H44)</f>
        <v>0.42307692307692307</v>
      </c>
      <c r="I43" s="467">
        <f>+I44</f>
        <v>0.42307692307692307</v>
      </c>
      <c r="J43" s="466"/>
      <c r="K43" s="499">
        <f>+AVERAGE(K44)</f>
        <v>1</v>
      </c>
      <c r="L43" s="469">
        <f>+(L44)*E43</f>
        <v>0.25</v>
      </c>
      <c r="M43" s="467">
        <f>+AVERAGE(M44)</f>
        <v>0.44538461538461538</v>
      </c>
      <c r="N43" s="467">
        <f>+(N44)*E43</f>
        <v>0.11134615384615384</v>
      </c>
      <c r="O43" s="498"/>
      <c r="P43" s="455"/>
      <c r="Q43" s="437"/>
      <c r="R43" s="437"/>
      <c r="S43" s="437"/>
      <c r="T43" s="437"/>
    </row>
    <row r="44" spans="1:20" ht="82.15" customHeight="1" thickBot="1" x14ac:dyDescent="0.35">
      <c r="A44" s="441"/>
      <c r="B44" s="471" t="s">
        <v>718</v>
      </c>
      <c r="C44" s="483" t="s">
        <v>1425</v>
      </c>
      <c r="D44" s="485" t="s">
        <v>62</v>
      </c>
      <c r="E44" s="473">
        <v>1</v>
      </c>
      <c r="F44" s="474">
        <v>1300</v>
      </c>
      <c r="G44" s="468">
        <v>550</v>
      </c>
      <c r="H44" s="475">
        <f>+G44/F44</f>
        <v>0.42307692307692307</v>
      </c>
      <c r="I44" s="475">
        <f>+(G44/F44)*E44</f>
        <v>0.42307692307692307</v>
      </c>
      <c r="J44" s="468">
        <v>579</v>
      </c>
      <c r="K44" s="475">
        <v>1</v>
      </c>
      <c r="L44" s="475">
        <f>+K44*E44</f>
        <v>1</v>
      </c>
      <c r="M44" s="475">
        <f>+J44/F44</f>
        <v>0.44538461538461538</v>
      </c>
      <c r="N44" s="475">
        <f>+M44*E44</f>
        <v>0.44538461538461538</v>
      </c>
      <c r="O44" s="498"/>
      <c r="P44" s="483"/>
      <c r="Q44" s="437"/>
      <c r="R44" s="437"/>
      <c r="S44" s="437"/>
      <c r="T44" s="437"/>
    </row>
    <row r="45" spans="1:20" ht="93" customHeight="1" thickBot="1" x14ac:dyDescent="0.35">
      <c r="A45" s="441"/>
      <c r="B45" s="717" t="s">
        <v>1799</v>
      </c>
      <c r="C45" s="716"/>
      <c r="D45" s="485"/>
      <c r="E45" s="456">
        <v>0.2</v>
      </c>
      <c r="F45" s="457">
        <f>+E45*L45</f>
        <v>8.5500000000000007E-2</v>
      </c>
      <c r="G45" s="461"/>
      <c r="H45" s="459">
        <f>+(H46+H54+H59+H64)/3</f>
        <v>0.15416666666666667</v>
      </c>
      <c r="I45" s="460">
        <f>+(I46+I54+I59+I64)/3</f>
        <v>7.0208333333333331E-2</v>
      </c>
      <c r="J45" s="461"/>
      <c r="K45" s="459">
        <f>+(K46+K54+K59+K64)/3</f>
        <v>1</v>
      </c>
      <c r="L45" s="460">
        <f>L46+L54+L59+L64</f>
        <v>0.42749999999999999</v>
      </c>
      <c r="M45" s="459">
        <f>(M46+M54+M59+M64)/3</f>
        <v>0.17056250000000003</v>
      </c>
      <c r="N45" s="460">
        <f>N46+N54+N59+N64</f>
        <v>0.11891499999999999</v>
      </c>
      <c r="O45" s="498"/>
      <c r="P45" s="455"/>
      <c r="Q45" s="437"/>
      <c r="R45" s="437"/>
      <c r="S45" s="437"/>
      <c r="T45" s="437"/>
    </row>
    <row r="46" spans="1:20" ht="45" customHeight="1" thickBot="1" x14ac:dyDescent="0.35">
      <c r="A46" s="441"/>
      <c r="B46" s="715" t="s">
        <v>1716</v>
      </c>
      <c r="C46" s="716"/>
      <c r="D46" s="485"/>
      <c r="E46" s="464">
        <v>0.25</v>
      </c>
      <c r="F46" s="487"/>
      <c r="G46" s="461"/>
      <c r="H46" s="467">
        <f>+AVERAGE(H47:H53)</f>
        <v>0.21249999999999999</v>
      </c>
      <c r="I46" s="467">
        <f>+I47+I48+I49+I50+I51+I52+I53</f>
        <v>7.8125E-2</v>
      </c>
      <c r="J46" s="466"/>
      <c r="K46" s="469">
        <f>+AVERAGE(K47:K53)</f>
        <v>1</v>
      </c>
      <c r="L46" s="469">
        <f>+(L47+L48+L49+L50+L51+L52+L53)*E46</f>
        <v>8.7499999999999994E-2</v>
      </c>
      <c r="M46" s="467">
        <f>+AVERAGE(M47:M53)</f>
        <v>0.16250000000000001</v>
      </c>
      <c r="N46" s="467">
        <f>+(N47+N48+N49+N50+N51+N52+N53)*E46</f>
        <v>1.6406250000000001E-2</v>
      </c>
      <c r="O46" s="498"/>
      <c r="P46" s="455"/>
      <c r="Q46" s="437"/>
      <c r="R46" s="437"/>
      <c r="S46" s="437"/>
      <c r="T46" s="437"/>
    </row>
    <row r="47" spans="1:20" ht="34.15" customHeight="1" thickBot="1" x14ac:dyDescent="0.35">
      <c r="A47" s="441"/>
      <c r="B47" s="480" t="s">
        <v>719</v>
      </c>
      <c r="C47" s="494" t="s">
        <v>1426</v>
      </c>
      <c r="D47" s="495" t="s">
        <v>687</v>
      </c>
      <c r="E47" s="496">
        <v>0.05</v>
      </c>
      <c r="F47" s="474">
        <v>4</v>
      </c>
      <c r="G47" s="468">
        <v>1</v>
      </c>
      <c r="H47" s="475">
        <f>+G47/F47</f>
        <v>0.25</v>
      </c>
      <c r="I47" s="475">
        <f>+(G47/F47)*E47</f>
        <v>1.2500000000000001E-2</v>
      </c>
      <c r="J47" s="468">
        <v>0</v>
      </c>
      <c r="K47" s="475">
        <v>1</v>
      </c>
      <c r="L47" s="475">
        <f>+K47*E47</f>
        <v>0.05</v>
      </c>
      <c r="M47" s="475">
        <f>+J47/F47</f>
        <v>0</v>
      </c>
      <c r="N47" s="475">
        <f>+M47*E47</f>
        <v>0</v>
      </c>
      <c r="O47" s="479" t="s">
        <v>1862</v>
      </c>
      <c r="P47" s="455"/>
      <c r="Q47" s="437"/>
      <c r="R47" s="437"/>
      <c r="S47" s="437"/>
      <c r="T47" s="437"/>
    </row>
    <row r="48" spans="1:20" ht="52.15" customHeight="1" thickBot="1" x14ac:dyDescent="0.35">
      <c r="A48" s="441"/>
      <c r="B48" s="471" t="s">
        <v>720</v>
      </c>
      <c r="C48" s="483" t="s">
        <v>1427</v>
      </c>
      <c r="D48" s="485" t="s">
        <v>687</v>
      </c>
      <c r="E48" s="473">
        <v>0.1</v>
      </c>
      <c r="F48" s="474">
        <v>4</v>
      </c>
      <c r="G48" s="468">
        <v>1</v>
      </c>
      <c r="H48" s="475">
        <f>+G48/F48</f>
        <v>0.25</v>
      </c>
      <c r="I48" s="475">
        <f>+(G48/F48)*E48</f>
        <v>2.5000000000000001E-2</v>
      </c>
      <c r="J48" s="468">
        <v>1</v>
      </c>
      <c r="K48" s="475">
        <v>1</v>
      </c>
      <c r="L48" s="475">
        <f>+K48*E48</f>
        <v>0.1</v>
      </c>
      <c r="M48" s="475">
        <f>+J48/F48</f>
        <v>0.25</v>
      </c>
      <c r="N48" s="475">
        <f>+M48*E48</f>
        <v>2.5000000000000001E-2</v>
      </c>
      <c r="O48" s="479" t="s">
        <v>1862</v>
      </c>
      <c r="P48" s="455"/>
      <c r="Q48" s="437"/>
      <c r="R48" s="437"/>
      <c r="S48" s="437"/>
      <c r="T48" s="437"/>
    </row>
    <row r="49" spans="1:20" ht="57.6" customHeight="1" thickBot="1" x14ac:dyDescent="0.35">
      <c r="A49" s="441"/>
      <c r="B49" s="471" t="s">
        <v>721</v>
      </c>
      <c r="C49" s="483" t="s">
        <v>1428</v>
      </c>
      <c r="D49" s="485" t="s">
        <v>687</v>
      </c>
      <c r="E49" s="473">
        <v>0.1</v>
      </c>
      <c r="F49" s="474">
        <v>4</v>
      </c>
      <c r="G49" s="468">
        <v>1</v>
      </c>
      <c r="H49" s="475">
        <f>+G49/F49</f>
        <v>0.25</v>
      </c>
      <c r="I49" s="475">
        <f>+(G49/F49)*E49</f>
        <v>2.5000000000000001E-2</v>
      </c>
      <c r="J49" s="468">
        <v>1</v>
      </c>
      <c r="K49" s="475">
        <v>1</v>
      </c>
      <c r="L49" s="475">
        <f>+K49*E49</f>
        <v>0.1</v>
      </c>
      <c r="M49" s="475">
        <f>+J49/F49</f>
        <v>0.25</v>
      </c>
      <c r="N49" s="475">
        <f>+M49*E49</f>
        <v>2.5000000000000001E-2</v>
      </c>
      <c r="O49" s="479" t="s">
        <v>1862</v>
      </c>
      <c r="P49" s="455"/>
      <c r="Q49" s="437"/>
      <c r="R49" s="437"/>
      <c r="S49" s="437"/>
      <c r="T49" s="437"/>
    </row>
    <row r="50" spans="1:20" ht="51" customHeight="1" thickBot="1" x14ac:dyDescent="0.35">
      <c r="A50" s="441"/>
      <c r="B50" s="480" t="s">
        <v>722</v>
      </c>
      <c r="C50" s="494" t="s">
        <v>1429</v>
      </c>
      <c r="D50" s="495" t="s">
        <v>687</v>
      </c>
      <c r="E50" s="496">
        <v>0.5</v>
      </c>
      <c r="F50" s="474">
        <v>2000</v>
      </c>
      <c r="G50" s="468">
        <v>0</v>
      </c>
      <c r="H50" s="475"/>
      <c r="I50" s="475"/>
      <c r="J50" s="468"/>
      <c r="K50" s="475"/>
      <c r="L50" s="475"/>
      <c r="M50" s="475"/>
      <c r="N50" s="475"/>
      <c r="O50" s="479" t="s">
        <v>1862</v>
      </c>
      <c r="P50" s="455"/>
      <c r="Q50" s="437"/>
      <c r="R50" s="437"/>
      <c r="S50" s="437"/>
      <c r="T50" s="437"/>
    </row>
    <row r="51" spans="1:20" ht="72" customHeight="1" thickBot="1" x14ac:dyDescent="0.35">
      <c r="A51" s="441"/>
      <c r="B51" s="471" t="s">
        <v>723</v>
      </c>
      <c r="C51" s="483" t="s">
        <v>1430</v>
      </c>
      <c r="D51" s="500" t="s">
        <v>724</v>
      </c>
      <c r="E51" s="473">
        <v>0.05</v>
      </c>
      <c r="F51" s="474">
        <v>4</v>
      </c>
      <c r="G51" s="468">
        <v>1</v>
      </c>
      <c r="H51" s="475">
        <f>+G51/F51</f>
        <v>0.25</v>
      </c>
      <c r="I51" s="475">
        <f>+(G51/F51)*E51</f>
        <v>1.2500000000000001E-2</v>
      </c>
      <c r="J51" s="468">
        <v>1</v>
      </c>
      <c r="K51" s="475">
        <v>1</v>
      </c>
      <c r="L51" s="475">
        <f>+K51*E51</f>
        <v>0.05</v>
      </c>
      <c r="M51" s="475">
        <f>+J51/F51</f>
        <v>0.25</v>
      </c>
      <c r="N51" s="475">
        <f>+M51*E51</f>
        <v>1.2500000000000001E-2</v>
      </c>
      <c r="O51" s="479" t="s">
        <v>1862</v>
      </c>
      <c r="P51" s="455"/>
      <c r="Q51" s="437"/>
      <c r="R51" s="437"/>
      <c r="S51" s="437"/>
      <c r="T51" s="437"/>
    </row>
    <row r="52" spans="1:20" ht="52.9" customHeight="1" thickBot="1" x14ac:dyDescent="0.35">
      <c r="A52" s="441"/>
      <c r="B52" s="471" t="s">
        <v>725</v>
      </c>
      <c r="C52" s="483" t="s">
        <v>1431</v>
      </c>
      <c r="D52" s="485" t="s">
        <v>687</v>
      </c>
      <c r="E52" s="473">
        <v>0.05</v>
      </c>
      <c r="F52" s="474">
        <v>4</v>
      </c>
      <c r="G52" s="468">
        <v>0.25</v>
      </c>
      <c r="H52" s="475">
        <f>+G52/F52</f>
        <v>6.25E-2</v>
      </c>
      <c r="I52" s="475">
        <f>+(G52/F52)*E52</f>
        <v>3.1250000000000002E-3</v>
      </c>
      <c r="J52" s="468">
        <v>0.25</v>
      </c>
      <c r="K52" s="475">
        <f>+(J52/G52)</f>
        <v>1</v>
      </c>
      <c r="L52" s="475">
        <f>+K52*E52</f>
        <v>0.05</v>
      </c>
      <c r="M52" s="475">
        <f>+J52/F52</f>
        <v>6.25E-2</v>
      </c>
      <c r="N52" s="501">
        <f>+M52*E52</f>
        <v>3.1250000000000002E-3</v>
      </c>
      <c r="O52" s="479" t="s">
        <v>1862</v>
      </c>
      <c r="P52" s="455"/>
      <c r="Q52" s="437"/>
      <c r="R52" s="437"/>
      <c r="S52" s="437"/>
      <c r="T52" s="437"/>
    </row>
    <row r="53" spans="1:20" ht="36" customHeight="1" thickBot="1" x14ac:dyDescent="0.35">
      <c r="A53" s="441"/>
      <c r="B53" s="471" t="s">
        <v>726</v>
      </c>
      <c r="C53" s="483" t="s">
        <v>1432</v>
      </c>
      <c r="D53" s="502" t="s">
        <v>727</v>
      </c>
      <c r="E53" s="473">
        <v>0.15</v>
      </c>
      <c r="F53" s="474">
        <v>2</v>
      </c>
      <c r="G53" s="468">
        <v>0</v>
      </c>
      <c r="H53" s="475"/>
      <c r="I53" s="475"/>
      <c r="J53" s="468"/>
      <c r="K53" s="475"/>
      <c r="L53" s="475"/>
      <c r="M53" s="475"/>
      <c r="N53" s="475"/>
      <c r="O53" s="479" t="s">
        <v>1862</v>
      </c>
      <c r="P53" s="455"/>
      <c r="Q53" s="437"/>
      <c r="R53" s="437"/>
      <c r="S53" s="437"/>
      <c r="T53" s="437"/>
    </row>
    <row r="54" spans="1:20" ht="100.5" customHeight="1" thickBot="1" x14ac:dyDescent="0.35">
      <c r="A54" s="441"/>
      <c r="B54" s="715" t="s">
        <v>1800</v>
      </c>
      <c r="C54" s="716"/>
      <c r="D54" s="503"/>
      <c r="E54" s="464">
        <v>0.35</v>
      </c>
      <c r="F54" s="487"/>
      <c r="G54" s="468"/>
      <c r="H54" s="467">
        <f>+AVERAGE(H55:H58)</f>
        <v>0.125</v>
      </c>
      <c r="I54" s="467">
        <f>+I55+I56+I57+I58</f>
        <v>6.25E-2</v>
      </c>
      <c r="J54" s="468"/>
      <c r="K54" s="499">
        <f>+AVERAGE(K55:K58)</f>
        <v>1</v>
      </c>
      <c r="L54" s="469">
        <f>+(L55+L56+L57+L58)*E54</f>
        <v>0.17499999999999999</v>
      </c>
      <c r="M54" s="467">
        <f>+AVERAGE(M55:M58)*0.25</f>
        <v>8.3687499999999998E-2</v>
      </c>
      <c r="N54" s="467">
        <f>+(N55+N56+N57+N58)*E54</f>
        <v>5.8581249999999994E-2</v>
      </c>
      <c r="O54" s="498"/>
      <c r="P54" s="455"/>
      <c r="Q54" s="437"/>
      <c r="R54" s="437"/>
      <c r="S54" s="437"/>
      <c r="T54" s="437"/>
    </row>
    <row r="55" spans="1:20" ht="70.900000000000006" customHeight="1" thickBot="1" x14ac:dyDescent="0.35">
      <c r="A55" s="488"/>
      <c r="B55" s="471" t="s">
        <v>728</v>
      </c>
      <c r="C55" s="483" t="s">
        <v>1433</v>
      </c>
      <c r="D55" s="504" t="s">
        <v>62</v>
      </c>
      <c r="E55" s="473">
        <v>0.05</v>
      </c>
      <c r="F55" s="474">
        <v>1</v>
      </c>
      <c r="G55" s="468">
        <v>0</v>
      </c>
      <c r="H55" s="475"/>
      <c r="I55" s="475"/>
      <c r="J55" s="468"/>
      <c r="K55" s="475"/>
      <c r="L55" s="475"/>
      <c r="M55" s="475"/>
      <c r="N55" s="475"/>
      <c r="O55" s="479" t="s">
        <v>1862</v>
      </c>
      <c r="P55" s="455"/>
      <c r="Q55" s="437"/>
      <c r="R55" s="437"/>
      <c r="S55" s="437"/>
      <c r="T55" s="437"/>
    </row>
    <row r="56" spans="1:20" ht="58.15" customHeight="1" thickBot="1" x14ac:dyDescent="0.35">
      <c r="A56" s="488"/>
      <c r="B56" s="471" t="s">
        <v>729</v>
      </c>
      <c r="C56" s="483" t="s">
        <v>1434</v>
      </c>
      <c r="D56" s="505" t="s">
        <v>62</v>
      </c>
      <c r="E56" s="473">
        <v>0.5</v>
      </c>
      <c r="F56" s="474">
        <v>4000</v>
      </c>
      <c r="G56" s="468">
        <v>500</v>
      </c>
      <c r="H56" s="475">
        <f>+G56/F56</f>
        <v>0.125</v>
      </c>
      <c r="I56" s="475">
        <f>+(G56/F56)*E56</f>
        <v>6.25E-2</v>
      </c>
      <c r="J56" s="468">
        <v>1339</v>
      </c>
      <c r="K56" s="475">
        <v>1</v>
      </c>
      <c r="L56" s="475">
        <f>+K56*E56</f>
        <v>0.5</v>
      </c>
      <c r="M56" s="475">
        <f>+J56/F56</f>
        <v>0.33474999999999999</v>
      </c>
      <c r="N56" s="475">
        <f>+M56*E56</f>
        <v>0.167375</v>
      </c>
      <c r="O56" s="479" t="s">
        <v>1862</v>
      </c>
      <c r="P56" s="455"/>
      <c r="Q56" s="437"/>
      <c r="R56" s="437"/>
      <c r="S56" s="437"/>
      <c r="T56" s="437"/>
    </row>
    <row r="57" spans="1:20" ht="76.150000000000006" customHeight="1" thickBot="1" x14ac:dyDescent="0.35">
      <c r="A57" s="488"/>
      <c r="B57" s="471" t="s">
        <v>730</v>
      </c>
      <c r="C57" s="483" t="s">
        <v>1435</v>
      </c>
      <c r="D57" s="505" t="s">
        <v>62</v>
      </c>
      <c r="E57" s="473">
        <v>0.15</v>
      </c>
      <c r="F57" s="474">
        <v>4</v>
      </c>
      <c r="G57" s="468">
        <v>0</v>
      </c>
      <c r="H57" s="475"/>
      <c r="I57" s="475"/>
      <c r="J57" s="468"/>
      <c r="K57" s="475"/>
      <c r="L57" s="475"/>
      <c r="M57" s="475"/>
      <c r="N57" s="475"/>
      <c r="O57" s="479" t="s">
        <v>1862</v>
      </c>
      <c r="P57" s="455"/>
      <c r="Q57" s="437"/>
      <c r="R57" s="437"/>
      <c r="S57" s="437"/>
      <c r="T57" s="437"/>
    </row>
    <row r="58" spans="1:20" ht="66" customHeight="1" thickBot="1" x14ac:dyDescent="0.35">
      <c r="A58" s="488"/>
      <c r="B58" s="471" t="s">
        <v>731</v>
      </c>
      <c r="C58" s="483" t="s">
        <v>1436</v>
      </c>
      <c r="D58" s="505" t="s">
        <v>62</v>
      </c>
      <c r="E58" s="473">
        <v>0.3</v>
      </c>
      <c r="F58" s="474">
        <v>100</v>
      </c>
      <c r="G58" s="468">
        <v>0</v>
      </c>
      <c r="H58" s="475"/>
      <c r="I58" s="475"/>
      <c r="J58" s="468"/>
      <c r="K58" s="475"/>
      <c r="L58" s="475"/>
      <c r="M58" s="475"/>
      <c r="N58" s="475"/>
      <c r="O58" s="479" t="s">
        <v>1862</v>
      </c>
      <c r="P58" s="455"/>
      <c r="Q58" s="437"/>
      <c r="R58" s="437"/>
      <c r="S58" s="437"/>
      <c r="T58" s="437"/>
    </row>
    <row r="59" spans="1:20" ht="42.75" customHeight="1" thickBot="1" x14ac:dyDescent="0.35">
      <c r="A59" s="488"/>
      <c r="B59" s="715" t="s">
        <v>1718</v>
      </c>
      <c r="C59" s="716"/>
      <c r="D59" s="505"/>
      <c r="E59" s="464">
        <v>0.3</v>
      </c>
      <c r="F59" s="487"/>
      <c r="G59" s="468"/>
      <c r="H59" s="467">
        <f>+AVERAGE(H60:H63)</f>
        <v>0.125</v>
      </c>
      <c r="I59" s="467">
        <f>+I60+I61+I62+I63</f>
        <v>7.0000000000000007E-2</v>
      </c>
      <c r="J59" s="468"/>
      <c r="K59" s="499">
        <f>+AVERAGE(K60:K63)</f>
        <v>1</v>
      </c>
      <c r="L59" s="469">
        <f>+(L60+L61+L62+L63)*E59</f>
        <v>0.16500000000000001</v>
      </c>
      <c r="M59" s="467">
        <f>+AVERAGE(M60:M63)</f>
        <v>0.26550000000000001</v>
      </c>
      <c r="N59" s="467">
        <f>+(N60+N61+N62+N63)*E59</f>
        <v>4.3927500000000001E-2</v>
      </c>
      <c r="O59" s="498"/>
      <c r="P59" s="455"/>
      <c r="Q59" s="437"/>
      <c r="R59" s="437"/>
      <c r="S59" s="437"/>
      <c r="T59" s="437"/>
    </row>
    <row r="60" spans="1:20" ht="45" customHeight="1" thickBot="1" x14ac:dyDescent="0.35">
      <c r="A60" s="441"/>
      <c r="B60" s="506" t="s">
        <v>732</v>
      </c>
      <c r="C60" s="507" t="s">
        <v>1437</v>
      </c>
      <c r="D60" s="508" t="s">
        <v>62</v>
      </c>
      <c r="E60" s="473">
        <v>0.3</v>
      </c>
      <c r="F60" s="474">
        <v>2000</v>
      </c>
      <c r="G60" s="468">
        <v>300</v>
      </c>
      <c r="H60" s="475">
        <f>+G60/F60</f>
        <v>0.15</v>
      </c>
      <c r="I60" s="475">
        <f>+(G60/F60)*E60</f>
        <v>4.4999999999999998E-2</v>
      </c>
      <c r="J60" s="468">
        <v>547</v>
      </c>
      <c r="K60" s="475">
        <v>1</v>
      </c>
      <c r="L60" s="475">
        <f>+K60*E60</f>
        <v>0.3</v>
      </c>
      <c r="M60" s="475">
        <f>+J60/F60</f>
        <v>0.27350000000000002</v>
      </c>
      <c r="N60" s="475">
        <f>+M60*E60</f>
        <v>8.2049999999999998E-2</v>
      </c>
      <c r="O60" s="479" t="s">
        <v>1862</v>
      </c>
      <c r="P60" s="455"/>
      <c r="Q60" s="437"/>
      <c r="R60" s="437"/>
      <c r="S60" s="437"/>
      <c r="T60" s="437"/>
    </row>
    <row r="61" spans="1:20" ht="61.9" customHeight="1" thickBot="1" x14ac:dyDescent="0.35">
      <c r="A61" s="441"/>
      <c r="B61" s="509" t="s">
        <v>733</v>
      </c>
      <c r="C61" s="510" t="s">
        <v>1438</v>
      </c>
      <c r="D61" s="511" t="s">
        <v>62</v>
      </c>
      <c r="E61" s="473">
        <v>0.4</v>
      </c>
      <c r="F61" s="474">
        <v>600</v>
      </c>
      <c r="G61" s="468">
        <v>0</v>
      </c>
      <c r="H61" s="475"/>
      <c r="I61" s="475"/>
      <c r="J61" s="468"/>
      <c r="K61" s="475"/>
      <c r="L61" s="475"/>
      <c r="M61" s="475"/>
      <c r="N61" s="475"/>
      <c r="O61" s="479" t="s">
        <v>1862</v>
      </c>
      <c r="P61" s="455"/>
      <c r="Q61" s="437"/>
      <c r="R61" s="437"/>
      <c r="S61" s="437"/>
      <c r="T61" s="437"/>
    </row>
    <row r="62" spans="1:20" ht="42" customHeight="1" thickBot="1" x14ac:dyDescent="0.35">
      <c r="A62" s="488"/>
      <c r="B62" s="512" t="s">
        <v>734</v>
      </c>
      <c r="C62" s="513" t="s">
        <v>1439</v>
      </c>
      <c r="D62" s="514" t="s">
        <v>62</v>
      </c>
      <c r="E62" s="473">
        <v>0.25</v>
      </c>
      <c r="F62" s="474">
        <v>400</v>
      </c>
      <c r="G62" s="468">
        <v>40</v>
      </c>
      <c r="H62" s="475">
        <f>+G62/F62</f>
        <v>0.1</v>
      </c>
      <c r="I62" s="475">
        <f>+(G62/F62)*E62</f>
        <v>2.5000000000000001E-2</v>
      </c>
      <c r="J62" s="468">
        <v>103</v>
      </c>
      <c r="K62" s="475">
        <v>1</v>
      </c>
      <c r="L62" s="475">
        <f>+K62*E62</f>
        <v>0.25</v>
      </c>
      <c r="M62" s="475">
        <f>+J62/F62</f>
        <v>0.25750000000000001</v>
      </c>
      <c r="N62" s="475">
        <f>+M62*E62</f>
        <v>6.4375000000000002E-2</v>
      </c>
      <c r="O62" s="479" t="s">
        <v>1862</v>
      </c>
      <c r="P62" s="455"/>
      <c r="Q62" s="437"/>
      <c r="R62" s="437"/>
      <c r="S62" s="437"/>
      <c r="T62" s="437"/>
    </row>
    <row r="63" spans="1:20" ht="58.9" customHeight="1" thickBot="1" x14ac:dyDescent="0.35">
      <c r="A63" s="441"/>
      <c r="B63" s="515" t="s">
        <v>735</v>
      </c>
      <c r="C63" s="516" t="s">
        <v>1440</v>
      </c>
      <c r="D63" s="503" t="s">
        <v>62</v>
      </c>
      <c r="E63" s="473">
        <v>0.05</v>
      </c>
      <c r="F63" s="474">
        <v>4</v>
      </c>
      <c r="G63" s="468">
        <v>0</v>
      </c>
      <c r="H63" s="475"/>
      <c r="I63" s="475"/>
      <c r="J63" s="468"/>
      <c r="K63" s="475"/>
      <c r="L63" s="475"/>
      <c r="M63" s="475"/>
      <c r="N63" s="475"/>
      <c r="O63" s="479" t="s">
        <v>1862</v>
      </c>
      <c r="P63" s="455"/>
      <c r="Q63" s="437"/>
      <c r="R63" s="437"/>
      <c r="S63" s="437"/>
      <c r="T63" s="437"/>
    </row>
    <row r="64" spans="1:20" ht="42.75" customHeight="1" thickBot="1" x14ac:dyDescent="0.35">
      <c r="A64" s="441"/>
      <c r="B64" s="721" t="s">
        <v>1801</v>
      </c>
      <c r="C64" s="722"/>
      <c r="D64" s="517"/>
      <c r="E64" s="464">
        <v>0.1</v>
      </c>
      <c r="F64" s="487"/>
      <c r="G64" s="461"/>
      <c r="H64" s="467"/>
      <c r="I64" s="467"/>
      <c r="J64" s="468"/>
      <c r="K64" s="469"/>
      <c r="L64" s="469"/>
      <c r="M64" s="467"/>
      <c r="N64" s="467"/>
      <c r="O64" s="498"/>
      <c r="P64" s="455"/>
      <c r="Q64" s="437"/>
      <c r="R64" s="437"/>
      <c r="S64" s="437"/>
      <c r="T64" s="437"/>
    </row>
    <row r="65" spans="1:20" ht="90" customHeight="1" thickBot="1" x14ac:dyDescent="0.35">
      <c r="A65" s="441"/>
      <c r="B65" s="515" t="s">
        <v>736</v>
      </c>
      <c r="C65" s="516" t="s">
        <v>1441</v>
      </c>
      <c r="D65" s="503" t="s">
        <v>737</v>
      </c>
      <c r="E65" s="473">
        <v>0.5</v>
      </c>
      <c r="F65" s="474">
        <v>600</v>
      </c>
      <c r="G65" s="468">
        <v>0</v>
      </c>
      <c r="H65" s="475"/>
      <c r="I65" s="475"/>
      <c r="J65" s="468"/>
      <c r="K65" s="476"/>
      <c r="L65" s="477"/>
      <c r="M65" s="475"/>
      <c r="N65" s="475"/>
      <c r="O65" s="498"/>
      <c r="P65" s="455"/>
      <c r="Q65" s="437"/>
      <c r="R65" s="437"/>
      <c r="S65" s="437"/>
      <c r="T65" s="437"/>
    </row>
    <row r="66" spans="1:20" ht="64.150000000000006" customHeight="1" thickBot="1" x14ac:dyDescent="0.35">
      <c r="A66" s="441"/>
      <c r="B66" s="518" t="s">
        <v>738</v>
      </c>
      <c r="C66" s="519" t="s">
        <v>1442</v>
      </c>
      <c r="D66" s="503" t="s">
        <v>737</v>
      </c>
      <c r="E66" s="473">
        <v>0.5</v>
      </c>
      <c r="F66" s="474">
        <v>6</v>
      </c>
      <c r="G66" s="468">
        <v>0</v>
      </c>
      <c r="H66" s="475"/>
      <c r="I66" s="475"/>
      <c r="J66" s="468"/>
      <c r="K66" s="476"/>
      <c r="L66" s="477"/>
      <c r="M66" s="475"/>
      <c r="N66" s="475"/>
      <c r="O66" s="498"/>
      <c r="P66" s="455"/>
      <c r="Q66" s="437"/>
      <c r="R66" s="437"/>
      <c r="S66" s="437"/>
      <c r="T66" s="437"/>
    </row>
    <row r="67" spans="1:20" ht="93" customHeight="1" thickBot="1" x14ac:dyDescent="0.35">
      <c r="A67" s="441"/>
      <c r="B67" s="723" t="s">
        <v>1802</v>
      </c>
      <c r="C67" s="720"/>
      <c r="D67" s="503"/>
      <c r="E67" s="456">
        <v>0.1</v>
      </c>
      <c r="F67" s="457">
        <f>+E67*L67</f>
        <v>2.2000000000000002E-2</v>
      </c>
      <c r="G67" s="461"/>
      <c r="H67" s="459">
        <f>+((H86+H96)/2)*(2/5)</f>
        <v>0.1135</v>
      </c>
      <c r="I67" s="460">
        <f>+((I86+I96)/2)*(2/5)</f>
        <v>0.20750000000000002</v>
      </c>
      <c r="J67" s="461"/>
      <c r="K67" s="459">
        <f>+(K86+K96)/2</f>
        <v>1</v>
      </c>
      <c r="L67" s="460">
        <f>L68+L73+L86+L91+L96</f>
        <v>0.22</v>
      </c>
      <c r="M67" s="459">
        <f>+((M86+M96) /2 )*(2/5)</f>
        <v>0.16850000000000001</v>
      </c>
      <c r="N67" s="460">
        <f>N68+N73+N86+N91+N96</f>
        <v>8.3350000000000007E-2</v>
      </c>
      <c r="O67" s="498"/>
      <c r="P67" s="455"/>
      <c r="Q67" s="437"/>
      <c r="R67" s="437"/>
      <c r="S67" s="437"/>
      <c r="T67" s="437"/>
    </row>
    <row r="68" spans="1:20" ht="57" customHeight="1" thickBot="1" x14ac:dyDescent="0.35">
      <c r="A68" s="441"/>
      <c r="B68" s="724" t="s">
        <v>1803</v>
      </c>
      <c r="C68" s="725"/>
      <c r="D68" s="520"/>
      <c r="E68" s="464">
        <v>0.25</v>
      </c>
      <c r="F68" s="487"/>
      <c r="G68" s="461"/>
      <c r="H68" s="467"/>
      <c r="I68" s="467"/>
      <c r="J68" s="466"/>
      <c r="K68" s="469"/>
      <c r="L68" s="469"/>
      <c r="M68" s="467"/>
      <c r="N68" s="467"/>
      <c r="O68" s="498"/>
      <c r="P68" s="455"/>
      <c r="Q68" s="437"/>
      <c r="R68" s="437"/>
      <c r="S68" s="437"/>
      <c r="T68" s="437"/>
    </row>
    <row r="69" spans="1:20" ht="51" customHeight="1" thickBot="1" x14ac:dyDescent="0.35">
      <c r="A69" s="441"/>
      <c r="B69" s="480" t="s">
        <v>739</v>
      </c>
      <c r="C69" s="494" t="s">
        <v>1443</v>
      </c>
      <c r="D69" s="485" t="s">
        <v>740</v>
      </c>
      <c r="E69" s="473">
        <v>0.05</v>
      </c>
      <c r="F69" s="474">
        <v>4</v>
      </c>
      <c r="G69" s="468">
        <v>0</v>
      </c>
      <c r="H69" s="475"/>
      <c r="I69" s="475"/>
      <c r="J69" s="468"/>
      <c r="K69" s="475"/>
      <c r="L69" s="475"/>
      <c r="M69" s="477"/>
      <c r="N69" s="475"/>
      <c r="O69" s="498" t="s">
        <v>1583</v>
      </c>
      <c r="P69" s="455"/>
      <c r="Q69" s="437"/>
      <c r="R69" s="437"/>
      <c r="S69" s="437"/>
      <c r="T69" s="437"/>
    </row>
    <row r="70" spans="1:20" ht="75.75" thickBot="1" x14ac:dyDescent="0.35">
      <c r="A70" s="441"/>
      <c r="B70" s="480" t="s">
        <v>741</v>
      </c>
      <c r="C70" s="494" t="s">
        <v>1444</v>
      </c>
      <c r="D70" s="485" t="s">
        <v>740</v>
      </c>
      <c r="E70" s="473">
        <v>0.2</v>
      </c>
      <c r="F70" s="474">
        <v>6</v>
      </c>
      <c r="G70" s="468">
        <v>0</v>
      </c>
      <c r="H70" s="475"/>
      <c r="I70" s="475"/>
      <c r="J70" s="468"/>
      <c r="K70" s="475"/>
      <c r="L70" s="475"/>
      <c r="M70" s="475"/>
      <c r="N70" s="475"/>
      <c r="O70" s="498" t="s">
        <v>1583</v>
      </c>
      <c r="P70" s="455"/>
      <c r="Q70" s="437"/>
      <c r="R70" s="437"/>
      <c r="S70" s="437"/>
      <c r="T70" s="437"/>
    </row>
    <row r="71" spans="1:20" ht="75" customHeight="1" thickBot="1" x14ac:dyDescent="0.35">
      <c r="A71" s="441"/>
      <c r="B71" s="480" t="s">
        <v>742</v>
      </c>
      <c r="C71" s="494" t="s">
        <v>1445</v>
      </c>
      <c r="D71" s="521" t="s">
        <v>740</v>
      </c>
      <c r="E71" s="473">
        <v>0.4</v>
      </c>
      <c r="F71" s="474">
        <v>360</v>
      </c>
      <c r="G71" s="468">
        <v>0</v>
      </c>
      <c r="H71" s="475"/>
      <c r="I71" s="475"/>
      <c r="J71" s="468"/>
      <c r="K71" s="475"/>
      <c r="L71" s="475"/>
      <c r="M71" s="475"/>
      <c r="N71" s="475"/>
      <c r="O71" s="498" t="s">
        <v>1583</v>
      </c>
      <c r="P71" s="455"/>
      <c r="Q71" s="437"/>
      <c r="R71" s="437"/>
      <c r="S71" s="437"/>
      <c r="T71" s="437"/>
    </row>
    <row r="72" spans="1:20" ht="83.45" customHeight="1" thickBot="1" x14ac:dyDescent="0.35">
      <c r="A72" s="441"/>
      <c r="B72" s="480" t="s">
        <v>743</v>
      </c>
      <c r="C72" s="494" t="s">
        <v>1446</v>
      </c>
      <c r="D72" s="520" t="s">
        <v>740</v>
      </c>
      <c r="E72" s="473">
        <v>0.35</v>
      </c>
      <c r="F72" s="474">
        <v>320</v>
      </c>
      <c r="G72" s="468">
        <v>0</v>
      </c>
      <c r="H72" s="475"/>
      <c r="I72" s="475"/>
      <c r="J72" s="468"/>
      <c r="K72" s="475"/>
      <c r="L72" s="475"/>
      <c r="M72" s="475"/>
      <c r="N72" s="475"/>
      <c r="O72" s="498" t="s">
        <v>1583</v>
      </c>
      <c r="P72" s="455"/>
      <c r="Q72" s="437"/>
      <c r="R72" s="437"/>
      <c r="S72" s="437"/>
      <c r="T72" s="437"/>
    </row>
    <row r="73" spans="1:20" ht="57" customHeight="1" thickBot="1" x14ac:dyDescent="0.35">
      <c r="A73" s="441"/>
      <c r="B73" s="715" t="s">
        <v>1804</v>
      </c>
      <c r="C73" s="716"/>
      <c r="D73" s="485"/>
      <c r="E73" s="464">
        <v>0.2</v>
      </c>
      <c r="F73" s="487"/>
      <c r="G73" s="461"/>
      <c r="H73" s="467"/>
      <c r="I73" s="467"/>
      <c r="J73" s="466"/>
      <c r="K73" s="469"/>
      <c r="L73" s="469"/>
      <c r="M73" s="467"/>
      <c r="N73" s="467"/>
      <c r="O73" s="498"/>
      <c r="P73" s="455"/>
      <c r="Q73" s="437"/>
      <c r="R73" s="437"/>
      <c r="S73" s="437"/>
      <c r="T73" s="437"/>
    </row>
    <row r="74" spans="1:20" ht="88.15" customHeight="1" thickBot="1" x14ac:dyDescent="0.35">
      <c r="A74" s="441"/>
      <c r="B74" s="480" t="s">
        <v>744</v>
      </c>
      <c r="C74" s="494" t="s">
        <v>1447</v>
      </c>
      <c r="D74" s="485" t="s">
        <v>740</v>
      </c>
      <c r="E74" s="473">
        <v>0.1</v>
      </c>
      <c r="F74" s="474">
        <v>4827</v>
      </c>
      <c r="G74" s="468">
        <v>0</v>
      </c>
      <c r="H74" s="475"/>
      <c r="I74" s="475"/>
      <c r="J74" s="468"/>
      <c r="K74" s="475"/>
      <c r="L74" s="475"/>
      <c r="M74" s="475"/>
      <c r="N74" s="475"/>
      <c r="O74" s="498" t="s">
        <v>1583</v>
      </c>
      <c r="P74" s="455"/>
      <c r="Q74" s="437"/>
      <c r="R74" s="437"/>
      <c r="S74" s="437"/>
      <c r="T74" s="437"/>
    </row>
    <row r="75" spans="1:20" ht="107.45" customHeight="1" thickBot="1" x14ac:dyDescent="0.35">
      <c r="A75" s="441"/>
      <c r="B75" s="480" t="s">
        <v>745</v>
      </c>
      <c r="C75" s="494" t="s">
        <v>1448</v>
      </c>
      <c r="D75" s="485" t="s">
        <v>740</v>
      </c>
      <c r="E75" s="473">
        <v>0.2</v>
      </c>
      <c r="F75" s="474">
        <v>400</v>
      </c>
      <c r="G75" s="468">
        <v>0</v>
      </c>
      <c r="H75" s="475"/>
      <c r="I75" s="475"/>
      <c r="J75" s="468"/>
      <c r="K75" s="475"/>
      <c r="L75" s="475"/>
      <c r="M75" s="475"/>
      <c r="N75" s="475"/>
      <c r="O75" s="498" t="s">
        <v>1583</v>
      </c>
      <c r="P75" s="455"/>
      <c r="Q75" s="437"/>
      <c r="R75" s="437"/>
      <c r="S75" s="437"/>
      <c r="T75" s="437"/>
    </row>
    <row r="76" spans="1:20" ht="65.45" customHeight="1" thickBot="1" x14ac:dyDescent="0.35">
      <c r="A76" s="441"/>
      <c r="B76" s="480" t="s">
        <v>746</v>
      </c>
      <c r="C76" s="494" t="s">
        <v>1449</v>
      </c>
      <c r="D76" s="485" t="s">
        <v>740</v>
      </c>
      <c r="E76" s="473">
        <v>0.05</v>
      </c>
      <c r="F76" s="474">
        <v>8</v>
      </c>
      <c r="G76" s="468">
        <v>0</v>
      </c>
      <c r="H76" s="475"/>
      <c r="I76" s="475"/>
      <c r="J76" s="468"/>
      <c r="K76" s="475"/>
      <c r="L76" s="475"/>
      <c r="M76" s="475"/>
      <c r="N76" s="475"/>
      <c r="O76" s="498" t="s">
        <v>1583</v>
      </c>
      <c r="P76" s="455"/>
      <c r="Q76" s="437"/>
      <c r="R76" s="437"/>
      <c r="S76" s="437"/>
      <c r="T76" s="437"/>
    </row>
    <row r="77" spans="1:20" ht="75" customHeight="1" thickBot="1" x14ac:dyDescent="0.35">
      <c r="A77" s="441"/>
      <c r="B77" s="480" t="s">
        <v>747</v>
      </c>
      <c r="C77" s="494" t="s">
        <v>1450</v>
      </c>
      <c r="D77" s="485" t="s">
        <v>740</v>
      </c>
      <c r="E77" s="473">
        <v>0.05</v>
      </c>
      <c r="F77" s="474">
        <v>80</v>
      </c>
      <c r="G77" s="468">
        <v>0</v>
      </c>
      <c r="H77" s="475"/>
      <c r="I77" s="475"/>
      <c r="J77" s="468"/>
      <c r="K77" s="475"/>
      <c r="L77" s="475"/>
      <c r="M77" s="475"/>
      <c r="N77" s="475"/>
      <c r="O77" s="498" t="s">
        <v>1583</v>
      </c>
      <c r="P77" s="455"/>
      <c r="Q77" s="437"/>
      <c r="R77" s="437"/>
      <c r="S77" s="437"/>
      <c r="T77" s="437"/>
    </row>
    <row r="78" spans="1:20" ht="63.6" customHeight="1" thickBot="1" x14ac:dyDescent="0.35">
      <c r="A78" s="441"/>
      <c r="B78" s="480" t="s">
        <v>748</v>
      </c>
      <c r="C78" s="494" t="s">
        <v>1451</v>
      </c>
      <c r="D78" s="485" t="s">
        <v>749</v>
      </c>
      <c r="E78" s="473">
        <v>0.25</v>
      </c>
      <c r="F78" s="474">
        <v>500</v>
      </c>
      <c r="G78" s="468">
        <v>0</v>
      </c>
      <c r="H78" s="475"/>
      <c r="I78" s="475"/>
      <c r="J78" s="468"/>
      <c r="K78" s="475"/>
      <c r="L78" s="475"/>
      <c r="M78" s="475"/>
      <c r="N78" s="475"/>
      <c r="O78" s="498" t="s">
        <v>1583</v>
      </c>
      <c r="P78" s="455"/>
      <c r="Q78" s="437"/>
      <c r="R78" s="437"/>
      <c r="S78" s="437"/>
      <c r="T78" s="437"/>
    </row>
    <row r="79" spans="1:20" ht="61.9" customHeight="1" thickBot="1" x14ac:dyDescent="0.35">
      <c r="A79" s="441"/>
      <c r="B79" s="480" t="s">
        <v>750</v>
      </c>
      <c r="C79" s="494" t="s">
        <v>1452</v>
      </c>
      <c r="D79" s="485" t="s">
        <v>740</v>
      </c>
      <c r="E79" s="473">
        <v>0.05</v>
      </c>
      <c r="F79" s="474">
        <v>2</v>
      </c>
      <c r="G79" s="468">
        <v>0</v>
      </c>
      <c r="H79" s="475"/>
      <c r="I79" s="475"/>
      <c r="J79" s="468"/>
      <c r="K79" s="475"/>
      <c r="L79" s="475"/>
      <c r="M79" s="475"/>
      <c r="N79" s="475"/>
      <c r="O79" s="498" t="s">
        <v>1583</v>
      </c>
      <c r="P79" s="455"/>
      <c r="Q79" s="437"/>
      <c r="R79" s="437"/>
      <c r="S79" s="437"/>
      <c r="T79" s="437"/>
    </row>
    <row r="80" spans="1:20" ht="42" customHeight="1" thickBot="1" x14ac:dyDescent="0.35">
      <c r="A80" s="441"/>
      <c r="B80" s="480" t="s">
        <v>751</v>
      </c>
      <c r="C80" s="494" t="s">
        <v>1453</v>
      </c>
      <c r="D80" s="485" t="s">
        <v>740</v>
      </c>
      <c r="E80" s="473">
        <v>0.11</v>
      </c>
      <c r="F80" s="474">
        <v>4</v>
      </c>
      <c r="G80" s="468">
        <v>0</v>
      </c>
      <c r="H80" s="475"/>
      <c r="I80" s="475"/>
      <c r="J80" s="468"/>
      <c r="K80" s="475"/>
      <c r="L80" s="475"/>
      <c r="M80" s="475"/>
      <c r="N80" s="475"/>
      <c r="O80" s="498" t="s">
        <v>1583</v>
      </c>
      <c r="P80" s="455"/>
      <c r="Q80" s="437"/>
      <c r="R80" s="437"/>
      <c r="S80" s="437"/>
      <c r="T80" s="437"/>
    </row>
    <row r="81" spans="1:20" ht="36" customHeight="1" thickBot="1" x14ac:dyDescent="0.35">
      <c r="A81" s="441"/>
      <c r="B81" s="480" t="s">
        <v>752</v>
      </c>
      <c r="C81" s="494" t="s">
        <v>1454</v>
      </c>
      <c r="D81" s="485" t="s">
        <v>740</v>
      </c>
      <c r="E81" s="473">
        <v>0.02</v>
      </c>
      <c r="F81" s="474">
        <v>2</v>
      </c>
      <c r="G81" s="468">
        <v>0</v>
      </c>
      <c r="H81" s="475"/>
      <c r="I81" s="475"/>
      <c r="J81" s="468"/>
      <c r="K81" s="475"/>
      <c r="L81" s="475"/>
      <c r="M81" s="475"/>
      <c r="N81" s="475"/>
      <c r="O81" s="498" t="s">
        <v>1583</v>
      </c>
      <c r="P81" s="455"/>
      <c r="Q81" s="437"/>
      <c r="R81" s="437"/>
      <c r="S81" s="437"/>
      <c r="T81" s="437"/>
    </row>
    <row r="82" spans="1:20" ht="45.6" customHeight="1" thickBot="1" x14ac:dyDescent="0.35">
      <c r="A82" s="441"/>
      <c r="B82" s="480" t="s">
        <v>753</v>
      </c>
      <c r="C82" s="494" t="s">
        <v>1455</v>
      </c>
      <c r="D82" s="485" t="s">
        <v>740</v>
      </c>
      <c r="E82" s="473">
        <v>0.02</v>
      </c>
      <c r="F82" s="474">
        <v>1</v>
      </c>
      <c r="G82" s="468">
        <v>0</v>
      </c>
      <c r="H82" s="475"/>
      <c r="I82" s="475"/>
      <c r="J82" s="468"/>
      <c r="K82" s="475"/>
      <c r="L82" s="475"/>
      <c r="M82" s="475"/>
      <c r="N82" s="475"/>
      <c r="O82" s="498" t="s">
        <v>1583</v>
      </c>
      <c r="P82" s="455"/>
      <c r="Q82" s="437"/>
      <c r="R82" s="437"/>
      <c r="S82" s="437"/>
      <c r="T82" s="437"/>
    </row>
    <row r="83" spans="1:20" ht="45.6" customHeight="1" thickBot="1" x14ac:dyDescent="0.35">
      <c r="A83" s="441"/>
      <c r="B83" s="480" t="s">
        <v>754</v>
      </c>
      <c r="C83" s="494" t="s">
        <v>1456</v>
      </c>
      <c r="D83" s="485" t="s">
        <v>740</v>
      </c>
      <c r="E83" s="473">
        <v>0.02</v>
      </c>
      <c r="F83" s="474">
        <v>1</v>
      </c>
      <c r="G83" s="468">
        <v>0</v>
      </c>
      <c r="H83" s="475"/>
      <c r="I83" s="475"/>
      <c r="J83" s="468"/>
      <c r="K83" s="475"/>
      <c r="L83" s="475"/>
      <c r="M83" s="475"/>
      <c r="N83" s="475"/>
      <c r="O83" s="498" t="s">
        <v>1583</v>
      </c>
      <c r="P83" s="455"/>
      <c r="Q83" s="437"/>
      <c r="R83" s="437"/>
      <c r="S83" s="437"/>
      <c r="T83" s="437"/>
    </row>
    <row r="84" spans="1:20" ht="75.75" thickBot="1" x14ac:dyDescent="0.35">
      <c r="A84" s="441"/>
      <c r="B84" s="480" t="s">
        <v>755</v>
      </c>
      <c r="C84" s="494" t="s">
        <v>1457</v>
      </c>
      <c r="D84" s="485" t="s">
        <v>740</v>
      </c>
      <c r="E84" s="473">
        <v>0.05</v>
      </c>
      <c r="F84" s="474">
        <v>5</v>
      </c>
      <c r="G84" s="468">
        <v>0</v>
      </c>
      <c r="H84" s="475"/>
      <c r="I84" s="475"/>
      <c r="J84" s="468"/>
      <c r="K84" s="475"/>
      <c r="L84" s="475"/>
      <c r="M84" s="475"/>
      <c r="N84" s="475"/>
      <c r="O84" s="498" t="s">
        <v>1583</v>
      </c>
      <c r="P84" s="455"/>
      <c r="Q84" s="437"/>
      <c r="R84" s="437"/>
      <c r="S84" s="437"/>
      <c r="T84" s="437"/>
    </row>
    <row r="85" spans="1:20" ht="51" customHeight="1" thickBot="1" x14ac:dyDescent="0.35">
      <c r="A85" s="441"/>
      <c r="B85" s="480" t="s">
        <v>756</v>
      </c>
      <c r="C85" s="494" t="s">
        <v>1458</v>
      </c>
      <c r="D85" s="485" t="s">
        <v>740</v>
      </c>
      <c r="E85" s="473">
        <v>0.08</v>
      </c>
      <c r="F85" s="474">
        <v>8</v>
      </c>
      <c r="G85" s="468">
        <v>0</v>
      </c>
      <c r="H85" s="475"/>
      <c r="I85" s="475"/>
      <c r="J85" s="468"/>
      <c r="K85" s="475"/>
      <c r="L85" s="475"/>
      <c r="M85" s="475"/>
      <c r="N85" s="475"/>
      <c r="O85" s="498" t="s">
        <v>1583</v>
      </c>
      <c r="P85" s="455"/>
      <c r="Q85" s="437"/>
      <c r="R85" s="437"/>
      <c r="S85" s="437"/>
      <c r="T85" s="437"/>
    </row>
    <row r="86" spans="1:20" ht="28.5" customHeight="1" thickBot="1" x14ac:dyDescent="0.35">
      <c r="A86" s="441"/>
      <c r="B86" s="715" t="s">
        <v>1805</v>
      </c>
      <c r="C86" s="716"/>
      <c r="D86" s="485"/>
      <c r="E86" s="464">
        <v>0.1</v>
      </c>
      <c r="F86" s="487"/>
      <c r="G86" s="461"/>
      <c r="H86" s="467">
        <f>+AVERAGE(H87:H90)</f>
        <v>0.23749999999999999</v>
      </c>
      <c r="I86" s="467">
        <f>+I87+I88+I89+I90</f>
        <v>0.23749999999999999</v>
      </c>
      <c r="J86" s="466"/>
      <c r="K86" s="469">
        <f>+AVERAGE(K87:K90)</f>
        <v>1</v>
      </c>
      <c r="L86" s="469">
        <f>+(L87+L88+L89+L90)*E86</f>
        <v>0.1</v>
      </c>
      <c r="M86" s="467">
        <f>+AVERAGE(M87:M90)</f>
        <v>0.51249999999999996</v>
      </c>
      <c r="N86" s="467">
        <f>+(N87+N88+N89+N90)*E86</f>
        <v>4.3750000000000004E-2</v>
      </c>
      <c r="O86" s="498"/>
      <c r="P86" s="455"/>
      <c r="Q86" s="437"/>
      <c r="R86" s="437"/>
      <c r="S86" s="437"/>
      <c r="T86" s="437"/>
    </row>
    <row r="87" spans="1:20" ht="69" customHeight="1" thickBot="1" x14ac:dyDescent="0.35">
      <c r="A87" s="441"/>
      <c r="B87" s="471" t="s">
        <v>757</v>
      </c>
      <c r="C87" s="483" t="s">
        <v>1459</v>
      </c>
      <c r="D87" s="485" t="s">
        <v>758</v>
      </c>
      <c r="E87" s="473">
        <v>0.2</v>
      </c>
      <c r="F87" s="474">
        <v>4</v>
      </c>
      <c r="G87" s="468">
        <v>1</v>
      </c>
      <c r="H87" s="475">
        <f>+G87/F87</f>
        <v>0.25</v>
      </c>
      <c r="I87" s="475">
        <f>+(G87/F87)*E87</f>
        <v>0.05</v>
      </c>
      <c r="J87" s="468">
        <v>1</v>
      </c>
      <c r="K87" s="475">
        <f>+(J87/G87)</f>
        <v>1</v>
      </c>
      <c r="L87" s="475">
        <f>+K87*E87</f>
        <v>0.2</v>
      </c>
      <c r="M87" s="475">
        <f>+J87/F87</f>
        <v>0.25</v>
      </c>
      <c r="N87" s="475">
        <f>+M87*E87</f>
        <v>0.05</v>
      </c>
      <c r="O87" s="498"/>
      <c r="P87" s="455"/>
      <c r="Q87" s="437"/>
      <c r="R87" s="437"/>
      <c r="S87" s="437"/>
      <c r="T87" s="437"/>
    </row>
    <row r="88" spans="1:20" ht="71.45" customHeight="1" thickBot="1" x14ac:dyDescent="0.35">
      <c r="A88" s="441"/>
      <c r="B88" s="471" t="s">
        <v>759</v>
      </c>
      <c r="C88" s="483" t="s">
        <v>1460</v>
      </c>
      <c r="D88" s="485" t="s">
        <v>758</v>
      </c>
      <c r="E88" s="473">
        <v>0.45</v>
      </c>
      <c r="F88" s="474">
        <v>60</v>
      </c>
      <c r="G88" s="468">
        <v>15</v>
      </c>
      <c r="H88" s="475">
        <f>+G88/F88</f>
        <v>0.25</v>
      </c>
      <c r="I88" s="475">
        <f>+(G88/F88)*E88</f>
        <v>0.1125</v>
      </c>
      <c r="J88" s="468">
        <v>15</v>
      </c>
      <c r="K88" s="475">
        <f>+(J88/G88)</f>
        <v>1</v>
      </c>
      <c r="L88" s="475">
        <f>+K88*E88</f>
        <v>0.45</v>
      </c>
      <c r="M88" s="475">
        <f>+J88/F88</f>
        <v>0.25</v>
      </c>
      <c r="N88" s="475">
        <f>+M88*E88</f>
        <v>0.1125</v>
      </c>
      <c r="O88" s="498"/>
      <c r="P88" s="455"/>
      <c r="Q88" s="437"/>
      <c r="R88" s="437"/>
      <c r="S88" s="437"/>
      <c r="T88" s="437"/>
    </row>
    <row r="89" spans="1:20" ht="80.45" customHeight="1" thickBot="1" x14ac:dyDescent="0.35">
      <c r="A89" s="441"/>
      <c r="B89" s="471" t="s">
        <v>760</v>
      </c>
      <c r="C89" s="483" t="s">
        <v>1461</v>
      </c>
      <c r="D89" s="485" t="s">
        <v>758</v>
      </c>
      <c r="E89" s="473">
        <v>0.1</v>
      </c>
      <c r="F89" s="474">
        <v>4</v>
      </c>
      <c r="G89" s="468">
        <v>1</v>
      </c>
      <c r="H89" s="475">
        <f>+G89/F89</f>
        <v>0.25</v>
      </c>
      <c r="I89" s="475">
        <f>+(G89/F89)*E89</f>
        <v>2.5000000000000001E-2</v>
      </c>
      <c r="J89" s="468">
        <v>3</v>
      </c>
      <c r="K89" s="475">
        <v>1</v>
      </c>
      <c r="L89" s="475">
        <f>+K89*E89</f>
        <v>0.1</v>
      </c>
      <c r="M89" s="475">
        <f>+J89/F89</f>
        <v>0.75</v>
      </c>
      <c r="N89" s="475">
        <f>+M89*E89</f>
        <v>7.5000000000000011E-2</v>
      </c>
      <c r="O89" s="498"/>
      <c r="P89" s="455"/>
      <c r="Q89" s="437"/>
      <c r="R89" s="437"/>
      <c r="S89" s="437"/>
      <c r="T89" s="437"/>
    </row>
    <row r="90" spans="1:20" ht="66.599999999999994" customHeight="1" thickBot="1" x14ac:dyDescent="0.35">
      <c r="A90" s="441"/>
      <c r="B90" s="471" t="s">
        <v>761</v>
      </c>
      <c r="C90" s="483" t="s">
        <v>1462</v>
      </c>
      <c r="D90" s="485" t="s">
        <v>758</v>
      </c>
      <c r="E90" s="473">
        <v>0.25</v>
      </c>
      <c r="F90" s="474">
        <v>5</v>
      </c>
      <c r="G90" s="468">
        <v>1</v>
      </c>
      <c r="H90" s="475">
        <f>+G90/F90</f>
        <v>0.2</v>
      </c>
      <c r="I90" s="475">
        <f>+(G90/F90)*E90</f>
        <v>0.05</v>
      </c>
      <c r="J90" s="468">
        <v>4</v>
      </c>
      <c r="K90" s="475">
        <v>1</v>
      </c>
      <c r="L90" s="475">
        <f>+K90*E90</f>
        <v>0.25</v>
      </c>
      <c r="M90" s="475">
        <f>+J90/F90</f>
        <v>0.8</v>
      </c>
      <c r="N90" s="475">
        <f>+M90*E90</f>
        <v>0.2</v>
      </c>
      <c r="O90" s="498"/>
      <c r="P90" s="455"/>
      <c r="Q90" s="437"/>
      <c r="R90" s="437"/>
      <c r="S90" s="437"/>
      <c r="T90" s="437"/>
    </row>
    <row r="91" spans="1:20" ht="57" customHeight="1" thickBot="1" x14ac:dyDescent="0.35">
      <c r="A91" s="441"/>
      <c r="B91" s="715" t="s">
        <v>1723</v>
      </c>
      <c r="C91" s="716"/>
      <c r="D91" s="485"/>
      <c r="E91" s="464">
        <v>0.3</v>
      </c>
      <c r="F91" s="487"/>
      <c r="G91" s="461"/>
      <c r="H91" s="467"/>
      <c r="I91" s="467"/>
      <c r="J91" s="466"/>
      <c r="K91" s="469"/>
      <c r="L91" s="469"/>
      <c r="M91" s="467"/>
      <c r="N91" s="467"/>
      <c r="O91" s="498"/>
      <c r="P91" s="455"/>
      <c r="Q91" s="437"/>
      <c r="R91" s="437"/>
      <c r="S91" s="437"/>
      <c r="T91" s="437"/>
    </row>
    <row r="92" spans="1:20" ht="114.6" customHeight="1" thickBot="1" x14ac:dyDescent="0.35">
      <c r="A92" s="441"/>
      <c r="B92" s="480" t="s">
        <v>762</v>
      </c>
      <c r="C92" s="494" t="s">
        <v>1463</v>
      </c>
      <c r="D92" s="522" t="s">
        <v>763</v>
      </c>
      <c r="E92" s="473">
        <v>0.5</v>
      </c>
      <c r="F92" s="474">
        <v>9</v>
      </c>
      <c r="G92" s="468">
        <v>0</v>
      </c>
      <c r="H92" s="475"/>
      <c r="I92" s="475"/>
      <c r="J92" s="468"/>
      <c r="K92" s="475"/>
      <c r="L92" s="475"/>
      <c r="M92" s="475"/>
      <c r="N92" s="475"/>
      <c r="O92" s="498" t="s">
        <v>1584</v>
      </c>
      <c r="P92" s="455"/>
      <c r="Q92" s="437"/>
      <c r="R92" s="437"/>
      <c r="S92" s="437"/>
      <c r="T92" s="437"/>
    </row>
    <row r="93" spans="1:20" ht="85.15" customHeight="1" thickBot="1" x14ac:dyDescent="0.35">
      <c r="A93" s="441"/>
      <c r="B93" s="480" t="s">
        <v>764</v>
      </c>
      <c r="C93" s="494" t="s">
        <v>1464</v>
      </c>
      <c r="D93" s="484" t="s">
        <v>740</v>
      </c>
      <c r="E93" s="473">
        <v>0.05</v>
      </c>
      <c r="F93" s="474">
        <v>2</v>
      </c>
      <c r="G93" s="468">
        <v>0</v>
      </c>
      <c r="H93" s="475"/>
      <c r="I93" s="475"/>
      <c r="J93" s="468"/>
      <c r="K93" s="475"/>
      <c r="L93" s="475"/>
      <c r="M93" s="475"/>
      <c r="N93" s="475"/>
      <c r="O93" s="498" t="s">
        <v>1583</v>
      </c>
      <c r="P93" s="455"/>
      <c r="Q93" s="437"/>
      <c r="R93" s="437"/>
      <c r="S93" s="437"/>
      <c r="T93" s="437"/>
    </row>
    <row r="94" spans="1:20" ht="76.900000000000006" customHeight="1" thickBot="1" x14ac:dyDescent="0.35">
      <c r="A94" s="441"/>
      <c r="B94" s="480" t="s">
        <v>765</v>
      </c>
      <c r="C94" s="494" t="s">
        <v>1465</v>
      </c>
      <c r="D94" s="485" t="s">
        <v>740</v>
      </c>
      <c r="E94" s="473">
        <v>0.25</v>
      </c>
      <c r="F94" s="474">
        <v>80</v>
      </c>
      <c r="G94" s="468">
        <v>0</v>
      </c>
      <c r="H94" s="475"/>
      <c r="I94" s="475"/>
      <c r="J94" s="468"/>
      <c r="K94" s="475"/>
      <c r="L94" s="475"/>
      <c r="M94" s="475"/>
      <c r="N94" s="475"/>
      <c r="O94" s="498" t="s">
        <v>1583</v>
      </c>
      <c r="P94" s="455"/>
      <c r="Q94" s="437"/>
      <c r="R94" s="437"/>
      <c r="S94" s="437"/>
      <c r="T94" s="437"/>
    </row>
    <row r="95" spans="1:20" ht="75.75" thickBot="1" x14ac:dyDescent="0.35">
      <c r="A95" s="441"/>
      <c r="B95" s="523" t="s">
        <v>766</v>
      </c>
      <c r="C95" s="524" t="s">
        <v>1466</v>
      </c>
      <c r="D95" s="502" t="s">
        <v>740</v>
      </c>
      <c r="E95" s="473">
        <v>0.2</v>
      </c>
      <c r="F95" s="474">
        <v>25</v>
      </c>
      <c r="G95" s="468">
        <v>0</v>
      </c>
      <c r="H95" s="475"/>
      <c r="I95" s="475"/>
      <c r="J95" s="468"/>
      <c r="K95" s="475"/>
      <c r="L95" s="475"/>
      <c r="M95" s="475"/>
      <c r="N95" s="475"/>
      <c r="O95" s="498" t="s">
        <v>1583</v>
      </c>
      <c r="P95" s="455"/>
      <c r="Q95" s="437"/>
      <c r="R95" s="437"/>
      <c r="S95" s="437"/>
      <c r="T95" s="437"/>
    </row>
    <row r="96" spans="1:20" ht="100.5" customHeight="1" thickBot="1" x14ac:dyDescent="0.35">
      <c r="A96" s="441"/>
      <c r="B96" s="719" t="s">
        <v>1724</v>
      </c>
      <c r="C96" s="720"/>
      <c r="D96" s="503"/>
      <c r="E96" s="464">
        <v>0.15</v>
      </c>
      <c r="F96" s="487"/>
      <c r="G96" s="461"/>
      <c r="H96" s="467">
        <f>+AVERAGE(H97:H99)*0.33</f>
        <v>0.33</v>
      </c>
      <c r="I96" s="467">
        <f>+I97+I98+I99</f>
        <v>0.8</v>
      </c>
      <c r="J96" s="466"/>
      <c r="K96" s="469">
        <f>+AVERAGE(K97:K99)</f>
        <v>1</v>
      </c>
      <c r="L96" s="469">
        <f>+(L97+L98+L99)*E96</f>
        <v>0.12</v>
      </c>
      <c r="M96" s="467">
        <f>+AVERAGE(M97:M99)</f>
        <v>0.33</v>
      </c>
      <c r="N96" s="467">
        <f>+(N97+N98+N99)*E96</f>
        <v>3.9600000000000003E-2</v>
      </c>
      <c r="O96" s="498"/>
      <c r="P96" s="455"/>
      <c r="Q96" s="437"/>
      <c r="R96" s="437"/>
      <c r="S96" s="437"/>
      <c r="T96" s="437"/>
    </row>
    <row r="97" spans="1:20" ht="69" customHeight="1" thickBot="1" x14ac:dyDescent="0.35">
      <c r="A97" s="441"/>
      <c r="B97" s="525" t="s">
        <v>767</v>
      </c>
      <c r="C97" s="526" t="s">
        <v>1467</v>
      </c>
      <c r="D97" s="517" t="s">
        <v>740</v>
      </c>
      <c r="E97" s="473">
        <v>0.8</v>
      </c>
      <c r="F97" s="474">
        <v>1</v>
      </c>
      <c r="G97" s="468">
        <v>1</v>
      </c>
      <c r="H97" s="475">
        <f>+G97/F97</f>
        <v>1</v>
      </c>
      <c r="I97" s="475">
        <f>+(G97/F97)*E97</f>
        <v>0.8</v>
      </c>
      <c r="J97" s="527">
        <v>1</v>
      </c>
      <c r="K97" s="475">
        <f>+(J97/G97)</f>
        <v>1</v>
      </c>
      <c r="L97" s="477">
        <f>+K97*E97</f>
        <v>0.8</v>
      </c>
      <c r="M97" s="475">
        <f>+(J97/F97)*0.33</f>
        <v>0.33</v>
      </c>
      <c r="N97" s="475">
        <f>+M97*E97</f>
        <v>0.26400000000000001</v>
      </c>
      <c r="O97" s="479" t="s">
        <v>1862</v>
      </c>
      <c r="P97" s="455"/>
      <c r="Q97" s="437"/>
      <c r="R97" s="437"/>
      <c r="S97" s="437"/>
      <c r="T97" s="437"/>
    </row>
    <row r="98" spans="1:20" ht="60.6" customHeight="1" thickBot="1" x14ac:dyDescent="0.35">
      <c r="A98" s="441"/>
      <c r="B98" s="528" t="s">
        <v>768</v>
      </c>
      <c r="C98" s="529" t="s">
        <v>1468</v>
      </c>
      <c r="D98" s="503" t="s">
        <v>740</v>
      </c>
      <c r="E98" s="473">
        <v>0.15</v>
      </c>
      <c r="F98" s="474">
        <v>1</v>
      </c>
      <c r="G98" s="468">
        <v>0</v>
      </c>
      <c r="H98" s="475"/>
      <c r="I98" s="475"/>
      <c r="J98" s="468"/>
      <c r="K98" s="476"/>
      <c r="L98" s="477"/>
      <c r="M98" s="475"/>
      <c r="N98" s="475"/>
      <c r="O98" s="479" t="s">
        <v>1862</v>
      </c>
      <c r="P98" s="455"/>
      <c r="Q98" s="437"/>
      <c r="R98" s="437"/>
      <c r="S98" s="437"/>
      <c r="T98" s="437"/>
    </row>
    <row r="99" spans="1:20" ht="53.45" customHeight="1" thickBot="1" x14ac:dyDescent="0.35">
      <c r="A99" s="441"/>
      <c r="B99" s="525" t="s">
        <v>769</v>
      </c>
      <c r="C99" s="526" t="s">
        <v>1469</v>
      </c>
      <c r="D99" s="517" t="s">
        <v>740</v>
      </c>
      <c r="E99" s="473">
        <v>0.05</v>
      </c>
      <c r="F99" s="474">
        <v>1</v>
      </c>
      <c r="G99" s="468">
        <v>0</v>
      </c>
      <c r="H99" s="475"/>
      <c r="I99" s="475"/>
      <c r="J99" s="468"/>
      <c r="K99" s="476"/>
      <c r="L99" s="477"/>
      <c r="M99" s="475"/>
      <c r="N99" s="475"/>
      <c r="O99" s="479" t="s">
        <v>1862</v>
      </c>
      <c r="P99" s="455"/>
      <c r="Q99" s="437"/>
      <c r="R99" s="437"/>
      <c r="S99" s="437"/>
      <c r="T99" s="437"/>
    </row>
    <row r="100" spans="1:20" ht="78" customHeight="1" thickBot="1" x14ac:dyDescent="0.35">
      <c r="A100" s="441"/>
      <c r="B100" s="723" t="s">
        <v>1806</v>
      </c>
      <c r="C100" s="720"/>
      <c r="D100" s="503"/>
      <c r="E100" s="456">
        <v>0.1</v>
      </c>
      <c r="F100" s="457">
        <f>+E100*L100</f>
        <v>5.6500000000000009E-2</v>
      </c>
      <c r="G100" s="461"/>
      <c r="H100" s="459">
        <f>+(H101+H107+H117)/3</f>
        <v>0.17360979649420338</v>
      </c>
      <c r="I100" s="460">
        <f>+(I101+I107+I117)/3</f>
        <v>9.382477763087127E-2</v>
      </c>
      <c r="J100" s="461"/>
      <c r="K100" s="459">
        <f>+(K101+K107+K117)/3</f>
        <v>1</v>
      </c>
      <c r="L100" s="460">
        <f>L101+L107+L117</f>
        <v>0.56500000000000006</v>
      </c>
      <c r="M100" s="459">
        <f>(M101+M107+M117)/3</f>
        <v>0.19428158691255218</v>
      </c>
      <c r="N100" s="460">
        <f>N101+N107+N117</f>
        <v>0.10879627598215055</v>
      </c>
      <c r="O100" s="498"/>
      <c r="P100" s="455"/>
      <c r="Q100" s="437"/>
      <c r="R100" s="437"/>
      <c r="S100" s="437"/>
      <c r="T100" s="437"/>
    </row>
    <row r="101" spans="1:20" ht="72" customHeight="1" thickBot="1" x14ac:dyDescent="0.35">
      <c r="A101" s="441"/>
      <c r="B101" s="724" t="s">
        <v>1725</v>
      </c>
      <c r="C101" s="725"/>
      <c r="D101" s="504"/>
      <c r="E101" s="464">
        <v>0.25</v>
      </c>
      <c r="F101" s="487"/>
      <c r="G101" s="468"/>
      <c r="H101" s="467">
        <f>+AVERAGE(H102:H106)</f>
        <v>0.17798528579513301</v>
      </c>
      <c r="I101" s="467">
        <f>+I102+I103+I104+I105+I106</f>
        <v>0.17798528579513301</v>
      </c>
      <c r="J101" s="468"/>
      <c r="K101" s="499">
        <f>+AVERAGE(K102:K106)</f>
        <v>1</v>
      </c>
      <c r="L101" s="469">
        <f>+(L102+L103+L104+L105+L106)*E101</f>
        <v>0.25</v>
      </c>
      <c r="M101" s="467">
        <f>+AVERAGE(M102:M106)</f>
        <v>0.17866440294284094</v>
      </c>
      <c r="N101" s="467">
        <f>+(N102+N103+N104+N105+N106)*E101</f>
        <v>4.4666100735710243E-2</v>
      </c>
      <c r="O101" s="498"/>
      <c r="P101" s="455"/>
      <c r="Q101" s="437"/>
      <c r="R101" s="437"/>
      <c r="S101" s="437"/>
      <c r="T101" s="437"/>
    </row>
    <row r="102" spans="1:20" ht="53.45" customHeight="1" thickBot="1" x14ac:dyDescent="0.35">
      <c r="A102" s="441"/>
      <c r="B102" s="506" t="s">
        <v>770</v>
      </c>
      <c r="C102" s="507" t="s">
        <v>1470</v>
      </c>
      <c r="D102" s="508" t="s">
        <v>771</v>
      </c>
      <c r="E102" s="473">
        <v>0.2</v>
      </c>
      <c r="F102" s="474">
        <v>10</v>
      </c>
      <c r="G102" s="468">
        <v>1</v>
      </c>
      <c r="H102" s="475">
        <f>+G102/F102</f>
        <v>0.1</v>
      </c>
      <c r="I102" s="475">
        <f>+(G102/F102)*E102</f>
        <v>2.0000000000000004E-2</v>
      </c>
      <c r="J102" s="468">
        <v>1</v>
      </c>
      <c r="K102" s="475">
        <f>+(J102/G102)</f>
        <v>1</v>
      </c>
      <c r="L102" s="475">
        <f>+K102*E102</f>
        <v>0.2</v>
      </c>
      <c r="M102" s="475">
        <f>+J102/F102</f>
        <v>0.1</v>
      </c>
      <c r="N102" s="475">
        <f>+M102*E102</f>
        <v>2.0000000000000004E-2</v>
      </c>
      <c r="O102" s="479" t="s">
        <v>1862</v>
      </c>
      <c r="P102" s="455"/>
      <c r="Q102" s="437"/>
      <c r="R102" s="437"/>
      <c r="S102" s="437"/>
      <c r="T102" s="437"/>
    </row>
    <row r="103" spans="1:20" ht="66.599999999999994" customHeight="1" thickBot="1" x14ac:dyDescent="0.35">
      <c r="A103" s="441"/>
      <c r="B103" s="515" t="s">
        <v>772</v>
      </c>
      <c r="C103" s="516" t="s">
        <v>1471</v>
      </c>
      <c r="D103" s="503" t="s">
        <v>771</v>
      </c>
      <c r="E103" s="473">
        <v>0.2</v>
      </c>
      <c r="F103" s="474">
        <v>1767</v>
      </c>
      <c r="G103" s="468">
        <v>100</v>
      </c>
      <c r="H103" s="475">
        <f>+G103/F103</f>
        <v>5.6593095642331635E-2</v>
      </c>
      <c r="I103" s="475">
        <f>+(G103/F103)*E103</f>
        <v>1.1318619128466328E-2</v>
      </c>
      <c r="J103" s="468">
        <v>106</v>
      </c>
      <c r="K103" s="475">
        <v>1</v>
      </c>
      <c r="L103" s="475">
        <f>+K103*E103</f>
        <v>0.2</v>
      </c>
      <c r="M103" s="475">
        <f>+J103/F103</f>
        <v>5.9988681380871531E-2</v>
      </c>
      <c r="N103" s="475">
        <f>+M103*E103</f>
        <v>1.1997736276174308E-2</v>
      </c>
      <c r="O103" s="479" t="s">
        <v>1862</v>
      </c>
      <c r="P103" s="455"/>
      <c r="Q103" s="437"/>
      <c r="R103" s="437"/>
      <c r="S103" s="437"/>
      <c r="T103" s="437"/>
    </row>
    <row r="104" spans="1:20" ht="39.6" customHeight="1" thickBot="1" x14ac:dyDescent="0.35">
      <c r="A104" s="441"/>
      <c r="B104" s="515" t="s">
        <v>773</v>
      </c>
      <c r="C104" s="516" t="s">
        <v>1472</v>
      </c>
      <c r="D104" s="503" t="s">
        <v>771</v>
      </c>
      <c r="E104" s="473">
        <v>0.2</v>
      </c>
      <c r="F104" s="474">
        <v>200</v>
      </c>
      <c r="G104" s="468">
        <v>20</v>
      </c>
      <c r="H104" s="475">
        <f>+G104/F104</f>
        <v>0.1</v>
      </c>
      <c r="I104" s="475">
        <f>+(G104/F104)*E104</f>
        <v>2.0000000000000004E-2</v>
      </c>
      <c r="J104" s="468">
        <v>20</v>
      </c>
      <c r="K104" s="475">
        <f>+(J104/G104)</f>
        <v>1</v>
      </c>
      <c r="L104" s="475">
        <f>+K104*E104</f>
        <v>0.2</v>
      </c>
      <c r="M104" s="475">
        <f>+J104/F104</f>
        <v>0.1</v>
      </c>
      <c r="N104" s="475">
        <f>+M104*E104</f>
        <v>2.0000000000000004E-2</v>
      </c>
      <c r="O104" s="479" t="s">
        <v>1862</v>
      </c>
      <c r="P104" s="455"/>
      <c r="Q104" s="437"/>
      <c r="R104" s="437"/>
      <c r="S104" s="437"/>
      <c r="T104" s="437"/>
    </row>
    <row r="105" spans="1:20" ht="37.15" customHeight="1" thickBot="1" x14ac:dyDescent="0.35">
      <c r="A105" s="441"/>
      <c r="B105" s="530" t="s">
        <v>774</v>
      </c>
      <c r="C105" s="531" t="s">
        <v>1473</v>
      </c>
      <c r="D105" s="504" t="s">
        <v>771</v>
      </c>
      <c r="E105" s="473">
        <v>0.2</v>
      </c>
      <c r="F105" s="474">
        <v>100</v>
      </c>
      <c r="G105" s="468">
        <v>30</v>
      </c>
      <c r="H105" s="475">
        <f>+G105/F105</f>
        <v>0.3</v>
      </c>
      <c r="I105" s="475">
        <f>+(G105/F105)*E105</f>
        <v>0.06</v>
      </c>
      <c r="J105" s="468">
        <v>30</v>
      </c>
      <c r="K105" s="475">
        <f>+(J105/G105)</f>
        <v>1</v>
      </c>
      <c r="L105" s="475">
        <f>+K105*E105</f>
        <v>0.2</v>
      </c>
      <c r="M105" s="475">
        <f>+J105/F105</f>
        <v>0.3</v>
      </c>
      <c r="N105" s="475">
        <f>+M105*E105</f>
        <v>0.06</v>
      </c>
      <c r="O105" s="479" t="s">
        <v>1862</v>
      </c>
      <c r="P105" s="455"/>
      <c r="Q105" s="437"/>
      <c r="R105" s="437"/>
      <c r="S105" s="437"/>
      <c r="T105" s="437"/>
    </row>
    <row r="106" spans="1:20" ht="42" customHeight="1" thickBot="1" x14ac:dyDescent="0.35">
      <c r="A106" s="441"/>
      <c r="B106" s="506" t="s">
        <v>775</v>
      </c>
      <c r="C106" s="507" t="s">
        <v>1474</v>
      </c>
      <c r="D106" s="508" t="s">
        <v>771</v>
      </c>
      <c r="E106" s="473">
        <v>0.2</v>
      </c>
      <c r="F106" s="474">
        <v>3</v>
      </c>
      <c r="G106" s="468">
        <v>1</v>
      </c>
      <c r="H106" s="475">
        <f>+G106/F106</f>
        <v>0.33333333333333331</v>
      </c>
      <c r="I106" s="475">
        <f>+(G106/F106)*E106</f>
        <v>6.6666666666666666E-2</v>
      </c>
      <c r="J106" s="468">
        <v>1</v>
      </c>
      <c r="K106" s="475">
        <f>+(J106/G106)</f>
        <v>1</v>
      </c>
      <c r="L106" s="475">
        <f>+K106*E106</f>
        <v>0.2</v>
      </c>
      <c r="M106" s="475">
        <f>+J106/F106</f>
        <v>0.33333333333333331</v>
      </c>
      <c r="N106" s="475">
        <f>+M106*E106</f>
        <v>6.6666666666666666E-2</v>
      </c>
      <c r="O106" s="479" t="s">
        <v>1862</v>
      </c>
      <c r="P106" s="455"/>
      <c r="Q106" s="437"/>
      <c r="R106" s="437"/>
      <c r="S106" s="437"/>
      <c r="T106" s="437"/>
    </row>
    <row r="107" spans="1:20" ht="129" customHeight="1" thickBot="1" x14ac:dyDescent="0.35">
      <c r="A107" s="441"/>
      <c r="B107" s="719" t="s">
        <v>1726</v>
      </c>
      <c r="C107" s="720"/>
      <c r="D107" s="503"/>
      <c r="E107" s="464">
        <v>0.45</v>
      </c>
      <c r="F107" s="487"/>
      <c r="G107" s="468"/>
      <c r="H107" s="467">
        <f>+AVERAGE(H108:H116)</f>
        <v>9.2844103687477184E-2</v>
      </c>
      <c r="I107" s="467">
        <f>+I108+I109+I110+I111+I112+I113+I114+I115+I116</f>
        <v>6.5989047097480838E-2</v>
      </c>
      <c r="J107" s="468"/>
      <c r="K107" s="499">
        <f>+AVERAGE(K108:K116)</f>
        <v>1</v>
      </c>
      <c r="L107" s="469">
        <f>+(L108+L109+L110+L111+L112+L113+L114+L115+L116)*E107</f>
        <v>0.27000000000000007</v>
      </c>
      <c r="M107" s="467">
        <f>+AVERAGE(M108:M116)</f>
        <v>0.15418035779481562</v>
      </c>
      <c r="N107" s="467">
        <f>+(N108+N109+N110+N111+N112+N113+N114+N115+N116)*E107</f>
        <v>5.2880175246440314E-2</v>
      </c>
      <c r="O107" s="498"/>
      <c r="P107" s="455"/>
      <c r="Q107" s="437"/>
      <c r="R107" s="437"/>
      <c r="S107" s="437"/>
      <c r="T107" s="437"/>
    </row>
    <row r="108" spans="1:20" ht="52.15" customHeight="1" thickBot="1" x14ac:dyDescent="0.35">
      <c r="A108" s="441"/>
      <c r="B108" s="530" t="s">
        <v>776</v>
      </c>
      <c r="C108" s="531" t="s">
        <v>1475</v>
      </c>
      <c r="D108" s="520"/>
      <c r="E108" s="473">
        <v>0.05</v>
      </c>
      <c r="F108" s="474">
        <v>1</v>
      </c>
      <c r="G108" s="468">
        <v>0</v>
      </c>
      <c r="H108" s="475"/>
      <c r="I108" s="475"/>
      <c r="J108" s="468"/>
      <c r="K108" s="475"/>
      <c r="L108" s="475"/>
      <c r="M108" s="475"/>
      <c r="N108" s="475"/>
      <c r="O108" s="479" t="s">
        <v>1862</v>
      </c>
      <c r="P108" s="455"/>
      <c r="Q108" s="437"/>
      <c r="R108" s="437"/>
      <c r="S108" s="437"/>
      <c r="T108" s="437"/>
    </row>
    <row r="109" spans="1:20" ht="57.6" customHeight="1" thickBot="1" x14ac:dyDescent="0.35">
      <c r="A109" s="441"/>
      <c r="B109" s="471" t="s">
        <v>777</v>
      </c>
      <c r="C109" s="483" t="s">
        <v>1476</v>
      </c>
      <c r="D109" s="521" t="s">
        <v>771</v>
      </c>
      <c r="E109" s="473">
        <v>0.28000000000000003</v>
      </c>
      <c r="F109" s="474">
        <v>3652</v>
      </c>
      <c r="G109" s="468">
        <v>652</v>
      </c>
      <c r="H109" s="475">
        <f t="shared" ref="H109:H114" si="0">+G109/F109</f>
        <v>0.17853231106243153</v>
      </c>
      <c r="I109" s="475">
        <f t="shared" ref="I109:I114" si="1">+(G109/F109)*E109</f>
        <v>4.9989047097480831E-2</v>
      </c>
      <c r="J109" s="468">
        <v>1324</v>
      </c>
      <c r="K109" s="475">
        <v>1</v>
      </c>
      <c r="L109" s="475">
        <f t="shared" ref="L109:L114" si="2">+K109*E109</f>
        <v>0.28000000000000003</v>
      </c>
      <c r="M109" s="475">
        <f t="shared" ref="M109:M114" si="3">+J109/F109</f>
        <v>0.36254107338444685</v>
      </c>
      <c r="N109" s="475">
        <f t="shared" ref="N109:N114" si="4">+M109*E109</f>
        <v>0.10151150054764513</v>
      </c>
      <c r="O109" s="479" t="s">
        <v>1862</v>
      </c>
      <c r="P109" s="455"/>
      <c r="Q109" s="437"/>
      <c r="R109" s="437"/>
      <c r="S109" s="437"/>
      <c r="T109" s="437"/>
    </row>
    <row r="110" spans="1:20" ht="63.6" customHeight="1" thickBot="1" x14ac:dyDescent="0.35">
      <c r="A110" s="441"/>
      <c r="B110" s="471" t="s">
        <v>778</v>
      </c>
      <c r="C110" s="483" t="s">
        <v>1477</v>
      </c>
      <c r="D110" s="520" t="s">
        <v>771</v>
      </c>
      <c r="E110" s="473">
        <v>0.05</v>
      </c>
      <c r="F110" s="474">
        <v>2</v>
      </c>
      <c r="G110" s="468">
        <v>0</v>
      </c>
      <c r="H110" s="475"/>
      <c r="I110" s="475"/>
      <c r="J110" s="468"/>
      <c r="K110" s="475"/>
      <c r="L110" s="475"/>
      <c r="M110" s="475"/>
      <c r="N110" s="475"/>
      <c r="O110" s="479" t="s">
        <v>1862</v>
      </c>
      <c r="P110" s="455"/>
      <c r="Q110" s="437"/>
      <c r="R110" s="437"/>
      <c r="S110" s="437"/>
      <c r="T110" s="437"/>
    </row>
    <row r="111" spans="1:20" ht="54" customHeight="1" thickBot="1" x14ac:dyDescent="0.35">
      <c r="A111" s="441"/>
      <c r="B111" s="471" t="s">
        <v>779</v>
      </c>
      <c r="C111" s="483" t="s">
        <v>1478</v>
      </c>
      <c r="D111" s="485" t="s">
        <v>771</v>
      </c>
      <c r="E111" s="473">
        <v>0.2</v>
      </c>
      <c r="F111" s="474">
        <v>20</v>
      </c>
      <c r="G111" s="468">
        <v>1</v>
      </c>
      <c r="H111" s="475">
        <f t="shared" si="0"/>
        <v>0.05</v>
      </c>
      <c r="I111" s="475">
        <f t="shared" si="1"/>
        <v>1.0000000000000002E-2</v>
      </c>
      <c r="J111" s="468">
        <v>1</v>
      </c>
      <c r="K111" s="475">
        <f t="shared" ref="K111:K114" si="5">+(J111/G111)</f>
        <v>1</v>
      </c>
      <c r="L111" s="475">
        <f t="shared" si="2"/>
        <v>0.2</v>
      </c>
      <c r="M111" s="475">
        <f t="shared" si="3"/>
        <v>0.05</v>
      </c>
      <c r="N111" s="475">
        <f t="shared" si="4"/>
        <v>1.0000000000000002E-2</v>
      </c>
      <c r="O111" s="479" t="s">
        <v>1862</v>
      </c>
      <c r="P111" s="455"/>
      <c r="Q111" s="437"/>
      <c r="R111" s="437"/>
      <c r="S111" s="437"/>
      <c r="T111" s="437"/>
    </row>
    <row r="112" spans="1:20" ht="90.6" customHeight="1" thickBot="1" x14ac:dyDescent="0.35">
      <c r="A112" s="441"/>
      <c r="B112" s="471" t="s">
        <v>780</v>
      </c>
      <c r="C112" s="483" t="s">
        <v>1479</v>
      </c>
      <c r="D112" s="485" t="s">
        <v>771</v>
      </c>
      <c r="E112" s="473">
        <v>0.08</v>
      </c>
      <c r="F112" s="474">
        <v>3</v>
      </c>
      <c r="G112" s="468">
        <v>0</v>
      </c>
      <c r="H112" s="475"/>
      <c r="I112" s="475"/>
      <c r="J112" s="468"/>
      <c r="K112" s="475"/>
      <c r="L112" s="475"/>
      <c r="M112" s="475"/>
      <c r="N112" s="475"/>
      <c r="O112" s="479" t="s">
        <v>1862</v>
      </c>
      <c r="P112" s="455"/>
      <c r="Q112" s="437"/>
      <c r="R112" s="437"/>
      <c r="S112" s="437"/>
      <c r="T112" s="437"/>
    </row>
    <row r="113" spans="1:20" ht="87" customHeight="1" thickBot="1" x14ac:dyDescent="0.35">
      <c r="A113" s="441"/>
      <c r="B113" s="471" t="s">
        <v>781</v>
      </c>
      <c r="C113" s="483" t="s">
        <v>1480</v>
      </c>
      <c r="D113" s="485" t="s">
        <v>771</v>
      </c>
      <c r="E113" s="473">
        <v>0.05</v>
      </c>
      <c r="F113" s="474">
        <v>4</v>
      </c>
      <c r="G113" s="468">
        <v>0</v>
      </c>
      <c r="H113" s="475"/>
      <c r="I113" s="475"/>
      <c r="J113" s="468"/>
      <c r="K113" s="475"/>
      <c r="L113" s="475"/>
      <c r="M113" s="475"/>
      <c r="N113" s="475"/>
      <c r="O113" s="479" t="s">
        <v>1862</v>
      </c>
      <c r="P113" s="455"/>
      <c r="Q113" s="437"/>
      <c r="R113" s="437"/>
      <c r="S113" s="437"/>
      <c r="T113" s="437"/>
    </row>
    <row r="114" spans="1:20" ht="54" customHeight="1" thickBot="1" x14ac:dyDescent="0.35">
      <c r="A114" s="441"/>
      <c r="B114" s="471" t="s">
        <v>782</v>
      </c>
      <c r="C114" s="483" t="s">
        <v>1481</v>
      </c>
      <c r="D114" s="485" t="s">
        <v>771</v>
      </c>
      <c r="E114" s="473">
        <v>0.12</v>
      </c>
      <c r="F114" s="474">
        <v>20</v>
      </c>
      <c r="G114" s="468">
        <v>1</v>
      </c>
      <c r="H114" s="475">
        <f t="shared" si="0"/>
        <v>0.05</v>
      </c>
      <c r="I114" s="475">
        <f t="shared" si="1"/>
        <v>6.0000000000000001E-3</v>
      </c>
      <c r="J114" s="468">
        <v>1</v>
      </c>
      <c r="K114" s="475">
        <f t="shared" si="5"/>
        <v>1</v>
      </c>
      <c r="L114" s="475">
        <f t="shared" si="2"/>
        <v>0.12</v>
      </c>
      <c r="M114" s="475">
        <f t="shared" si="3"/>
        <v>0.05</v>
      </c>
      <c r="N114" s="475">
        <f t="shared" si="4"/>
        <v>6.0000000000000001E-3</v>
      </c>
      <c r="O114" s="479" t="s">
        <v>1862</v>
      </c>
      <c r="P114" s="455"/>
      <c r="Q114" s="437"/>
      <c r="R114" s="437"/>
      <c r="S114" s="437"/>
      <c r="T114" s="437"/>
    </row>
    <row r="115" spans="1:20" ht="64.900000000000006" customHeight="1" thickBot="1" x14ac:dyDescent="0.35">
      <c r="A115" s="441"/>
      <c r="B115" s="471" t="s">
        <v>783</v>
      </c>
      <c r="C115" s="483" t="s">
        <v>1482</v>
      </c>
      <c r="D115" s="500" t="s">
        <v>784</v>
      </c>
      <c r="E115" s="473">
        <v>0.02</v>
      </c>
      <c r="F115" s="474">
        <v>4</v>
      </c>
      <c r="G115" s="468">
        <v>0</v>
      </c>
      <c r="H115" s="475"/>
      <c r="I115" s="475"/>
      <c r="J115" s="468"/>
      <c r="K115" s="475"/>
      <c r="L115" s="475"/>
      <c r="M115" s="475"/>
      <c r="N115" s="475"/>
      <c r="O115" s="497" t="s">
        <v>1576</v>
      </c>
      <c r="P115" s="455"/>
      <c r="Q115" s="437"/>
      <c r="R115" s="437"/>
      <c r="S115" s="437"/>
      <c r="T115" s="437"/>
    </row>
    <row r="116" spans="1:20" ht="64.900000000000006" customHeight="1" thickBot="1" x14ac:dyDescent="0.35">
      <c r="A116" s="441"/>
      <c r="B116" s="471" t="s">
        <v>785</v>
      </c>
      <c r="C116" s="483" t="s">
        <v>1483</v>
      </c>
      <c r="D116" s="502" t="s">
        <v>786</v>
      </c>
      <c r="E116" s="473">
        <v>0.15</v>
      </c>
      <c r="F116" s="474">
        <v>1</v>
      </c>
      <c r="G116" s="468">
        <v>0</v>
      </c>
      <c r="H116" s="475"/>
      <c r="I116" s="475"/>
      <c r="J116" s="468"/>
      <c r="K116" s="475"/>
      <c r="L116" s="475"/>
      <c r="M116" s="475"/>
      <c r="N116" s="475"/>
      <c r="O116" s="497" t="s">
        <v>1576</v>
      </c>
      <c r="P116" s="455"/>
      <c r="Q116" s="437"/>
      <c r="R116" s="437"/>
      <c r="S116" s="437"/>
      <c r="T116" s="437"/>
    </row>
    <row r="117" spans="1:20" ht="28.5" customHeight="1" thickBot="1" x14ac:dyDescent="0.35">
      <c r="A117" s="441"/>
      <c r="B117" s="715" t="s">
        <v>787</v>
      </c>
      <c r="C117" s="716"/>
      <c r="D117" s="484"/>
      <c r="E117" s="464">
        <v>0.3</v>
      </c>
      <c r="F117" s="487"/>
      <c r="G117" s="468"/>
      <c r="H117" s="467">
        <f>+AVERAGE(H118:H123)</f>
        <v>0.25</v>
      </c>
      <c r="I117" s="467">
        <f>+I118+I119+I120+I121+I122+I123</f>
        <v>3.7499999999999999E-2</v>
      </c>
      <c r="J117" s="466"/>
      <c r="K117" s="499">
        <f>+AVERAGE(K118:K123)</f>
        <v>1</v>
      </c>
      <c r="L117" s="469">
        <f>+(L118+L119+L120+L121+L122+L123)*E117</f>
        <v>4.4999999999999998E-2</v>
      </c>
      <c r="M117" s="467">
        <f>+AVERAGE(M118:M123)</f>
        <v>0.25</v>
      </c>
      <c r="N117" s="467">
        <f>+(N118+N119+N120+N121+N122+N123)*E117</f>
        <v>1.125E-2</v>
      </c>
      <c r="O117" s="498"/>
      <c r="P117" s="455"/>
      <c r="Q117" s="437"/>
      <c r="R117" s="437"/>
      <c r="S117" s="437"/>
      <c r="T117" s="437"/>
    </row>
    <row r="118" spans="1:20" ht="39.6" customHeight="1" thickBot="1" x14ac:dyDescent="0.35">
      <c r="A118" s="441"/>
      <c r="B118" s="471" t="s">
        <v>788</v>
      </c>
      <c r="C118" s="483" t="s">
        <v>1484</v>
      </c>
      <c r="D118" s="485" t="s">
        <v>771</v>
      </c>
      <c r="E118" s="473">
        <v>0.05</v>
      </c>
      <c r="F118" s="474">
        <v>2</v>
      </c>
      <c r="G118" s="468">
        <v>0</v>
      </c>
      <c r="H118" s="475"/>
      <c r="I118" s="475"/>
      <c r="J118" s="468"/>
      <c r="K118" s="475"/>
      <c r="L118" s="475"/>
      <c r="M118" s="475"/>
      <c r="N118" s="475"/>
      <c r="O118" s="479" t="s">
        <v>1862</v>
      </c>
      <c r="P118" s="455"/>
      <c r="Q118" s="437"/>
      <c r="R118" s="437"/>
      <c r="S118" s="437"/>
      <c r="T118" s="437"/>
    </row>
    <row r="119" spans="1:20" ht="81" customHeight="1" thickBot="1" x14ac:dyDescent="0.35">
      <c r="A119" s="441"/>
      <c r="B119" s="471" t="s">
        <v>789</v>
      </c>
      <c r="C119" s="483" t="s">
        <v>1485</v>
      </c>
      <c r="D119" s="485" t="s">
        <v>771</v>
      </c>
      <c r="E119" s="473">
        <v>0.15</v>
      </c>
      <c r="F119" s="474">
        <v>4</v>
      </c>
      <c r="G119" s="468">
        <v>1</v>
      </c>
      <c r="H119" s="475">
        <f>+G119/F119</f>
        <v>0.25</v>
      </c>
      <c r="I119" s="475">
        <f>+(G119/F119)*E119</f>
        <v>3.7499999999999999E-2</v>
      </c>
      <c r="J119" s="468">
        <v>1</v>
      </c>
      <c r="K119" s="475">
        <f>+(J119/G119)</f>
        <v>1</v>
      </c>
      <c r="L119" s="475">
        <f>+K119*E119</f>
        <v>0.15</v>
      </c>
      <c r="M119" s="475">
        <f>+J119/F119</f>
        <v>0.25</v>
      </c>
      <c r="N119" s="501">
        <f>+M119*E119</f>
        <v>3.7499999999999999E-2</v>
      </c>
      <c r="O119" s="479" t="s">
        <v>1862</v>
      </c>
      <c r="P119" s="455"/>
      <c r="Q119" s="437"/>
      <c r="R119" s="437"/>
      <c r="S119" s="437"/>
      <c r="T119" s="437"/>
    </row>
    <row r="120" spans="1:20" ht="39.6" customHeight="1" thickBot="1" x14ac:dyDescent="0.35">
      <c r="A120" s="441"/>
      <c r="B120" s="471" t="s">
        <v>790</v>
      </c>
      <c r="C120" s="483" t="s">
        <v>1486</v>
      </c>
      <c r="D120" s="485" t="s">
        <v>771</v>
      </c>
      <c r="E120" s="473">
        <v>0.4</v>
      </c>
      <c r="F120" s="474">
        <v>1</v>
      </c>
      <c r="G120" s="468">
        <v>0</v>
      </c>
      <c r="H120" s="475"/>
      <c r="I120" s="475"/>
      <c r="J120" s="468"/>
      <c r="K120" s="475"/>
      <c r="L120" s="475"/>
      <c r="M120" s="475"/>
      <c r="N120" s="475"/>
      <c r="O120" s="479" t="s">
        <v>1862</v>
      </c>
      <c r="P120" s="455"/>
      <c r="Q120" s="437"/>
      <c r="R120" s="437"/>
      <c r="S120" s="437"/>
      <c r="T120" s="437"/>
    </row>
    <row r="121" spans="1:20" ht="39.6" customHeight="1" thickBot="1" x14ac:dyDescent="0.35">
      <c r="A121" s="441"/>
      <c r="B121" s="471" t="s">
        <v>791</v>
      </c>
      <c r="C121" s="483" t="s">
        <v>1487</v>
      </c>
      <c r="D121" s="485" t="s">
        <v>771</v>
      </c>
      <c r="E121" s="473">
        <v>0.3</v>
      </c>
      <c r="F121" s="474">
        <v>1</v>
      </c>
      <c r="G121" s="468">
        <v>0</v>
      </c>
      <c r="H121" s="475"/>
      <c r="I121" s="475"/>
      <c r="J121" s="468"/>
      <c r="K121" s="475"/>
      <c r="L121" s="475"/>
      <c r="M121" s="475"/>
      <c r="N121" s="475"/>
      <c r="O121" s="479" t="s">
        <v>1862</v>
      </c>
      <c r="P121" s="455"/>
      <c r="Q121" s="437"/>
      <c r="R121" s="437"/>
      <c r="S121" s="437"/>
      <c r="T121" s="437"/>
    </row>
    <row r="122" spans="1:20" ht="39.6" customHeight="1" thickBot="1" x14ac:dyDescent="0.35">
      <c r="A122" s="441"/>
      <c r="B122" s="471" t="s">
        <v>792</v>
      </c>
      <c r="C122" s="483" t="s">
        <v>1488</v>
      </c>
      <c r="D122" s="485" t="s">
        <v>793</v>
      </c>
      <c r="E122" s="473">
        <v>0.05</v>
      </c>
      <c r="F122" s="474">
        <v>1</v>
      </c>
      <c r="G122" s="468">
        <v>0</v>
      </c>
      <c r="H122" s="475"/>
      <c r="I122" s="475"/>
      <c r="J122" s="468"/>
      <c r="K122" s="475"/>
      <c r="L122" s="475"/>
      <c r="M122" s="475"/>
      <c r="N122" s="475"/>
      <c r="O122" s="479" t="s">
        <v>1862</v>
      </c>
      <c r="P122" s="455"/>
      <c r="Q122" s="437"/>
      <c r="R122" s="437"/>
      <c r="S122" s="437"/>
      <c r="T122" s="437"/>
    </row>
    <row r="123" spans="1:20" ht="39.6" customHeight="1" thickBot="1" x14ac:dyDescent="0.35">
      <c r="A123" s="441"/>
      <c r="B123" s="506" t="s">
        <v>794</v>
      </c>
      <c r="C123" s="507" t="s">
        <v>1489</v>
      </c>
      <c r="D123" s="502" t="s">
        <v>843</v>
      </c>
      <c r="E123" s="473">
        <v>0.05</v>
      </c>
      <c r="F123" s="474">
        <v>1</v>
      </c>
      <c r="G123" s="468">
        <v>0</v>
      </c>
      <c r="H123" s="475"/>
      <c r="I123" s="475"/>
      <c r="J123" s="468"/>
      <c r="K123" s="475"/>
      <c r="L123" s="475"/>
      <c r="M123" s="475"/>
      <c r="N123" s="475"/>
      <c r="O123" s="479" t="s">
        <v>1862</v>
      </c>
      <c r="P123" s="455"/>
      <c r="Q123" s="437"/>
      <c r="R123" s="437"/>
      <c r="S123" s="437"/>
      <c r="T123" s="437"/>
    </row>
    <row r="124" spans="1:20" ht="93" customHeight="1" thickBot="1" x14ac:dyDescent="0.35">
      <c r="A124" s="441"/>
      <c r="B124" s="723" t="s">
        <v>1807</v>
      </c>
      <c r="C124" s="720"/>
      <c r="D124" s="503"/>
      <c r="E124" s="456">
        <v>0.2</v>
      </c>
      <c r="F124" s="457">
        <f>+E124*L124</f>
        <v>8.0075000000000007E-2</v>
      </c>
      <c r="G124" s="461"/>
      <c r="H124" s="459">
        <f>+(H125+H129)/2</f>
        <v>0.3833333333333333</v>
      </c>
      <c r="I124" s="460">
        <f>+(I125+I129)/2</f>
        <v>0.2583333333333333</v>
      </c>
      <c r="J124" s="461"/>
      <c r="K124" s="459">
        <f>+(K125+K129)/2</f>
        <v>0.73366666666666669</v>
      </c>
      <c r="L124" s="460">
        <f>L125+L129</f>
        <v>0.40037499999999998</v>
      </c>
      <c r="M124" s="459">
        <f>(M125+M129)/2</f>
        <v>0.22676666666666667</v>
      </c>
      <c r="N124" s="460">
        <f>N125+N129</f>
        <v>0.14011249999999997</v>
      </c>
      <c r="O124" s="498"/>
      <c r="P124" s="455"/>
      <c r="Q124" s="437"/>
      <c r="R124" s="437"/>
      <c r="S124" s="437"/>
      <c r="T124" s="437"/>
    </row>
    <row r="125" spans="1:20" ht="44.45" customHeight="1" thickBot="1" x14ac:dyDescent="0.35">
      <c r="A125" s="441"/>
      <c r="B125" s="721" t="s">
        <v>1728</v>
      </c>
      <c r="C125" s="722"/>
      <c r="D125" s="517"/>
      <c r="E125" s="464">
        <v>0.75</v>
      </c>
      <c r="F125" s="487"/>
      <c r="G125" s="461"/>
      <c r="H125" s="467">
        <f>+AVERAGE(H126:H128)</f>
        <v>0.33333333333333331</v>
      </c>
      <c r="I125" s="467">
        <f>+I126+I127+I128</f>
        <v>0.16666666666666666</v>
      </c>
      <c r="J125" s="466"/>
      <c r="K125" s="469">
        <f>+AVERAGE(K126:K128)</f>
        <v>0.6</v>
      </c>
      <c r="L125" s="469">
        <f>+(L126+L127+L128)*E125</f>
        <v>0.22499999999999998</v>
      </c>
      <c r="M125" s="467">
        <f>+AVERAGE(M126:M128)*0.3</f>
        <v>5.9999999999999991E-2</v>
      </c>
      <c r="N125" s="467">
        <f>+(N126+N127+N128)*E125</f>
        <v>7.4999999999999997E-2</v>
      </c>
      <c r="O125" s="498"/>
      <c r="P125" s="455"/>
      <c r="Q125" s="437"/>
      <c r="R125" s="437"/>
      <c r="S125" s="437"/>
      <c r="T125" s="437"/>
    </row>
    <row r="126" spans="1:20" ht="168" customHeight="1" thickBot="1" x14ac:dyDescent="0.35">
      <c r="A126" s="441"/>
      <c r="B126" s="515" t="s">
        <v>796</v>
      </c>
      <c r="C126" s="516" t="s">
        <v>1490</v>
      </c>
      <c r="D126" s="532" t="s">
        <v>797</v>
      </c>
      <c r="E126" s="473">
        <v>0.5</v>
      </c>
      <c r="F126" s="474">
        <v>3</v>
      </c>
      <c r="G126" s="468">
        <v>1</v>
      </c>
      <c r="H126" s="475">
        <f>+G126/F126</f>
        <v>0.33333333333333331</v>
      </c>
      <c r="I126" s="475">
        <f>+(G126/F126)*E126</f>
        <v>0.16666666666666666</v>
      </c>
      <c r="J126" s="468">
        <v>0.6</v>
      </c>
      <c r="K126" s="475">
        <f>+(J126/G126)</f>
        <v>0.6</v>
      </c>
      <c r="L126" s="477">
        <f>+K126*E126</f>
        <v>0.3</v>
      </c>
      <c r="M126" s="475">
        <f>+J126/F126</f>
        <v>0.19999999999999998</v>
      </c>
      <c r="N126" s="475">
        <f>+M126*E126</f>
        <v>9.9999999999999992E-2</v>
      </c>
      <c r="O126" s="479" t="s">
        <v>1862</v>
      </c>
      <c r="P126" s="455"/>
      <c r="Q126" s="437"/>
      <c r="R126" s="437"/>
      <c r="S126" s="437"/>
      <c r="T126" s="437"/>
    </row>
    <row r="127" spans="1:20" ht="94.15" customHeight="1" thickBot="1" x14ac:dyDescent="0.35">
      <c r="A127" s="441"/>
      <c r="B127" s="518" t="s">
        <v>798</v>
      </c>
      <c r="C127" s="519" t="s">
        <v>1491</v>
      </c>
      <c r="D127" s="533" t="s">
        <v>799</v>
      </c>
      <c r="E127" s="473">
        <v>0.25</v>
      </c>
      <c r="F127" s="474">
        <v>176</v>
      </c>
      <c r="G127" s="468">
        <v>0</v>
      </c>
      <c r="H127" s="475"/>
      <c r="I127" s="475"/>
      <c r="J127" s="468"/>
      <c r="K127" s="476"/>
      <c r="L127" s="477"/>
      <c r="M127" s="475"/>
      <c r="N127" s="475"/>
      <c r="O127" s="479" t="s">
        <v>1862</v>
      </c>
      <c r="P127" s="455"/>
      <c r="Q127" s="437"/>
      <c r="R127" s="437"/>
      <c r="S127" s="437"/>
      <c r="T127" s="437"/>
    </row>
    <row r="128" spans="1:20" ht="139.15" customHeight="1" thickBot="1" x14ac:dyDescent="0.35">
      <c r="A128" s="441"/>
      <c r="B128" s="515" t="s">
        <v>800</v>
      </c>
      <c r="C128" s="516" t="s">
        <v>1492</v>
      </c>
      <c r="D128" s="532" t="s">
        <v>799</v>
      </c>
      <c r="E128" s="473">
        <v>0.25</v>
      </c>
      <c r="F128" s="474">
        <v>647</v>
      </c>
      <c r="G128" s="468">
        <v>0</v>
      </c>
      <c r="H128" s="475"/>
      <c r="I128" s="475"/>
      <c r="J128" s="468"/>
      <c r="K128" s="476"/>
      <c r="L128" s="477"/>
      <c r="M128" s="475"/>
      <c r="N128" s="475"/>
      <c r="O128" s="479" t="s">
        <v>1862</v>
      </c>
      <c r="P128" s="455"/>
      <c r="Q128" s="437"/>
      <c r="R128" s="437"/>
      <c r="S128" s="437"/>
      <c r="T128" s="437"/>
    </row>
    <row r="129" spans="1:20" ht="44.45" customHeight="1" thickBot="1" x14ac:dyDescent="0.35">
      <c r="A129" s="441"/>
      <c r="B129" s="724" t="s">
        <v>1729</v>
      </c>
      <c r="C129" s="725"/>
      <c r="D129" s="520"/>
      <c r="E129" s="464">
        <v>0.25</v>
      </c>
      <c r="F129" s="474"/>
      <c r="G129" s="468"/>
      <c r="H129" s="467">
        <f>+AVERAGE(H130:H132)</f>
        <v>0.43333333333333335</v>
      </c>
      <c r="I129" s="467">
        <f>+I130+I131+I132</f>
        <v>0.35</v>
      </c>
      <c r="J129" s="468"/>
      <c r="K129" s="469">
        <f>+AVERAGE(K130:K132)</f>
        <v>0.86733333333333329</v>
      </c>
      <c r="L129" s="469">
        <f>+(L130+L131+L132)*E129</f>
        <v>0.175375</v>
      </c>
      <c r="M129" s="467">
        <f>+AVERAGE(M130:M132)</f>
        <v>0.39353333333333335</v>
      </c>
      <c r="N129" s="467">
        <f>+(N130+N131+N132)*E129</f>
        <v>6.511249999999999E-2</v>
      </c>
      <c r="O129" s="498"/>
      <c r="P129" s="455"/>
      <c r="Q129" s="437"/>
      <c r="R129" s="437"/>
      <c r="S129" s="437"/>
      <c r="T129" s="437"/>
    </row>
    <row r="130" spans="1:20" ht="89.45" customHeight="1" thickBot="1" x14ac:dyDescent="0.35">
      <c r="A130" s="441"/>
      <c r="B130" s="515" t="s">
        <v>801</v>
      </c>
      <c r="C130" s="516" t="s">
        <v>1493</v>
      </c>
      <c r="D130" s="532" t="s">
        <v>520</v>
      </c>
      <c r="E130" s="473">
        <v>0.05</v>
      </c>
      <c r="F130" s="474">
        <v>2</v>
      </c>
      <c r="G130" s="468">
        <v>1</v>
      </c>
      <c r="H130" s="475">
        <f>+G130/F130</f>
        <v>0.5</v>
      </c>
      <c r="I130" s="475">
        <f>+(G130/F130)*E130</f>
        <v>2.5000000000000001E-2</v>
      </c>
      <c r="J130" s="468">
        <v>1</v>
      </c>
      <c r="K130" s="475">
        <f>+(J130/G130)</f>
        <v>1</v>
      </c>
      <c r="L130" s="477">
        <f>+K130*E130</f>
        <v>0.05</v>
      </c>
      <c r="M130" s="475">
        <f>+J130/F130</f>
        <v>0.5</v>
      </c>
      <c r="N130" s="475">
        <f>+M130*E130</f>
        <v>2.5000000000000001E-2</v>
      </c>
      <c r="O130" s="479" t="s">
        <v>1862</v>
      </c>
      <c r="P130" s="455"/>
      <c r="Q130" s="437"/>
      <c r="R130" s="437"/>
      <c r="S130" s="437"/>
      <c r="T130" s="437"/>
    </row>
    <row r="131" spans="1:20" ht="103.15" customHeight="1" thickBot="1" x14ac:dyDescent="0.35">
      <c r="A131" s="441"/>
      <c r="B131" s="515" t="s">
        <v>802</v>
      </c>
      <c r="C131" s="516" t="s">
        <v>1494</v>
      </c>
      <c r="D131" s="532" t="s">
        <v>520</v>
      </c>
      <c r="E131" s="473">
        <v>0.2</v>
      </c>
      <c r="F131" s="474">
        <v>2</v>
      </c>
      <c r="G131" s="468">
        <v>1</v>
      </c>
      <c r="H131" s="475">
        <f>+G131/F131</f>
        <v>0.5</v>
      </c>
      <c r="I131" s="475">
        <f>+(G131/F131)*E131</f>
        <v>0.1</v>
      </c>
      <c r="J131" s="468">
        <v>1</v>
      </c>
      <c r="K131" s="475">
        <f>+(J131/G131)</f>
        <v>1</v>
      </c>
      <c r="L131" s="477">
        <f>+K131*E131</f>
        <v>0.2</v>
      </c>
      <c r="M131" s="475">
        <f>+J131/F131</f>
        <v>0.5</v>
      </c>
      <c r="N131" s="475">
        <f>+M131*E131</f>
        <v>0.1</v>
      </c>
      <c r="O131" s="479" t="s">
        <v>1862</v>
      </c>
      <c r="P131" s="455"/>
      <c r="Q131" s="437"/>
      <c r="R131" s="437"/>
      <c r="S131" s="437"/>
      <c r="T131" s="437"/>
    </row>
    <row r="132" spans="1:20" ht="145.15" customHeight="1" thickBot="1" x14ac:dyDescent="0.35">
      <c r="A132" s="441"/>
      <c r="B132" s="515" t="s">
        <v>803</v>
      </c>
      <c r="C132" s="516" t="s">
        <v>1495</v>
      </c>
      <c r="D132" s="532" t="s">
        <v>520</v>
      </c>
      <c r="E132" s="473">
        <v>0.75</v>
      </c>
      <c r="F132" s="474">
        <v>500</v>
      </c>
      <c r="G132" s="468">
        <v>150</v>
      </c>
      <c r="H132" s="475">
        <f>+G132/F132</f>
        <v>0.3</v>
      </c>
      <c r="I132" s="475">
        <f>+(G132/F132)*E132</f>
        <v>0.22499999999999998</v>
      </c>
      <c r="J132" s="468">
        <v>90.3</v>
      </c>
      <c r="K132" s="501">
        <f>+(J132/G132)</f>
        <v>0.60199999999999998</v>
      </c>
      <c r="L132" s="477">
        <f>+K132*E132</f>
        <v>0.45150000000000001</v>
      </c>
      <c r="M132" s="475">
        <f>+J132/F132</f>
        <v>0.18059999999999998</v>
      </c>
      <c r="N132" s="475">
        <f>+M132*E132</f>
        <v>0.13544999999999999</v>
      </c>
      <c r="O132" s="479" t="s">
        <v>1862</v>
      </c>
      <c r="P132" s="455"/>
      <c r="Q132" s="437"/>
      <c r="R132" s="437"/>
      <c r="S132" s="437"/>
      <c r="T132" s="437"/>
    </row>
    <row r="133" spans="1:20" ht="15.75" customHeight="1" thickBot="1" x14ac:dyDescent="0.35">
      <c r="A133" s="437"/>
      <c r="B133" s="534"/>
      <c r="C133" s="534"/>
      <c r="D133" s="534"/>
      <c r="E133" s="535"/>
      <c r="F133" s="534"/>
      <c r="G133" s="534"/>
      <c r="H133" s="534"/>
      <c r="I133" s="534"/>
      <c r="J133" s="534"/>
      <c r="K133" s="534"/>
      <c r="L133" s="534"/>
      <c r="M133" s="534"/>
      <c r="N133" s="534"/>
      <c r="O133" s="498"/>
      <c r="P133" s="437"/>
      <c r="Q133" s="437"/>
      <c r="R133" s="437"/>
      <c r="S133" s="437"/>
      <c r="T133" s="437"/>
    </row>
    <row r="134" spans="1:20" ht="15.75" customHeight="1" thickBot="1" x14ac:dyDescent="0.35">
      <c r="A134" s="437"/>
      <c r="B134" s="437"/>
      <c r="C134" s="437"/>
      <c r="D134" s="437"/>
      <c r="E134" s="536"/>
      <c r="F134" s="437"/>
      <c r="G134" s="437"/>
      <c r="H134" s="437"/>
      <c r="I134" s="437"/>
      <c r="J134" s="437"/>
      <c r="K134" s="437"/>
      <c r="L134" s="437"/>
      <c r="M134" s="437"/>
      <c r="N134" s="437"/>
      <c r="O134" s="437"/>
      <c r="P134" s="437"/>
      <c r="Q134" s="437"/>
      <c r="R134" s="437"/>
      <c r="S134" s="437"/>
      <c r="T134" s="437"/>
    </row>
    <row r="135" spans="1:20" ht="15.75" customHeight="1" thickBot="1" x14ac:dyDescent="0.35">
      <c r="A135" s="437"/>
      <c r="B135" s="437"/>
      <c r="C135" s="437"/>
      <c r="D135" s="437"/>
      <c r="E135" s="536"/>
      <c r="F135" s="437"/>
      <c r="G135" s="437"/>
      <c r="H135" s="437"/>
      <c r="I135" s="437"/>
      <c r="J135" s="437"/>
      <c r="K135" s="437"/>
      <c r="L135" s="437"/>
      <c r="M135" s="437"/>
      <c r="N135" s="437"/>
      <c r="O135" s="437"/>
      <c r="P135" s="437"/>
      <c r="Q135" s="437"/>
      <c r="R135" s="437"/>
      <c r="S135" s="437"/>
      <c r="T135" s="437"/>
    </row>
    <row r="136" spans="1:20" ht="15.75" customHeight="1" thickBot="1" x14ac:dyDescent="0.35">
      <c r="A136" s="437"/>
      <c r="B136" s="537"/>
      <c r="C136" s="437"/>
      <c r="D136" s="437"/>
      <c r="E136" s="536"/>
      <c r="F136" s="437"/>
      <c r="G136" s="437"/>
      <c r="H136" s="437"/>
      <c r="I136" s="437"/>
      <c r="J136" s="437"/>
      <c r="K136" s="437"/>
      <c r="L136" s="437"/>
      <c r="M136" s="437"/>
      <c r="N136" s="437"/>
      <c r="O136" s="437"/>
      <c r="P136" s="437"/>
      <c r="Q136" s="437"/>
      <c r="R136" s="437"/>
      <c r="S136" s="437"/>
      <c r="T136" s="437"/>
    </row>
    <row r="137" spans="1:20" ht="15.75" customHeight="1" thickBot="1" x14ac:dyDescent="0.35">
      <c r="A137" s="437"/>
      <c r="B137" s="437"/>
      <c r="C137" s="437"/>
      <c r="D137" s="437"/>
      <c r="E137" s="536"/>
      <c r="F137" s="437"/>
      <c r="G137" s="437"/>
      <c r="H137" s="437"/>
      <c r="I137" s="437"/>
      <c r="J137" s="437"/>
      <c r="K137" s="437"/>
      <c r="L137" s="437"/>
      <c r="M137" s="437"/>
      <c r="N137" s="437"/>
      <c r="O137" s="437"/>
      <c r="P137" s="437"/>
      <c r="Q137" s="437"/>
      <c r="R137" s="437"/>
      <c r="S137" s="437"/>
      <c r="T137" s="437"/>
    </row>
    <row r="138" spans="1:20" ht="15.75" customHeight="1" thickBot="1" x14ac:dyDescent="0.35">
      <c r="A138" s="437"/>
      <c r="B138" s="437"/>
      <c r="C138" s="437"/>
      <c r="D138" s="437"/>
      <c r="E138" s="536"/>
      <c r="F138" s="437"/>
      <c r="G138" s="437"/>
      <c r="H138" s="437"/>
      <c r="I138" s="437"/>
      <c r="J138" s="437"/>
      <c r="K138" s="437"/>
      <c r="L138" s="437"/>
      <c r="M138" s="437"/>
      <c r="N138" s="437"/>
      <c r="O138" s="437"/>
      <c r="P138" s="437"/>
      <c r="Q138" s="437"/>
      <c r="R138" s="437"/>
      <c r="S138" s="437"/>
      <c r="T138" s="437"/>
    </row>
    <row r="139" spans="1:20" ht="15.75" customHeight="1" thickBot="1" x14ac:dyDescent="0.35">
      <c r="A139" s="437"/>
      <c r="B139" s="437"/>
      <c r="C139" s="437"/>
      <c r="D139" s="437"/>
      <c r="E139" s="536"/>
      <c r="F139" s="437"/>
      <c r="G139" s="437"/>
      <c r="H139" s="437"/>
      <c r="I139" s="437"/>
      <c r="J139" s="437"/>
      <c r="K139" s="437"/>
      <c r="L139" s="437"/>
      <c r="M139" s="437"/>
      <c r="N139" s="437"/>
      <c r="O139" s="437"/>
      <c r="P139" s="437"/>
      <c r="Q139" s="437"/>
      <c r="R139" s="437"/>
      <c r="S139" s="437"/>
      <c r="T139" s="437"/>
    </row>
    <row r="140" spans="1:20" ht="15.75" customHeight="1" thickBot="1" x14ac:dyDescent="0.35">
      <c r="A140" s="437"/>
      <c r="B140" s="437"/>
      <c r="C140" s="437"/>
      <c r="D140" s="437"/>
      <c r="E140" s="536"/>
      <c r="F140" s="437"/>
      <c r="G140" s="437"/>
      <c r="H140" s="437"/>
      <c r="I140" s="437"/>
      <c r="J140" s="437"/>
      <c r="K140" s="437"/>
      <c r="L140" s="437"/>
      <c r="M140" s="437"/>
      <c r="N140" s="437"/>
      <c r="O140" s="437"/>
      <c r="P140" s="437"/>
      <c r="Q140" s="437"/>
      <c r="R140" s="437"/>
      <c r="S140" s="437"/>
      <c r="T140" s="437"/>
    </row>
    <row r="141" spans="1:20" ht="15.75" customHeight="1" thickBot="1" x14ac:dyDescent="0.35">
      <c r="A141" s="437"/>
      <c r="B141" s="437"/>
      <c r="C141" s="437"/>
      <c r="D141" s="437"/>
      <c r="E141" s="536"/>
      <c r="F141" s="437"/>
      <c r="G141" s="437"/>
      <c r="H141" s="437"/>
      <c r="I141" s="437"/>
      <c r="J141" s="437"/>
      <c r="K141" s="437"/>
      <c r="L141" s="437"/>
      <c r="M141" s="437"/>
      <c r="N141" s="437"/>
      <c r="O141" s="437"/>
      <c r="P141" s="437"/>
      <c r="Q141" s="437"/>
      <c r="R141" s="437"/>
      <c r="S141" s="437"/>
      <c r="T141" s="437"/>
    </row>
    <row r="142" spans="1:20" ht="15.75" customHeight="1" thickBot="1" x14ac:dyDescent="0.35">
      <c r="A142" s="437"/>
      <c r="B142" s="437"/>
      <c r="C142" s="437"/>
      <c r="D142" s="437"/>
      <c r="E142" s="536"/>
      <c r="F142" s="437"/>
      <c r="G142" s="437"/>
      <c r="H142" s="437"/>
      <c r="I142" s="437"/>
      <c r="J142" s="437"/>
      <c r="K142" s="437"/>
      <c r="L142" s="437"/>
      <c r="M142" s="437"/>
      <c r="N142" s="437"/>
      <c r="O142" s="437"/>
      <c r="P142" s="437"/>
      <c r="Q142" s="437"/>
      <c r="R142" s="437"/>
      <c r="S142" s="437"/>
      <c r="T142" s="437"/>
    </row>
    <row r="143" spans="1:20" ht="15.75" customHeight="1" thickBot="1" x14ac:dyDescent="0.35">
      <c r="A143" s="437"/>
      <c r="B143" s="437"/>
      <c r="C143" s="437"/>
      <c r="D143" s="437"/>
      <c r="E143" s="536"/>
      <c r="F143" s="437"/>
      <c r="G143" s="437"/>
      <c r="H143" s="437"/>
      <c r="I143" s="437"/>
      <c r="J143" s="437"/>
      <c r="K143" s="437"/>
      <c r="L143" s="437"/>
      <c r="M143" s="437"/>
      <c r="N143" s="437"/>
      <c r="O143" s="437"/>
      <c r="P143" s="437"/>
      <c r="Q143" s="437"/>
      <c r="R143" s="437"/>
      <c r="S143" s="437"/>
      <c r="T143" s="437"/>
    </row>
    <row r="144" spans="1:20" ht="15.75" customHeight="1" thickBot="1" x14ac:dyDescent="0.35">
      <c r="A144" s="437"/>
      <c r="B144" s="437"/>
      <c r="C144" s="437"/>
      <c r="D144" s="437"/>
      <c r="E144" s="536"/>
      <c r="F144" s="437"/>
      <c r="G144" s="437"/>
      <c r="H144" s="437"/>
      <c r="I144" s="437"/>
      <c r="J144" s="437"/>
      <c r="K144" s="437"/>
      <c r="L144" s="437"/>
      <c r="M144" s="437"/>
      <c r="N144" s="437"/>
      <c r="O144" s="437"/>
      <c r="P144" s="437"/>
      <c r="Q144" s="437"/>
      <c r="R144" s="437"/>
      <c r="S144" s="437"/>
      <c r="T144" s="437"/>
    </row>
    <row r="145" spans="1:20" ht="15.75" customHeight="1" thickBot="1" x14ac:dyDescent="0.35">
      <c r="A145" s="437"/>
      <c r="B145" s="437"/>
      <c r="C145" s="437"/>
      <c r="D145" s="437"/>
      <c r="E145" s="536"/>
      <c r="F145" s="437"/>
      <c r="G145" s="437"/>
      <c r="H145" s="437"/>
      <c r="I145" s="437"/>
      <c r="J145" s="437"/>
      <c r="K145" s="437"/>
      <c r="L145" s="437"/>
      <c r="M145" s="437"/>
      <c r="N145" s="437"/>
      <c r="O145" s="437"/>
      <c r="P145" s="437"/>
      <c r="Q145" s="437"/>
      <c r="R145" s="437"/>
      <c r="S145" s="437"/>
      <c r="T145" s="437"/>
    </row>
    <row r="146" spans="1:20" ht="15.75" customHeight="1" thickBot="1" x14ac:dyDescent="0.35">
      <c r="A146" s="437"/>
      <c r="B146" s="437"/>
      <c r="C146" s="437"/>
      <c r="D146" s="437"/>
      <c r="E146" s="536"/>
      <c r="F146" s="437"/>
      <c r="G146" s="437"/>
      <c r="H146" s="437"/>
      <c r="I146" s="437"/>
      <c r="J146" s="437"/>
      <c r="K146" s="437"/>
      <c r="L146" s="437"/>
      <c r="M146" s="437"/>
      <c r="N146" s="437"/>
      <c r="O146" s="437"/>
      <c r="P146" s="437"/>
      <c r="Q146" s="437"/>
      <c r="R146" s="437"/>
      <c r="S146" s="437"/>
      <c r="T146" s="437"/>
    </row>
    <row r="147" spans="1:20" ht="15.75" customHeight="1" thickBot="1" x14ac:dyDescent="0.35">
      <c r="A147" s="437"/>
      <c r="B147" s="437"/>
      <c r="C147" s="437"/>
      <c r="D147" s="437"/>
      <c r="E147" s="536"/>
      <c r="F147" s="437"/>
      <c r="G147" s="437"/>
      <c r="H147" s="437"/>
      <c r="I147" s="437"/>
      <c r="J147" s="437"/>
      <c r="K147" s="437"/>
      <c r="L147" s="437"/>
      <c r="M147" s="437"/>
      <c r="N147" s="437"/>
      <c r="O147" s="437"/>
      <c r="P147" s="437"/>
      <c r="Q147" s="437"/>
      <c r="R147" s="437"/>
      <c r="S147" s="437"/>
      <c r="T147" s="437"/>
    </row>
    <row r="148" spans="1:20" ht="15.75" customHeight="1" thickBot="1" x14ac:dyDescent="0.35">
      <c r="A148" s="437"/>
      <c r="B148" s="437"/>
      <c r="C148" s="437"/>
      <c r="D148" s="437"/>
      <c r="E148" s="536"/>
      <c r="F148" s="437"/>
      <c r="G148" s="437"/>
      <c r="H148" s="437"/>
      <c r="I148" s="437"/>
      <c r="J148" s="437"/>
      <c r="K148" s="437"/>
      <c r="L148" s="437"/>
      <c r="M148" s="437"/>
      <c r="N148" s="437"/>
      <c r="O148" s="437"/>
      <c r="P148" s="437"/>
      <c r="Q148" s="437"/>
      <c r="R148" s="437"/>
      <c r="S148" s="437"/>
      <c r="T148" s="437"/>
    </row>
    <row r="149" spans="1:20" ht="15.75" customHeight="1" thickBot="1" x14ac:dyDescent="0.35">
      <c r="A149" s="437"/>
      <c r="B149" s="437"/>
      <c r="C149" s="437"/>
      <c r="D149" s="437"/>
      <c r="E149" s="536"/>
      <c r="F149" s="437"/>
      <c r="G149" s="437"/>
      <c r="H149" s="437"/>
      <c r="I149" s="437"/>
      <c r="J149" s="437"/>
      <c r="K149" s="437"/>
      <c r="L149" s="437"/>
      <c r="M149" s="437"/>
      <c r="N149" s="437"/>
      <c r="O149" s="437"/>
      <c r="P149" s="437"/>
      <c r="Q149" s="437"/>
      <c r="R149" s="437"/>
      <c r="S149" s="437"/>
      <c r="T149" s="437"/>
    </row>
    <row r="150" spans="1:20" ht="15.75" customHeight="1" thickBot="1" x14ac:dyDescent="0.35">
      <c r="A150" s="437"/>
      <c r="B150" s="437"/>
      <c r="C150" s="437"/>
      <c r="D150" s="437"/>
      <c r="E150" s="536"/>
      <c r="F150" s="437"/>
      <c r="G150" s="437"/>
      <c r="H150" s="437"/>
      <c r="I150" s="437"/>
      <c r="J150" s="437"/>
      <c r="K150" s="437"/>
      <c r="L150" s="437"/>
      <c r="M150" s="437"/>
      <c r="N150" s="437"/>
      <c r="O150" s="437"/>
      <c r="P150" s="437"/>
      <c r="Q150" s="437"/>
      <c r="R150" s="437"/>
      <c r="S150" s="437"/>
      <c r="T150" s="437"/>
    </row>
    <row r="151" spans="1:20" ht="15.75" customHeight="1" thickBot="1" x14ac:dyDescent="0.35">
      <c r="A151" s="437"/>
      <c r="B151" s="437"/>
      <c r="C151" s="437"/>
      <c r="D151" s="437"/>
      <c r="E151" s="536"/>
      <c r="F151" s="437"/>
      <c r="G151" s="437"/>
      <c r="H151" s="437"/>
      <c r="I151" s="437"/>
      <c r="J151" s="437"/>
      <c r="K151" s="437"/>
      <c r="L151" s="437"/>
      <c r="M151" s="437"/>
      <c r="N151" s="437"/>
      <c r="O151" s="437"/>
      <c r="P151" s="437"/>
      <c r="Q151" s="437"/>
      <c r="R151" s="437"/>
      <c r="S151" s="437"/>
      <c r="T151" s="437"/>
    </row>
    <row r="152" spans="1:20" ht="15.75" customHeight="1" thickBot="1" x14ac:dyDescent="0.35">
      <c r="A152" s="437"/>
      <c r="B152" s="437"/>
      <c r="C152" s="437"/>
      <c r="D152" s="437"/>
      <c r="E152" s="536"/>
      <c r="F152" s="437"/>
      <c r="G152" s="437"/>
      <c r="H152" s="437"/>
      <c r="I152" s="437"/>
      <c r="J152" s="437"/>
      <c r="K152" s="437"/>
      <c r="L152" s="437"/>
      <c r="M152" s="437"/>
      <c r="N152" s="437"/>
      <c r="O152" s="437"/>
      <c r="P152" s="437"/>
      <c r="Q152" s="437"/>
      <c r="R152" s="437"/>
      <c r="S152" s="437"/>
      <c r="T152" s="437"/>
    </row>
    <row r="153" spans="1:20" ht="15.75" customHeight="1" thickBot="1" x14ac:dyDescent="0.35">
      <c r="A153" s="437"/>
      <c r="B153" s="437"/>
      <c r="C153" s="437"/>
      <c r="D153" s="437"/>
      <c r="E153" s="536"/>
      <c r="F153" s="437"/>
      <c r="G153" s="437"/>
      <c r="H153" s="437"/>
      <c r="I153" s="437"/>
      <c r="J153" s="437"/>
      <c r="K153" s="437"/>
      <c r="L153" s="437"/>
      <c r="M153" s="437"/>
      <c r="N153" s="437"/>
      <c r="O153" s="437"/>
      <c r="P153" s="437"/>
      <c r="Q153" s="437"/>
      <c r="R153" s="437"/>
      <c r="S153" s="437"/>
      <c r="T153" s="437"/>
    </row>
    <row r="154" spans="1:20" ht="15.75" customHeight="1" thickBot="1" x14ac:dyDescent="0.35">
      <c r="A154" s="437"/>
      <c r="B154" s="437"/>
      <c r="C154" s="437"/>
      <c r="D154" s="437"/>
      <c r="E154" s="536"/>
      <c r="F154" s="437"/>
      <c r="G154" s="437"/>
      <c r="H154" s="437"/>
      <c r="I154" s="437"/>
      <c r="J154" s="437"/>
      <c r="K154" s="437"/>
      <c r="L154" s="437"/>
      <c r="M154" s="437"/>
      <c r="N154" s="437"/>
      <c r="O154" s="437"/>
      <c r="P154" s="437"/>
      <c r="Q154" s="437"/>
      <c r="R154" s="437"/>
      <c r="S154" s="437"/>
      <c r="T154" s="437"/>
    </row>
    <row r="155" spans="1:20" ht="15.75" customHeight="1" thickBot="1" x14ac:dyDescent="0.35">
      <c r="A155" s="437"/>
      <c r="B155" s="437"/>
      <c r="C155" s="437"/>
      <c r="D155" s="437"/>
      <c r="E155" s="536"/>
      <c r="F155" s="437"/>
      <c r="G155" s="437"/>
      <c r="H155" s="437"/>
      <c r="I155" s="437"/>
      <c r="J155" s="437"/>
      <c r="K155" s="437"/>
      <c r="L155" s="437"/>
      <c r="M155" s="437"/>
      <c r="N155" s="437"/>
      <c r="O155" s="437"/>
      <c r="P155" s="437"/>
      <c r="Q155" s="437"/>
      <c r="R155" s="437"/>
      <c r="S155" s="437"/>
      <c r="T155" s="437"/>
    </row>
    <row r="156" spans="1:20" ht="15.75" customHeight="1" thickBot="1" x14ac:dyDescent="0.35">
      <c r="A156" s="437"/>
      <c r="B156" s="437"/>
      <c r="C156" s="437"/>
      <c r="D156" s="437"/>
      <c r="E156" s="536"/>
      <c r="F156" s="437"/>
      <c r="G156" s="437"/>
      <c r="H156" s="437"/>
      <c r="I156" s="437"/>
      <c r="J156" s="437"/>
      <c r="K156" s="437"/>
      <c r="L156" s="437"/>
      <c r="M156" s="437"/>
      <c r="N156" s="437"/>
      <c r="O156" s="437"/>
      <c r="P156" s="437"/>
      <c r="Q156" s="437"/>
      <c r="R156" s="437"/>
      <c r="S156" s="437"/>
      <c r="T156" s="437"/>
    </row>
    <row r="157" spans="1:20" ht="15.75" customHeight="1" thickBot="1" x14ac:dyDescent="0.35">
      <c r="A157" s="437"/>
      <c r="B157" s="437"/>
      <c r="C157" s="437"/>
      <c r="D157" s="437"/>
      <c r="E157" s="536"/>
      <c r="F157" s="437"/>
      <c r="G157" s="437"/>
      <c r="H157" s="437"/>
      <c r="I157" s="437"/>
      <c r="J157" s="437"/>
      <c r="K157" s="437"/>
      <c r="L157" s="437"/>
      <c r="M157" s="437"/>
      <c r="N157" s="437"/>
      <c r="O157" s="437"/>
      <c r="P157" s="437"/>
      <c r="Q157" s="437"/>
      <c r="R157" s="437"/>
      <c r="S157" s="437"/>
      <c r="T157" s="437"/>
    </row>
    <row r="158" spans="1:20" ht="15.75" customHeight="1" thickBot="1" x14ac:dyDescent="0.35">
      <c r="A158" s="437"/>
      <c r="B158" s="437"/>
      <c r="C158" s="437"/>
      <c r="D158" s="437"/>
      <c r="E158" s="536"/>
      <c r="F158" s="437"/>
      <c r="G158" s="437"/>
      <c r="H158" s="437"/>
      <c r="I158" s="437"/>
      <c r="J158" s="437"/>
      <c r="K158" s="437"/>
      <c r="L158" s="437"/>
      <c r="M158" s="437"/>
      <c r="N158" s="437"/>
      <c r="O158" s="437"/>
      <c r="P158" s="437"/>
      <c r="Q158" s="437"/>
      <c r="R158" s="437"/>
      <c r="S158" s="437"/>
      <c r="T158" s="437"/>
    </row>
    <row r="159" spans="1:20" ht="15.75" customHeight="1" thickBot="1" x14ac:dyDescent="0.35">
      <c r="A159" s="437"/>
      <c r="B159" s="437"/>
      <c r="C159" s="437"/>
      <c r="D159" s="437"/>
      <c r="E159" s="536"/>
      <c r="F159" s="437"/>
      <c r="G159" s="437"/>
      <c r="H159" s="437"/>
      <c r="I159" s="437"/>
      <c r="J159" s="437"/>
      <c r="K159" s="437"/>
      <c r="L159" s="437"/>
      <c r="M159" s="437"/>
      <c r="N159" s="437"/>
      <c r="O159" s="437"/>
      <c r="P159" s="437"/>
      <c r="Q159" s="437"/>
      <c r="R159" s="437"/>
      <c r="S159" s="437"/>
      <c r="T159" s="437"/>
    </row>
    <row r="160" spans="1:20" ht="15.75" customHeight="1" thickBot="1" x14ac:dyDescent="0.35">
      <c r="A160" s="437"/>
      <c r="B160" s="437"/>
      <c r="C160" s="437"/>
      <c r="D160" s="437"/>
      <c r="E160" s="536"/>
      <c r="F160" s="437"/>
      <c r="G160" s="437"/>
      <c r="H160" s="437"/>
      <c r="I160" s="437"/>
      <c r="J160" s="437"/>
      <c r="K160" s="437"/>
      <c r="L160" s="437"/>
      <c r="M160" s="437"/>
      <c r="N160" s="437"/>
      <c r="O160" s="437"/>
      <c r="P160" s="437"/>
      <c r="Q160" s="437"/>
      <c r="R160" s="437"/>
      <c r="S160" s="437"/>
      <c r="T160" s="437"/>
    </row>
    <row r="161" spans="1:20" ht="15.75" customHeight="1" thickBot="1" x14ac:dyDescent="0.35">
      <c r="A161" s="437"/>
      <c r="B161" s="437"/>
      <c r="C161" s="437"/>
      <c r="D161" s="437"/>
      <c r="E161" s="536"/>
      <c r="F161" s="437"/>
      <c r="G161" s="437"/>
      <c r="H161" s="437"/>
      <c r="I161" s="437"/>
      <c r="J161" s="437"/>
      <c r="K161" s="437"/>
      <c r="L161" s="437"/>
      <c r="M161" s="437"/>
      <c r="N161" s="437"/>
      <c r="O161" s="437"/>
      <c r="P161" s="437"/>
      <c r="Q161" s="437"/>
      <c r="R161" s="437"/>
      <c r="S161" s="437"/>
      <c r="T161" s="437"/>
    </row>
    <row r="162" spans="1:20" ht="15.75" customHeight="1" thickBot="1" x14ac:dyDescent="0.35">
      <c r="A162" s="437"/>
      <c r="B162" s="437"/>
      <c r="C162" s="437"/>
      <c r="D162" s="437"/>
      <c r="E162" s="536"/>
      <c r="F162" s="437"/>
      <c r="G162" s="437"/>
      <c r="H162" s="437"/>
      <c r="I162" s="437"/>
      <c r="J162" s="437"/>
      <c r="K162" s="437"/>
      <c r="L162" s="437"/>
      <c r="M162" s="437"/>
      <c r="N162" s="437"/>
      <c r="O162" s="437"/>
      <c r="P162" s="437"/>
      <c r="Q162" s="437"/>
      <c r="R162" s="437"/>
      <c r="S162" s="437"/>
      <c r="T162" s="437"/>
    </row>
    <row r="163" spans="1:20" ht="15.75" customHeight="1" thickBot="1" x14ac:dyDescent="0.35">
      <c r="A163" s="437"/>
      <c r="B163" s="437"/>
      <c r="C163" s="437"/>
      <c r="D163" s="437"/>
      <c r="E163" s="536"/>
      <c r="F163" s="437"/>
      <c r="G163" s="437"/>
      <c r="H163" s="437"/>
      <c r="I163" s="437"/>
      <c r="J163" s="437"/>
      <c r="K163" s="437"/>
      <c r="L163" s="437"/>
      <c r="M163" s="437"/>
      <c r="N163" s="437"/>
      <c r="O163" s="437"/>
      <c r="P163" s="437"/>
      <c r="Q163" s="437"/>
      <c r="R163" s="437"/>
      <c r="S163" s="437"/>
      <c r="T163" s="437"/>
    </row>
    <row r="164" spans="1:20" ht="15.75" customHeight="1" thickBot="1" x14ac:dyDescent="0.35">
      <c r="A164" s="437"/>
      <c r="B164" s="437"/>
      <c r="C164" s="437"/>
      <c r="D164" s="437"/>
      <c r="E164" s="536"/>
      <c r="F164" s="437"/>
      <c r="G164" s="437"/>
      <c r="H164" s="437"/>
      <c r="I164" s="437"/>
      <c r="J164" s="437"/>
      <c r="K164" s="437"/>
      <c r="L164" s="437"/>
      <c r="M164" s="437"/>
      <c r="N164" s="437"/>
      <c r="O164" s="437"/>
      <c r="P164" s="437"/>
      <c r="Q164" s="437"/>
      <c r="R164" s="437"/>
      <c r="S164" s="437"/>
      <c r="T164" s="437"/>
    </row>
    <row r="165" spans="1:20" ht="15.75" customHeight="1" thickBot="1" x14ac:dyDescent="0.35">
      <c r="A165" s="437"/>
      <c r="B165" s="437"/>
      <c r="C165" s="437"/>
      <c r="D165" s="437"/>
      <c r="E165" s="536"/>
      <c r="F165" s="437"/>
      <c r="G165" s="437"/>
      <c r="H165" s="437"/>
      <c r="I165" s="437"/>
      <c r="J165" s="437"/>
      <c r="K165" s="437"/>
      <c r="L165" s="437"/>
      <c r="M165" s="437"/>
      <c r="N165" s="437"/>
      <c r="O165" s="437"/>
      <c r="P165" s="437"/>
      <c r="Q165" s="437"/>
      <c r="R165" s="437"/>
      <c r="S165" s="437"/>
      <c r="T165" s="437"/>
    </row>
    <row r="166" spans="1:20" ht="15.75" customHeight="1" thickBot="1" x14ac:dyDescent="0.35">
      <c r="A166" s="437"/>
      <c r="B166" s="437"/>
      <c r="C166" s="437"/>
      <c r="D166" s="437"/>
      <c r="E166" s="536"/>
      <c r="F166" s="437"/>
      <c r="G166" s="437"/>
      <c r="H166" s="437"/>
      <c r="I166" s="437"/>
      <c r="J166" s="437"/>
      <c r="K166" s="437"/>
      <c r="L166" s="437"/>
      <c r="M166" s="437"/>
      <c r="N166" s="437"/>
      <c r="O166" s="437"/>
      <c r="P166" s="437"/>
      <c r="Q166" s="437"/>
      <c r="R166" s="437"/>
      <c r="S166" s="437"/>
      <c r="T166" s="437"/>
    </row>
    <row r="167" spans="1:20" ht="15.75" customHeight="1" thickBot="1" x14ac:dyDescent="0.35">
      <c r="A167" s="437"/>
      <c r="B167" s="437"/>
      <c r="C167" s="437"/>
      <c r="D167" s="437"/>
      <c r="E167" s="536"/>
      <c r="F167" s="437"/>
      <c r="G167" s="437"/>
      <c r="H167" s="437"/>
      <c r="I167" s="437"/>
      <c r="J167" s="437"/>
      <c r="K167" s="437"/>
      <c r="L167" s="437"/>
      <c r="M167" s="437"/>
      <c r="N167" s="437"/>
      <c r="O167" s="437"/>
      <c r="P167" s="437"/>
      <c r="Q167" s="437"/>
      <c r="R167" s="437"/>
      <c r="S167" s="437"/>
      <c r="T167" s="437"/>
    </row>
    <row r="168" spans="1:20" ht="15.75" customHeight="1" thickBot="1" x14ac:dyDescent="0.35">
      <c r="A168" s="437"/>
      <c r="B168" s="437"/>
      <c r="C168" s="437"/>
      <c r="D168" s="437"/>
      <c r="E168" s="536"/>
      <c r="F168" s="437"/>
      <c r="G168" s="437"/>
      <c r="H168" s="437"/>
      <c r="I168" s="437"/>
      <c r="J168" s="437"/>
      <c r="K168" s="437"/>
      <c r="L168" s="437"/>
      <c r="M168" s="437"/>
      <c r="N168" s="437"/>
      <c r="O168" s="437"/>
      <c r="P168" s="437"/>
      <c r="Q168" s="437"/>
      <c r="R168" s="437"/>
      <c r="S168" s="437"/>
      <c r="T168" s="437"/>
    </row>
    <row r="169" spans="1:20" ht="15.75" customHeight="1" thickBot="1" x14ac:dyDescent="0.35">
      <c r="A169" s="437"/>
      <c r="B169" s="437"/>
      <c r="C169" s="437"/>
      <c r="D169" s="437"/>
      <c r="E169" s="536"/>
      <c r="F169" s="437"/>
      <c r="G169" s="437"/>
      <c r="H169" s="437"/>
      <c r="I169" s="437"/>
      <c r="J169" s="437"/>
      <c r="K169" s="437"/>
      <c r="L169" s="437"/>
      <c r="M169" s="437"/>
      <c r="N169" s="437"/>
      <c r="O169" s="437"/>
      <c r="P169" s="437"/>
      <c r="Q169" s="437"/>
      <c r="R169" s="437"/>
      <c r="S169" s="437"/>
      <c r="T169" s="437"/>
    </row>
    <row r="170" spans="1:20" ht="15.75" customHeight="1" thickBot="1" x14ac:dyDescent="0.35">
      <c r="A170" s="437"/>
      <c r="B170" s="437"/>
      <c r="C170" s="437"/>
      <c r="D170" s="437"/>
      <c r="E170" s="536"/>
      <c r="F170" s="437"/>
      <c r="G170" s="437"/>
      <c r="H170" s="437"/>
      <c r="I170" s="437"/>
      <c r="J170" s="437"/>
      <c r="K170" s="437"/>
      <c r="L170" s="437"/>
      <c r="M170" s="437"/>
      <c r="N170" s="437"/>
      <c r="O170" s="437"/>
      <c r="P170" s="437"/>
      <c r="Q170" s="437"/>
      <c r="R170" s="437"/>
      <c r="S170" s="437"/>
      <c r="T170" s="437"/>
    </row>
    <row r="171" spans="1:20" ht="15.75" customHeight="1" thickBot="1" x14ac:dyDescent="0.35">
      <c r="A171" s="437"/>
      <c r="B171" s="437"/>
      <c r="C171" s="437"/>
      <c r="D171" s="437"/>
      <c r="E171" s="536"/>
      <c r="F171" s="437"/>
      <c r="G171" s="437"/>
      <c r="H171" s="437"/>
      <c r="I171" s="437"/>
      <c r="J171" s="437"/>
      <c r="K171" s="437"/>
      <c r="L171" s="437"/>
      <c r="M171" s="437"/>
      <c r="N171" s="437"/>
      <c r="O171" s="437"/>
      <c r="P171" s="437"/>
      <c r="Q171" s="437"/>
      <c r="R171" s="437"/>
      <c r="S171" s="437"/>
      <c r="T171" s="437"/>
    </row>
    <row r="172" spans="1:20" ht="15.75" customHeight="1" thickBot="1" x14ac:dyDescent="0.35">
      <c r="A172" s="437"/>
      <c r="B172" s="437"/>
      <c r="C172" s="437"/>
      <c r="D172" s="437"/>
      <c r="E172" s="536"/>
      <c r="F172" s="437"/>
      <c r="G172" s="437"/>
      <c r="H172" s="437"/>
      <c r="I172" s="437"/>
      <c r="J172" s="437"/>
      <c r="K172" s="437"/>
      <c r="L172" s="437"/>
      <c r="M172" s="437"/>
      <c r="N172" s="437"/>
      <c r="O172" s="437"/>
      <c r="P172" s="437"/>
      <c r="Q172" s="437"/>
      <c r="R172" s="437"/>
      <c r="S172" s="437"/>
      <c r="T172" s="437"/>
    </row>
    <row r="173" spans="1:20" ht="15.75" customHeight="1" thickBot="1" x14ac:dyDescent="0.35">
      <c r="A173" s="437"/>
      <c r="B173" s="437"/>
      <c r="C173" s="437"/>
      <c r="D173" s="437"/>
      <c r="E173" s="536"/>
      <c r="F173" s="437"/>
      <c r="G173" s="437"/>
      <c r="H173" s="437"/>
      <c r="I173" s="437"/>
      <c r="J173" s="437"/>
      <c r="K173" s="437"/>
      <c r="L173" s="437"/>
      <c r="M173" s="437"/>
      <c r="N173" s="437"/>
      <c r="O173" s="437"/>
      <c r="P173" s="437"/>
      <c r="Q173" s="437"/>
      <c r="R173" s="437"/>
      <c r="S173" s="437"/>
      <c r="T173" s="437"/>
    </row>
    <row r="174" spans="1:20" ht="15.75" customHeight="1" thickBot="1" x14ac:dyDescent="0.35">
      <c r="A174" s="437"/>
      <c r="B174" s="437"/>
      <c r="C174" s="437"/>
      <c r="D174" s="437"/>
      <c r="E174" s="536"/>
      <c r="F174" s="437"/>
      <c r="G174" s="437"/>
      <c r="H174" s="437"/>
      <c r="I174" s="437"/>
      <c r="J174" s="437"/>
      <c r="K174" s="437"/>
      <c r="L174" s="437"/>
      <c r="M174" s="437"/>
      <c r="N174" s="437"/>
      <c r="O174" s="437"/>
      <c r="P174" s="437"/>
      <c r="Q174" s="437"/>
      <c r="R174" s="437"/>
      <c r="S174" s="437"/>
      <c r="T174" s="437"/>
    </row>
    <row r="175" spans="1:20" ht="15.75" customHeight="1" thickBot="1" x14ac:dyDescent="0.35">
      <c r="A175" s="437"/>
      <c r="B175" s="437"/>
      <c r="C175" s="437"/>
      <c r="D175" s="437"/>
      <c r="E175" s="536"/>
      <c r="F175" s="437"/>
      <c r="G175" s="437"/>
      <c r="H175" s="437"/>
      <c r="I175" s="437"/>
      <c r="J175" s="437"/>
      <c r="K175" s="437"/>
      <c r="L175" s="437"/>
      <c r="M175" s="437"/>
      <c r="N175" s="437"/>
      <c r="O175" s="437"/>
      <c r="P175" s="437"/>
      <c r="Q175" s="437"/>
      <c r="R175" s="437"/>
      <c r="S175" s="437"/>
      <c r="T175" s="437"/>
    </row>
    <row r="176" spans="1:20" ht="15.75" customHeight="1" thickBot="1" x14ac:dyDescent="0.35">
      <c r="A176" s="437"/>
      <c r="B176" s="437"/>
      <c r="C176" s="437"/>
      <c r="D176" s="437"/>
      <c r="E176" s="536"/>
      <c r="F176" s="437"/>
      <c r="G176" s="437"/>
      <c r="H176" s="437"/>
      <c r="I176" s="437"/>
      <c r="J176" s="437"/>
      <c r="K176" s="437"/>
      <c r="L176" s="437"/>
      <c r="M176" s="437"/>
      <c r="N176" s="437"/>
      <c r="O176" s="437"/>
      <c r="P176" s="437"/>
      <c r="Q176" s="437"/>
      <c r="R176" s="437"/>
      <c r="S176" s="437"/>
      <c r="T176" s="437"/>
    </row>
    <row r="177" spans="1:20" ht="15.75" customHeight="1" thickBot="1" x14ac:dyDescent="0.35">
      <c r="A177" s="437"/>
      <c r="B177" s="437"/>
      <c r="C177" s="437"/>
      <c r="D177" s="437"/>
      <c r="E177" s="536"/>
      <c r="F177" s="437"/>
      <c r="G177" s="437"/>
      <c r="H177" s="437"/>
      <c r="I177" s="437"/>
      <c r="J177" s="437"/>
      <c r="K177" s="437"/>
      <c r="L177" s="437"/>
      <c r="M177" s="437"/>
      <c r="N177" s="437"/>
      <c r="O177" s="437"/>
      <c r="P177" s="437"/>
      <c r="Q177" s="437"/>
      <c r="R177" s="437"/>
      <c r="S177" s="437"/>
      <c r="T177" s="437"/>
    </row>
    <row r="178" spans="1:20" ht="15.75" customHeight="1" thickBot="1" x14ac:dyDescent="0.35">
      <c r="A178" s="437"/>
      <c r="B178" s="437"/>
      <c r="C178" s="437"/>
      <c r="D178" s="437"/>
      <c r="E178" s="536"/>
      <c r="F178" s="437"/>
      <c r="G178" s="437"/>
      <c r="H178" s="437"/>
      <c r="I178" s="437"/>
      <c r="J178" s="437"/>
      <c r="K178" s="437"/>
      <c r="L178" s="437"/>
      <c r="M178" s="437"/>
      <c r="N178" s="437"/>
      <c r="O178" s="437"/>
      <c r="P178" s="437"/>
      <c r="Q178" s="437"/>
      <c r="R178" s="437"/>
      <c r="S178" s="437"/>
      <c r="T178" s="437"/>
    </row>
    <row r="179" spans="1:20" ht="15.75" customHeight="1" thickBot="1" x14ac:dyDescent="0.35">
      <c r="A179" s="437"/>
      <c r="B179" s="437"/>
      <c r="C179" s="437"/>
      <c r="D179" s="437"/>
      <c r="E179" s="536"/>
      <c r="F179" s="437"/>
      <c r="G179" s="437"/>
      <c r="H179" s="437"/>
      <c r="I179" s="437"/>
      <c r="J179" s="437"/>
      <c r="K179" s="437"/>
      <c r="L179" s="437"/>
      <c r="M179" s="437"/>
      <c r="N179" s="437"/>
      <c r="O179" s="437"/>
      <c r="P179" s="437"/>
      <c r="Q179" s="437"/>
      <c r="R179" s="437"/>
      <c r="S179" s="437"/>
      <c r="T179" s="437"/>
    </row>
    <row r="180" spans="1:20" ht="15.75" customHeight="1" thickBot="1" x14ac:dyDescent="0.35">
      <c r="A180" s="437"/>
      <c r="B180" s="437"/>
      <c r="C180" s="437"/>
      <c r="D180" s="437"/>
      <c r="E180" s="536"/>
      <c r="F180" s="437"/>
      <c r="G180" s="437"/>
      <c r="H180" s="437"/>
      <c r="I180" s="437"/>
      <c r="J180" s="437"/>
      <c r="K180" s="437"/>
      <c r="L180" s="437"/>
      <c r="M180" s="437"/>
      <c r="N180" s="437"/>
      <c r="O180" s="437"/>
      <c r="P180" s="437"/>
      <c r="Q180" s="437"/>
      <c r="R180" s="437"/>
      <c r="S180" s="437"/>
      <c r="T180" s="437"/>
    </row>
    <row r="181" spans="1:20" ht="15.75" customHeight="1" thickBot="1" x14ac:dyDescent="0.35">
      <c r="A181" s="437"/>
      <c r="B181" s="437"/>
      <c r="C181" s="437"/>
      <c r="D181" s="437"/>
      <c r="E181" s="536"/>
      <c r="F181" s="437"/>
      <c r="G181" s="437"/>
      <c r="H181" s="437"/>
      <c r="I181" s="437"/>
      <c r="J181" s="437"/>
      <c r="K181" s="437"/>
      <c r="L181" s="437"/>
      <c r="M181" s="437"/>
      <c r="N181" s="437"/>
      <c r="O181" s="437"/>
      <c r="P181" s="437"/>
      <c r="Q181" s="437"/>
      <c r="R181" s="437"/>
      <c r="S181" s="437"/>
      <c r="T181" s="437"/>
    </row>
    <row r="182" spans="1:20" ht="15.75" customHeight="1" thickBot="1" x14ac:dyDescent="0.35">
      <c r="A182" s="437"/>
      <c r="B182" s="437"/>
      <c r="C182" s="437"/>
      <c r="D182" s="437"/>
      <c r="E182" s="536"/>
      <c r="F182" s="437"/>
      <c r="G182" s="437"/>
      <c r="H182" s="437"/>
      <c r="I182" s="437"/>
      <c r="J182" s="437"/>
      <c r="K182" s="437"/>
      <c r="L182" s="437"/>
      <c r="M182" s="437"/>
      <c r="N182" s="437"/>
      <c r="O182" s="437"/>
      <c r="P182" s="437"/>
      <c r="Q182" s="437"/>
      <c r="R182" s="437"/>
      <c r="S182" s="437"/>
      <c r="T182" s="437"/>
    </row>
    <row r="183" spans="1:20" ht="15.75" customHeight="1" thickBot="1" x14ac:dyDescent="0.35">
      <c r="A183" s="437"/>
      <c r="B183" s="437"/>
      <c r="C183" s="437"/>
      <c r="D183" s="437"/>
      <c r="E183" s="536"/>
      <c r="F183" s="437"/>
      <c r="G183" s="437"/>
      <c r="H183" s="437"/>
      <c r="I183" s="437"/>
      <c r="J183" s="437"/>
      <c r="K183" s="437"/>
      <c r="L183" s="437"/>
      <c r="M183" s="437"/>
      <c r="N183" s="437"/>
      <c r="O183" s="437"/>
      <c r="P183" s="437"/>
      <c r="Q183" s="437"/>
      <c r="R183" s="437"/>
      <c r="S183" s="437"/>
      <c r="T183" s="437"/>
    </row>
    <row r="184" spans="1:20" ht="15.75" customHeight="1" thickBot="1" x14ac:dyDescent="0.35">
      <c r="A184" s="437"/>
      <c r="B184" s="437"/>
      <c r="C184" s="437"/>
      <c r="D184" s="437"/>
      <c r="E184" s="536"/>
      <c r="F184" s="437"/>
      <c r="G184" s="437"/>
      <c r="H184" s="437"/>
      <c r="I184" s="437"/>
      <c r="J184" s="437"/>
      <c r="K184" s="437"/>
      <c r="L184" s="437"/>
      <c r="M184" s="437"/>
      <c r="N184" s="437"/>
      <c r="O184" s="437"/>
      <c r="P184" s="437"/>
      <c r="Q184" s="437"/>
      <c r="R184" s="437"/>
      <c r="S184" s="437"/>
      <c r="T184" s="437"/>
    </row>
    <row r="185" spans="1:20" ht="15.75" customHeight="1" thickBot="1" x14ac:dyDescent="0.35">
      <c r="A185" s="437"/>
      <c r="B185" s="437"/>
      <c r="C185" s="437"/>
      <c r="D185" s="437"/>
      <c r="E185" s="536"/>
      <c r="F185" s="437"/>
      <c r="G185" s="437"/>
      <c r="H185" s="437"/>
      <c r="I185" s="437"/>
      <c r="J185" s="437"/>
      <c r="K185" s="437"/>
      <c r="L185" s="437"/>
      <c r="M185" s="437"/>
      <c r="N185" s="437"/>
      <c r="O185" s="437"/>
      <c r="P185" s="437"/>
      <c r="Q185" s="437"/>
      <c r="R185" s="437"/>
      <c r="S185" s="437"/>
      <c r="T185" s="437"/>
    </row>
    <row r="186" spans="1:20" ht="15.75" customHeight="1" thickBot="1" x14ac:dyDescent="0.35">
      <c r="A186" s="437"/>
      <c r="B186" s="437"/>
      <c r="C186" s="437"/>
      <c r="D186" s="437"/>
      <c r="E186" s="536"/>
      <c r="F186" s="437"/>
      <c r="G186" s="437"/>
      <c r="H186" s="437"/>
      <c r="I186" s="437"/>
      <c r="J186" s="437"/>
      <c r="K186" s="437"/>
      <c r="L186" s="437"/>
      <c r="M186" s="437"/>
      <c r="N186" s="437"/>
      <c r="O186" s="437"/>
      <c r="P186" s="437"/>
      <c r="Q186" s="437"/>
      <c r="R186" s="437"/>
      <c r="S186" s="437"/>
      <c r="T186" s="437"/>
    </row>
    <row r="187" spans="1:20" ht="15.75" customHeight="1" thickBot="1" x14ac:dyDescent="0.35">
      <c r="A187" s="437"/>
      <c r="B187" s="437"/>
      <c r="C187" s="437"/>
      <c r="D187" s="437"/>
      <c r="E187" s="536"/>
      <c r="F187" s="437"/>
      <c r="G187" s="437"/>
      <c r="H187" s="437"/>
      <c r="I187" s="437"/>
      <c r="J187" s="437"/>
      <c r="K187" s="437"/>
      <c r="L187" s="437"/>
      <c r="M187" s="437"/>
      <c r="N187" s="437"/>
      <c r="O187" s="437"/>
      <c r="P187" s="437"/>
      <c r="Q187" s="437"/>
      <c r="R187" s="437"/>
      <c r="S187" s="437"/>
      <c r="T187" s="437"/>
    </row>
    <row r="188" spans="1:20" ht="15.75" customHeight="1" thickBot="1" x14ac:dyDescent="0.35">
      <c r="A188" s="437"/>
      <c r="B188" s="437"/>
      <c r="C188" s="437"/>
      <c r="D188" s="437"/>
      <c r="E188" s="536"/>
      <c r="F188" s="437"/>
      <c r="G188" s="437"/>
      <c r="H188" s="437"/>
      <c r="I188" s="437"/>
      <c r="J188" s="437"/>
      <c r="K188" s="437"/>
      <c r="L188" s="437"/>
      <c r="M188" s="437"/>
      <c r="N188" s="437"/>
      <c r="O188" s="437"/>
      <c r="P188" s="437"/>
      <c r="Q188" s="437"/>
      <c r="R188" s="437"/>
      <c r="S188" s="437"/>
      <c r="T188" s="437"/>
    </row>
    <row r="189" spans="1:20" ht="15.75" customHeight="1" thickBot="1" x14ac:dyDescent="0.35">
      <c r="A189" s="437"/>
      <c r="B189" s="437"/>
      <c r="C189" s="437"/>
      <c r="D189" s="437"/>
      <c r="E189" s="536"/>
      <c r="F189" s="437"/>
      <c r="G189" s="437"/>
      <c r="H189" s="437"/>
      <c r="I189" s="437"/>
      <c r="J189" s="437"/>
      <c r="K189" s="437"/>
      <c r="L189" s="437"/>
      <c r="M189" s="437"/>
      <c r="N189" s="437"/>
      <c r="O189" s="437"/>
      <c r="P189" s="437"/>
      <c r="Q189" s="437"/>
      <c r="R189" s="437"/>
      <c r="S189" s="437"/>
      <c r="T189" s="437"/>
    </row>
    <row r="190" spans="1:20" ht="15.75" customHeight="1" thickBot="1" x14ac:dyDescent="0.35">
      <c r="A190" s="437"/>
      <c r="B190" s="437"/>
      <c r="C190" s="437"/>
      <c r="D190" s="437"/>
      <c r="E190" s="536"/>
      <c r="F190" s="437"/>
      <c r="G190" s="437"/>
      <c r="H190" s="437"/>
      <c r="I190" s="437"/>
      <c r="J190" s="437"/>
      <c r="K190" s="437"/>
      <c r="L190" s="437"/>
      <c r="M190" s="437"/>
      <c r="N190" s="437"/>
      <c r="O190" s="437"/>
      <c r="P190" s="437"/>
      <c r="Q190" s="437"/>
      <c r="R190" s="437"/>
      <c r="S190" s="437"/>
      <c r="T190" s="437"/>
    </row>
    <row r="191" spans="1:20" ht="15.75" customHeight="1" thickBot="1" x14ac:dyDescent="0.35">
      <c r="A191" s="437"/>
      <c r="B191" s="437"/>
      <c r="C191" s="437"/>
      <c r="D191" s="437"/>
      <c r="E191" s="536"/>
      <c r="F191" s="437"/>
      <c r="G191" s="437"/>
      <c r="H191" s="437"/>
      <c r="I191" s="437"/>
      <c r="J191" s="437"/>
      <c r="K191" s="437"/>
      <c r="L191" s="437"/>
      <c r="M191" s="437"/>
      <c r="N191" s="437"/>
      <c r="O191" s="437"/>
      <c r="P191" s="437"/>
      <c r="Q191" s="437"/>
      <c r="R191" s="437"/>
      <c r="S191" s="437"/>
      <c r="T191" s="437"/>
    </row>
    <row r="192" spans="1:20" ht="15.75" customHeight="1" thickBot="1" x14ac:dyDescent="0.35">
      <c r="A192" s="437"/>
      <c r="B192" s="437"/>
      <c r="C192" s="437"/>
      <c r="D192" s="437"/>
      <c r="E192" s="536"/>
      <c r="F192" s="437"/>
      <c r="G192" s="437"/>
      <c r="H192" s="437"/>
      <c r="I192" s="437"/>
      <c r="J192" s="437"/>
      <c r="K192" s="437"/>
      <c r="L192" s="437"/>
      <c r="M192" s="437"/>
      <c r="N192" s="437"/>
      <c r="O192" s="437"/>
      <c r="P192" s="437"/>
      <c r="Q192" s="437"/>
      <c r="R192" s="437"/>
      <c r="S192" s="437"/>
      <c r="T192" s="437"/>
    </row>
    <row r="193" spans="1:20" ht="15.75" customHeight="1" thickBot="1" x14ac:dyDescent="0.35">
      <c r="A193" s="437"/>
      <c r="B193" s="437"/>
      <c r="C193" s="437"/>
      <c r="D193" s="437"/>
      <c r="E193" s="536"/>
      <c r="F193" s="437"/>
      <c r="G193" s="437"/>
      <c r="H193" s="437"/>
      <c r="I193" s="437"/>
      <c r="J193" s="437"/>
      <c r="K193" s="437"/>
      <c r="L193" s="437"/>
      <c r="M193" s="437"/>
      <c r="N193" s="437"/>
      <c r="O193" s="437"/>
      <c r="P193" s="437"/>
      <c r="Q193" s="437"/>
      <c r="R193" s="437"/>
      <c r="S193" s="437"/>
      <c r="T193" s="437"/>
    </row>
    <row r="194" spans="1:20" ht="15.75" customHeight="1" thickBot="1" x14ac:dyDescent="0.35">
      <c r="A194" s="437"/>
      <c r="B194" s="437"/>
      <c r="C194" s="437"/>
      <c r="D194" s="437"/>
      <c r="E194" s="536"/>
      <c r="F194" s="437"/>
      <c r="G194" s="437"/>
      <c r="H194" s="437"/>
      <c r="I194" s="437"/>
      <c r="J194" s="437"/>
      <c r="K194" s="437"/>
      <c r="L194" s="437"/>
      <c r="M194" s="437"/>
      <c r="N194" s="437"/>
      <c r="O194" s="437"/>
      <c r="P194" s="437"/>
      <c r="Q194" s="437"/>
      <c r="R194" s="437"/>
      <c r="S194" s="437"/>
      <c r="T194" s="437"/>
    </row>
    <row r="195" spans="1:20" ht="15.75" customHeight="1" thickBot="1" x14ac:dyDescent="0.35">
      <c r="A195" s="437"/>
      <c r="B195" s="437"/>
      <c r="C195" s="437"/>
      <c r="D195" s="437"/>
      <c r="E195" s="536"/>
      <c r="F195" s="437"/>
      <c r="G195" s="437"/>
      <c r="H195" s="437"/>
      <c r="I195" s="437"/>
      <c r="J195" s="437"/>
      <c r="K195" s="437"/>
      <c r="L195" s="437"/>
      <c r="M195" s="437"/>
      <c r="N195" s="437"/>
      <c r="O195" s="437"/>
      <c r="P195" s="437"/>
      <c r="Q195" s="437"/>
      <c r="R195" s="437"/>
      <c r="S195" s="437"/>
      <c r="T195" s="437"/>
    </row>
    <row r="196" spans="1:20" ht="15.75" customHeight="1" thickBot="1" x14ac:dyDescent="0.35">
      <c r="A196" s="437"/>
      <c r="B196" s="437"/>
      <c r="C196" s="437"/>
      <c r="D196" s="437"/>
      <c r="E196" s="536"/>
      <c r="F196" s="437"/>
      <c r="G196" s="437"/>
      <c r="H196" s="437"/>
      <c r="I196" s="437"/>
      <c r="J196" s="437"/>
      <c r="K196" s="437"/>
      <c r="L196" s="437"/>
      <c r="M196" s="437"/>
      <c r="N196" s="437"/>
      <c r="O196" s="437"/>
      <c r="P196" s="437"/>
      <c r="Q196" s="437"/>
      <c r="R196" s="437"/>
      <c r="S196" s="437"/>
      <c r="T196" s="437"/>
    </row>
    <row r="197" spans="1:20" ht="15.75" customHeight="1" thickBot="1" x14ac:dyDescent="0.35">
      <c r="A197" s="437"/>
      <c r="B197" s="437"/>
      <c r="C197" s="437"/>
      <c r="D197" s="437"/>
      <c r="E197" s="536"/>
      <c r="F197" s="437"/>
      <c r="G197" s="437"/>
      <c r="H197" s="437"/>
      <c r="I197" s="437"/>
      <c r="J197" s="437"/>
      <c r="K197" s="437"/>
      <c r="L197" s="437"/>
      <c r="M197" s="437"/>
      <c r="N197" s="437"/>
      <c r="O197" s="437"/>
      <c r="P197" s="437"/>
      <c r="Q197" s="437"/>
      <c r="R197" s="437"/>
      <c r="S197" s="437"/>
      <c r="T197" s="437"/>
    </row>
    <row r="198" spans="1:20" ht="15.75" customHeight="1" thickBot="1" x14ac:dyDescent="0.35">
      <c r="A198" s="437"/>
      <c r="B198" s="437"/>
      <c r="C198" s="437"/>
      <c r="D198" s="437"/>
      <c r="E198" s="536"/>
      <c r="F198" s="437"/>
      <c r="G198" s="437"/>
      <c r="H198" s="437"/>
      <c r="I198" s="437"/>
      <c r="J198" s="437"/>
      <c r="K198" s="437"/>
      <c r="L198" s="437"/>
      <c r="M198" s="437"/>
      <c r="N198" s="437"/>
      <c r="O198" s="437"/>
      <c r="P198" s="437"/>
      <c r="Q198" s="437"/>
      <c r="R198" s="437"/>
      <c r="S198" s="437"/>
      <c r="T198" s="437"/>
    </row>
    <row r="199" spans="1:20" ht="15.75" customHeight="1" thickBot="1" x14ac:dyDescent="0.35">
      <c r="A199" s="437"/>
      <c r="B199" s="437"/>
      <c r="C199" s="437"/>
      <c r="D199" s="437"/>
      <c r="E199" s="536"/>
      <c r="F199" s="437"/>
      <c r="G199" s="437"/>
      <c r="H199" s="437"/>
      <c r="I199" s="437"/>
      <c r="J199" s="437"/>
      <c r="K199" s="437"/>
      <c r="L199" s="437"/>
      <c r="M199" s="437"/>
      <c r="N199" s="437"/>
      <c r="O199" s="437"/>
      <c r="P199" s="437"/>
      <c r="Q199" s="437"/>
      <c r="R199" s="437"/>
      <c r="S199" s="437"/>
      <c r="T199" s="437"/>
    </row>
    <row r="200" spans="1:20" ht="15.75" customHeight="1" thickBot="1" x14ac:dyDescent="0.35">
      <c r="A200" s="437"/>
      <c r="B200" s="437"/>
      <c r="C200" s="437"/>
      <c r="D200" s="437"/>
      <c r="E200" s="536"/>
      <c r="F200" s="437"/>
      <c r="G200" s="437"/>
      <c r="H200" s="437"/>
      <c r="I200" s="437"/>
      <c r="J200" s="437"/>
      <c r="K200" s="437"/>
      <c r="L200" s="437"/>
      <c r="M200" s="437"/>
      <c r="N200" s="437"/>
      <c r="O200" s="437"/>
      <c r="P200" s="437"/>
      <c r="Q200" s="437"/>
      <c r="R200" s="437"/>
      <c r="S200" s="437"/>
      <c r="T200" s="437"/>
    </row>
    <row r="201" spans="1:20" ht="15.75" customHeight="1" thickBot="1" x14ac:dyDescent="0.35">
      <c r="A201" s="437"/>
      <c r="B201" s="437"/>
      <c r="C201" s="437"/>
      <c r="D201" s="437"/>
      <c r="E201" s="536"/>
      <c r="F201" s="437"/>
      <c r="G201" s="437"/>
      <c r="H201" s="437"/>
      <c r="I201" s="437"/>
      <c r="J201" s="437"/>
      <c r="K201" s="437"/>
      <c r="L201" s="437"/>
      <c r="M201" s="437"/>
      <c r="N201" s="437"/>
      <c r="O201" s="437"/>
      <c r="P201" s="437"/>
      <c r="Q201" s="437"/>
      <c r="R201" s="437"/>
      <c r="S201" s="437"/>
      <c r="T201" s="437"/>
    </row>
    <row r="202" spans="1:20" ht="15.75" customHeight="1" thickBot="1" x14ac:dyDescent="0.35">
      <c r="A202" s="437"/>
      <c r="B202" s="437"/>
      <c r="C202" s="437"/>
      <c r="D202" s="437"/>
      <c r="E202" s="536"/>
      <c r="F202" s="437"/>
      <c r="G202" s="437"/>
      <c r="H202" s="437"/>
      <c r="I202" s="437"/>
      <c r="J202" s="437"/>
      <c r="K202" s="437"/>
      <c r="L202" s="437"/>
      <c r="M202" s="437"/>
      <c r="N202" s="437"/>
      <c r="O202" s="437"/>
      <c r="P202" s="437"/>
      <c r="Q202" s="437"/>
      <c r="R202" s="437"/>
      <c r="S202" s="437"/>
      <c r="T202" s="437"/>
    </row>
    <row r="203" spans="1:20" ht="15.75" customHeight="1" thickBot="1" x14ac:dyDescent="0.35">
      <c r="A203" s="437"/>
      <c r="B203" s="437"/>
      <c r="C203" s="437"/>
      <c r="D203" s="437"/>
      <c r="E203" s="536"/>
      <c r="F203" s="437"/>
      <c r="G203" s="437"/>
      <c r="H203" s="437"/>
      <c r="I203" s="437"/>
      <c r="J203" s="437"/>
      <c r="K203" s="437"/>
      <c r="L203" s="437"/>
      <c r="M203" s="437"/>
      <c r="N203" s="437"/>
      <c r="O203" s="437"/>
      <c r="P203" s="437"/>
      <c r="Q203" s="437"/>
      <c r="R203" s="437"/>
      <c r="S203" s="437"/>
      <c r="T203" s="437"/>
    </row>
    <row r="204" spans="1:20" ht="15.75" customHeight="1" thickBot="1" x14ac:dyDescent="0.35">
      <c r="A204" s="437"/>
      <c r="B204" s="437"/>
      <c r="C204" s="437"/>
      <c r="D204" s="437"/>
      <c r="E204" s="536"/>
      <c r="F204" s="437"/>
      <c r="G204" s="437"/>
      <c r="H204" s="437"/>
      <c r="I204" s="437"/>
      <c r="J204" s="437"/>
      <c r="K204" s="437"/>
      <c r="L204" s="437"/>
      <c r="M204" s="437"/>
      <c r="N204" s="437"/>
      <c r="O204" s="437"/>
      <c r="P204" s="437"/>
      <c r="Q204" s="437"/>
      <c r="R204" s="437"/>
      <c r="S204" s="437"/>
      <c r="T204" s="437"/>
    </row>
    <row r="205" spans="1:20" ht="15.75" customHeight="1" thickBot="1" x14ac:dyDescent="0.35">
      <c r="A205" s="437"/>
      <c r="B205" s="437"/>
      <c r="C205" s="437"/>
      <c r="D205" s="437"/>
      <c r="E205" s="536"/>
      <c r="F205" s="437"/>
      <c r="G205" s="437"/>
      <c r="H205" s="437"/>
      <c r="I205" s="437"/>
      <c r="J205" s="437"/>
      <c r="K205" s="437"/>
      <c r="L205" s="437"/>
      <c r="M205" s="437"/>
      <c r="N205" s="437"/>
      <c r="O205" s="437"/>
      <c r="P205" s="437"/>
      <c r="Q205" s="437"/>
      <c r="R205" s="437"/>
      <c r="S205" s="437"/>
      <c r="T205" s="437"/>
    </row>
    <row r="206" spans="1:20" ht="15.75" customHeight="1" thickBot="1" x14ac:dyDescent="0.35">
      <c r="A206" s="437"/>
      <c r="B206" s="437"/>
      <c r="C206" s="437"/>
      <c r="D206" s="437"/>
      <c r="E206" s="536"/>
      <c r="F206" s="437"/>
      <c r="G206" s="437"/>
      <c r="H206" s="437"/>
      <c r="I206" s="437"/>
      <c r="J206" s="437"/>
      <c r="K206" s="437"/>
      <c r="L206" s="437"/>
      <c r="M206" s="437"/>
      <c r="N206" s="437"/>
      <c r="O206" s="437"/>
      <c r="P206" s="437"/>
      <c r="Q206" s="437"/>
      <c r="R206" s="437"/>
      <c r="S206" s="437"/>
      <c r="T206" s="437"/>
    </row>
    <row r="207" spans="1:20" ht="15.75" customHeight="1" thickBot="1" x14ac:dyDescent="0.35">
      <c r="A207" s="437"/>
      <c r="B207" s="437"/>
      <c r="C207" s="437"/>
      <c r="D207" s="437"/>
      <c r="E207" s="536"/>
      <c r="F207" s="437"/>
      <c r="G207" s="437"/>
      <c r="H207" s="437"/>
      <c r="I207" s="437"/>
      <c r="J207" s="437"/>
      <c r="K207" s="437"/>
      <c r="L207" s="437"/>
      <c r="M207" s="437"/>
      <c r="N207" s="437"/>
      <c r="O207" s="437"/>
      <c r="P207" s="437"/>
      <c r="Q207" s="437"/>
      <c r="R207" s="437"/>
      <c r="S207" s="437"/>
      <c r="T207" s="437"/>
    </row>
    <row r="208" spans="1:20" ht="15.75" customHeight="1" thickBot="1" x14ac:dyDescent="0.35">
      <c r="A208" s="437"/>
      <c r="B208" s="437"/>
      <c r="C208" s="437"/>
      <c r="D208" s="437"/>
      <c r="E208" s="536"/>
      <c r="F208" s="437"/>
      <c r="G208" s="437"/>
      <c r="H208" s="437"/>
      <c r="I208" s="437"/>
      <c r="J208" s="437"/>
      <c r="K208" s="437"/>
      <c r="L208" s="437"/>
      <c r="M208" s="437"/>
      <c r="N208" s="437"/>
      <c r="O208" s="437"/>
      <c r="P208" s="437"/>
      <c r="Q208" s="437"/>
      <c r="R208" s="437"/>
      <c r="S208" s="437"/>
      <c r="T208" s="437"/>
    </row>
    <row r="209" spans="1:20" ht="15.75" customHeight="1" thickBot="1" x14ac:dyDescent="0.35">
      <c r="A209" s="437"/>
      <c r="B209" s="437"/>
      <c r="C209" s="437"/>
      <c r="D209" s="437"/>
      <c r="E209" s="536"/>
      <c r="F209" s="437"/>
      <c r="G209" s="437"/>
      <c r="H209" s="437"/>
      <c r="I209" s="437"/>
      <c r="J209" s="437"/>
      <c r="K209" s="437"/>
      <c r="L209" s="437"/>
      <c r="M209" s="437"/>
      <c r="N209" s="437"/>
      <c r="O209" s="437"/>
      <c r="P209" s="437"/>
      <c r="Q209" s="437"/>
      <c r="R209" s="437"/>
      <c r="S209" s="437"/>
      <c r="T209" s="437"/>
    </row>
    <row r="210" spans="1:20" ht="15.75" customHeight="1" thickBot="1" x14ac:dyDescent="0.35">
      <c r="A210" s="437"/>
      <c r="B210" s="437"/>
      <c r="C210" s="437"/>
      <c r="D210" s="437"/>
      <c r="E210" s="536"/>
      <c r="F210" s="437"/>
      <c r="G210" s="437"/>
      <c r="H210" s="437"/>
      <c r="I210" s="437"/>
      <c r="J210" s="437"/>
      <c r="K210" s="437"/>
      <c r="L210" s="437"/>
      <c r="M210" s="437"/>
      <c r="N210" s="437"/>
      <c r="O210" s="437"/>
      <c r="P210" s="437"/>
      <c r="Q210" s="437"/>
      <c r="R210" s="437"/>
      <c r="S210" s="437"/>
      <c r="T210" s="437"/>
    </row>
    <row r="211" spans="1:20" ht="15.75" customHeight="1" thickBot="1" x14ac:dyDescent="0.35">
      <c r="A211" s="437"/>
      <c r="B211" s="437"/>
      <c r="C211" s="437"/>
      <c r="D211" s="437"/>
      <c r="E211" s="536"/>
      <c r="F211" s="437"/>
      <c r="G211" s="437"/>
      <c r="H211" s="437"/>
      <c r="I211" s="437"/>
      <c r="J211" s="437"/>
      <c r="K211" s="437"/>
      <c r="L211" s="437"/>
      <c r="M211" s="437"/>
      <c r="N211" s="437"/>
      <c r="O211" s="437"/>
      <c r="P211" s="437"/>
      <c r="Q211" s="437"/>
      <c r="R211" s="437"/>
      <c r="S211" s="437"/>
      <c r="T211" s="437"/>
    </row>
    <row r="212" spans="1:20" ht="15.75" customHeight="1" thickBot="1" x14ac:dyDescent="0.35">
      <c r="A212" s="437"/>
      <c r="B212" s="437"/>
      <c r="C212" s="437"/>
      <c r="D212" s="437"/>
      <c r="E212" s="536"/>
      <c r="F212" s="437"/>
      <c r="G212" s="437"/>
      <c r="H212" s="437"/>
      <c r="I212" s="437"/>
      <c r="J212" s="437"/>
      <c r="K212" s="437"/>
      <c r="L212" s="437"/>
      <c r="M212" s="437"/>
      <c r="N212" s="437"/>
      <c r="O212" s="437"/>
      <c r="P212" s="437"/>
      <c r="Q212" s="437"/>
      <c r="R212" s="437"/>
      <c r="S212" s="437"/>
      <c r="T212" s="437"/>
    </row>
    <row r="213" spans="1:20" ht="15.75" customHeight="1" thickBot="1" x14ac:dyDescent="0.35">
      <c r="A213" s="437"/>
      <c r="B213" s="437"/>
      <c r="C213" s="437"/>
      <c r="D213" s="437"/>
      <c r="E213" s="536"/>
      <c r="F213" s="437"/>
      <c r="G213" s="437"/>
      <c r="H213" s="437"/>
      <c r="I213" s="437"/>
      <c r="J213" s="437"/>
      <c r="K213" s="437"/>
      <c r="L213" s="437"/>
      <c r="M213" s="437"/>
      <c r="N213" s="437"/>
      <c r="O213" s="437"/>
      <c r="P213" s="437"/>
      <c r="Q213" s="437"/>
      <c r="R213" s="437"/>
      <c r="S213" s="437"/>
      <c r="T213" s="437"/>
    </row>
    <row r="214" spans="1:20" ht="15.75" customHeight="1" thickBot="1" x14ac:dyDescent="0.35">
      <c r="A214" s="437"/>
      <c r="B214" s="437"/>
      <c r="C214" s="437"/>
      <c r="D214" s="437"/>
      <c r="E214" s="536"/>
      <c r="F214" s="437"/>
      <c r="G214" s="437"/>
      <c r="H214" s="437"/>
      <c r="I214" s="437"/>
      <c r="J214" s="437"/>
      <c r="K214" s="437"/>
      <c r="L214" s="437"/>
      <c r="M214" s="437"/>
      <c r="N214" s="437"/>
      <c r="O214" s="437"/>
      <c r="P214" s="437"/>
      <c r="Q214" s="437"/>
      <c r="R214" s="437"/>
      <c r="S214" s="437"/>
      <c r="T214" s="437"/>
    </row>
    <row r="215" spans="1:20" ht="15.75" customHeight="1" thickBot="1" x14ac:dyDescent="0.35">
      <c r="A215" s="437"/>
      <c r="B215" s="437"/>
      <c r="C215" s="437"/>
      <c r="D215" s="437"/>
      <c r="E215" s="536"/>
      <c r="F215" s="437"/>
      <c r="G215" s="437"/>
      <c r="H215" s="437"/>
      <c r="I215" s="437"/>
      <c r="J215" s="437"/>
      <c r="K215" s="437"/>
      <c r="L215" s="437"/>
      <c r="M215" s="437"/>
      <c r="N215" s="437"/>
      <c r="O215" s="437"/>
      <c r="P215" s="437"/>
      <c r="Q215" s="437"/>
      <c r="R215" s="437"/>
      <c r="S215" s="437"/>
      <c r="T215" s="437"/>
    </row>
    <row r="216" spans="1:20" ht="15.75" customHeight="1" thickBot="1" x14ac:dyDescent="0.35">
      <c r="A216" s="437"/>
      <c r="B216" s="437"/>
      <c r="C216" s="437"/>
      <c r="D216" s="437"/>
      <c r="E216" s="536"/>
      <c r="F216" s="437"/>
      <c r="G216" s="437"/>
      <c r="H216" s="437"/>
      <c r="I216" s="437"/>
      <c r="J216" s="437"/>
      <c r="K216" s="437"/>
      <c r="L216" s="437"/>
      <c r="M216" s="437"/>
      <c r="N216" s="437"/>
      <c r="O216" s="437"/>
      <c r="P216" s="437"/>
      <c r="Q216" s="437"/>
      <c r="R216" s="437"/>
      <c r="S216" s="437"/>
      <c r="T216" s="437"/>
    </row>
    <row r="217" spans="1:20" ht="15.75" customHeight="1" thickBot="1" x14ac:dyDescent="0.35">
      <c r="A217" s="437"/>
      <c r="B217" s="437"/>
      <c r="C217" s="437"/>
      <c r="D217" s="437"/>
      <c r="E217" s="536"/>
      <c r="F217" s="437"/>
      <c r="G217" s="437"/>
      <c r="H217" s="437"/>
      <c r="I217" s="437"/>
      <c r="J217" s="437"/>
      <c r="K217" s="437"/>
      <c r="L217" s="437"/>
      <c r="M217" s="437"/>
      <c r="N217" s="437"/>
      <c r="O217" s="437"/>
      <c r="P217" s="437"/>
      <c r="Q217" s="437"/>
      <c r="R217" s="437"/>
      <c r="S217" s="437"/>
      <c r="T217" s="437"/>
    </row>
    <row r="218" spans="1:20" ht="15.75" customHeight="1" thickBot="1" x14ac:dyDescent="0.35">
      <c r="A218" s="437"/>
      <c r="B218" s="437"/>
      <c r="C218" s="437"/>
      <c r="D218" s="437"/>
      <c r="E218" s="536"/>
      <c r="F218" s="437"/>
      <c r="G218" s="437"/>
      <c r="H218" s="437"/>
      <c r="I218" s="437"/>
      <c r="J218" s="437"/>
      <c r="K218" s="437"/>
      <c r="L218" s="437"/>
      <c r="M218" s="437"/>
      <c r="N218" s="437"/>
      <c r="O218" s="437"/>
      <c r="P218" s="437"/>
      <c r="Q218" s="437"/>
      <c r="R218" s="437"/>
      <c r="S218" s="437"/>
      <c r="T218" s="437"/>
    </row>
    <row r="219" spans="1:20" ht="15.75" customHeight="1" thickBot="1" x14ac:dyDescent="0.35">
      <c r="A219" s="437"/>
      <c r="B219" s="437"/>
      <c r="C219" s="437"/>
      <c r="D219" s="437"/>
      <c r="E219" s="536"/>
      <c r="F219" s="437"/>
      <c r="G219" s="437"/>
      <c r="H219" s="437"/>
      <c r="I219" s="437"/>
      <c r="J219" s="437"/>
      <c r="K219" s="437"/>
      <c r="L219" s="437"/>
      <c r="M219" s="437"/>
      <c r="N219" s="437"/>
      <c r="O219" s="437"/>
      <c r="P219" s="437"/>
      <c r="Q219" s="437"/>
      <c r="R219" s="437"/>
      <c r="S219" s="437"/>
      <c r="T219" s="437"/>
    </row>
    <row r="220" spans="1:20" ht="15.75" customHeight="1" thickBot="1" x14ac:dyDescent="0.35">
      <c r="A220" s="437"/>
      <c r="B220" s="437"/>
      <c r="C220" s="437"/>
      <c r="D220" s="437"/>
      <c r="E220" s="536"/>
      <c r="F220" s="437"/>
      <c r="G220" s="437"/>
      <c r="H220" s="437"/>
      <c r="I220" s="437"/>
      <c r="J220" s="437"/>
      <c r="K220" s="437"/>
      <c r="L220" s="437"/>
      <c r="M220" s="437"/>
      <c r="N220" s="437"/>
      <c r="O220" s="437"/>
      <c r="P220" s="437"/>
      <c r="Q220" s="437"/>
      <c r="R220" s="437"/>
      <c r="S220" s="437"/>
      <c r="T220" s="437"/>
    </row>
    <row r="221" spans="1:20" ht="15.75" customHeight="1" thickBot="1" x14ac:dyDescent="0.35">
      <c r="A221" s="437"/>
      <c r="B221" s="437"/>
      <c r="C221" s="437"/>
      <c r="D221" s="437"/>
      <c r="E221" s="536"/>
      <c r="F221" s="437"/>
      <c r="G221" s="437"/>
      <c r="H221" s="437"/>
      <c r="I221" s="437"/>
      <c r="J221" s="437"/>
      <c r="K221" s="437"/>
      <c r="L221" s="437"/>
      <c r="M221" s="437"/>
      <c r="N221" s="437"/>
      <c r="O221" s="437"/>
      <c r="P221" s="437"/>
      <c r="Q221" s="437"/>
      <c r="R221" s="437"/>
      <c r="S221" s="437"/>
      <c r="T221" s="437"/>
    </row>
    <row r="222" spans="1:20" ht="15.75" customHeight="1" thickBot="1" x14ac:dyDescent="0.35">
      <c r="A222" s="437"/>
      <c r="B222" s="437"/>
      <c r="C222" s="437"/>
      <c r="D222" s="437"/>
      <c r="E222" s="536"/>
      <c r="F222" s="437"/>
      <c r="G222" s="437"/>
      <c r="H222" s="437"/>
      <c r="I222" s="437"/>
      <c r="J222" s="437"/>
      <c r="K222" s="437"/>
      <c r="L222" s="437"/>
      <c r="M222" s="437"/>
      <c r="N222" s="437"/>
      <c r="O222" s="437"/>
      <c r="P222" s="437"/>
      <c r="Q222" s="437"/>
      <c r="R222" s="437"/>
      <c r="S222" s="437"/>
      <c r="T222" s="437"/>
    </row>
    <row r="223" spans="1:20" ht="15.75" customHeight="1" thickBot="1" x14ac:dyDescent="0.35">
      <c r="A223" s="437"/>
      <c r="B223" s="437"/>
      <c r="C223" s="437"/>
      <c r="D223" s="437"/>
      <c r="E223" s="536"/>
      <c r="F223" s="437"/>
      <c r="G223" s="437"/>
      <c r="H223" s="437"/>
      <c r="I223" s="437"/>
      <c r="J223" s="437"/>
      <c r="K223" s="437"/>
      <c r="L223" s="437"/>
      <c r="M223" s="437"/>
      <c r="N223" s="437"/>
      <c r="O223" s="437"/>
      <c r="P223" s="437"/>
      <c r="Q223" s="437"/>
      <c r="R223" s="437"/>
      <c r="S223" s="437"/>
      <c r="T223" s="437"/>
    </row>
    <row r="224" spans="1:20" ht="15.75" customHeight="1" thickBot="1" x14ac:dyDescent="0.35">
      <c r="A224" s="437"/>
      <c r="B224" s="437"/>
      <c r="C224" s="437"/>
      <c r="D224" s="437"/>
      <c r="E224" s="536"/>
      <c r="F224" s="437"/>
      <c r="G224" s="437"/>
      <c r="H224" s="437"/>
      <c r="I224" s="437"/>
      <c r="J224" s="437"/>
      <c r="K224" s="437"/>
      <c r="L224" s="437"/>
      <c r="M224" s="437"/>
      <c r="N224" s="437"/>
      <c r="O224" s="437"/>
      <c r="P224" s="437"/>
      <c r="Q224" s="437"/>
      <c r="R224" s="437"/>
      <c r="S224" s="437"/>
      <c r="T224" s="437"/>
    </row>
    <row r="225" spans="1:20" ht="15.75" customHeight="1" thickBot="1" x14ac:dyDescent="0.35">
      <c r="A225" s="437"/>
      <c r="B225" s="437"/>
      <c r="C225" s="437"/>
      <c r="D225" s="437"/>
      <c r="E225" s="536"/>
      <c r="F225" s="437"/>
      <c r="G225" s="437"/>
      <c r="H225" s="437"/>
      <c r="I225" s="437"/>
      <c r="J225" s="437"/>
      <c r="K225" s="437"/>
      <c r="L225" s="437"/>
      <c r="M225" s="437"/>
      <c r="N225" s="437"/>
      <c r="O225" s="437"/>
      <c r="P225" s="437"/>
      <c r="Q225" s="437"/>
      <c r="R225" s="437"/>
      <c r="S225" s="437"/>
      <c r="T225" s="437"/>
    </row>
    <row r="226" spans="1:20" ht="15.75" customHeight="1" thickBot="1" x14ac:dyDescent="0.35">
      <c r="A226" s="437"/>
      <c r="B226" s="437"/>
      <c r="C226" s="437"/>
      <c r="D226" s="437"/>
      <c r="E226" s="536"/>
      <c r="F226" s="437"/>
      <c r="G226" s="437"/>
      <c r="H226" s="437"/>
      <c r="I226" s="437"/>
      <c r="J226" s="437"/>
      <c r="K226" s="437"/>
      <c r="L226" s="437"/>
      <c r="M226" s="437"/>
      <c r="N226" s="437"/>
      <c r="O226" s="437"/>
      <c r="P226" s="437"/>
      <c r="Q226" s="437"/>
      <c r="R226" s="437"/>
      <c r="S226" s="437"/>
      <c r="T226" s="437"/>
    </row>
    <row r="227" spans="1:20" ht="15.75" customHeight="1" thickBot="1" x14ac:dyDescent="0.35">
      <c r="A227" s="437"/>
      <c r="B227" s="437"/>
      <c r="C227" s="437"/>
      <c r="D227" s="437"/>
      <c r="E227" s="536"/>
      <c r="F227" s="437"/>
      <c r="G227" s="437"/>
      <c r="H227" s="437"/>
      <c r="I227" s="437"/>
      <c r="J227" s="437"/>
      <c r="K227" s="437"/>
      <c r="L227" s="437"/>
      <c r="M227" s="437"/>
      <c r="N227" s="437"/>
      <c r="O227" s="437"/>
      <c r="P227" s="437"/>
      <c r="Q227" s="437"/>
      <c r="R227" s="437"/>
      <c r="S227" s="437"/>
      <c r="T227" s="437"/>
    </row>
    <row r="228" spans="1:20" ht="15.75" customHeight="1" thickBot="1" x14ac:dyDescent="0.35">
      <c r="A228" s="437"/>
      <c r="B228" s="437"/>
      <c r="C228" s="437"/>
      <c r="D228" s="437"/>
      <c r="E228" s="536"/>
      <c r="F228" s="437"/>
      <c r="G228" s="437"/>
      <c r="H228" s="437"/>
      <c r="I228" s="437"/>
      <c r="J228" s="437"/>
      <c r="K228" s="437"/>
      <c r="L228" s="437"/>
      <c r="M228" s="437"/>
      <c r="N228" s="437"/>
      <c r="O228" s="437"/>
      <c r="P228" s="437"/>
      <c r="Q228" s="437"/>
      <c r="R228" s="437"/>
      <c r="S228" s="437"/>
      <c r="T228" s="437"/>
    </row>
    <row r="229" spans="1:20" ht="15.75" customHeight="1" thickBot="1" x14ac:dyDescent="0.35">
      <c r="A229" s="437"/>
      <c r="B229" s="437"/>
      <c r="C229" s="437"/>
      <c r="D229" s="437"/>
      <c r="E229" s="536"/>
      <c r="F229" s="437"/>
      <c r="G229" s="437"/>
      <c r="H229" s="437"/>
      <c r="I229" s="437"/>
      <c r="J229" s="437"/>
      <c r="K229" s="437"/>
      <c r="L229" s="437"/>
      <c r="M229" s="437"/>
      <c r="N229" s="437"/>
      <c r="O229" s="437"/>
      <c r="P229" s="437"/>
      <c r="Q229" s="437"/>
      <c r="R229" s="437"/>
      <c r="S229" s="437"/>
      <c r="T229" s="437"/>
    </row>
    <row r="230" spans="1:20" ht="15.75" customHeight="1" thickBot="1" x14ac:dyDescent="0.35">
      <c r="A230" s="437"/>
      <c r="B230" s="437"/>
      <c r="C230" s="437"/>
      <c r="D230" s="437"/>
      <c r="E230" s="536"/>
      <c r="F230" s="437"/>
      <c r="G230" s="437"/>
      <c r="H230" s="437"/>
      <c r="I230" s="437"/>
      <c r="J230" s="437"/>
      <c r="K230" s="437"/>
      <c r="L230" s="437"/>
      <c r="M230" s="437"/>
      <c r="N230" s="437"/>
      <c r="O230" s="437"/>
      <c r="P230" s="437"/>
      <c r="Q230" s="437"/>
      <c r="R230" s="437"/>
      <c r="S230" s="437"/>
      <c r="T230" s="437"/>
    </row>
    <row r="231" spans="1:20" ht="15.75" customHeight="1" thickBot="1" x14ac:dyDescent="0.35">
      <c r="A231" s="437"/>
      <c r="B231" s="437"/>
      <c r="C231" s="437"/>
      <c r="D231" s="437"/>
      <c r="E231" s="536"/>
      <c r="F231" s="437"/>
      <c r="G231" s="437"/>
      <c r="H231" s="437"/>
      <c r="I231" s="437"/>
      <c r="J231" s="437"/>
      <c r="K231" s="437"/>
      <c r="L231" s="437"/>
      <c r="M231" s="437"/>
      <c r="N231" s="437"/>
      <c r="O231" s="437"/>
      <c r="P231" s="437"/>
      <c r="Q231" s="437"/>
      <c r="R231" s="437"/>
      <c r="S231" s="437"/>
      <c r="T231" s="437"/>
    </row>
    <row r="232" spans="1:20" ht="15.75" customHeight="1" thickBot="1" x14ac:dyDescent="0.35">
      <c r="A232" s="437"/>
      <c r="B232" s="437"/>
      <c r="C232" s="437"/>
      <c r="D232" s="437"/>
      <c r="E232" s="536"/>
      <c r="F232" s="437"/>
      <c r="G232" s="437"/>
      <c r="H232" s="437"/>
      <c r="I232" s="437"/>
      <c r="J232" s="437"/>
      <c r="K232" s="437"/>
      <c r="L232" s="437"/>
      <c r="M232" s="437"/>
      <c r="N232" s="437"/>
      <c r="O232" s="437"/>
      <c r="P232" s="437"/>
      <c r="Q232" s="437"/>
      <c r="R232" s="437"/>
      <c r="S232" s="437"/>
      <c r="T232" s="437"/>
    </row>
    <row r="233" spans="1:20" ht="15.75" customHeight="1" thickBot="1" x14ac:dyDescent="0.35">
      <c r="A233" s="437"/>
      <c r="B233" s="437"/>
      <c r="C233" s="437"/>
      <c r="D233" s="437"/>
      <c r="E233" s="536"/>
      <c r="F233" s="437"/>
      <c r="G233" s="437"/>
      <c r="H233" s="437"/>
      <c r="I233" s="437"/>
      <c r="J233" s="437"/>
      <c r="K233" s="437"/>
      <c r="L233" s="437"/>
      <c r="M233" s="437"/>
      <c r="N233" s="437"/>
      <c r="O233" s="437"/>
      <c r="P233" s="437"/>
      <c r="Q233" s="437"/>
      <c r="R233" s="437"/>
      <c r="S233" s="437"/>
      <c r="T233" s="437"/>
    </row>
    <row r="234" spans="1:20" ht="15.75" customHeight="1" thickBot="1" x14ac:dyDescent="0.35">
      <c r="A234" s="437"/>
      <c r="B234" s="437"/>
      <c r="C234" s="437"/>
      <c r="D234" s="437"/>
      <c r="E234" s="536"/>
      <c r="F234" s="437"/>
      <c r="G234" s="437"/>
      <c r="H234" s="437"/>
      <c r="I234" s="437"/>
      <c r="J234" s="437"/>
      <c r="K234" s="437"/>
      <c r="L234" s="437"/>
      <c r="M234" s="437"/>
      <c r="N234" s="437"/>
      <c r="O234" s="437"/>
      <c r="P234" s="437"/>
      <c r="Q234" s="437"/>
      <c r="R234" s="437"/>
      <c r="S234" s="437"/>
      <c r="T234" s="437"/>
    </row>
    <row r="235" spans="1:20" ht="15.75" customHeight="1" thickBot="1" x14ac:dyDescent="0.35">
      <c r="A235" s="437"/>
      <c r="B235" s="437"/>
      <c r="C235" s="437"/>
      <c r="D235" s="437"/>
      <c r="E235" s="536"/>
      <c r="F235" s="437"/>
      <c r="G235" s="437"/>
      <c r="H235" s="437"/>
      <c r="I235" s="437"/>
      <c r="J235" s="437"/>
      <c r="K235" s="437"/>
      <c r="L235" s="437"/>
      <c r="M235" s="437"/>
      <c r="N235" s="437"/>
      <c r="O235" s="437"/>
      <c r="P235" s="437"/>
      <c r="Q235" s="437"/>
      <c r="R235" s="437"/>
      <c r="S235" s="437"/>
      <c r="T235" s="437"/>
    </row>
    <row r="236" spans="1:20" ht="15.75" customHeight="1" thickBot="1" x14ac:dyDescent="0.35">
      <c r="A236" s="437"/>
      <c r="B236" s="437"/>
      <c r="C236" s="437"/>
      <c r="D236" s="437"/>
      <c r="E236" s="536"/>
      <c r="F236" s="437"/>
      <c r="G236" s="437"/>
      <c r="H236" s="437"/>
      <c r="I236" s="437"/>
      <c r="J236" s="437"/>
      <c r="K236" s="437"/>
      <c r="L236" s="437"/>
      <c r="M236" s="437"/>
      <c r="N236" s="437"/>
      <c r="O236" s="437"/>
      <c r="P236" s="437"/>
      <c r="Q236" s="437"/>
      <c r="R236" s="437"/>
      <c r="S236" s="437"/>
      <c r="T236" s="437"/>
    </row>
    <row r="237" spans="1:20" ht="15.75" customHeight="1" thickBot="1" x14ac:dyDescent="0.35">
      <c r="A237" s="437"/>
      <c r="B237" s="437"/>
      <c r="C237" s="437"/>
      <c r="D237" s="437"/>
      <c r="E237" s="536"/>
      <c r="F237" s="437"/>
      <c r="G237" s="437"/>
      <c r="H237" s="437"/>
      <c r="I237" s="437"/>
      <c r="J237" s="437"/>
      <c r="K237" s="437"/>
      <c r="L237" s="437"/>
      <c r="M237" s="437"/>
      <c r="N237" s="437"/>
      <c r="O237" s="437"/>
      <c r="P237" s="437"/>
      <c r="Q237" s="437"/>
      <c r="R237" s="437"/>
      <c r="S237" s="437"/>
      <c r="T237" s="437"/>
    </row>
    <row r="238" spans="1:20" ht="15.75" customHeight="1" thickBot="1" x14ac:dyDescent="0.35">
      <c r="A238" s="437"/>
      <c r="B238" s="437"/>
      <c r="C238" s="437"/>
      <c r="D238" s="437"/>
      <c r="E238" s="536"/>
      <c r="F238" s="437"/>
      <c r="G238" s="437"/>
      <c r="H238" s="437"/>
      <c r="I238" s="437"/>
      <c r="J238" s="437"/>
      <c r="K238" s="437"/>
      <c r="L238" s="437"/>
      <c r="M238" s="437"/>
      <c r="N238" s="437"/>
      <c r="O238" s="437"/>
      <c r="P238" s="437"/>
      <c r="Q238" s="437"/>
      <c r="R238" s="437"/>
      <c r="S238" s="437"/>
      <c r="T238" s="437"/>
    </row>
    <row r="239" spans="1:20" ht="15.75" customHeight="1" thickBot="1" x14ac:dyDescent="0.35">
      <c r="A239" s="437"/>
      <c r="B239" s="437"/>
      <c r="C239" s="437"/>
      <c r="D239" s="437"/>
      <c r="E239" s="536"/>
      <c r="F239" s="437"/>
      <c r="G239" s="437"/>
      <c r="H239" s="437"/>
      <c r="I239" s="437"/>
      <c r="J239" s="437"/>
      <c r="K239" s="437"/>
      <c r="L239" s="437"/>
      <c r="M239" s="437"/>
      <c r="N239" s="437"/>
      <c r="O239" s="437"/>
      <c r="P239" s="437"/>
      <c r="Q239" s="437"/>
      <c r="R239" s="437"/>
      <c r="S239" s="437"/>
      <c r="T239" s="437"/>
    </row>
    <row r="240" spans="1:20" ht="15.75" customHeight="1" thickBot="1" x14ac:dyDescent="0.35">
      <c r="A240" s="437"/>
      <c r="B240" s="437"/>
      <c r="C240" s="437"/>
      <c r="D240" s="437"/>
      <c r="E240" s="536"/>
      <c r="F240" s="437"/>
      <c r="G240" s="437"/>
      <c r="H240" s="437"/>
      <c r="I240" s="437"/>
      <c r="J240" s="437"/>
      <c r="K240" s="437"/>
      <c r="L240" s="437"/>
      <c r="M240" s="437"/>
      <c r="N240" s="437"/>
      <c r="O240" s="437"/>
      <c r="P240" s="437"/>
      <c r="Q240" s="437"/>
      <c r="R240" s="437"/>
      <c r="S240" s="437"/>
      <c r="T240" s="437"/>
    </row>
    <row r="241" spans="1:20" ht="15.75" customHeight="1" thickBot="1" x14ac:dyDescent="0.35">
      <c r="A241" s="437"/>
      <c r="B241" s="437"/>
      <c r="C241" s="437"/>
      <c r="D241" s="437"/>
      <c r="E241" s="536"/>
      <c r="F241" s="437"/>
      <c r="G241" s="437"/>
      <c r="H241" s="437"/>
      <c r="I241" s="437"/>
      <c r="J241" s="437"/>
      <c r="K241" s="437"/>
      <c r="L241" s="437"/>
      <c r="M241" s="437"/>
      <c r="N241" s="437"/>
      <c r="O241" s="437"/>
      <c r="P241" s="437"/>
      <c r="Q241" s="437"/>
      <c r="R241" s="437"/>
      <c r="S241" s="437"/>
      <c r="T241" s="437"/>
    </row>
    <row r="242" spans="1:20" ht="15.75" customHeight="1" thickBot="1" x14ac:dyDescent="0.35">
      <c r="A242" s="437"/>
      <c r="B242" s="437"/>
      <c r="C242" s="437"/>
      <c r="D242" s="437"/>
      <c r="E242" s="536"/>
      <c r="F242" s="437"/>
      <c r="G242" s="437"/>
      <c r="H242" s="437"/>
      <c r="I242" s="437"/>
      <c r="J242" s="437"/>
      <c r="K242" s="437"/>
      <c r="L242" s="437"/>
      <c r="M242" s="437"/>
      <c r="N242" s="437"/>
      <c r="O242" s="437"/>
      <c r="P242" s="437"/>
      <c r="Q242" s="437"/>
      <c r="R242" s="437"/>
      <c r="S242" s="437"/>
      <c r="T242" s="437"/>
    </row>
    <row r="243" spans="1:20" ht="15.75" customHeight="1" thickBot="1" x14ac:dyDescent="0.35">
      <c r="A243" s="437"/>
      <c r="B243" s="437"/>
      <c r="C243" s="437"/>
      <c r="D243" s="437"/>
      <c r="E243" s="536"/>
      <c r="F243" s="437"/>
      <c r="G243" s="437"/>
      <c r="H243" s="437"/>
      <c r="I243" s="437"/>
      <c r="J243" s="437"/>
      <c r="K243" s="437"/>
      <c r="L243" s="437"/>
      <c r="M243" s="437"/>
      <c r="N243" s="437"/>
      <c r="O243" s="437"/>
      <c r="P243" s="437"/>
      <c r="Q243" s="437"/>
      <c r="R243" s="437"/>
      <c r="S243" s="437"/>
      <c r="T243" s="437"/>
    </row>
    <row r="244" spans="1:20" ht="15.75" customHeight="1" thickBot="1" x14ac:dyDescent="0.35">
      <c r="A244" s="437"/>
      <c r="B244" s="437"/>
      <c r="C244" s="437"/>
      <c r="D244" s="437"/>
      <c r="E244" s="536"/>
      <c r="F244" s="437"/>
      <c r="G244" s="437"/>
      <c r="H244" s="437"/>
      <c r="I244" s="437"/>
      <c r="J244" s="437"/>
      <c r="K244" s="437"/>
      <c r="L244" s="437"/>
      <c r="M244" s="437"/>
      <c r="N244" s="437"/>
      <c r="O244" s="437"/>
      <c r="P244" s="437"/>
      <c r="Q244" s="437"/>
      <c r="R244" s="437"/>
      <c r="S244" s="437"/>
      <c r="T244" s="437"/>
    </row>
    <row r="245" spans="1:20" ht="15.75" customHeight="1" thickBot="1" x14ac:dyDescent="0.35">
      <c r="A245" s="437"/>
      <c r="B245" s="437"/>
      <c r="C245" s="437"/>
      <c r="D245" s="437"/>
      <c r="E245" s="536"/>
      <c r="F245" s="437"/>
      <c r="G245" s="437"/>
      <c r="H245" s="437"/>
      <c r="I245" s="437"/>
      <c r="J245" s="437"/>
      <c r="K245" s="437"/>
      <c r="L245" s="437"/>
      <c r="M245" s="437"/>
      <c r="N245" s="437"/>
      <c r="O245" s="437"/>
      <c r="P245" s="437"/>
      <c r="Q245" s="437"/>
      <c r="R245" s="437"/>
      <c r="S245" s="437"/>
      <c r="T245" s="437"/>
    </row>
    <row r="246" spans="1:20" ht="15.75" customHeight="1" thickBot="1" x14ac:dyDescent="0.35">
      <c r="A246" s="437"/>
      <c r="B246" s="437"/>
      <c r="C246" s="437"/>
      <c r="D246" s="437"/>
      <c r="E246" s="536"/>
      <c r="F246" s="437"/>
      <c r="G246" s="437"/>
      <c r="H246" s="437"/>
      <c r="I246" s="437"/>
      <c r="J246" s="437"/>
      <c r="K246" s="437"/>
      <c r="L246" s="437"/>
      <c r="M246" s="437"/>
      <c r="N246" s="437"/>
      <c r="O246" s="437"/>
      <c r="P246" s="437"/>
      <c r="Q246" s="437"/>
      <c r="R246" s="437"/>
      <c r="S246" s="437"/>
      <c r="T246" s="437"/>
    </row>
    <row r="247" spans="1:20" ht="15.75" customHeight="1" thickBot="1" x14ac:dyDescent="0.35">
      <c r="A247" s="437"/>
      <c r="B247" s="437"/>
      <c r="C247" s="437"/>
      <c r="D247" s="437"/>
      <c r="E247" s="536"/>
      <c r="F247" s="437"/>
      <c r="G247" s="437"/>
      <c r="H247" s="437"/>
      <c r="I247" s="437"/>
      <c r="J247" s="437"/>
      <c r="K247" s="437"/>
      <c r="L247" s="437"/>
      <c r="M247" s="437"/>
      <c r="N247" s="437"/>
      <c r="O247" s="437"/>
      <c r="P247" s="437"/>
      <c r="Q247" s="437"/>
      <c r="R247" s="437"/>
      <c r="S247" s="437"/>
      <c r="T247" s="437"/>
    </row>
    <row r="248" spans="1:20" ht="15.75" customHeight="1" thickBot="1" x14ac:dyDescent="0.35">
      <c r="A248" s="437"/>
      <c r="B248" s="437"/>
      <c r="C248" s="437"/>
      <c r="D248" s="437"/>
      <c r="E248" s="536"/>
      <c r="F248" s="437"/>
      <c r="G248" s="437"/>
      <c r="H248" s="437"/>
      <c r="I248" s="437"/>
      <c r="J248" s="437"/>
      <c r="K248" s="437"/>
      <c r="L248" s="437"/>
      <c r="M248" s="437"/>
      <c r="N248" s="437"/>
      <c r="O248" s="437"/>
      <c r="P248" s="437"/>
      <c r="Q248" s="437"/>
      <c r="R248" s="437"/>
      <c r="S248" s="437"/>
      <c r="T248" s="437"/>
    </row>
    <row r="249" spans="1:20" ht="15.75" customHeight="1" thickBot="1" x14ac:dyDescent="0.35">
      <c r="A249" s="437"/>
      <c r="B249" s="437"/>
      <c r="C249" s="437"/>
      <c r="D249" s="437"/>
      <c r="E249" s="536"/>
      <c r="F249" s="437"/>
      <c r="G249" s="437"/>
      <c r="H249" s="437"/>
      <c r="I249" s="437"/>
      <c r="J249" s="437"/>
      <c r="K249" s="437"/>
      <c r="L249" s="437"/>
      <c r="M249" s="437"/>
      <c r="N249" s="437"/>
      <c r="O249" s="437"/>
      <c r="P249" s="437"/>
      <c r="Q249" s="437"/>
      <c r="R249" s="437"/>
      <c r="S249" s="437"/>
      <c r="T249" s="437"/>
    </row>
    <row r="250" spans="1:20" ht="15.75" customHeight="1" thickBot="1" x14ac:dyDescent="0.35">
      <c r="A250" s="437"/>
      <c r="B250" s="437"/>
      <c r="C250" s="437"/>
      <c r="D250" s="437"/>
      <c r="E250" s="536"/>
      <c r="F250" s="437"/>
      <c r="G250" s="437"/>
      <c r="H250" s="437"/>
      <c r="I250" s="437"/>
      <c r="J250" s="437"/>
      <c r="K250" s="437"/>
      <c r="L250" s="437"/>
      <c r="M250" s="437"/>
      <c r="N250" s="437"/>
      <c r="O250" s="437"/>
      <c r="P250" s="437"/>
      <c r="Q250" s="437"/>
      <c r="R250" s="437"/>
      <c r="S250" s="437"/>
      <c r="T250" s="437"/>
    </row>
    <row r="251" spans="1:20" ht="15.75" customHeight="1" thickBot="1" x14ac:dyDescent="0.35">
      <c r="A251" s="437"/>
      <c r="B251" s="437"/>
      <c r="C251" s="437"/>
      <c r="D251" s="437"/>
      <c r="E251" s="536"/>
      <c r="F251" s="437"/>
      <c r="G251" s="437"/>
      <c r="H251" s="437"/>
      <c r="I251" s="437"/>
      <c r="J251" s="437"/>
      <c r="K251" s="437"/>
      <c r="L251" s="437"/>
      <c r="M251" s="437"/>
      <c r="N251" s="437"/>
      <c r="O251" s="437"/>
      <c r="P251" s="437"/>
      <c r="Q251" s="437"/>
      <c r="R251" s="437"/>
      <c r="S251" s="437"/>
      <c r="T251" s="437"/>
    </row>
    <row r="252" spans="1:20" ht="15.75" customHeight="1" thickBot="1" x14ac:dyDescent="0.35">
      <c r="A252" s="437"/>
      <c r="B252" s="437"/>
      <c r="C252" s="437"/>
      <c r="D252" s="437"/>
      <c r="E252" s="536"/>
      <c r="F252" s="437"/>
      <c r="G252" s="437"/>
      <c r="H252" s="437"/>
      <c r="I252" s="437"/>
      <c r="J252" s="437"/>
      <c r="K252" s="437"/>
      <c r="L252" s="437"/>
      <c r="M252" s="437"/>
      <c r="N252" s="437"/>
      <c r="O252" s="437"/>
      <c r="P252" s="437"/>
      <c r="Q252" s="437"/>
      <c r="R252" s="437"/>
      <c r="S252" s="437"/>
      <c r="T252" s="437"/>
    </row>
    <row r="253" spans="1:20" ht="15.75" customHeight="1" thickBot="1" x14ac:dyDescent="0.35">
      <c r="A253" s="437"/>
      <c r="B253" s="437"/>
      <c r="C253" s="437"/>
      <c r="D253" s="437"/>
      <c r="E253" s="536"/>
      <c r="F253" s="437"/>
      <c r="G253" s="437"/>
      <c r="H253" s="437"/>
      <c r="I253" s="437"/>
      <c r="J253" s="437"/>
      <c r="K253" s="437"/>
      <c r="L253" s="437"/>
      <c r="M253" s="437"/>
      <c r="N253" s="437"/>
      <c r="O253" s="437"/>
      <c r="P253" s="437"/>
      <c r="Q253" s="437"/>
      <c r="R253" s="437"/>
      <c r="S253" s="437"/>
      <c r="T253" s="437"/>
    </row>
    <row r="254" spans="1:20" ht="15.75" customHeight="1" thickBot="1" x14ac:dyDescent="0.35">
      <c r="A254" s="437"/>
      <c r="B254" s="437"/>
      <c r="C254" s="437"/>
      <c r="D254" s="437"/>
      <c r="E254" s="536"/>
      <c r="F254" s="437"/>
      <c r="G254" s="437"/>
      <c r="H254" s="437"/>
      <c r="I254" s="437"/>
      <c r="J254" s="437"/>
      <c r="K254" s="437"/>
      <c r="L254" s="437"/>
      <c r="M254" s="437"/>
      <c r="N254" s="437"/>
      <c r="O254" s="437"/>
      <c r="P254" s="437"/>
      <c r="Q254" s="437"/>
      <c r="R254" s="437"/>
      <c r="S254" s="437"/>
      <c r="T254" s="437"/>
    </row>
    <row r="255" spans="1:20" ht="15.75" customHeight="1" thickBot="1" x14ac:dyDescent="0.35">
      <c r="A255" s="437"/>
      <c r="B255" s="437"/>
      <c r="C255" s="437"/>
      <c r="D255" s="437"/>
      <c r="E255" s="536"/>
      <c r="F255" s="437"/>
      <c r="G255" s="437"/>
      <c r="H255" s="437"/>
      <c r="I255" s="437"/>
      <c r="J255" s="437"/>
      <c r="K255" s="437"/>
      <c r="L255" s="437"/>
      <c r="M255" s="437"/>
      <c r="N255" s="437"/>
      <c r="O255" s="437"/>
      <c r="P255" s="437"/>
      <c r="Q255" s="437"/>
      <c r="R255" s="437"/>
      <c r="S255" s="437"/>
      <c r="T255" s="437"/>
    </row>
    <row r="256" spans="1:20" ht="15.75" customHeight="1" thickBot="1" x14ac:dyDescent="0.35">
      <c r="A256" s="437"/>
      <c r="B256" s="437"/>
      <c r="C256" s="437"/>
      <c r="D256" s="437"/>
      <c r="E256" s="536"/>
      <c r="F256" s="437"/>
      <c r="G256" s="437"/>
      <c r="H256" s="437"/>
      <c r="I256" s="437"/>
      <c r="J256" s="437"/>
      <c r="K256" s="437"/>
      <c r="L256" s="437"/>
      <c r="M256" s="437"/>
      <c r="N256" s="437"/>
      <c r="O256" s="437"/>
      <c r="P256" s="437"/>
      <c r="Q256" s="437"/>
      <c r="R256" s="437"/>
      <c r="S256" s="437"/>
      <c r="T256" s="437"/>
    </row>
    <row r="257" spans="1:20" ht="15.75" customHeight="1" thickBot="1" x14ac:dyDescent="0.35">
      <c r="A257" s="437"/>
      <c r="B257" s="437"/>
      <c r="C257" s="437"/>
      <c r="D257" s="437"/>
      <c r="E257" s="536"/>
      <c r="F257" s="437"/>
      <c r="G257" s="437"/>
      <c r="H257" s="437"/>
      <c r="I257" s="437"/>
      <c r="J257" s="437"/>
      <c r="K257" s="437"/>
      <c r="L257" s="437"/>
      <c r="M257" s="437"/>
      <c r="N257" s="437"/>
      <c r="O257" s="437"/>
      <c r="P257" s="437"/>
      <c r="Q257" s="437"/>
      <c r="R257" s="437"/>
      <c r="S257" s="437"/>
      <c r="T257" s="437"/>
    </row>
    <row r="258" spans="1:20" ht="15.75" customHeight="1" thickBot="1" x14ac:dyDescent="0.35">
      <c r="A258" s="437"/>
      <c r="B258" s="437"/>
      <c r="C258" s="437"/>
      <c r="D258" s="437"/>
      <c r="E258" s="536"/>
      <c r="F258" s="437"/>
      <c r="G258" s="437"/>
      <c r="H258" s="437"/>
      <c r="I258" s="437"/>
      <c r="J258" s="437"/>
      <c r="K258" s="437"/>
      <c r="L258" s="437"/>
      <c r="M258" s="437"/>
      <c r="N258" s="437"/>
      <c r="O258" s="437"/>
      <c r="P258" s="437"/>
      <c r="Q258" s="437"/>
      <c r="R258" s="437"/>
      <c r="S258" s="437"/>
      <c r="T258" s="437"/>
    </row>
    <row r="259" spans="1:20" ht="15.75" customHeight="1" thickBot="1" x14ac:dyDescent="0.35">
      <c r="A259" s="437"/>
      <c r="B259" s="437"/>
      <c r="C259" s="437"/>
      <c r="D259" s="437"/>
      <c r="E259" s="536"/>
      <c r="F259" s="437"/>
      <c r="G259" s="437"/>
      <c r="H259" s="437"/>
      <c r="I259" s="437"/>
      <c r="J259" s="437"/>
      <c r="K259" s="437"/>
      <c r="L259" s="437"/>
      <c r="M259" s="437"/>
      <c r="N259" s="437"/>
      <c r="O259" s="437"/>
      <c r="P259" s="437"/>
      <c r="Q259" s="437"/>
      <c r="R259" s="437"/>
      <c r="S259" s="437"/>
      <c r="T259" s="437"/>
    </row>
    <row r="260" spans="1:20" ht="15.75" customHeight="1" thickBot="1" x14ac:dyDescent="0.35">
      <c r="A260" s="437"/>
      <c r="B260" s="437"/>
      <c r="C260" s="437"/>
      <c r="D260" s="437"/>
      <c r="E260" s="536"/>
      <c r="F260" s="437"/>
      <c r="G260" s="437"/>
      <c r="H260" s="437"/>
      <c r="I260" s="437"/>
      <c r="J260" s="437"/>
      <c r="K260" s="437"/>
      <c r="L260" s="437"/>
      <c r="M260" s="437"/>
      <c r="N260" s="437"/>
      <c r="O260" s="437"/>
      <c r="P260" s="437"/>
      <c r="Q260" s="437"/>
      <c r="R260" s="437"/>
      <c r="S260" s="437"/>
      <c r="T260" s="437"/>
    </row>
    <row r="261" spans="1:20" ht="15.75" customHeight="1" thickBot="1" x14ac:dyDescent="0.35">
      <c r="A261" s="437"/>
      <c r="B261" s="437"/>
      <c r="C261" s="437"/>
      <c r="D261" s="437"/>
      <c r="E261" s="536"/>
      <c r="F261" s="437"/>
      <c r="G261" s="437"/>
      <c r="H261" s="437"/>
      <c r="I261" s="437"/>
      <c r="J261" s="437"/>
      <c r="K261" s="437"/>
      <c r="L261" s="437"/>
      <c r="M261" s="437"/>
      <c r="N261" s="437"/>
      <c r="O261" s="437"/>
      <c r="P261" s="437"/>
      <c r="Q261" s="437"/>
      <c r="R261" s="437"/>
      <c r="S261" s="437"/>
      <c r="T261" s="437"/>
    </row>
    <row r="262" spans="1:20" ht="15.75" customHeight="1" thickBot="1" x14ac:dyDescent="0.35">
      <c r="A262" s="437"/>
      <c r="B262" s="437"/>
      <c r="C262" s="437"/>
      <c r="D262" s="437"/>
      <c r="E262" s="536"/>
      <c r="F262" s="437"/>
      <c r="G262" s="437"/>
      <c r="H262" s="437"/>
      <c r="I262" s="437"/>
      <c r="J262" s="437"/>
      <c r="K262" s="437"/>
      <c r="L262" s="437"/>
      <c r="M262" s="437"/>
      <c r="N262" s="437"/>
      <c r="O262" s="437"/>
      <c r="P262" s="437"/>
      <c r="Q262" s="437"/>
      <c r="R262" s="437"/>
      <c r="S262" s="437"/>
      <c r="T262" s="437"/>
    </row>
    <row r="263" spans="1:20" ht="15.75" customHeight="1" thickBot="1" x14ac:dyDescent="0.35">
      <c r="A263" s="437"/>
      <c r="B263" s="437"/>
      <c r="C263" s="437"/>
      <c r="D263" s="437"/>
      <c r="E263" s="536"/>
      <c r="F263" s="437"/>
      <c r="G263" s="437"/>
      <c r="H263" s="437"/>
      <c r="I263" s="437"/>
      <c r="J263" s="437"/>
      <c r="K263" s="437"/>
      <c r="L263" s="437"/>
      <c r="M263" s="437"/>
      <c r="N263" s="437"/>
      <c r="O263" s="437"/>
      <c r="P263" s="437"/>
      <c r="Q263" s="437"/>
      <c r="R263" s="437"/>
      <c r="S263" s="437"/>
      <c r="T263" s="437"/>
    </row>
    <row r="264" spans="1:20" ht="15.75" customHeight="1" thickBot="1" x14ac:dyDescent="0.35">
      <c r="A264" s="437"/>
      <c r="B264" s="437"/>
      <c r="C264" s="437"/>
      <c r="D264" s="437"/>
      <c r="E264" s="536"/>
      <c r="F264" s="437"/>
      <c r="G264" s="437"/>
      <c r="H264" s="437"/>
      <c r="I264" s="437"/>
      <c r="J264" s="437"/>
      <c r="K264" s="437"/>
      <c r="L264" s="437"/>
      <c r="M264" s="437"/>
      <c r="N264" s="437"/>
      <c r="O264" s="437"/>
      <c r="P264" s="437"/>
      <c r="Q264" s="437"/>
      <c r="R264" s="437"/>
      <c r="S264" s="437"/>
      <c r="T264" s="437"/>
    </row>
    <row r="265" spans="1:20" ht="15.75" customHeight="1" thickBot="1" x14ac:dyDescent="0.35">
      <c r="A265" s="437"/>
      <c r="B265" s="437"/>
      <c r="C265" s="437"/>
      <c r="D265" s="437"/>
      <c r="E265" s="536"/>
      <c r="F265" s="437"/>
      <c r="G265" s="437"/>
      <c r="H265" s="437"/>
      <c r="I265" s="437"/>
      <c r="J265" s="437"/>
      <c r="K265" s="437"/>
      <c r="L265" s="437"/>
      <c r="M265" s="437"/>
      <c r="N265" s="437"/>
      <c r="O265" s="437"/>
      <c r="P265" s="437"/>
      <c r="Q265" s="437"/>
      <c r="R265" s="437"/>
      <c r="S265" s="437"/>
      <c r="T265" s="437"/>
    </row>
    <row r="266" spans="1:20" ht="15.75" customHeight="1" thickBot="1" x14ac:dyDescent="0.35">
      <c r="A266" s="437"/>
      <c r="B266" s="437"/>
      <c r="C266" s="437"/>
      <c r="D266" s="437"/>
      <c r="E266" s="536"/>
      <c r="F266" s="437"/>
      <c r="G266" s="437"/>
      <c r="H266" s="437"/>
      <c r="I266" s="437"/>
      <c r="J266" s="437"/>
      <c r="K266" s="437"/>
      <c r="L266" s="437"/>
      <c r="M266" s="437"/>
      <c r="N266" s="437"/>
      <c r="O266" s="437"/>
      <c r="P266" s="437"/>
      <c r="Q266" s="437"/>
      <c r="R266" s="437"/>
      <c r="S266" s="437"/>
      <c r="T266" s="437"/>
    </row>
    <row r="267" spans="1:20" ht="15.75" customHeight="1" thickBot="1" x14ac:dyDescent="0.35">
      <c r="A267" s="437"/>
      <c r="B267" s="437"/>
      <c r="C267" s="437"/>
      <c r="D267" s="437"/>
      <c r="E267" s="536"/>
      <c r="F267" s="437"/>
      <c r="G267" s="437"/>
      <c r="H267" s="437"/>
      <c r="I267" s="437"/>
      <c r="J267" s="437"/>
      <c r="K267" s="437"/>
      <c r="L267" s="437"/>
      <c r="M267" s="437"/>
      <c r="N267" s="437"/>
      <c r="O267" s="437"/>
      <c r="P267" s="437"/>
      <c r="Q267" s="437"/>
      <c r="R267" s="437"/>
      <c r="S267" s="437"/>
      <c r="T267" s="437"/>
    </row>
    <row r="268" spans="1:20" ht="15.75" customHeight="1" thickBot="1" x14ac:dyDescent="0.35">
      <c r="A268" s="437"/>
      <c r="B268" s="437"/>
      <c r="C268" s="437"/>
      <c r="D268" s="437"/>
      <c r="E268" s="536"/>
      <c r="F268" s="437"/>
      <c r="G268" s="437"/>
      <c r="H268" s="437"/>
      <c r="I268" s="437"/>
      <c r="J268" s="437"/>
      <c r="K268" s="437"/>
      <c r="L268" s="437"/>
      <c r="M268" s="437"/>
      <c r="N268" s="437"/>
      <c r="O268" s="437"/>
      <c r="P268" s="437"/>
      <c r="Q268" s="437"/>
      <c r="R268" s="437"/>
      <c r="S268" s="437"/>
      <c r="T268" s="437"/>
    </row>
    <row r="269" spans="1:20" ht="15.75" customHeight="1" thickBot="1" x14ac:dyDescent="0.35">
      <c r="A269" s="437"/>
      <c r="B269" s="437"/>
      <c r="C269" s="437"/>
      <c r="D269" s="437"/>
      <c r="E269" s="536"/>
      <c r="F269" s="437"/>
      <c r="G269" s="437"/>
      <c r="H269" s="437"/>
      <c r="I269" s="437"/>
      <c r="J269" s="437"/>
      <c r="K269" s="437"/>
      <c r="L269" s="437"/>
      <c r="M269" s="437"/>
      <c r="N269" s="437"/>
      <c r="O269" s="437"/>
      <c r="P269" s="437"/>
      <c r="Q269" s="437"/>
      <c r="R269" s="437"/>
      <c r="S269" s="437"/>
      <c r="T269" s="437"/>
    </row>
    <row r="270" spans="1:20" ht="15.75" customHeight="1" thickBot="1" x14ac:dyDescent="0.35">
      <c r="A270" s="437"/>
      <c r="B270" s="437"/>
      <c r="C270" s="437"/>
      <c r="D270" s="437"/>
      <c r="E270" s="536"/>
      <c r="F270" s="437"/>
      <c r="G270" s="437"/>
      <c r="H270" s="437"/>
      <c r="I270" s="437"/>
      <c r="J270" s="437"/>
      <c r="K270" s="437"/>
      <c r="L270" s="437"/>
      <c r="M270" s="437"/>
      <c r="N270" s="437"/>
      <c r="O270" s="437"/>
      <c r="P270" s="437"/>
      <c r="Q270" s="437"/>
      <c r="R270" s="437"/>
      <c r="S270" s="437"/>
      <c r="T270" s="437"/>
    </row>
    <row r="271" spans="1:20" ht="15.75" customHeight="1" thickBot="1" x14ac:dyDescent="0.35">
      <c r="A271" s="437"/>
      <c r="B271" s="437"/>
      <c r="C271" s="437"/>
      <c r="D271" s="437"/>
      <c r="E271" s="536"/>
      <c r="F271" s="437"/>
      <c r="G271" s="437"/>
      <c r="H271" s="437"/>
      <c r="I271" s="437"/>
      <c r="J271" s="437"/>
      <c r="K271" s="437"/>
      <c r="L271" s="437"/>
      <c r="M271" s="437"/>
      <c r="N271" s="437"/>
      <c r="O271" s="437"/>
      <c r="P271" s="437"/>
      <c r="Q271" s="437"/>
      <c r="R271" s="437"/>
      <c r="S271" s="437"/>
      <c r="T271" s="437"/>
    </row>
    <row r="272" spans="1:20" ht="15.75" customHeight="1" thickBot="1" x14ac:dyDescent="0.35">
      <c r="A272" s="437"/>
      <c r="B272" s="437"/>
      <c r="C272" s="437"/>
      <c r="D272" s="437"/>
      <c r="E272" s="536"/>
      <c r="F272" s="437"/>
      <c r="G272" s="437"/>
      <c r="H272" s="437"/>
      <c r="I272" s="437"/>
      <c r="J272" s="437"/>
      <c r="K272" s="437"/>
      <c r="L272" s="437"/>
      <c r="M272" s="437"/>
      <c r="N272" s="437"/>
      <c r="O272" s="437"/>
      <c r="P272" s="437"/>
      <c r="Q272" s="437"/>
      <c r="R272" s="437"/>
      <c r="S272" s="437"/>
      <c r="T272" s="437"/>
    </row>
    <row r="273" spans="1:20" ht="15.75" customHeight="1" thickBot="1" x14ac:dyDescent="0.35">
      <c r="A273" s="437"/>
      <c r="B273" s="437"/>
      <c r="C273" s="437"/>
      <c r="D273" s="437"/>
      <c r="E273" s="536"/>
      <c r="F273" s="437"/>
      <c r="G273" s="437"/>
      <c r="H273" s="437"/>
      <c r="I273" s="437"/>
      <c r="J273" s="437"/>
      <c r="K273" s="437"/>
      <c r="L273" s="437"/>
      <c r="M273" s="437"/>
      <c r="N273" s="437"/>
      <c r="O273" s="437"/>
      <c r="P273" s="437"/>
      <c r="Q273" s="437"/>
      <c r="R273" s="437"/>
      <c r="S273" s="437"/>
      <c r="T273" s="437"/>
    </row>
    <row r="274" spans="1:20" ht="15.75" customHeight="1" thickBot="1" x14ac:dyDescent="0.35">
      <c r="A274" s="437"/>
      <c r="B274" s="437"/>
      <c r="C274" s="437"/>
      <c r="D274" s="437"/>
      <c r="E274" s="536"/>
      <c r="F274" s="437"/>
      <c r="G274" s="437"/>
      <c r="H274" s="437"/>
      <c r="I274" s="437"/>
      <c r="J274" s="437"/>
      <c r="K274" s="437"/>
      <c r="L274" s="437"/>
      <c r="M274" s="437"/>
      <c r="N274" s="437"/>
      <c r="O274" s="437"/>
      <c r="P274" s="437"/>
      <c r="Q274" s="437"/>
      <c r="R274" s="437"/>
      <c r="S274" s="437"/>
      <c r="T274" s="437"/>
    </row>
    <row r="275" spans="1:20" ht="15.75" customHeight="1" thickBot="1" x14ac:dyDescent="0.35">
      <c r="A275" s="437"/>
      <c r="B275" s="437"/>
      <c r="C275" s="437"/>
      <c r="D275" s="437"/>
      <c r="E275" s="536"/>
      <c r="F275" s="437"/>
      <c r="G275" s="437"/>
      <c r="H275" s="437"/>
      <c r="I275" s="437"/>
      <c r="J275" s="437"/>
      <c r="K275" s="437"/>
      <c r="L275" s="437"/>
      <c r="M275" s="437"/>
      <c r="N275" s="437"/>
      <c r="O275" s="437"/>
      <c r="P275" s="437"/>
      <c r="Q275" s="437"/>
      <c r="R275" s="437"/>
      <c r="S275" s="437"/>
      <c r="T275" s="437"/>
    </row>
    <row r="276" spans="1:20" ht="15.75" customHeight="1" thickBot="1" x14ac:dyDescent="0.35">
      <c r="A276" s="437"/>
      <c r="B276" s="437"/>
      <c r="C276" s="437"/>
      <c r="D276" s="437"/>
      <c r="E276" s="536"/>
      <c r="F276" s="437"/>
      <c r="G276" s="437"/>
      <c r="H276" s="437"/>
      <c r="I276" s="437"/>
      <c r="J276" s="437"/>
      <c r="K276" s="437"/>
      <c r="L276" s="437"/>
      <c r="M276" s="437"/>
      <c r="N276" s="437"/>
      <c r="O276" s="437"/>
      <c r="P276" s="437"/>
      <c r="Q276" s="437"/>
      <c r="R276" s="437"/>
      <c r="S276" s="437"/>
      <c r="T276" s="437"/>
    </row>
    <row r="277" spans="1:20" ht="15.75" customHeight="1" thickBot="1" x14ac:dyDescent="0.35">
      <c r="A277" s="437"/>
      <c r="B277" s="437"/>
      <c r="C277" s="437"/>
      <c r="D277" s="437"/>
      <c r="E277" s="536"/>
      <c r="F277" s="437"/>
      <c r="G277" s="437"/>
      <c r="H277" s="437"/>
      <c r="I277" s="437"/>
      <c r="J277" s="437"/>
      <c r="K277" s="437"/>
      <c r="L277" s="437"/>
      <c r="M277" s="437"/>
      <c r="N277" s="437"/>
      <c r="O277" s="437"/>
      <c r="P277" s="437"/>
      <c r="Q277" s="437"/>
      <c r="R277" s="437"/>
      <c r="S277" s="437"/>
      <c r="T277" s="437"/>
    </row>
    <row r="278" spans="1:20" ht="15.75" customHeight="1" thickBot="1" x14ac:dyDescent="0.35">
      <c r="A278" s="437"/>
      <c r="B278" s="437"/>
      <c r="C278" s="437"/>
      <c r="D278" s="437"/>
      <c r="E278" s="536"/>
      <c r="F278" s="437"/>
      <c r="G278" s="437"/>
      <c r="H278" s="437"/>
      <c r="I278" s="437"/>
      <c r="J278" s="437"/>
      <c r="K278" s="437"/>
      <c r="L278" s="437"/>
      <c r="M278" s="437"/>
      <c r="N278" s="437"/>
      <c r="O278" s="437"/>
      <c r="P278" s="437"/>
      <c r="Q278" s="437"/>
      <c r="R278" s="437"/>
      <c r="S278" s="437"/>
      <c r="T278" s="437"/>
    </row>
    <row r="279" spans="1:20" ht="15.75" customHeight="1" thickBot="1" x14ac:dyDescent="0.35">
      <c r="A279" s="437"/>
      <c r="B279" s="437"/>
      <c r="C279" s="437"/>
      <c r="D279" s="437"/>
      <c r="E279" s="536"/>
      <c r="F279" s="437"/>
      <c r="G279" s="437"/>
      <c r="H279" s="437"/>
      <c r="I279" s="437"/>
      <c r="J279" s="437"/>
      <c r="K279" s="437"/>
      <c r="L279" s="437"/>
      <c r="M279" s="437"/>
      <c r="N279" s="437"/>
      <c r="O279" s="437"/>
      <c r="P279" s="437"/>
      <c r="Q279" s="437"/>
      <c r="R279" s="437"/>
      <c r="S279" s="437"/>
      <c r="T279" s="437"/>
    </row>
    <row r="280" spans="1:20" ht="15.75" customHeight="1" thickBot="1" x14ac:dyDescent="0.35">
      <c r="A280" s="437"/>
      <c r="B280" s="437"/>
      <c r="C280" s="437"/>
      <c r="D280" s="437"/>
      <c r="E280" s="536"/>
      <c r="F280" s="437"/>
      <c r="G280" s="437"/>
      <c r="H280" s="437"/>
      <c r="I280" s="437"/>
      <c r="J280" s="437"/>
      <c r="K280" s="437"/>
      <c r="L280" s="437"/>
      <c r="M280" s="437"/>
      <c r="N280" s="437"/>
      <c r="O280" s="437"/>
      <c r="P280" s="437"/>
      <c r="Q280" s="437"/>
      <c r="R280" s="437"/>
      <c r="S280" s="437"/>
      <c r="T280" s="437"/>
    </row>
    <row r="281" spans="1:20" ht="15.75" customHeight="1" thickBot="1" x14ac:dyDescent="0.35">
      <c r="A281" s="437"/>
      <c r="B281" s="437"/>
      <c r="C281" s="437"/>
      <c r="D281" s="437"/>
      <c r="E281" s="536"/>
      <c r="F281" s="437"/>
      <c r="G281" s="437"/>
      <c r="H281" s="437"/>
      <c r="I281" s="437"/>
      <c r="J281" s="437"/>
      <c r="K281" s="437"/>
      <c r="L281" s="437"/>
      <c r="M281" s="437"/>
      <c r="N281" s="437"/>
      <c r="O281" s="437"/>
      <c r="P281" s="437"/>
      <c r="Q281" s="437"/>
      <c r="R281" s="437"/>
      <c r="S281" s="437"/>
      <c r="T281" s="437"/>
    </row>
    <row r="282" spans="1:20" ht="15.75" customHeight="1" thickBot="1" x14ac:dyDescent="0.35">
      <c r="A282" s="437"/>
      <c r="B282" s="437"/>
      <c r="C282" s="437"/>
      <c r="D282" s="437"/>
      <c r="E282" s="536"/>
      <c r="F282" s="437"/>
      <c r="G282" s="437"/>
      <c r="H282" s="437"/>
      <c r="I282" s="437"/>
      <c r="J282" s="437"/>
      <c r="K282" s="437"/>
      <c r="L282" s="437"/>
      <c r="M282" s="437"/>
      <c r="N282" s="437"/>
      <c r="O282" s="437"/>
      <c r="P282" s="437"/>
      <c r="Q282" s="437"/>
      <c r="R282" s="437"/>
      <c r="S282" s="437"/>
      <c r="T282" s="437"/>
    </row>
    <row r="283" spans="1:20" ht="15.75" customHeight="1" thickBot="1" x14ac:dyDescent="0.35">
      <c r="A283" s="437"/>
      <c r="B283" s="437"/>
      <c r="C283" s="437"/>
      <c r="D283" s="437"/>
      <c r="E283" s="536"/>
      <c r="F283" s="437"/>
      <c r="G283" s="437"/>
      <c r="H283" s="437"/>
      <c r="I283" s="437"/>
      <c r="J283" s="437"/>
      <c r="K283" s="437"/>
      <c r="L283" s="437"/>
      <c r="M283" s="437"/>
      <c r="N283" s="437"/>
      <c r="O283" s="437"/>
      <c r="P283" s="437"/>
      <c r="Q283" s="437"/>
      <c r="R283" s="437"/>
      <c r="S283" s="437"/>
      <c r="T283" s="437"/>
    </row>
    <row r="284" spans="1:20" ht="15.75" customHeight="1" thickBot="1" x14ac:dyDescent="0.35">
      <c r="A284" s="437"/>
      <c r="B284" s="437"/>
      <c r="C284" s="437"/>
      <c r="D284" s="437"/>
      <c r="E284" s="536"/>
      <c r="F284" s="437"/>
      <c r="G284" s="437"/>
      <c r="H284" s="437"/>
      <c r="I284" s="437"/>
      <c r="J284" s="437"/>
      <c r="K284" s="437"/>
      <c r="L284" s="437"/>
      <c r="M284" s="437"/>
      <c r="N284" s="437"/>
      <c r="O284" s="437"/>
      <c r="P284" s="437"/>
      <c r="Q284" s="437"/>
      <c r="R284" s="437"/>
      <c r="S284" s="437"/>
      <c r="T284" s="437"/>
    </row>
    <row r="285" spans="1:20" ht="15.75" customHeight="1" thickBot="1" x14ac:dyDescent="0.35">
      <c r="A285" s="437"/>
      <c r="B285" s="437"/>
      <c r="C285" s="437"/>
      <c r="D285" s="437"/>
      <c r="E285" s="536"/>
      <c r="F285" s="437"/>
      <c r="G285" s="437"/>
      <c r="H285" s="437"/>
      <c r="I285" s="437"/>
      <c r="J285" s="437"/>
      <c r="K285" s="437"/>
      <c r="L285" s="437"/>
      <c r="M285" s="437"/>
      <c r="N285" s="437"/>
      <c r="O285" s="437"/>
      <c r="P285" s="437"/>
      <c r="Q285" s="437"/>
      <c r="R285" s="437"/>
      <c r="S285" s="437"/>
      <c r="T285" s="437"/>
    </row>
    <row r="286" spans="1:20" ht="15.75" customHeight="1" thickBot="1" x14ac:dyDescent="0.35">
      <c r="A286" s="437"/>
      <c r="B286" s="437"/>
      <c r="C286" s="437"/>
      <c r="D286" s="437"/>
      <c r="E286" s="536"/>
      <c r="F286" s="437"/>
      <c r="G286" s="437"/>
      <c r="H286" s="437"/>
      <c r="I286" s="437"/>
      <c r="J286" s="437"/>
      <c r="K286" s="437"/>
      <c r="L286" s="437"/>
      <c r="M286" s="437"/>
      <c r="N286" s="437"/>
      <c r="O286" s="437"/>
      <c r="P286" s="437"/>
      <c r="Q286" s="437"/>
      <c r="R286" s="437"/>
      <c r="S286" s="437"/>
      <c r="T286" s="437"/>
    </row>
    <row r="287" spans="1:20" ht="15.75" customHeight="1" thickBot="1" x14ac:dyDescent="0.35">
      <c r="A287" s="437"/>
      <c r="B287" s="437"/>
      <c r="C287" s="437"/>
      <c r="D287" s="437"/>
      <c r="E287" s="536"/>
      <c r="F287" s="437"/>
      <c r="G287" s="437"/>
      <c r="H287" s="437"/>
      <c r="I287" s="437"/>
      <c r="J287" s="437"/>
      <c r="K287" s="437"/>
      <c r="L287" s="437"/>
      <c r="M287" s="437"/>
      <c r="N287" s="437"/>
      <c r="O287" s="437"/>
      <c r="P287" s="437"/>
      <c r="Q287" s="437"/>
      <c r="R287" s="437"/>
      <c r="S287" s="437"/>
      <c r="T287" s="437"/>
    </row>
    <row r="288" spans="1:20" ht="15.75" customHeight="1" thickBot="1" x14ac:dyDescent="0.35">
      <c r="A288" s="437"/>
      <c r="B288" s="437"/>
      <c r="C288" s="437"/>
      <c r="D288" s="437"/>
      <c r="E288" s="536"/>
      <c r="F288" s="437"/>
      <c r="G288" s="437"/>
      <c r="H288" s="437"/>
      <c r="I288" s="437"/>
      <c r="J288" s="437"/>
      <c r="K288" s="437"/>
      <c r="L288" s="437"/>
      <c r="M288" s="437"/>
      <c r="N288" s="437"/>
      <c r="O288" s="437"/>
      <c r="P288" s="437"/>
      <c r="Q288" s="437"/>
      <c r="R288" s="437"/>
      <c r="S288" s="437"/>
      <c r="T288" s="437"/>
    </row>
    <row r="289" spans="1:20" ht="15.75" customHeight="1" thickBot="1" x14ac:dyDescent="0.35">
      <c r="A289" s="437"/>
      <c r="B289" s="437"/>
      <c r="C289" s="437"/>
      <c r="D289" s="437"/>
      <c r="E289" s="536"/>
      <c r="F289" s="437"/>
      <c r="G289" s="437"/>
      <c r="H289" s="437"/>
      <c r="I289" s="437"/>
      <c r="J289" s="437"/>
      <c r="K289" s="437"/>
      <c r="L289" s="437"/>
      <c r="M289" s="437"/>
      <c r="N289" s="437"/>
      <c r="O289" s="437"/>
      <c r="P289" s="437"/>
      <c r="Q289" s="437"/>
      <c r="R289" s="437"/>
      <c r="S289" s="437"/>
      <c r="T289" s="437"/>
    </row>
    <row r="290" spans="1:20" ht="15.75" customHeight="1" thickBot="1" x14ac:dyDescent="0.35">
      <c r="A290" s="437"/>
      <c r="B290" s="437"/>
      <c r="C290" s="437"/>
      <c r="D290" s="437"/>
      <c r="E290" s="536"/>
      <c r="F290" s="437"/>
      <c r="G290" s="437"/>
      <c r="H290" s="437"/>
      <c r="I290" s="437"/>
      <c r="J290" s="437"/>
      <c r="K290" s="437"/>
      <c r="L290" s="437"/>
      <c r="M290" s="437"/>
      <c r="N290" s="437"/>
      <c r="O290" s="437"/>
      <c r="P290" s="437"/>
      <c r="Q290" s="437"/>
      <c r="R290" s="437"/>
      <c r="S290" s="437"/>
      <c r="T290" s="437"/>
    </row>
    <row r="291" spans="1:20" ht="15.75" customHeight="1" thickBot="1" x14ac:dyDescent="0.35">
      <c r="A291" s="437"/>
      <c r="B291" s="437"/>
      <c r="C291" s="437"/>
      <c r="D291" s="437"/>
      <c r="E291" s="536"/>
      <c r="F291" s="437"/>
      <c r="G291" s="437"/>
      <c r="H291" s="437"/>
      <c r="I291" s="437"/>
      <c r="J291" s="437"/>
      <c r="K291" s="437"/>
      <c r="L291" s="437"/>
      <c r="M291" s="437"/>
      <c r="N291" s="437"/>
      <c r="O291" s="437"/>
      <c r="P291" s="437"/>
      <c r="Q291" s="437"/>
      <c r="R291" s="437"/>
      <c r="S291" s="437"/>
      <c r="T291" s="437"/>
    </row>
    <row r="292" spans="1:20" ht="15.75" customHeight="1" thickBot="1" x14ac:dyDescent="0.35">
      <c r="A292" s="437"/>
      <c r="B292" s="437"/>
      <c r="C292" s="437"/>
      <c r="D292" s="437"/>
      <c r="E292" s="536"/>
      <c r="F292" s="437"/>
      <c r="G292" s="437"/>
      <c r="H292" s="437"/>
      <c r="I292" s="437"/>
      <c r="J292" s="437"/>
      <c r="K292" s="437"/>
      <c r="L292" s="437"/>
      <c r="M292" s="437"/>
      <c r="N292" s="437"/>
      <c r="O292" s="437"/>
      <c r="P292" s="437"/>
      <c r="Q292" s="437"/>
      <c r="R292" s="437"/>
      <c r="S292" s="437"/>
      <c r="T292" s="437"/>
    </row>
    <row r="293" spans="1:20" ht="15.75" customHeight="1" thickBot="1" x14ac:dyDescent="0.35">
      <c r="A293" s="437"/>
      <c r="B293" s="437"/>
      <c r="C293" s="437"/>
      <c r="D293" s="437"/>
      <c r="E293" s="536"/>
      <c r="F293" s="437"/>
      <c r="G293" s="437"/>
      <c r="H293" s="437"/>
      <c r="I293" s="437"/>
      <c r="J293" s="437"/>
      <c r="K293" s="437"/>
      <c r="L293" s="437"/>
      <c r="M293" s="437"/>
      <c r="N293" s="437"/>
      <c r="O293" s="437"/>
      <c r="P293" s="437"/>
      <c r="Q293" s="437"/>
      <c r="R293" s="437"/>
      <c r="S293" s="437"/>
      <c r="T293" s="437"/>
    </row>
    <row r="294" spans="1:20" ht="15.75" customHeight="1" thickBot="1" x14ac:dyDescent="0.35">
      <c r="A294" s="437"/>
      <c r="B294" s="437"/>
      <c r="C294" s="437"/>
      <c r="D294" s="437"/>
      <c r="E294" s="536"/>
      <c r="F294" s="437"/>
      <c r="G294" s="437"/>
      <c r="H294" s="437"/>
      <c r="I294" s="437"/>
      <c r="J294" s="437"/>
      <c r="K294" s="437"/>
      <c r="L294" s="437"/>
      <c r="M294" s="437"/>
      <c r="N294" s="437"/>
      <c r="O294" s="437"/>
      <c r="P294" s="437"/>
      <c r="Q294" s="437"/>
      <c r="R294" s="437"/>
      <c r="S294" s="437"/>
      <c r="T294" s="437"/>
    </row>
    <row r="295" spans="1:20" ht="15.75" customHeight="1" thickBot="1" x14ac:dyDescent="0.35">
      <c r="A295" s="437"/>
      <c r="B295" s="437"/>
      <c r="C295" s="437"/>
      <c r="D295" s="437"/>
      <c r="E295" s="536"/>
      <c r="F295" s="437"/>
      <c r="G295" s="437"/>
      <c r="H295" s="437"/>
      <c r="I295" s="437"/>
      <c r="J295" s="437"/>
      <c r="K295" s="437"/>
      <c r="L295" s="437"/>
      <c r="M295" s="437"/>
      <c r="N295" s="437"/>
      <c r="O295" s="437"/>
      <c r="P295" s="437"/>
      <c r="Q295" s="437"/>
      <c r="R295" s="437"/>
      <c r="S295" s="437"/>
      <c r="T295" s="437"/>
    </row>
    <row r="296" spans="1:20" ht="15.75" customHeight="1" thickBot="1" x14ac:dyDescent="0.35">
      <c r="A296" s="437"/>
      <c r="B296" s="437"/>
      <c r="C296" s="437"/>
      <c r="D296" s="437"/>
      <c r="E296" s="536"/>
      <c r="F296" s="437"/>
      <c r="G296" s="437"/>
      <c r="H296" s="437"/>
      <c r="I296" s="437"/>
      <c r="J296" s="437"/>
      <c r="K296" s="437"/>
      <c r="L296" s="437"/>
      <c r="M296" s="437"/>
      <c r="N296" s="437"/>
      <c r="O296" s="437"/>
      <c r="P296" s="437"/>
      <c r="Q296" s="437"/>
      <c r="R296" s="437"/>
      <c r="S296" s="437"/>
      <c r="T296" s="437"/>
    </row>
    <row r="297" spans="1:20" ht="15.75" customHeight="1" thickBot="1" x14ac:dyDescent="0.35">
      <c r="A297" s="437"/>
      <c r="B297" s="437"/>
      <c r="C297" s="437"/>
      <c r="D297" s="437"/>
      <c r="E297" s="536"/>
      <c r="F297" s="437"/>
      <c r="G297" s="437"/>
      <c r="H297" s="437"/>
      <c r="I297" s="437"/>
      <c r="J297" s="437"/>
      <c r="K297" s="437"/>
      <c r="L297" s="437"/>
      <c r="M297" s="437"/>
      <c r="N297" s="437"/>
      <c r="O297" s="437"/>
      <c r="P297" s="437"/>
      <c r="Q297" s="437"/>
      <c r="R297" s="437"/>
      <c r="S297" s="437"/>
      <c r="T297" s="437"/>
    </row>
    <row r="298" spans="1:20" ht="15.75" customHeight="1" thickBot="1" x14ac:dyDescent="0.35">
      <c r="A298" s="437"/>
      <c r="B298" s="437"/>
      <c r="C298" s="437"/>
      <c r="D298" s="437"/>
      <c r="E298" s="536"/>
      <c r="F298" s="437"/>
      <c r="G298" s="437"/>
      <c r="H298" s="437"/>
      <c r="I298" s="437"/>
      <c r="J298" s="437"/>
      <c r="K298" s="437"/>
      <c r="L298" s="437"/>
      <c r="M298" s="437"/>
      <c r="N298" s="437"/>
      <c r="O298" s="437"/>
      <c r="P298" s="437"/>
      <c r="Q298" s="437"/>
      <c r="R298" s="437"/>
      <c r="S298" s="437"/>
      <c r="T298" s="437"/>
    </row>
    <row r="299" spans="1:20" ht="15.75" customHeight="1" thickBot="1" x14ac:dyDescent="0.35">
      <c r="A299" s="437"/>
      <c r="B299" s="437"/>
      <c r="C299" s="437"/>
      <c r="D299" s="437"/>
      <c r="E299" s="536"/>
      <c r="F299" s="437"/>
      <c r="G299" s="437"/>
      <c r="H299" s="437"/>
      <c r="I299" s="437"/>
      <c r="J299" s="437"/>
      <c r="K299" s="437"/>
      <c r="L299" s="437"/>
      <c r="M299" s="437"/>
      <c r="N299" s="437"/>
      <c r="O299" s="437"/>
      <c r="P299" s="437"/>
      <c r="Q299" s="437"/>
      <c r="R299" s="437"/>
      <c r="S299" s="437"/>
      <c r="T299" s="437"/>
    </row>
    <row r="300" spans="1:20" ht="15.75" customHeight="1" thickBot="1" x14ac:dyDescent="0.35">
      <c r="A300" s="437"/>
      <c r="B300" s="437"/>
      <c r="C300" s="437"/>
      <c r="D300" s="437"/>
      <c r="E300" s="536"/>
      <c r="F300" s="437"/>
      <c r="G300" s="437"/>
      <c r="H300" s="437"/>
      <c r="I300" s="437"/>
      <c r="J300" s="437"/>
      <c r="K300" s="437"/>
      <c r="L300" s="437"/>
      <c r="M300" s="437"/>
      <c r="N300" s="437"/>
      <c r="O300" s="437"/>
      <c r="P300" s="437"/>
      <c r="Q300" s="437"/>
      <c r="R300" s="437"/>
      <c r="S300" s="437"/>
      <c r="T300" s="437"/>
    </row>
    <row r="301" spans="1:20" ht="15.75" customHeight="1" thickBot="1" x14ac:dyDescent="0.35">
      <c r="A301" s="437"/>
      <c r="B301" s="437"/>
      <c r="C301" s="437"/>
      <c r="D301" s="437"/>
      <c r="E301" s="536"/>
      <c r="F301" s="437"/>
      <c r="G301" s="437"/>
      <c r="H301" s="437"/>
      <c r="I301" s="437"/>
      <c r="J301" s="437"/>
      <c r="K301" s="437"/>
      <c r="L301" s="437"/>
      <c r="M301" s="437"/>
      <c r="N301" s="437"/>
      <c r="O301" s="437"/>
      <c r="P301" s="437"/>
      <c r="Q301" s="437"/>
      <c r="R301" s="437"/>
      <c r="S301" s="437"/>
      <c r="T301" s="437"/>
    </row>
    <row r="302" spans="1:20" ht="15.75" customHeight="1" thickBot="1" x14ac:dyDescent="0.35">
      <c r="A302" s="437"/>
      <c r="B302" s="437"/>
      <c r="C302" s="437"/>
      <c r="D302" s="437"/>
      <c r="E302" s="536"/>
      <c r="F302" s="437"/>
      <c r="G302" s="437"/>
      <c r="H302" s="437"/>
      <c r="I302" s="437"/>
      <c r="J302" s="437"/>
      <c r="K302" s="437"/>
      <c r="L302" s="437"/>
      <c r="M302" s="437"/>
      <c r="N302" s="437"/>
      <c r="O302" s="437"/>
      <c r="P302" s="437"/>
      <c r="Q302" s="437"/>
      <c r="R302" s="437"/>
      <c r="S302" s="437"/>
      <c r="T302" s="437"/>
    </row>
    <row r="303" spans="1:20" ht="15.75" customHeight="1" thickBot="1" x14ac:dyDescent="0.35">
      <c r="A303" s="437"/>
      <c r="B303" s="437"/>
      <c r="C303" s="437"/>
      <c r="D303" s="437"/>
      <c r="E303" s="536"/>
      <c r="F303" s="437"/>
      <c r="G303" s="437"/>
      <c r="H303" s="437"/>
      <c r="I303" s="437"/>
      <c r="J303" s="437"/>
      <c r="K303" s="437"/>
      <c r="L303" s="437"/>
      <c r="M303" s="437"/>
      <c r="N303" s="437"/>
      <c r="O303" s="437"/>
      <c r="P303" s="437"/>
      <c r="Q303" s="437"/>
      <c r="R303" s="437"/>
      <c r="S303" s="437"/>
      <c r="T303" s="437"/>
    </row>
    <row r="304" spans="1:20" ht="15.75" customHeight="1" thickBot="1" x14ac:dyDescent="0.35">
      <c r="A304" s="437"/>
      <c r="B304" s="437"/>
      <c r="C304" s="437"/>
      <c r="D304" s="437"/>
      <c r="E304" s="536"/>
      <c r="F304" s="437"/>
      <c r="G304" s="437"/>
      <c r="H304" s="437"/>
      <c r="I304" s="437"/>
      <c r="J304" s="437"/>
      <c r="K304" s="437"/>
      <c r="L304" s="437"/>
      <c r="M304" s="437"/>
      <c r="N304" s="437"/>
      <c r="O304" s="437"/>
      <c r="P304" s="437"/>
      <c r="Q304" s="437"/>
      <c r="R304" s="437"/>
      <c r="S304" s="437"/>
      <c r="T304" s="437"/>
    </row>
    <row r="305" spans="1:20" ht="15.75" customHeight="1" thickBot="1" x14ac:dyDescent="0.35">
      <c r="A305" s="437"/>
      <c r="B305" s="437"/>
      <c r="C305" s="437"/>
      <c r="D305" s="437"/>
      <c r="E305" s="536"/>
      <c r="F305" s="437"/>
      <c r="G305" s="437"/>
      <c r="H305" s="437"/>
      <c r="I305" s="437"/>
      <c r="J305" s="437"/>
      <c r="K305" s="437"/>
      <c r="L305" s="437"/>
      <c r="M305" s="437"/>
      <c r="N305" s="437"/>
      <c r="O305" s="437"/>
      <c r="P305" s="437"/>
      <c r="Q305" s="437"/>
      <c r="R305" s="437"/>
      <c r="S305" s="437"/>
      <c r="T305" s="437"/>
    </row>
    <row r="306" spans="1:20" ht="15.75" customHeight="1" thickBot="1" x14ac:dyDescent="0.35">
      <c r="A306" s="437"/>
      <c r="B306" s="437"/>
      <c r="C306" s="437"/>
      <c r="D306" s="437"/>
      <c r="E306" s="536"/>
      <c r="F306" s="437"/>
      <c r="G306" s="437"/>
      <c r="H306" s="437"/>
      <c r="I306" s="437"/>
      <c r="J306" s="437"/>
      <c r="K306" s="437"/>
      <c r="L306" s="437"/>
      <c r="M306" s="437"/>
      <c r="N306" s="437"/>
      <c r="O306" s="437"/>
      <c r="P306" s="437"/>
      <c r="Q306" s="437"/>
      <c r="R306" s="437"/>
      <c r="S306" s="437"/>
      <c r="T306" s="437"/>
    </row>
    <row r="307" spans="1:20" ht="15.75" customHeight="1" thickBot="1" x14ac:dyDescent="0.35">
      <c r="A307" s="437"/>
      <c r="B307" s="437"/>
      <c r="C307" s="437"/>
      <c r="D307" s="437"/>
      <c r="E307" s="536"/>
      <c r="F307" s="437"/>
      <c r="G307" s="437"/>
      <c r="H307" s="437"/>
      <c r="I307" s="437"/>
      <c r="J307" s="437"/>
      <c r="K307" s="437"/>
      <c r="L307" s="437"/>
      <c r="M307" s="437"/>
      <c r="N307" s="437"/>
      <c r="O307" s="437"/>
      <c r="P307" s="437"/>
      <c r="Q307" s="437"/>
      <c r="R307" s="437"/>
      <c r="S307" s="437"/>
      <c r="T307" s="437"/>
    </row>
    <row r="308" spans="1:20" ht="15.75" customHeight="1" thickBot="1" x14ac:dyDescent="0.35">
      <c r="A308" s="437"/>
      <c r="B308" s="437"/>
      <c r="C308" s="437"/>
      <c r="D308" s="437"/>
      <c r="E308" s="536"/>
      <c r="F308" s="437"/>
      <c r="G308" s="437"/>
      <c r="H308" s="437"/>
      <c r="I308" s="437"/>
      <c r="J308" s="437"/>
      <c r="K308" s="437"/>
      <c r="L308" s="437"/>
      <c r="M308" s="437"/>
      <c r="N308" s="437"/>
      <c r="O308" s="437"/>
      <c r="P308" s="437"/>
      <c r="Q308" s="437"/>
      <c r="R308" s="437"/>
      <c r="S308" s="437"/>
      <c r="T308" s="437"/>
    </row>
    <row r="309" spans="1:20" ht="15.75" customHeight="1" thickBot="1" x14ac:dyDescent="0.35">
      <c r="A309" s="437"/>
      <c r="B309" s="437"/>
      <c r="C309" s="437"/>
      <c r="D309" s="437"/>
      <c r="E309" s="536"/>
      <c r="F309" s="437"/>
      <c r="G309" s="437"/>
      <c r="H309" s="437"/>
      <c r="I309" s="437"/>
      <c r="J309" s="437"/>
      <c r="K309" s="437"/>
      <c r="L309" s="437"/>
      <c r="M309" s="437"/>
      <c r="N309" s="437"/>
      <c r="O309" s="437"/>
      <c r="P309" s="437"/>
      <c r="Q309" s="437"/>
      <c r="R309" s="437"/>
      <c r="S309" s="437"/>
      <c r="T309" s="437"/>
    </row>
    <row r="310" spans="1:20" ht="15.75" customHeight="1" thickBot="1" x14ac:dyDescent="0.35">
      <c r="A310" s="437"/>
      <c r="B310" s="437"/>
      <c r="C310" s="437"/>
      <c r="D310" s="437"/>
      <c r="E310" s="536"/>
      <c r="F310" s="437"/>
      <c r="G310" s="437"/>
      <c r="H310" s="437"/>
      <c r="I310" s="437"/>
      <c r="J310" s="437"/>
      <c r="K310" s="437"/>
      <c r="L310" s="437"/>
      <c r="M310" s="437"/>
      <c r="N310" s="437"/>
      <c r="O310" s="437"/>
      <c r="P310" s="437"/>
      <c r="Q310" s="437"/>
      <c r="R310" s="437"/>
      <c r="S310" s="437"/>
      <c r="T310" s="437"/>
    </row>
    <row r="311" spans="1:20" ht="15.75" customHeight="1" thickBot="1" x14ac:dyDescent="0.35">
      <c r="A311" s="437"/>
      <c r="B311" s="437"/>
      <c r="C311" s="437"/>
      <c r="D311" s="437"/>
      <c r="E311" s="536"/>
      <c r="F311" s="437"/>
      <c r="G311" s="437"/>
      <c r="H311" s="437"/>
      <c r="I311" s="437"/>
      <c r="J311" s="437"/>
      <c r="K311" s="437"/>
      <c r="L311" s="437"/>
      <c r="M311" s="437"/>
      <c r="N311" s="437"/>
      <c r="O311" s="437"/>
      <c r="P311" s="437"/>
      <c r="Q311" s="437"/>
      <c r="R311" s="437"/>
      <c r="S311" s="437"/>
      <c r="T311" s="437"/>
    </row>
    <row r="312" spans="1:20" ht="15.75" customHeight="1" thickBot="1" x14ac:dyDescent="0.35">
      <c r="A312" s="437"/>
      <c r="B312" s="437"/>
      <c r="C312" s="437"/>
      <c r="D312" s="437"/>
      <c r="E312" s="536"/>
      <c r="F312" s="437"/>
      <c r="G312" s="437"/>
      <c r="H312" s="437"/>
      <c r="I312" s="437"/>
      <c r="J312" s="437"/>
      <c r="K312" s="437"/>
      <c r="L312" s="437"/>
      <c r="M312" s="437"/>
      <c r="N312" s="437"/>
      <c r="O312" s="437"/>
      <c r="P312" s="437"/>
      <c r="Q312" s="437"/>
      <c r="R312" s="437"/>
      <c r="S312" s="437"/>
      <c r="T312" s="437"/>
    </row>
    <row r="313" spans="1:20" ht="15.75" customHeight="1" thickBot="1" x14ac:dyDescent="0.35">
      <c r="A313" s="437"/>
      <c r="B313" s="437"/>
      <c r="C313" s="437"/>
      <c r="D313" s="437"/>
      <c r="E313" s="536"/>
      <c r="F313" s="437"/>
      <c r="G313" s="437"/>
      <c r="H313" s="437"/>
      <c r="I313" s="437"/>
      <c r="J313" s="437"/>
      <c r="K313" s="437"/>
      <c r="L313" s="437"/>
      <c r="M313" s="437"/>
      <c r="N313" s="437"/>
      <c r="O313" s="437"/>
      <c r="P313" s="437"/>
      <c r="Q313" s="437"/>
      <c r="R313" s="437"/>
      <c r="S313" s="437"/>
      <c r="T313" s="437"/>
    </row>
    <row r="314" spans="1:20" ht="15.75" customHeight="1" thickBot="1" x14ac:dyDescent="0.35">
      <c r="A314" s="437"/>
      <c r="B314" s="437"/>
      <c r="C314" s="437"/>
      <c r="D314" s="437"/>
      <c r="E314" s="536"/>
      <c r="F314" s="437"/>
      <c r="G314" s="437"/>
      <c r="H314" s="437"/>
      <c r="I314" s="437"/>
      <c r="J314" s="437"/>
      <c r="K314" s="437"/>
      <c r="L314" s="437"/>
      <c r="M314" s="437"/>
      <c r="N314" s="437"/>
      <c r="O314" s="437"/>
      <c r="P314" s="437"/>
      <c r="Q314" s="437"/>
      <c r="R314" s="437"/>
      <c r="S314" s="437"/>
      <c r="T314" s="437"/>
    </row>
    <row r="315" spans="1:20" ht="15.75" customHeight="1" thickBot="1" x14ac:dyDescent="0.35">
      <c r="A315" s="437"/>
      <c r="B315" s="437"/>
      <c r="C315" s="437"/>
      <c r="D315" s="437"/>
      <c r="E315" s="536"/>
      <c r="F315" s="437"/>
      <c r="G315" s="437"/>
      <c r="H315" s="437"/>
      <c r="I315" s="437"/>
      <c r="J315" s="437"/>
      <c r="K315" s="437"/>
      <c r="L315" s="437"/>
      <c r="M315" s="437"/>
      <c r="N315" s="437"/>
      <c r="O315" s="437"/>
      <c r="P315" s="437"/>
      <c r="Q315" s="437"/>
      <c r="R315" s="437"/>
      <c r="S315" s="437"/>
      <c r="T315" s="437"/>
    </row>
    <row r="316" spans="1:20" ht="15.75" customHeight="1" thickBot="1" x14ac:dyDescent="0.35">
      <c r="A316" s="437"/>
      <c r="B316" s="437"/>
      <c r="C316" s="437"/>
      <c r="D316" s="437"/>
      <c r="E316" s="536"/>
      <c r="F316" s="437"/>
      <c r="G316" s="437"/>
      <c r="H316" s="437"/>
      <c r="I316" s="437"/>
      <c r="J316" s="437"/>
      <c r="K316" s="437"/>
      <c r="L316" s="437"/>
      <c r="M316" s="437"/>
      <c r="N316" s="437"/>
      <c r="O316" s="437"/>
      <c r="P316" s="437"/>
      <c r="Q316" s="437"/>
      <c r="R316" s="437"/>
      <c r="S316" s="437"/>
      <c r="T316" s="437"/>
    </row>
    <row r="317" spans="1:20" ht="15.75" customHeight="1" thickBot="1" x14ac:dyDescent="0.35">
      <c r="A317" s="437"/>
      <c r="B317" s="437"/>
      <c r="C317" s="437"/>
      <c r="D317" s="437"/>
      <c r="E317" s="536"/>
      <c r="F317" s="437"/>
      <c r="G317" s="437"/>
      <c r="H317" s="437"/>
      <c r="I317" s="437"/>
      <c r="J317" s="437"/>
      <c r="K317" s="437"/>
      <c r="L317" s="437"/>
      <c r="M317" s="437"/>
      <c r="N317" s="437"/>
      <c r="O317" s="437"/>
      <c r="P317" s="437"/>
      <c r="Q317" s="437"/>
      <c r="R317" s="437"/>
      <c r="S317" s="437"/>
      <c r="T317" s="437"/>
    </row>
    <row r="318" spans="1:20" ht="15.75" customHeight="1" thickBot="1" x14ac:dyDescent="0.35">
      <c r="A318" s="437"/>
      <c r="B318" s="437"/>
      <c r="C318" s="437"/>
      <c r="D318" s="437"/>
      <c r="E318" s="536"/>
      <c r="F318" s="437"/>
      <c r="G318" s="437"/>
      <c r="H318" s="437"/>
      <c r="I318" s="437"/>
      <c r="J318" s="437"/>
      <c r="K318" s="437"/>
      <c r="L318" s="437"/>
      <c r="M318" s="437"/>
      <c r="N318" s="437"/>
      <c r="O318" s="437"/>
      <c r="P318" s="437"/>
      <c r="Q318" s="437"/>
      <c r="R318" s="437"/>
      <c r="S318" s="437"/>
      <c r="T318" s="437"/>
    </row>
    <row r="319" spans="1:20" ht="15.75" customHeight="1" thickBot="1" x14ac:dyDescent="0.35">
      <c r="A319" s="437"/>
      <c r="B319" s="437"/>
      <c r="C319" s="437"/>
      <c r="D319" s="437"/>
      <c r="E319" s="536"/>
      <c r="F319" s="437"/>
      <c r="G319" s="437"/>
      <c r="H319" s="437"/>
      <c r="I319" s="437"/>
      <c r="J319" s="437"/>
      <c r="K319" s="437"/>
      <c r="L319" s="437"/>
      <c r="M319" s="437"/>
      <c r="N319" s="437"/>
      <c r="O319" s="437"/>
      <c r="P319" s="437"/>
      <c r="Q319" s="437"/>
      <c r="R319" s="437"/>
      <c r="S319" s="437"/>
      <c r="T319" s="437"/>
    </row>
    <row r="320" spans="1:20" ht="15.75" customHeight="1" thickBot="1" x14ac:dyDescent="0.35">
      <c r="A320" s="437"/>
      <c r="B320" s="437"/>
      <c r="C320" s="437"/>
      <c r="D320" s="437"/>
      <c r="E320" s="536"/>
      <c r="F320" s="437"/>
      <c r="G320" s="437"/>
      <c r="H320" s="437"/>
      <c r="I320" s="437"/>
      <c r="J320" s="437"/>
      <c r="K320" s="437"/>
      <c r="L320" s="437"/>
      <c r="M320" s="437"/>
      <c r="N320" s="437"/>
      <c r="O320" s="437"/>
      <c r="P320" s="437"/>
      <c r="Q320" s="437"/>
      <c r="R320" s="437"/>
      <c r="S320" s="437"/>
      <c r="T320" s="437"/>
    </row>
    <row r="321" spans="1:20" ht="15.75" customHeight="1" thickBot="1" x14ac:dyDescent="0.35">
      <c r="A321" s="437"/>
      <c r="B321" s="437"/>
      <c r="C321" s="437"/>
      <c r="D321" s="437"/>
      <c r="E321" s="536"/>
      <c r="F321" s="437"/>
      <c r="G321" s="437"/>
      <c r="H321" s="437"/>
      <c r="I321" s="437"/>
      <c r="J321" s="437"/>
      <c r="K321" s="437"/>
      <c r="L321" s="437"/>
      <c r="M321" s="437"/>
      <c r="N321" s="437"/>
      <c r="O321" s="437"/>
      <c r="P321" s="437"/>
      <c r="Q321" s="437"/>
      <c r="R321" s="437"/>
      <c r="S321" s="437"/>
      <c r="T321" s="437"/>
    </row>
    <row r="322" spans="1:20" ht="15.75" customHeight="1" thickBot="1" x14ac:dyDescent="0.35">
      <c r="A322" s="437"/>
      <c r="B322" s="437"/>
      <c r="C322" s="437"/>
      <c r="D322" s="437"/>
      <c r="E322" s="536"/>
      <c r="F322" s="437"/>
      <c r="G322" s="437"/>
      <c r="H322" s="437"/>
      <c r="I322" s="437"/>
      <c r="J322" s="437"/>
      <c r="K322" s="437"/>
      <c r="L322" s="437"/>
      <c r="M322" s="437"/>
      <c r="N322" s="437"/>
      <c r="O322" s="437"/>
      <c r="P322" s="437"/>
      <c r="Q322" s="437"/>
      <c r="R322" s="437"/>
      <c r="S322" s="437"/>
      <c r="T322" s="437"/>
    </row>
    <row r="323" spans="1:20" ht="15.75" customHeight="1" thickBot="1" x14ac:dyDescent="0.35">
      <c r="A323" s="437"/>
      <c r="B323" s="437"/>
      <c r="C323" s="437"/>
      <c r="D323" s="437"/>
      <c r="E323" s="536"/>
      <c r="F323" s="437"/>
      <c r="G323" s="437"/>
      <c r="H323" s="437"/>
      <c r="I323" s="437"/>
      <c r="J323" s="437"/>
      <c r="K323" s="437"/>
      <c r="L323" s="437"/>
      <c r="M323" s="437"/>
      <c r="N323" s="437"/>
      <c r="O323" s="437"/>
      <c r="P323" s="437"/>
      <c r="Q323" s="437"/>
      <c r="R323" s="437"/>
      <c r="S323" s="437"/>
      <c r="T323" s="437"/>
    </row>
    <row r="324" spans="1:20" ht="15.75" customHeight="1" thickBot="1" x14ac:dyDescent="0.35">
      <c r="A324" s="437"/>
      <c r="B324" s="437"/>
      <c r="C324" s="437"/>
      <c r="D324" s="437"/>
      <c r="E324" s="536"/>
      <c r="F324" s="437"/>
      <c r="G324" s="437"/>
      <c r="H324" s="437"/>
      <c r="I324" s="437"/>
      <c r="J324" s="437"/>
      <c r="K324" s="437"/>
      <c r="L324" s="437"/>
      <c r="M324" s="437"/>
      <c r="N324" s="437"/>
      <c r="O324" s="437"/>
      <c r="P324" s="437"/>
      <c r="Q324" s="437"/>
      <c r="R324" s="437"/>
      <c r="S324" s="437"/>
      <c r="T324" s="437"/>
    </row>
    <row r="325" spans="1:20" ht="15.75" customHeight="1" thickBot="1" x14ac:dyDescent="0.35">
      <c r="A325" s="437"/>
      <c r="B325" s="437"/>
      <c r="C325" s="437"/>
      <c r="D325" s="437"/>
      <c r="E325" s="536"/>
      <c r="F325" s="437"/>
      <c r="G325" s="437"/>
      <c r="H325" s="437"/>
      <c r="I325" s="437"/>
      <c r="J325" s="437"/>
      <c r="K325" s="437"/>
      <c r="L325" s="437"/>
      <c r="M325" s="437"/>
      <c r="N325" s="437"/>
      <c r="O325" s="437"/>
      <c r="P325" s="437"/>
      <c r="Q325" s="437"/>
      <c r="R325" s="437"/>
      <c r="S325" s="437"/>
      <c r="T325" s="437"/>
    </row>
    <row r="326" spans="1:20" ht="15.75" customHeight="1" thickBot="1" x14ac:dyDescent="0.35">
      <c r="A326" s="437"/>
      <c r="B326" s="437"/>
      <c r="C326" s="437"/>
      <c r="D326" s="437"/>
      <c r="E326" s="536"/>
      <c r="F326" s="437"/>
      <c r="G326" s="437"/>
      <c r="H326" s="437"/>
      <c r="I326" s="437"/>
      <c r="J326" s="437"/>
      <c r="K326" s="437"/>
      <c r="L326" s="437"/>
      <c r="M326" s="437"/>
      <c r="N326" s="437"/>
      <c r="O326" s="437"/>
      <c r="P326" s="437"/>
      <c r="Q326" s="437"/>
      <c r="R326" s="437"/>
      <c r="S326" s="437"/>
      <c r="T326" s="437"/>
    </row>
    <row r="327" spans="1:20" ht="15.75" customHeight="1" thickBot="1" x14ac:dyDescent="0.35">
      <c r="A327" s="437"/>
      <c r="B327" s="437"/>
      <c r="C327" s="437"/>
      <c r="D327" s="437"/>
      <c r="E327" s="536"/>
      <c r="F327" s="437"/>
      <c r="G327" s="437"/>
      <c r="H327" s="437"/>
      <c r="I327" s="437"/>
      <c r="J327" s="437"/>
      <c r="K327" s="437"/>
      <c r="L327" s="437"/>
      <c r="M327" s="437"/>
      <c r="N327" s="437"/>
      <c r="O327" s="437"/>
      <c r="P327" s="437"/>
      <c r="Q327" s="437"/>
      <c r="R327" s="437"/>
      <c r="S327" s="437"/>
      <c r="T327" s="437"/>
    </row>
    <row r="328" spans="1:20" ht="15.75" customHeight="1" thickBot="1" x14ac:dyDescent="0.35">
      <c r="A328" s="437"/>
      <c r="B328" s="437"/>
      <c r="C328" s="437"/>
      <c r="D328" s="437"/>
      <c r="E328" s="536"/>
      <c r="F328" s="437"/>
      <c r="G328" s="437"/>
      <c r="H328" s="437"/>
      <c r="I328" s="437"/>
      <c r="J328" s="437"/>
      <c r="K328" s="437"/>
      <c r="L328" s="437"/>
      <c r="M328" s="437"/>
      <c r="N328" s="437"/>
      <c r="O328" s="437"/>
      <c r="P328" s="437"/>
      <c r="Q328" s="437"/>
      <c r="R328" s="437"/>
      <c r="S328" s="437"/>
      <c r="T328" s="437"/>
    </row>
    <row r="329" spans="1:20" ht="15.75" customHeight="1" thickBot="1" x14ac:dyDescent="0.35">
      <c r="A329" s="437"/>
      <c r="B329" s="437"/>
      <c r="C329" s="437"/>
      <c r="D329" s="437"/>
      <c r="E329" s="536"/>
      <c r="F329" s="437"/>
      <c r="G329" s="437"/>
      <c r="H329" s="437"/>
      <c r="I329" s="437"/>
      <c r="J329" s="437"/>
      <c r="K329" s="437"/>
      <c r="L329" s="437"/>
      <c r="M329" s="437"/>
      <c r="N329" s="437"/>
      <c r="O329" s="437"/>
      <c r="P329" s="437"/>
      <c r="Q329" s="437"/>
      <c r="R329" s="437"/>
      <c r="S329" s="437"/>
      <c r="T329" s="437"/>
    </row>
    <row r="330" spans="1:20" ht="15.75" customHeight="1" thickBot="1" x14ac:dyDescent="0.35">
      <c r="A330" s="437"/>
      <c r="B330" s="437"/>
      <c r="C330" s="437"/>
      <c r="D330" s="437"/>
      <c r="E330" s="536"/>
      <c r="F330" s="437"/>
      <c r="G330" s="437"/>
      <c r="H330" s="437"/>
      <c r="I330" s="437"/>
      <c r="J330" s="437"/>
      <c r="K330" s="437"/>
      <c r="L330" s="437"/>
      <c r="M330" s="437"/>
      <c r="N330" s="437"/>
      <c r="O330" s="437"/>
      <c r="P330" s="437"/>
      <c r="Q330" s="437"/>
      <c r="R330" s="437"/>
      <c r="S330" s="437"/>
      <c r="T330" s="437"/>
    </row>
    <row r="331" spans="1:20" ht="15.75" customHeight="1" thickBot="1" x14ac:dyDescent="0.35">
      <c r="A331" s="437"/>
      <c r="B331" s="437"/>
      <c r="C331" s="437"/>
      <c r="D331" s="437"/>
      <c r="E331" s="536"/>
      <c r="F331" s="437"/>
      <c r="G331" s="437"/>
      <c r="H331" s="437"/>
      <c r="I331" s="437"/>
      <c r="J331" s="437"/>
      <c r="K331" s="437"/>
      <c r="L331" s="437"/>
      <c r="M331" s="437"/>
      <c r="N331" s="437"/>
      <c r="O331" s="437"/>
      <c r="P331" s="437"/>
      <c r="Q331" s="437"/>
      <c r="R331" s="437"/>
      <c r="S331" s="437"/>
      <c r="T331" s="437"/>
    </row>
    <row r="332" spans="1:20" ht="15.75" customHeight="1" thickBot="1" x14ac:dyDescent="0.35">
      <c r="A332" s="437"/>
      <c r="B332" s="437"/>
      <c r="C332" s="437"/>
      <c r="D332" s="437"/>
      <c r="E332" s="536"/>
      <c r="F332" s="437"/>
      <c r="G332" s="437"/>
      <c r="H332" s="437"/>
      <c r="I332" s="437"/>
      <c r="J332" s="437"/>
      <c r="K332" s="437"/>
      <c r="L332" s="437"/>
      <c r="M332" s="437"/>
      <c r="N332" s="437"/>
      <c r="O332" s="437"/>
      <c r="P332" s="437"/>
      <c r="Q332" s="437"/>
      <c r="R332" s="437"/>
      <c r="S332" s="437"/>
      <c r="T332" s="437"/>
    </row>
    <row r="333" spans="1:20" ht="15.75" customHeight="1" x14ac:dyDescent="0.3"/>
    <row r="334" spans="1:20" ht="15.75" customHeight="1" x14ac:dyDescent="0.3"/>
    <row r="335" spans="1:20" ht="15.75" customHeight="1" x14ac:dyDescent="0.3"/>
    <row r="336" spans="1:20"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password="DEFC" sheet="1" objects="1" scenarios="1"/>
  <autoFilter ref="A2:U132">
    <filterColumn colId="1" showButton="0"/>
  </autoFilter>
  <mergeCells count="32">
    <mergeCell ref="B129:C129"/>
    <mergeCell ref="B100:C100"/>
    <mergeCell ref="B101:C101"/>
    <mergeCell ref="B107:C107"/>
    <mergeCell ref="B117:C117"/>
    <mergeCell ref="B124:C124"/>
    <mergeCell ref="B125:C125"/>
    <mergeCell ref="B96:C96"/>
    <mergeCell ref="B43:C43"/>
    <mergeCell ref="B45:C45"/>
    <mergeCell ref="B46:C46"/>
    <mergeCell ref="B54:C54"/>
    <mergeCell ref="B59:C59"/>
    <mergeCell ref="B64:C64"/>
    <mergeCell ref="B67:C67"/>
    <mergeCell ref="B68:C68"/>
    <mergeCell ref="B73:C73"/>
    <mergeCell ref="B86:C86"/>
    <mergeCell ref="B91:C91"/>
    <mergeCell ref="B2:C2"/>
    <mergeCell ref="B40:C40"/>
    <mergeCell ref="B3:C3"/>
    <mergeCell ref="B4:C4"/>
    <mergeCell ref="B5:C5"/>
    <mergeCell ref="B11:C11"/>
    <mergeCell ref="B15:C15"/>
    <mergeCell ref="B16:C16"/>
    <mergeCell ref="B21:C21"/>
    <mergeCell ref="B24:C24"/>
    <mergeCell ref="B28:C28"/>
    <mergeCell ref="B33:C33"/>
    <mergeCell ref="B34:C34"/>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zoomScale="40" zoomScaleNormal="40" workbookViewId="0">
      <pane xSplit="3" ySplit="2" topLeftCell="D153" activePane="bottomRight" state="frozen"/>
      <selection pane="topRight" activeCell="D1" sqref="D1"/>
      <selection pane="bottomLeft" activeCell="A3" sqref="A3"/>
      <selection pane="bottomRight" activeCell="K1" sqref="K1"/>
    </sheetView>
  </sheetViews>
  <sheetFormatPr baseColWidth="10" defaultColWidth="14.42578125" defaultRowHeight="15" customHeight="1" x14ac:dyDescent="0.3"/>
  <cols>
    <col min="1" max="1" width="11.7109375" style="440" customWidth="1"/>
    <col min="2" max="2" width="70" style="440" customWidth="1"/>
    <col min="3" max="3" width="66" style="440" customWidth="1"/>
    <col min="4" max="4" width="42.5703125" style="440" customWidth="1"/>
    <col min="5" max="5" width="34.7109375" style="440" customWidth="1"/>
    <col min="6" max="6" width="30.7109375" style="440" customWidth="1"/>
    <col min="7" max="7" width="27.28515625" style="440" customWidth="1"/>
    <col min="8" max="8" width="30.7109375" style="440" customWidth="1"/>
    <col min="9" max="9" width="34" style="440" customWidth="1"/>
    <col min="10" max="10" width="29.42578125" style="440" customWidth="1"/>
    <col min="11" max="11" width="31" style="440" customWidth="1"/>
    <col min="12" max="12" width="33.7109375" style="440" customWidth="1"/>
    <col min="13" max="14" width="35.5703125" style="440" customWidth="1"/>
    <col min="15" max="15" width="59.7109375" style="621" customWidth="1"/>
    <col min="16" max="16" width="27.140625" style="440" hidden="1" customWidth="1"/>
    <col min="17" max="17" width="21.28515625" style="440" hidden="1" customWidth="1"/>
    <col min="18" max="19" width="20.42578125" style="440" hidden="1" customWidth="1"/>
    <col min="20" max="20" width="23.85546875" style="440" hidden="1" customWidth="1"/>
    <col min="21" max="21" width="10.7109375" style="440" hidden="1" customWidth="1"/>
    <col min="22" max="26" width="10.7109375" style="440" customWidth="1"/>
    <col min="27" max="16384" width="14.42578125" style="440"/>
  </cols>
  <sheetData>
    <row r="1" spans="1:21" ht="19.5" thickBot="1" x14ac:dyDescent="0.35">
      <c r="A1" s="437"/>
      <c r="B1" s="438"/>
      <c r="C1" s="438"/>
      <c r="D1" s="438"/>
      <c r="E1" s="438"/>
      <c r="F1" s="438"/>
      <c r="G1" s="438"/>
      <c r="H1" s="438"/>
      <c r="I1" s="438"/>
      <c r="J1" s="438"/>
      <c r="K1" s="438"/>
      <c r="L1" s="438"/>
      <c r="M1" s="438"/>
      <c r="N1" s="559"/>
      <c r="O1" s="560"/>
      <c r="P1" s="455"/>
      <c r="Q1" s="437"/>
      <c r="R1" s="437"/>
      <c r="S1" s="437"/>
      <c r="T1" s="437"/>
      <c r="U1" s="437"/>
    </row>
    <row r="2" spans="1:21" ht="114.75" customHeight="1" thickBot="1" x14ac:dyDescent="0.35">
      <c r="A2" s="441"/>
      <c r="B2" s="713" t="s">
        <v>0</v>
      </c>
      <c r="C2" s="727"/>
      <c r="D2" s="561" t="s">
        <v>1</v>
      </c>
      <c r="E2" s="444" t="s">
        <v>2</v>
      </c>
      <c r="F2" s="444" t="s">
        <v>3</v>
      </c>
      <c r="G2" s="444" t="s">
        <v>4</v>
      </c>
      <c r="H2" s="445" t="s">
        <v>5</v>
      </c>
      <c r="I2" s="446" t="s">
        <v>6</v>
      </c>
      <c r="J2" s="447" t="s">
        <v>1852</v>
      </c>
      <c r="K2" s="448" t="s">
        <v>8</v>
      </c>
      <c r="L2" s="449" t="s">
        <v>9</v>
      </c>
      <c r="M2" s="448" t="s">
        <v>1863</v>
      </c>
      <c r="N2" s="450" t="s">
        <v>1854</v>
      </c>
      <c r="O2" s="451" t="s">
        <v>1856</v>
      </c>
      <c r="P2" s="452" t="s">
        <v>7</v>
      </c>
      <c r="Q2" s="448" t="s">
        <v>8</v>
      </c>
      <c r="R2" s="449" t="s">
        <v>9</v>
      </c>
      <c r="S2" s="448" t="s">
        <v>10</v>
      </c>
      <c r="T2" s="453" t="s">
        <v>11</v>
      </c>
      <c r="U2" s="449" t="s">
        <v>12</v>
      </c>
    </row>
    <row r="3" spans="1:21" s="635" customFormat="1" ht="138" customHeight="1" thickBot="1" x14ac:dyDescent="0.8">
      <c r="A3" s="622"/>
      <c r="B3" s="728" t="s">
        <v>1808</v>
      </c>
      <c r="C3" s="729"/>
      <c r="D3" s="623"/>
      <c r="E3" s="624">
        <v>0.25</v>
      </c>
      <c r="F3" s="625"/>
      <c r="G3" s="625"/>
      <c r="H3" s="626">
        <f>+(H4+H26+H37+H60+H82+H97+H135)/7</f>
        <v>0.22580220358289729</v>
      </c>
      <c r="I3" s="627">
        <f>+(I4+I26+I37+I60+I82+I97+I135)/7</f>
        <v>0.19844971717901827</v>
      </c>
      <c r="J3" s="628"/>
      <c r="K3" s="626">
        <f>+(K4+K26+K37+K60+K82+K97+K135)/7</f>
        <v>0.81130732140563089</v>
      </c>
      <c r="L3" s="627">
        <f>+F4+F26+F37+F60+F82+F97+F135+F167</f>
        <v>0.50710750648462866</v>
      </c>
      <c r="M3" s="629">
        <f>+(M4+M26+M37+M60+M82+M97+M135)/7</f>
        <v>0.22160323916687383</v>
      </c>
      <c r="N3" s="630">
        <f>+(N4+N26+N37+N60+N82+N97+N135)/7</f>
        <v>0.1858257807711004</v>
      </c>
      <c r="O3" s="631"/>
      <c r="P3" s="632"/>
      <c r="Q3" s="633"/>
      <c r="R3" s="633"/>
      <c r="S3" s="633"/>
      <c r="T3" s="633"/>
      <c r="U3" s="634"/>
    </row>
    <row r="4" spans="1:21" ht="78" customHeight="1" thickBot="1" x14ac:dyDescent="0.35">
      <c r="A4" s="441"/>
      <c r="B4" s="717" t="s">
        <v>1809</v>
      </c>
      <c r="C4" s="726"/>
      <c r="D4" s="562"/>
      <c r="E4" s="456">
        <v>0.2</v>
      </c>
      <c r="F4" s="457">
        <f>+E4*L4</f>
        <v>0.13357444827586207</v>
      </c>
      <c r="G4" s="565"/>
      <c r="H4" s="459">
        <f>+(H5+H22)/2</f>
        <v>0.18804054054054054</v>
      </c>
      <c r="I4" s="460">
        <f>+(I5+I22)/2</f>
        <v>0.18726443243243246</v>
      </c>
      <c r="J4" s="566"/>
      <c r="K4" s="459">
        <f>+(K5+K22)/2</f>
        <v>0.95366379310344829</v>
      </c>
      <c r="L4" s="460">
        <f>+L5+L22</f>
        <v>0.66787224137931034</v>
      </c>
      <c r="M4" s="567">
        <f>(M5+M22)/2</f>
        <v>0.23386643243243244</v>
      </c>
      <c r="N4" s="568">
        <f>+N5+N22</f>
        <v>0.22782968756756758</v>
      </c>
      <c r="O4" s="569"/>
      <c r="P4" s="563"/>
      <c r="Q4" s="564"/>
      <c r="R4" s="564"/>
      <c r="S4" s="564"/>
      <c r="T4" s="564"/>
      <c r="U4" s="437"/>
    </row>
    <row r="5" spans="1:21" ht="57" customHeight="1" thickBot="1" x14ac:dyDescent="0.35">
      <c r="A5" s="441"/>
      <c r="B5" s="715" t="s">
        <v>1810</v>
      </c>
      <c r="C5" s="726"/>
      <c r="D5" s="562"/>
      <c r="E5" s="570">
        <v>0.7</v>
      </c>
      <c r="F5" s="466"/>
      <c r="G5" s="466"/>
      <c r="H5" s="467">
        <f>+AVERAGE(H6:H21)</f>
        <v>0.245</v>
      </c>
      <c r="I5" s="467">
        <f>+I6+I7+I8+I9+I10+I11+I12+I13+I14+I15+I16+I17+I18+I19+I20+I21</f>
        <v>0.28966400000000003</v>
      </c>
      <c r="J5" s="466"/>
      <c r="K5" s="469">
        <f>+AVERAGE(K6:K21)</f>
        <v>0.90732758620689657</v>
      </c>
      <c r="L5" s="469">
        <f>+(L6+L7+L8+L9+L10+L11+L12+L13+L14+L15+L16+L17+L18+L19+L20+L21)*E5</f>
        <v>0.48787224137931029</v>
      </c>
      <c r="M5" s="467">
        <f>+AVERAGE(M6:M21)</f>
        <v>0.22375</v>
      </c>
      <c r="N5" s="571">
        <f>+(N6+N7+N8+N9+N10+N11+N12+N13+N14+N15+N16+N17+N18+N19+N20+N21)*E5</f>
        <v>0.17677380000000001</v>
      </c>
      <c r="O5" s="572"/>
      <c r="P5" s="563"/>
      <c r="Q5" s="564"/>
      <c r="R5" s="564"/>
      <c r="S5" s="564"/>
      <c r="T5" s="564"/>
      <c r="U5" s="437"/>
    </row>
    <row r="6" spans="1:21" ht="105.6" customHeight="1" thickBot="1" x14ac:dyDescent="0.35">
      <c r="A6" s="441"/>
      <c r="B6" s="471" t="s">
        <v>804</v>
      </c>
      <c r="C6" s="573" t="s">
        <v>1268</v>
      </c>
      <c r="D6" s="574" t="s">
        <v>564</v>
      </c>
      <c r="E6" s="575">
        <v>0.5</v>
      </c>
      <c r="F6" s="576">
        <v>1</v>
      </c>
      <c r="G6" s="468">
        <v>0.28999999999999998</v>
      </c>
      <c r="H6" s="475">
        <f t="shared" ref="H6:H18" si="0">+G6/F6</f>
        <v>0.28999999999999998</v>
      </c>
      <c r="I6" s="475">
        <f>+(G6/F6)*E6</f>
        <v>0.14499999999999999</v>
      </c>
      <c r="J6" s="468">
        <v>0.22</v>
      </c>
      <c r="K6" s="501">
        <f t="shared" ref="K6" si="1">+(J6/G6)</f>
        <v>0.75862068965517249</v>
      </c>
      <c r="L6" s="477">
        <f t="shared" ref="L6" si="2">+K6*E6</f>
        <v>0.37931034482758624</v>
      </c>
      <c r="M6" s="477">
        <f t="shared" ref="M6" si="3">+J6/F6</f>
        <v>0.22</v>
      </c>
      <c r="N6" s="577">
        <f t="shared" ref="N6" si="4">+M6*E6</f>
        <v>0.11</v>
      </c>
      <c r="O6" s="479" t="s">
        <v>1862</v>
      </c>
      <c r="P6" s="563"/>
      <c r="Q6" s="564"/>
      <c r="R6" s="564"/>
      <c r="S6" s="564"/>
      <c r="T6" s="564"/>
      <c r="U6" s="437"/>
    </row>
    <row r="7" spans="1:21" ht="133.15" customHeight="1" thickBot="1" x14ac:dyDescent="0.35">
      <c r="A7" s="441"/>
      <c r="B7" s="471" t="s">
        <v>805</v>
      </c>
      <c r="C7" s="573" t="s">
        <v>1269</v>
      </c>
      <c r="D7" s="574" t="s">
        <v>564</v>
      </c>
      <c r="E7" s="578">
        <v>0.2</v>
      </c>
      <c r="F7" s="576">
        <v>1</v>
      </c>
      <c r="G7" s="468">
        <v>0.61</v>
      </c>
      <c r="H7" s="475">
        <f t="shared" si="0"/>
        <v>0.61</v>
      </c>
      <c r="I7" s="475">
        <f t="shared" ref="I7:I18" si="5">+(G7/F7)*E7</f>
        <v>0.122</v>
      </c>
      <c r="J7" s="468">
        <v>0.61</v>
      </c>
      <c r="K7" s="475">
        <f t="shared" ref="K7:K18" si="6">+(J7/G7)</f>
        <v>1</v>
      </c>
      <c r="L7" s="477">
        <f t="shared" ref="L7:L18" si="7">+K7*E7</f>
        <v>0.2</v>
      </c>
      <c r="M7" s="475">
        <f t="shared" ref="M7:M18" si="8">+J7/F7</f>
        <v>0.61</v>
      </c>
      <c r="N7" s="577">
        <f t="shared" ref="N7:N18" si="9">+M7*E7</f>
        <v>0.122</v>
      </c>
      <c r="O7" s="479" t="s">
        <v>1862</v>
      </c>
      <c r="P7" s="563"/>
      <c r="Q7" s="564"/>
      <c r="R7" s="564"/>
      <c r="S7" s="564"/>
      <c r="T7" s="564"/>
      <c r="U7" s="437"/>
    </row>
    <row r="8" spans="1:21" ht="90" customHeight="1" thickBot="1" x14ac:dyDescent="0.35">
      <c r="A8" s="441"/>
      <c r="B8" s="471" t="s">
        <v>806</v>
      </c>
      <c r="C8" s="573" t="s">
        <v>1270</v>
      </c>
      <c r="D8" s="574" t="s">
        <v>807</v>
      </c>
      <c r="E8" s="579">
        <v>2.1999999999999999E-2</v>
      </c>
      <c r="F8" s="576">
        <v>1</v>
      </c>
      <c r="G8" s="468">
        <v>0</v>
      </c>
      <c r="H8" s="475"/>
      <c r="I8" s="475"/>
      <c r="J8" s="468"/>
      <c r="K8" s="476"/>
      <c r="L8" s="477"/>
      <c r="M8" s="475"/>
      <c r="N8" s="577">
        <v>0</v>
      </c>
      <c r="O8" s="479" t="s">
        <v>1862</v>
      </c>
      <c r="P8" s="563"/>
      <c r="Q8" s="564"/>
      <c r="R8" s="564"/>
      <c r="S8" s="564"/>
      <c r="T8" s="564"/>
      <c r="U8" s="437"/>
    </row>
    <row r="9" spans="1:21" ht="81" customHeight="1" thickBot="1" x14ac:dyDescent="0.35">
      <c r="A9" s="441"/>
      <c r="B9" s="471" t="s">
        <v>808</v>
      </c>
      <c r="C9" s="573" t="s">
        <v>1271</v>
      </c>
      <c r="D9" s="574" t="s">
        <v>564</v>
      </c>
      <c r="E9" s="579">
        <v>2.1399999999999999E-2</v>
      </c>
      <c r="F9" s="576">
        <v>1</v>
      </c>
      <c r="G9" s="468">
        <v>0</v>
      </c>
      <c r="H9" s="475"/>
      <c r="I9" s="475"/>
      <c r="J9" s="468"/>
      <c r="K9" s="476"/>
      <c r="L9" s="477"/>
      <c r="M9" s="475"/>
      <c r="N9" s="577">
        <v>0</v>
      </c>
      <c r="O9" s="479" t="s">
        <v>1862</v>
      </c>
      <c r="P9" s="563"/>
      <c r="Q9" s="564"/>
      <c r="R9" s="564"/>
      <c r="S9" s="564"/>
      <c r="T9" s="564"/>
      <c r="U9" s="437"/>
    </row>
    <row r="10" spans="1:21" ht="92.45" customHeight="1" thickBot="1" x14ac:dyDescent="0.35">
      <c r="A10" s="441"/>
      <c r="B10" s="471" t="s">
        <v>809</v>
      </c>
      <c r="C10" s="573" t="s">
        <v>1272</v>
      </c>
      <c r="D10" s="574" t="s">
        <v>564</v>
      </c>
      <c r="E10" s="579">
        <v>2.1399999999999999E-2</v>
      </c>
      <c r="F10" s="576">
        <v>1</v>
      </c>
      <c r="G10" s="468">
        <v>0</v>
      </c>
      <c r="H10" s="475"/>
      <c r="I10" s="475"/>
      <c r="J10" s="468"/>
      <c r="K10" s="476"/>
      <c r="L10" s="477"/>
      <c r="M10" s="475"/>
      <c r="N10" s="577">
        <v>0</v>
      </c>
      <c r="O10" s="479" t="s">
        <v>1862</v>
      </c>
      <c r="P10" s="563"/>
      <c r="Q10" s="564"/>
      <c r="R10" s="564"/>
      <c r="S10" s="564"/>
      <c r="T10" s="564"/>
      <c r="U10" s="437"/>
    </row>
    <row r="11" spans="1:21" ht="115.9" customHeight="1" thickBot="1" x14ac:dyDescent="0.35">
      <c r="A11" s="441"/>
      <c r="B11" s="471" t="s">
        <v>810</v>
      </c>
      <c r="C11" s="573" t="s">
        <v>1273</v>
      </c>
      <c r="D11" s="574" t="s">
        <v>564</v>
      </c>
      <c r="E11" s="579">
        <v>2.1399999999999999E-2</v>
      </c>
      <c r="F11" s="576">
        <v>2</v>
      </c>
      <c r="G11" s="468">
        <v>0</v>
      </c>
      <c r="H11" s="475"/>
      <c r="I11" s="475"/>
      <c r="J11" s="468"/>
      <c r="K11" s="476"/>
      <c r="L11" s="477"/>
      <c r="M11" s="475"/>
      <c r="N11" s="577">
        <v>0</v>
      </c>
      <c r="O11" s="479" t="s">
        <v>1862</v>
      </c>
      <c r="P11" s="563"/>
      <c r="Q11" s="564"/>
      <c r="R11" s="564"/>
      <c r="S11" s="564"/>
      <c r="T11" s="564"/>
      <c r="U11" s="437"/>
    </row>
    <row r="12" spans="1:21" ht="94.9" customHeight="1" thickBot="1" x14ac:dyDescent="0.35">
      <c r="A12" s="441"/>
      <c r="B12" s="471" t="s">
        <v>811</v>
      </c>
      <c r="C12" s="573" t="s">
        <v>1274</v>
      </c>
      <c r="D12" s="574" t="s">
        <v>564</v>
      </c>
      <c r="E12" s="578">
        <v>2.1299999999999999E-2</v>
      </c>
      <c r="F12" s="576">
        <v>1</v>
      </c>
      <c r="G12" s="468">
        <v>0</v>
      </c>
      <c r="H12" s="475"/>
      <c r="I12" s="475"/>
      <c r="J12" s="468"/>
      <c r="K12" s="476"/>
      <c r="L12" s="477"/>
      <c r="M12" s="475"/>
      <c r="N12" s="577">
        <v>0</v>
      </c>
      <c r="O12" s="479" t="s">
        <v>1862</v>
      </c>
      <c r="P12" s="563"/>
      <c r="Q12" s="564"/>
      <c r="R12" s="564"/>
      <c r="S12" s="564"/>
      <c r="T12" s="564"/>
      <c r="U12" s="437"/>
    </row>
    <row r="13" spans="1:21" ht="69.599999999999994" customHeight="1" thickBot="1" x14ac:dyDescent="0.35">
      <c r="A13" s="441"/>
      <c r="B13" s="471" t="s">
        <v>812</v>
      </c>
      <c r="C13" s="573" t="s">
        <v>1275</v>
      </c>
      <c r="D13" s="574" t="s">
        <v>564</v>
      </c>
      <c r="E13" s="578">
        <v>2.1299999999999999E-2</v>
      </c>
      <c r="F13" s="576">
        <v>1</v>
      </c>
      <c r="G13" s="468">
        <v>0.2</v>
      </c>
      <c r="H13" s="475">
        <f t="shared" si="0"/>
        <v>0.2</v>
      </c>
      <c r="I13" s="475">
        <f t="shared" si="5"/>
        <v>4.2599999999999999E-3</v>
      </c>
      <c r="J13" s="468">
        <v>0.1</v>
      </c>
      <c r="K13" s="475">
        <f t="shared" si="6"/>
        <v>0.5</v>
      </c>
      <c r="L13" s="477">
        <f t="shared" si="7"/>
        <v>1.065E-2</v>
      </c>
      <c r="M13" s="475">
        <f t="shared" si="8"/>
        <v>0.1</v>
      </c>
      <c r="N13" s="580">
        <f t="shared" si="9"/>
        <v>2.1299999999999999E-3</v>
      </c>
      <c r="O13" s="479" t="s">
        <v>1862</v>
      </c>
      <c r="P13" s="563"/>
      <c r="Q13" s="564"/>
      <c r="R13" s="564"/>
      <c r="S13" s="564"/>
      <c r="T13" s="564"/>
      <c r="U13" s="437"/>
    </row>
    <row r="14" spans="1:21" ht="66" customHeight="1" thickBot="1" x14ac:dyDescent="0.35">
      <c r="A14" s="441"/>
      <c r="B14" s="471" t="s">
        <v>813</v>
      </c>
      <c r="C14" s="573" t="s">
        <v>1276</v>
      </c>
      <c r="D14" s="574" t="s">
        <v>564</v>
      </c>
      <c r="E14" s="578">
        <v>2.1399999999999999E-2</v>
      </c>
      <c r="F14" s="576">
        <v>2</v>
      </c>
      <c r="G14" s="468">
        <v>0.2</v>
      </c>
      <c r="H14" s="475">
        <f t="shared" si="0"/>
        <v>0.1</v>
      </c>
      <c r="I14" s="475">
        <f t="shared" si="5"/>
        <v>2.14E-3</v>
      </c>
      <c r="J14" s="468">
        <v>0.2</v>
      </c>
      <c r="K14" s="475">
        <f t="shared" si="6"/>
        <v>1</v>
      </c>
      <c r="L14" s="477">
        <f t="shared" si="7"/>
        <v>2.1399999999999999E-2</v>
      </c>
      <c r="M14" s="475">
        <f t="shared" si="8"/>
        <v>0.1</v>
      </c>
      <c r="N14" s="580">
        <f t="shared" si="9"/>
        <v>2.14E-3</v>
      </c>
      <c r="O14" s="479" t="s">
        <v>1862</v>
      </c>
      <c r="P14" s="563"/>
      <c r="Q14" s="564"/>
      <c r="R14" s="564"/>
      <c r="S14" s="564"/>
      <c r="T14" s="564"/>
      <c r="U14" s="437"/>
    </row>
    <row r="15" spans="1:21" ht="127.15" customHeight="1" thickBot="1" x14ac:dyDescent="0.35">
      <c r="A15" s="441"/>
      <c r="B15" s="471" t="s">
        <v>814</v>
      </c>
      <c r="C15" s="573" t="s">
        <v>1277</v>
      </c>
      <c r="D15" s="574" t="s">
        <v>564</v>
      </c>
      <c r="E15" s="578">
        <v>2.1399999999999999E-2</v>
      </c>
      <c r="F15" s="576">
        <v>1</v>
      </c>
      <c r="G15" s="468">
        <v>0.2</v>
      </c>
      <c r="H15" s="475">
        <f t="shared" si="0"/>
        <v>0.2</v>
      </c>
      <c r="I15" s="475">
        <f t="shared" si="5"/>
        <v>4.28E-3</v>
      </c>
      <c r="J15" s="468">
        <v>0.2</v>
      </c>
      <c r="K15" s="475">
        <f t="shared" si="6"/>
        <v>1</v>
      </c>
      <c r="L15" s="477">
        <f t="shared" si="7"/>
        <v>2.1399999999999999E-2</v>
      </c>
      <c r="M15" s="475">
        <f t="shared" si="8"/>
        <v>0.2</v>
      </c>
      <c r="N15" s="580">
        <f t="shared" si="9"/>
        <v>4.28E-3</v>
      </c>
      <c r="O15" s="479" t="s">
        <v>1862</v>
      </c>
      <c r="P15" s="563"/>
      <c r="Q15" s="564"/>
      <c r="R15" s="564"/>
      <c r="S15" s="564"/>
      <c r="T15" s="564"/>
      <c r="U15" s="437"/>
    </row>
    <row r="16" spans="1:21" ht="70.150000000000006" customHeight="1" thickBot="1" x14ac:dyDescent="0.35">
      <c r="A16" s="441"/>
      <c r="B16" s="471" t="s">
        <v>815</v>
      </c>
      <c r="C16" s="573" t="s">
        <v>1278</v>
      </c>
      <c r="D16" s="574" t="s">
        <v>816</v>
      </c>
      <c r="E16" s="578">
        <v>2.1399999999999999E-2</v>
      </c>
      <c r="F16" s="576">
        <v>1</v>
      </c>
      <c r="G16" s="468">
        <v>0.2</v>
      </c>
      <c r="H16" s="475">
        <f t="shared" si="0"/>
        <v>0.2</v>
      </c>
      <c r="I16" s="475">
        <f t="shared" si="5"/>
        <v>4.28E-3</v>
      </c>
      <c r="J16" s="468">
        <v>0.2</v>
      </c>
      <c r="K16" s="475">
        <f t="shared" si="6"/>
        <v>1</v>
      </c>
      <c r="L16" s="477">
        <f t="shared" si="7"/>
        <v>2.1399999999999999E-2</v>
      </c>
      <c r="M16" s="475">
        <f t="shared" si="8"/>
        <v>0.2</v>
      </c>
      <c r="N16" s="580">
        <f t="shared" si="9"/>
        <v>4.28E-3</v>
      </c>
      <c r="O16" s="479" t="s">
        <v>1862</v>
      </c>
      <c r="P16" s="563"/>
      <c r="Q16" s="564"/>
      <c r="R16" s="564"/>
      <c r="S16" s="564"/>
      <c r="T16" s="564"/>
      <c r="U16" s="437"/>
    </row>
    <row r="17" spans="1:21" ht="70.150000000000006" customHeight="1" thickBot="1" x14ac:dyDescent="0.35">
      <c r="A17" s="441"/>
      <c r="B17" s="471" t="s">
        <v>817</v>
      </c>
      <c r="C17" s="573" t="s">
        <v>1279</v>
      </c>
      <c r="D17" s="574" t="s">
        <v>816</v>
      </c>
      <c r="E17" s="578">
        <v>2.1399999999999999E-2</v>
      </c>
      <c r="F17" s="576">
        <v>1</v>
      </c>
      <c r="G17" s="468">
        <v>0.25</v>
      </c>
      <c r="H17" s="475">
        <f t="shared" si="0"/>
        <v>0.25</v>
      </c>
      <c r="I17" s="475">
        <f t="shared" si="5"/>
        <v>5.3499999999999997E-3</v>
      </c>
      <c r="J17" s="468">
        <v>0.25</v>
      </c>
      <c r="K17" s="475">
        <f t="shared" si="6"/>
        <v>1</v>
      </c>
      <c r="L17" s="477">
        <f t="shared" si="7"/>
        <v>2.1399999999999999E-2</v>
      </c>
      <c r="M17" s="475">
        <f>+J17/F17</f>
        <v>0.25</v>
      </c>
      <c r="N17" s="580">
        <f t="shared" si="9"/>
        <v>5.3499999999999997E-3</v>
      </c>
      <c r="O17" s="479" t="s">
        <v>1862</v>
      </c>
      <c r="P17" s="563"/>
      <c r="Q17" s="564"/>
      <c r="R17" s="564"/>
      <c r="S17" s="564"/>
      <c r="T17" s="564"/>
      <c r="U17" s="437"/>
    </row>
    <row r="18" spans="1:21" ht="55.15" customHeight="1" thickBot="1" x14ac:dyDescent="0.35">
      <c r="A18" s="441"/>
      <c r="B18" s="471" t="s">
        <v>818</v>
      </c>
      <c r="C18" s="573" t="s">
        <v>1280</v>
      </c>
      <c r="D18" s="574" t="s">
        <v>816</v>
      </c>
      <c r="E18" s="578">
        <v>2.1399999999999999E-2</v>
      </c>
      <c r="F18" s="576">
        <v>1</v>
      </c>
      <c r="G18" s="468">
        <v>0.11</v>
      </c>
      <c r="H18" s="475">
        <f t="shared" si="0"/>
        <v>0.11</v>
      </c>
      <c r="I18" s="475">
        <f t="shared" si="5"/>
        <v>2.3539999999999998E-3</v>
      </c>
      <c r="J18" s="468">
        <v>0.11</v>
      </c>
      <c r="K18" s="475">
        <f t="shared" si="6"/>
        <v>1</v>
      </c>
      <c r="L18" s="477">
        <f t="shared" si="7"/>
        <v>2.1399999999999999E-2</v>
      </c>
      <c r="M18" s="475">
        <f t="shared" si="8"/>
        <v>0.11</v>
      </c>
      <c r="N18" s="580">
        <f t="shared" si="9"/>
        <v>2.3539999999999998E-3</v>
      </c>
      <c r="O18" s="479" t="s">
        <v>1862</v>
      </c>
      <c r="P18" s="563"/>
      <c r="Q18" s="564"/>
      <c r="R18" s="564"/>
      <c r="S18" s="564"/>
      <c r="T18" s="564"/>
      <c r="U18" s="437"/>
    </row>
    <row r="19" spans="1:21" ht="75.75" thickBot="1" x14ac:dyDescent="0.35">
      <c r="A19" s="441"/>
      <c r="B19" s="471" t="s">
        <v>819</v>
      </c>
      <c r="C19" s="573" t="s">
        <v>1281</v>
      </c>
      <c r="D19" s="574" t="s">
        <v>816</v>
      </c>
      <c r="E19" s="578">
        <v>2.1399999999999999E-2</v>
      </c>
      <c r="F19" s="576">
        <v>10</v>
      </c>
      <c r="G19" s="468">
        <v>0</v>
      </c>
      <c r="H19" s="475"/>
      <c r="I19" s="475"/>
      <c r="J19" s="468"/>
      <c r="K19" s="476"/>
      <c r="L19" s="477"/>
      <c r="M19" s="475"/>
      <c r="N19" s="577">
        <v>0</v>
      </c>
      <c r="O19" s="479" t="s">
        <v>1862</v>
      </c>
      <c r="P19" s="563"/>
      <c r="Q19" s="564"/>
      <c r="R19" s="564"/>
      <c r="S19" s="564"/>
      <c r="T19" s="564"/>
      <c r="U19" s="437"/>
    </row>
    <row r="20" spans="1:21" ht="102" customHeight="1" thickBot="1" x14ac:dyDescent="0.35">
      <c r="A20" s="441"/>
      <c r="B20" s="471" t="s">
        <v>820</v>
      </c>
      <c r="C20" s="573" t="s">
        <v>1282</v>
      </c>
      <c r="D20" s="574" t="s">
        <v>564</v>
      </c>
      <c r="E20" s="578">
        <v>2.1399999999999999E-2</v>
      </c>
      <c r="F20" s="576">
        <v>4</v>
      </c>
      <c r="G20" s="468">
        <v>0</v>
      </c>
      <c r="H20" s="475"/>
      <c r="I20" s="475"/>
      <c r="J20" s="468"/>
      <c r="K20" s="476"/>
      <c r="L20" s="477"/>
      <c r="M20" s="475"/>
      <c r="N20" s="577">
        <v>0</v>
      </c>
      <c r="O20" s="479" t="s">
        <v>1862</v>
      </c>
      <c r="P20" s="563"/>
      <c r="Q20" s="564"/>
      <c r="R20" s="564"/>
      <c r="S20" s="564"/>
      <c r="T20" s="564"/>
      <c r="U20" s="437"/>
    </row>
    <row r="21" spans="1:21" ht="87.6" customHeight="1" thickBot="1" x14ac:dyDescent="0.35">
      <c r="A21" s="441"/>
      <c r="B21" s="471" t="s">
        <v>821</v>
      </c>
      <c r="C21" s="573" t="s">
        <v>1283</v>
      </c>
      <c r="D21" s="574"/>
      <c r="E21" s="578">
        <v>2.1399999999999999E-2</v>
      </c>
      <c r="F21" s="576">
        <v>1</v>
      </c>
      <c r="G21" s="468">
        <v>0</v>
      </c>
      <c r="H21" s="475"/>
      <c r="I21" s="475"/>
      <c r="J21" s="468"/>
      <c r="K21" s="476"/>
      <c r="L21" s="477"/>
      <c r="M21" s="475"/>
      <c r="N21" s="577">
        <v>0</v>
      </c>
      <c r="O21" s="479" t="s">
        <v>1862</v>
      </c>
      <c r="P21" s="563"/>
      <c r="Q21" s="564"/>
      <c r="R21" s="564"/>
      <c r="S21" s="564"/>
      <c r="T21" s="564"/>
      <c r="U21" s="437"/>
    </row>
    <row r="22" spans="1:21" ht="57" customHeight="1" thickBot="1" x14ac:dyDescent="0.35">
      <c r="A22" s="441"/>
      <c r="B22" s="715" t="s">
        <v>1731</v>
      </c>
      <c r="C22" s="726"/>
      <c r="D22" s="581"/>
      <c r="E22" s="582">
        <v>0.3</v>
      </c>
      <c r="F22" s="583"/>
      <c r="G22" s="461"/>
      <c r="H22" s="467">
        <f>+AVERAGE(H23:H25)</f>
        <v>0.13108108108108107</v>
      </c>
      <c r="I22" s="467">
        <f>+I23+I24+I25</f>
        <v>8.4864864864864872E-2</v>
      </c>
      <c r="J22" s="466"/>
      <c r="K22" s="469">
        <f>+AVERAGE(K23:K25)</f>
        <v>1</v>
      </c>
      <c r="L22" s="469">
        <f>+(L23+L24+L25)*E22</f>
        <v>0.18000000000000002</v>
      </c>
      <c r="M22" s="467">
        <f>+AVERAGE(M23:M25)</f>
        <v>0.24398286486486487</v>
      </c>
      <c r="N22" s="571">
        <f>+(N23+N24+N25)*E22</f>
        <v>5.1055887567567564E-2</v>
      </c>
      <c r="O22" s="572"/>
      <c r="P22" s="563"/>
      <c r="Q22" s="564"/>
      <c r="R22" s="564"/>
      <c r="S22" s="564"/>
      <c r="T22" s="564"/>
      <c r="U22" s="437"/>
    </row>
    <row r="23" spans="1:21" ht="102.6" customHeight="1" thickBot="1" x14ac:dyDescent="0.35">
      <c r="A23" s="441"/>
      <c r="B23" s="471" t="s">
        <v>822</v>
      </c>
      <c r="C23" s="573" t="s">
        <v>1284</v>
      </c>
      <c r="D23" s="581" t="s">
        <v>1547</v>
      </c>
      <c r="E23" s="578">
        <v>0.4</v>
      </c>
      <c r="F23" s="576">
        <v>185000</v>
      </c>
      <c r="G23" s="468">
        <v>30000</v>
      </c>
      <c r="H23" s="475">
        <f>+G23/F23</f>
        <v>0.16216216216216217</v>
      </c>
      <c r="I23" s="475">
        <f>+(G23/F23)*E23</f>
        <v>6.4864864864864868E-2</v>
      </c>
      <c r="J23" s="468">
        <v>67148.66</v>
      </c>
      <c r="K23" s="475">
        <v>1</v>
      </c>
      <c r="L23" s="475">
        <f>+K23*E23</f>
        <v>0.4</v>
      </c>
      <c r="M23" s="477">
        <f>+J23/F23</f>
        <v>0.36296572972972974</v>
      </c>
      <c r="N23" s="580">
        <f>+M23*E23</f>
        <v>0.14518629189189189</v>
      </c>
      <c r="O23" s="479" t="s">
        <v>1862</v>
      </c>
      <c r="P23" s="563"/>
      <c r="Q23" s="564"/>
      <c r="R23" s="564"/>
      <c r="S23" s="564"/>
      <c r="T23" s="564"/>
      <c r="U23" s="437"/>
    </row>
    <row r="24" spans="1:21" ht="78" customHeight="1" thickBot="1" x14ac:dyDescent="0.35">
      <c r="A24" s="441"/>
      <c r="B24" s="471" t="s">
        <v>824</v>
      </c>
      <c r="C24" s="573" t="s">
        <v>1285</v>
      </c>
      <c r="D24" s="581" t="s">
        <v>1547</v>
      </c>
      <c r="E24" s="578">
        <v>0.4</v>
      </c>
      <c r="F24" s="576">
        <v>11000</v>
      </c>
      <c r="G24" s="468">
        <v>0</v>
      </c>
      <c r="H24" s="475"/>
      <c r="I24" s="475"/>
      <c r="J24" s="468"/>
      <c r="K24" s="475"/>
      <c r="L24" s="475"/>
      <c r="M24" s="475"/>
      <c r="N24" s="577"/>
      <c r="O24" s="479" t="s">
        <v>1862</v>
      </c>
      <c r="P24" s="563"/>
      <c r="Q24" s="564"/>
      <c r="R24" s="564"/>
      <c r="S24" s="564"/>
      <c r="T24" s="564"/>
      <c r="U24" s="437"/>
    </row>
    <row r="25" spans="1:21" ht="88.9" customHeight="1" thickBot="1" x14ac:dyDescent="0.35">
      <c r="A25" s="441"/>
      <c r="B25" s="471" t="s">
        <v>825</v>
      </c>
      <c r="C25" s="573" t="s">
        <v>1286</v>
      </c>
      <c r="D25" s="581" t="s">
        <v>1547</v>
      </c>
      <c r="E25" s="578">
        <v>0.2</v>
      </c>
      <c r="F25" s="576">
        <v>200</v>
      </c>
      <c r="G25" s="468">
        <v>20</v>
      </c>
      <c r="H25" s="475">
        <f>+G25/F25</f>
        <v>0.1</v>
      </c>
      <c r="I25" s="475">
        <f>+(G25/F25)*E25</f>
        <v>2.0000000000000004E-2</v>
      </c>
      <c r="J25" s="468">
        <v>25</v>
      </c>
      <c r="K25" s="475">
        <v>1</v>
      </c>
      <c r="L25" s="475">
        <f>+K25*E25</f>
        <v>0.2</v>
      </c>
      <c r="M25" s="475">
        <f>+J25/F25</f>
        <v>0.125</v>
      </c>
      <c r="N25" s="580">
        <f>+M25*E25</f>
        <v>2.5000000000000001E-2</v>
      </c>
      <c r="O25" s="479" t="s">
        <v>1862</v>
      </c>
      <c r="P25" s="563"/>
      <c r="Q25" s="564"/>
      <c r="R25" s="564"/>
      <c r="S25" s="564"/>
      <c r="T25" s="564"/>
      <c r="U25" s="437"/>
    </row>
    <row r="26" spans="1:21" ht="62.25" customHeight="1" thickBot="1" x14ac:dyDescent="0.35">
      <c r="A26" s="441"/>
      <c r="B26" s="717" t="s">
        <v>1811</v>
      </c>
      <c r="C26" s="726"/>
      <c r="D26" s="581"/>
      <c r="E26" s="584">
        <v>0.05</v>
      </c>
      <c r="F26" s="456">
        <f>+E26*L26</f>
        <v>3.4375000000000003E-2</v>
      </c>
      <c r="G26" s="461"/>
      <c r="H26" s="459">
        <f>+(H27+H33)/2</f>
        <v>0.15714285714285714</v>
      </c>
      <c r="I26" s="460">
        <f>+(I27+I33)/2</f>
        <v>0.24285714285714285</v>
      </c>
      <c r="J26" s="461"/>
      <c r="K26" s="459">
        <f>+(K27+K33)/2</f>
        <v>1</v>
      </c>
      <c r="L26" s="460">
        <f>+L27+L33</f>
        <v>0.6875</v>
      </c>
      <c r="M26" s="459">
        <f>(M27+M33)/2</f>
        <v>0.16672619047619047</v>
      </c>
      <c r="N26" s="568">
        <f>+N27+N33</f>
        <v>0.31105357142857143</v>
      </c>
      <c r="O26" s="569"/>
      <c r="P26" s="563"/>
      <c r="Q26" s="564"/>
      <c r="R26" s="564"/>
      <c r="S26" s="564"/>
      <c r="T26" s="564"/>
      <c r="U26" s="437"/>
    </row>
    <row r="27" spans="1:21" ht="86.25" customHeight="1" thickBot="1" x14ac:dyDescent="0.35">
      <c r="A27" s="441"/>
      <c r="B27" s="715" t="s">
        <v>1732</v>
      </c>
      <c r="C27" s="726"/>
      <c r="D27" s="581"/>
      <c r="E27" s="582">
        <v>0.75</v>
      </c>
      <c r="F27" s="576"/>
      <c r="G27" s="461"/>
      <c r="H27" s="467">
        <f>+AVERAGE(H28:H32)*0.2</f>
        <v>0.1</v>
      </c>
      <c r="I27" s="467">
        <f>+I28+I29+I30+I31+I32</f>
        <v>0.375</v>
      </c>
      <c r="J27" s="466"/>
      <c r="K27" s="469">
        <f>+AVERAGE(K28:K32)</f>
        <v>1</v>
      </c>
      <c r="L27" s="469">
        <f>+(L28+L29+L30+L31+L32)*E27</f>
        <v>0.5625</v>
      </c>
      <c r="M27" s="467">
        <f>+AVERAGE(M28:M32)*0.2</f>
        <v>0.1</v>
      </c>
      <c r="N27" s="571">
        <f>+(N28+N29+N30+N31+N32)*E27</f>
        <v>0.28125</v>
      </c>
      <c r="O27" s="572"/>
      <c r="P27" s="563"/>
      <c r="Q27" s="564"/>
      <c r="R27" s="564"/>
      <c r="S27" s="564"/>
      <c r="T27" s="564"/>
      <c r="U27" s="437"/>
    </row>
    <row r="28" spans="1:21" ht="94.9" customHeight="1" thickBot="1" x14ac:dyDescent="0.35">
      <c r="A28" s="441"/>
      <c r="B28" s="471" t="s">
        <v>826</v>
      </c>
      <c r="C28" s="573" t="s">
        <v>1287</v>
      </c>
      <c r="D28" s="574" t="s">
        <v>564</v>
      </c>
      <c r="E28" s="578">
        <v>0.1</v>
      </c>
      <c r="F28" s="576">
        <v>1</v>
      </c>
      <c r="G28" s="468">
        <v>0</v>
      </c>
      <c r="H28" s="475"/>
      <c r="I28" s="475"/>
      <c r="J28" s="468"/>
      <c r="K28" s="475"/>
      <c r="L28" s="475"/>
      <c r="M28" s="475"/>
      <c r="N28" s="577">
        <v>0</v>
      </c>
      <c r="O28" s="479" t="s">
        <v>1862</v>
      </c>
      <c r="P28" s="563"/>
      <c r="Q28" s="564"/>
      <c r="R28" s="564"/>
      <c r="S28" s="564"/>
      <c r="T28" s="564"/>
      <c r="U28" s="437"/>
    </row>
    <row r="29" spans="1:21" ht="105.6" customHeight="1" thickBot="1" x14ac:dyDescent="0.35">
      <c r="A29" s="441"/>
      <c r="B29" s="471" t="s">
        <v>827</v>
      </c>
      <c r="C29" s="573" t="s">
        <v>1288</v>
      </c>
      <c r="D29" s="574" t="s">
        <v>564</v>
      </c>
      <c r="E29" s="578">
        <v>0.05</v>
      </c>
      <c r="F29" s="576">
        <v>2</v>
      </c>
      <c r="G29" s="468">
        <v>0</v>
      </c>
      <c r="H29" s="475"/>
      <c r="I29" s="475"/>
      <c r="J29" s="468"/>
      <c r="K29" s="475"/>
      <c r="L29" s="475"/>
      <c r="M29" s="475"/>
      <c r="N29" s="577">
        <v>0</v>
      </c>
      <c r="O29" s="479" t="s">
        <v>1862</v>
      </c>
      <c r="P29" s="563"/>
      <c r="Q29" s="564"/>
      <c r="R29" s="564"/>
      <c r="S29" s="564"/>
      <c r="T29" s="564"/>
      <c r="U29" s="437"/>
    </row>
    <row r="30" spans="1:21" ht="81.599999999999994" customHeight="1" thickBot="1" x14ac:dyDescent="0.35">
      <c r="A30" s="441"/>
      <c r="B30" s="471" t="s">
        <v>828</v>
      </c>
      <c r="C30" s="573" t="s">
        <v>1289</v>
      </c>
      <c r="D30" s="574" t="s">
        <v>564</v>
      </c>
      <c r="E30" s="578">
        <v>0.05</v>
      </c>
      <c r="F30" s="576">
        <v>1</v>
      </c>
      <c r="G30" s="468">
        <v>0</v>
      </c>
      <c r="H30" s="475"/>
      <c r="I30" s="475"/>
      <c r="J30" s="468"/>
      <c r="K30" s="475"/>
      <c r="L30" s="475"/>
      <c r="M30" s="475"/>
      <c r="N30" s="577">
        <v>0</v>
      </c>
      <c r="O30" s="479" t="s">
        <v>1862</v>
      </c>
      <c r="P30" s="563"/>
      <c r="Q30" s="564"/>
      <c r="R30" s="564"/>
      <c r="S30" s="564"/>
      <c r="T30" s="564"/>
      <c r="U30" s="437"/>
    </row>
    <row r="31" spans="1:21" ht="92.45" customHeight="1" thickBot="1" x14ac:dyDescent="0.35">
      <c r="A31" s="441"/>
      <c r="B31" s="471" t="s">
        <v>829</v>
      </c>
      <c r="C31" s="573" t="s">
        <v>1290</v>
      </c>
      <c r="D31" s="574" t="s">
        <v>830</v>
      </c>
      <c r="E31" s="578">
        <v>0.75</v>
      </c>
      <c r="F31" s="576">
        <v>8</v>
      </c>
      <c r="G31" s="468">
        <v>4</v>
      </c>
      <c r="H31" s="475">
        <f>+G31/F31</f>
        <v>0.5</v>
      </c>
      <c r="I31" s="475">
        <f>+(G31/F31)*E31</f>
        <v>0.375</v>
      </c>
      <c r="J31" s="468">
        <v>4</v>
      </c>
      <c r="K31" s="475">
        <v>1</v>
      </c>
      <c r="L31" s="475">
        <f>+K31*E31</f>
        <v>0.75</v>
      </c>
      <c r="M31" s="475">
        <f>+J31/F31</f>
        <v>0.5</v>
      </c>
      <c r="N31" s="577">
        <f>+M31*E31</f>
        <v>0.375</v>
      </c>
      <c r="O31" s="479" t="s">
        <v>1862</v>
      </c>
      <c r="P31" s="563"/>
      <c r="Q31" s="564"/>
      <c r="R31" s="564"/>
      <c r="S31" s="564"/>
      <c r="T31" s="564"/>
      <c r="U31" s="437"/>
    </row>
    <row r="32" spans="1:21" ht="97.9" customHeight="1" thickBot="1" x14ac:dyDescent="0.35">
      <c r="A32" s="441"/>
      <c r="B32" s="471" t="s">
        <v>831</v>
      </c>
      <c r="C32" s="573" t="s">
        <v>1291</v>
      </c>
      <c r="D32" s="574" t="s">
        <v>564</v>
      </c>
      <c r="E32" s="578">
        <v>0.05</v>
      </c>
      <c r="F32" s="576">
        <v>1</v>
      </c>
      <c r="G32" s="468">
        <v>0</v>
      </c>
      <c r="H32" s="475"/>
      <c r="I32" s="475"/>
      <c r="J32" s="468"/>
      <c r="K32" s="475"/>
      <c r="L32" s="475"/>
      <c r="M32" s="475"/>
      <c r="N32" s="577">
        <v>0</v>
      </c>
      <c r="O32" s="479" t="s">
        <v>1862</v>
      </c>
      <c r="P32" s="563"/>
      <c r="Q32" s="564"/>
      <c r="R32" s="564"/>
      <c r="S32" s="564"/>
      <c r="T32" s="564"/>
      <c r="U32" s="437"/>
    </row>
    <row r="33" spans="1:21" ht="70.900000000000006" customHeight="1" thickBot="1" x14ac:dyDescent="0.35">
      <c r="A33" s="441"/>
      <c r="B33" s="715" t="s">
        <v>1733</v>
      </c>
      <c r="C33" s="726"/>
      <c r="D33" s="581"/>
      <c r="E33" s="582">
        <v>0.25</v>
      </c>
      <c r="F33" s="576"/>
      <c r="G33" s="461"/>
      <c r="H33" s="467">
        <f>+AVERAGE(H34:H36)</f>
        <v>0.2142857142857143</v>
      </c>
      <c r="I33" s="467">
        <f>+I34+I35+I36</f>
        <v>0.11071428571428571</v>
      </c>
      <c r="J33" s="466"/>
      <c r="K33" s="469">
        <f>+AVERAGE(K34:K36)</f>
        <v>1</v>
      </c>
      <c r="L33" s="469">
        <f>+(L34+L35+L36)*E33</f>
        <v>0.125</v>
      </c>
      <c r="M33" s="467">
        <f>+AVERAGE(M34:M36)</f>
        <v>0.23345238095238097</v>
      </c>
      <c r="N33" s="571">
        <f>+(N34+N35+N36)*E33</f>
        <v>2.9803571428571429E-2</v>
      </c>
      <c r="O33" s="572"/>
      <c r="P33" s="563"/>
      <c r="Q33" s="564"/>
      <c r="R33" s="564"/>
      <c r="S33" s="564"/>
      <c r="T33" s="564"/>
      <c r="U33" s="437"/>
    </row>
    <row r="34" spans="1:21" ht="87.6" customHeight="1" thickBot="1" x14ac:dyDescent="0.35">
      <c r="A34" s="441"/>
      <c r="B34" s="480" t="s">
        <v>832</v>
      </c>
      <c r="C34" s="586" t="s">
        <v>1292</v>
      </c>
      <c r="D34" s="574" t="s">
        <v>564</v>
      </c>
      <c r="E34" s="578">
        <v>0.2</v>
      </c>
      <c r="F34" s="576">
        <v>2800</v>
      </c>
      <c r="G34" s="468">
        <v>500</v>
      </c>
      <c r="H34" s="475">
        <f>+G34/F34</f>
        <v>0.17857142857142858</v>
      </c>
      <c r="I34" s="475">
        <f>+(G34/F34)*E34</f>
        <v>3.5714285714285719E-2</v>
      </c>
      <c r="J34" s="587">
        <v>584</v>
      </c>
      <c r="K34" s="475">
        <v>1</v>
      </c>
      <c r="L34" s="475">
        <f>+K34*E34</f>
        <v>0.2</v>
      </c>
      <c r="M34" s="475">
        <f>+J34/F34</f>
        <v>0.20857142857142857</v>
      </c>
      <c r="N34" s="577">
        <f>+M34*E34</f>
        <v>4.1714285714285718E-2</v>
      </c>
      <c r="O34" s="479" t="s">
        <v>1862</v>
      </c>
      <c r="P34" s="563"/>
      <c r="Q34" s="564"/>
      <c r="R34" s="564"/>
      <c r="S34" s="564"/>
      <c r="T34" s="564"/>
      <c r="U34" s="437"/>
    </row>
    <row r="35" spans="1:21" ht="98.45" customHeight="1" thickBot="1" x14ac:dyDescent="0.35">
      <c r="A35" s="441"/>
      <c r="B35" s="471" t="s">
        <v>833</v>
      </c>
      <c r="C35" s="573" t="s">
        <v>1293</v>
      </c>
      <c r="D35" s="574" t="s">
        <v>564</v>
      </c>
      <c r="E35" s="578">
        <v>0.5</v>
      </c>
      <c r="F35" s="576">
        <v>6</v>
      </c>
      <c r="G35" s="468">
        <v>0</v>
      </c>
      <c r="H35" s="475"/>
      <c r="I35" s="475"/>
      <c r="J35" s="468"/>
      <c r="K35" s="475"/>
      <c r="L35" s="475"/>
      <c r="M35" s="475"/>
      <c r="N35" s="577">
        <v>0</v>
      </c>
      <c r="O35" s="479" t="s">
        <v>1862</v>
      </c>
      <c r="P35" s="563"/>
      <c r="Q35" s="564"/>
      <c r="R35" s="564"/>
      <c r="S35" s="564"/>
      <c r="T35" s="564"/>
      <c r="U35" s="437"/>
    </row>
    <row r="36" spans="1:21" ht="75" customHeight="1" thickBot="1" x14ac:dyDescent="0.35">
      <c r="A36" s="441"/>
      <c r="B36" s="480" t="s">
        <v>834</v>
      </c>
      <c r="C36" s="586" t="s">
        <v>1294</v>
      </c>
      <c r="D36" s="574" t="s">
        <v>564</v>
      </c>
      <c r="E36" s="578">
        <v>0.3</v>
      </c>
      <c r="F36" s="576">
        <v>2400</v>
      </c>
      <c r="G36" s="468">
        <v>600</v>
      </c>
      <c r="H36" s="475">
        <f>+G36/F36</f>
        <v>0.25</v>
      </c>
      <c r="I36" s="475">
        <f>+(G36/F36)*E36</f>
        <v>7.4999999999999997E-2</v>
      </c>
      <c r="J36" s="587">
        <v>620</v>
      </c>
      <c r="K36" s="475">
        <v>1</v>
      </c>
      <c r="L36" s="475">
        <f>+K36*E36</f>
        <v>0.3</v>
      </c>
      <c r="M36" s="475">
        <f>+J36/F36</f>
        <v>0.25833333333333336</v>
      </c>
      <c r="N36" s="577">
        <f>+M36*E36</f>
        <v>7.7499999999999999E-2</v>
      </c>
      <c r="O36" s="479" t="s">
        <v>1862</v>
      </c>
      <c r="P36" s="563"/>
      <c r="Q36" s="564"/>
      <c r="R36" s="564"/>
      <c r="S36" s="564"/>
      <c r="T36" s="564"/>
      <c r="U36" s="437"/>
    </row>
    <row r="37" spans="1:21" ht="93" customHeight="1" thickBot="1" x14ac:dyDescent="0.35">
      <c r="A37" s="441"/>
      <c r="B37" s="717" t="s">
        <v>1812</v>
      </c>
      <c r="C37" s="726"/>
      <c r="D37" s="581"/>
      <c r="E37" s="584">
        <v>0.15</v>
      </c>
      <c r="F37" s="456">
        <f>+E37*L37</f>
        <v>6.8925749999999994E-2</v>
      </c>
      <c r="G37" s="461"/>
      <c r="H37" s="459">
        <f>+(H38+H46+H50+H53+H57)/5</f>
        <v>0.17888888888888888</v>
      </c>
      <c r="I37" s="460">
        <f>+(I38+I46+I50+I53+I57)/5</f>
        <v>0.13083333333333333</v>
      </c>
      <c r="J37" s="461"/>
      <c r="K37" s="459">
        <f>+(K38+K46+K50+K53+K57)/5</f>
        <v>0.75614000000000003</v>
      </c>
      <c r="L37" s="460">
        <f>+L38+L46+L50+L53+L57</f>
        <v>0.45950499999999994</v>
      </c>
      <c r="M37" s="567">
        <f>(M38+M46+M50+M53+M57)/5</f>
        <v>0.13760416666666669</v>
      </c>
      <c r="N37" s="568">
        <f>+(N38+N46+N50+N53+N57)</f>
        <v>8.7734791666666673E-2</v>
      </c>
      <c r="O37" s="569"/>
      <c r="P37" s="563"/>
      <c r="Q37" s="564"/>
      <c r="R37" s="564"/>
      <c r="S37" s="564"/>
      <c r="T37" s="564"/>
      <c r="U37" s="437"/>
    </row>
    <row r="38" spans="1:21" ht="42.75" customHeight="1" thickBot="1" x14ac:dyDescent="0.35">
      <c r="A38" s="441"/>
      <c r="B38" s="715" t="s">
        <v>1734</v>
      </c>
      <c r="C38" s="726"/>
      <c r="D38" s="581"/>
      <c r="E38" s="582">
        <v>0.25</v>
      </c>
      <c r="F38" s="576"/>
      <c r="G38" s="461"/>
      <c r="H38" s="467">
        <f>+AVERAGE(H39:H45)</f>
        <v>0.23611111111111108</v>
      </c>
      <c r="I38" s="467">
        <f>+I39+I40+I41+I42+I43+I44+I45</f>
        <v>6.5833333333333327E-2</v>
      </c>
      <c r="J38" s="466"/>
      <c r="K38" s="469">
        <f>+AVERAGE(K39:K45)</f>
        <v>0.66469999999999996</v>
      </c>
      <c r="L38" s="469">
        <f>+(L39+L40+L41+L42+L43+L44+L45)*E38</f>
        <v>5.7204999999999999E-2</v>
      </c>
      <c r="M38" s="467">
        <f>+AVERAGE(M39:M45)</f>
        <v>0.12475416666666667</v>
      </c>
      <c r="N38" s="571">
        <f>+(N39+N40+N41+N42+N43+N44+N45)*E38</f>
        <v>8.0881249999999998E-3</v>
      </c>
      <c r="O38" s="572"/>
      <c r="P38" s="563"/>
      <c r="Q38" s="564"/>
      <c r="R38" s="564"/>
      <c r="S38" s="564"/>
      <c r="T38" s="564"/>
      <c r="U38" s="437"/>
    </row>
    <row r="39" spans="1:21" ht="88.15" customHeight="1" thickBot="1" x14ac:dyDescent="0.35">
      <c r="A39" s="441"/>
      <c r="B39" s="471" t="s">
        <v>835</v>
      </c>
      <c r="C39" s="573" t="s">
        <v>1295</v>
      </c>
      <c r="D39" s="574" t="s">
        <v>771</v>
      </c>
      <c r="E39" s="578">
        <v>0.03</v>
      </c>
      <c r="F39" s="576">
        <f>12*4</f>
        <v>48</v>
      </c>
      <c r="G39" s="468">
        <v>12</v>
      </c>
      <c r="H39" s="475">
        <f t="shared" ref="H39:H45" si="10">+G39/F39</f>
        <v>0.25</v>
      </c>
      <c r="I39" s="475">
        <f t="shared" ref="I39:I45" si="11">+(G39/F39)*E39</f>
        <v>7.4999999999999997E-3</v>
      </c>
      <c r="J39" s="468">
        <v>12</v>
      </c>
      <c r="K39" s="475">
        <f t="shared" ref="K39:K45" si="12">+(J39/G39)</f>
        <v>1</v>
      </c>
      <c r="L39" s="475">
        <f t="shared" ref="L39:L45" si="13">+K39*E39</f>
        <v>0.03</v>
      </c>
      <c r="M39" s="475">
        <f t="shared" ref="M39:M45" si="14">+J39/F39</f>
        <v>0.25</v>
      </c>
      <c r="N39" s="580">
        <f>+M39*E39</f>
        <v>7.4999999999999997E-3</v>
      </c>
      <c r="O39" s="479" t="s">
        <v>1862</v>
      </c>
      <c r="P39" s="563"/>
      <c r="Q39" s="564"/>
      <c r="R39" s="564"/>
      <c r="S39" s="564"/>
      <c r="T39" s="564"/>
      <c r="U39" s="437"/>
    </row>
    <row r="40" spans="1:21" ht="77.45" customHeight="1" thickBot="1" x14ac:dyDescent="0.35">
      <c r="A40" s="441"/>
      <c r="B40" s="480" t="s">
        <v>836</v>
      </c>
      <c r="C40" s="586" t="s">
        <v>1296</v>
      </c>
      <c r="D40" s="574" t="s">
        <v>771</v>
      </c>
      <c r="E40" s="578">
        <v>0.2</v>
      </c>
      <c r="F40" s="576">
        <v>80000</v>
      </c>
      <c r="G40" s="468">
        <v>10000</v>
      </c>
      <c r="H40" s="475">
        <f t="shared" si="10"/>
        <v>0.125</v>
      </c>
      <c r="I40" s="475">
        <f t="shared" si="11"/>
        <v>2.5000000000000001E-2</v>
      </c>
      <c r="J40" s="468">
        <v>9941</v>
      </c>
      <c r="K40" s="475">
        <f t="shared" si="12"/>
        <v>0.99409999999999998</v>
      </c>
      <c r="L40" s="475">
        <f t="shared" si="13"/>
        <v>0.19882</v>
      </c>
      <c r="M40" s="475">
        <f t="shared" si="14"/>
        <v>0.1242625</v>
      </c>
      <c r="N40" s="580">
        <f>+M40*E40</f>
        <v>2.48525E-2</v>
      </c>
      <c r="O40" s="479" t="s">
        <v>1862</v>
      </c>
      <c r="P40" s="563"/>
      <c r="Q40" s="564"/>
      <c r="R40" s="564"/>
      <c r="S40" s="564"/>
      <c r="T40" s="564"/>
      <c r="U40" s="437"/>
    </row>
    <row r="41" spans="1:21" ht="81" customHeight="1" thickBot="1" x14ac:dyDescent="0.35">
      <c r="A41" s="441"/>
      <c r="B41" s="471" t="s">
        <v>837</v>
      </c>
      <c r="C41" s="573" t="s">
        <v>1297</v>
      </c>
      <c r="D41" s="574" t="s">
        <v>771</v>
      </c>
      <c r="E41" s="578">
        <v>0.03</v>
      </c>
      <c r="F41" s="576">
        <v>3</v>
      </c>
      <c r="G41" s="468">
        <v>0</v>
      </c>
      <c r="H41" s="475"/>
      <c r="I41" s="475"/>
      <c r="J41" s="468"/>
      <c r="K41" s="475"/>
      <c r="L41" s="475"/>
      <c r="M41" s="475"/>
      <c r="N41" s="580"/>
      <c r="O41" s="479" t="s">
        <v>1862</v>
      </c>
      <c r="P41" s="563"/>
      <c r="Q41" s="564"/>
      <c r="R41" s="564"/>
      <c r="S41" s="564"/>
      <c r="T41" s="564"/>
      <c r="U41" s="437"/>
    </row>
    <row r="42" spans="1:21" ht="89.45" customHeight="1" thickBot="1" x14ac:dyDescent="0.35">
      <c r="A42" s="441"/>
      <c r="B42" s="471" t="s">
        <v>838</v>
      </c>
      <c r="C42" s="573" t="s">
        <v>1298</v>
      </c>
      <c r="D42" s="574" t="s">
        <v>771</v>
      </c>
      <c r="E42" s="578">
        <v>0.1</v>
      </c>
      <c r="F42" s="576">
        <v>100000</v>
      </c>
      <c r="G42" s="468">
        <v>0</v>
      </c>
      <c r="H42" s="475"/>
      <c r="I42" s="475"/>
      <c r="J42" s="468"/>
      <c r="K42" s="475"/>
      <c r="L42" s="475"/>
      <c r="M42" s="475"/>
      <c r="N42" s="580"/>
      <c r="O42" s="479" t="s">
        <v>1862</v>
      </c>
      <c r="P42" s="563"/>
      <c r="Q42" s="564"/>
      <c r="R42" s="564"/>
      <c r="S42" s="564"/>
      <c r="T42" s="564"/>
      <c r="U42" s="437"/>
    </row>
    <row r="43" spans="1:21" ht="96" customHeight="1" thickBot="1" x14ac:dyDescent="0.35">
      <c r="A43" s="441"/>
      <c r="B43" s="471" t="s">
        <v>839</v>
      </c>
      <c r="C43" s="573" t="s">
        <v>1299</v>
      </c>
      <c r="D43" s="574" t="s">
        <v>771</v>
      </c>
      <c r="E43" s="578">
        <v>0.04</v>
      </c>
      <c r="F43" s="576">
        <v>3</v>
      </c>
      <c r="G43" s="468">
        <v>0</v>
      </c>
      <c r="H43" s="475"/>
      <c r="I43" s="475"/>
      <c r="J43" s="468"/>
      <c r="K43" s="475"/>
      <c r="L43" s="475"/>
      <c r="M43" s="475"/>
      <c r="N43" s="580"/>
      <c r="O43" s="479" t="s">
        <v>1862</v>
      </c>
      <c r="P43" s="563"/>
      <c r="Q43" s="564"/>
      <c r="R43" s="564"/>
      <c r="S43" s="564"/>
      <c r="T43" s="564"/>
      <c r="U43" s="437"/>
    </row>
    <row r="44" spans="1:21" ht="72.599999999999994" customHeight="1" thickBot="1" x14ac:dyDescent="0.35">
      <c r="A44" s="441"/>
      <c r="B44" s="471" t="s">
        <v>840</v>
      </c>
      <c r="C44" s="573" t="s">
        <v>1300</v>
      </c>
      <c r="D44" s="574" t="s">
        <v>841</v>
      </c>
      <c r="E44" s="578">
        <v>0.5</v>
      </c>
      <c r="F44" s="576">
        <v>1</v>
      </c>
      <c r="G44" s="468">
        <v>0</v>
      </c>
      <c r="H44" s="475"/>
      <c r="I44" s="475"/>
      <c r="J44" s="468"/>
      <c r="K44" s="475"/>
      <c r="L44" s="475"/>
      <c r="M44" s="475"/>
      <c r="N44" s="580"/>
      <c r="O44" s="479" t="s">
        <v>1862</v>
      </c>
      <c r="P44" s="563"/>
      <c r="Q44" s="564"/>
      <c r="R44" s="564"/>
      <c r="S44" s="564"/>
      <c r="T44" s="564"/>
      <c r="U44" s="437"/>
    </row>
    <row r="45" spans="1:21" ht="63" customHeight="1" thickBot="1" x14ac:dyDescent="0.35">
      <c r="A45" s="441"/>
      <c r="B45" s="471" t="s">
        <v>842</v>
      </c>
      <c r="C45" s="573" t="s">
        <v>1301</v>
      </c>
      <c r="D45" s="574" t="s">
        <v>843</v>
      </c>
      <c r="E45" s="578">
        <v>0.1</v>
      </c>
      <c r="F45" s="576">
        <v>3</v>
      </c>
      <c r="G45" s="468">
        <v>1</v>
      </c>
      <c r="H45" s="475">
        <f t="shared" si="10"/>
        <v>0.33333333333333331</v>
      </c>
      <c r="I45" s="475">
        <f t="shared" si="11"/>
        <v>3.3333333333333333E-2</v>
      </c>
      <c r="J45" s="468">
        <v>0</v>
      </c>
      <c r="K45" s="475">
        <f t="shared" si="12"/>
        <v>0</v>
      </c>
      <c r="L45" s="475">
        <f t="shared" si="13"/>
        <v>0</v>
      </c>
      <c r="M45" s="475">
        <f t="shared" si="14"/>
        <v>0</v>
      </c>
      <c r="N45" s="580">
        <f>+M45*E45</f>
        <v>0</v>
      </c>
      <c r="O45" s="588" t="s">
        <v>1851</v>
      </c>
      <c r="P45" s="563"/>
      <c r="Q45" s="564"/>
      <c r="R45" s="564"/>
      <c r="S45" s="564"/>
      <c r="T45" s="564"/>
      <c r="U45" s="437"/>
    </row>
    <row r="46" spans="1:21" ht="57" customHeight="1" thickBot="1" x14ac:dyDescent="0.35">
      <c r="A46" s="441"/>
      <c r="B46" s="715" t="s">
        <v>1735</v>
      </c>
      <c r="C46" s="726"/>
      <c r="D46" s="581"/>
      <c r="E46" s="582">
        <v>0.25</v>
      </c>
      <c r="F46" s="576"/>
      <c r="G46" s="461"/>
      <c r="H46" s="467">
        <f>+AVERAGE(H47:H49)</f>
        <v>0.15833333333333333</v>
      </c>
      <c r="I46" s="467">
        <f>+I47+I48+I49</f>
        <v>0.15250000000000002</v>
      </c>
      <c r="J46" s="466"/>
      <c r="K46" s="469">
        <f>+AVERAGE(K47:K49)</f>
        <v>0.61599999999999999</v>
      </c>
      <c r="L46" s="469">
        <f>+(L47+L48+L49)*E46</f>
        <v>0.14229999999999998</v>
      </c>
      <c r="M46" s="467">
        <f>+AVERAGE(M47:M49)</f>
        <v>0.10493333333333332</v>
      </c>
      <c r="N46" s="571">
        <f>+(N47+N48+N49)*E46</f>
        <v>2.3980000000000001E-2</v>
      </c>
      <c r="O46" s="572"/>
      <c r="P46" s="563"/>
      <c r="Q46" s="564"/>
      <c r="R46" s="564"/>
      <c r="S46" s="564"/>
      <c r="T46" s="564"/>
      <c r="U46" s="437"/>
    </row>
    <row r="47" spans="1:21" ht="70.900000000000006" customHeight="1" thickBot="1" x14ac:dyDescent="0.35">
      <c r="A47" s="441"/>
      <c r="B47" s="471" t="s">
        <v>844</v>
      </c>
      <c r="C47" s="573" t="s">
        <v>1302</v>
      </c>
      <c r="D47" s="574" t="s">
        <v>795</v>
      </c>
      <c r="E47" s="578">
        <v>0.4</v>
      </c>
      <c r="F47" s="576">
        <v>300000</v>
      </c>
      <c r="G47" s="468">
        <v>30000</v>
      </c>
      <c r="H47" s="476">
        <f>+G47/F47</f>
        <v>0.1</v>
      </c>
      <c r="I47" s="476">
        <f>+(G47/F47)*E47</f>
        <v>4.0000000000000008E-2</v>
      </c>
      <c r="J47" s="468">
        <v>4440</v>
      </c>
      <c r="K47" s="476">
        <f>+(J47/G47)</f>
        <v>0.14799999999999999</v>
      </c>
      <c r="L47" s="476">
        <f>+K47*E47</f>
        <v>5.9200000000000003E-2</v>
      </c>
      <c r="M47" s="476">
        <f>+J47/F47</f>
        <v>1.4800000000000001E-2</v>
      </c>
      <c r="N47" s="589">
        <f>+M47*E47</f>
        <v>5.9200000000000008E-3</v>
      </c>
      <c r="O47" s="479" t="s">
        <v>1862</v>
      </c>
      <c r="P47" s="563"/>
      <c r="Q47" s="564"/>
      <c r="R47" s="564"/>
      <c r="S47" s="564"/>
      <c r="T47" s="564"/>
      <c r="U47" s="437"/>
    </row>
    <row r="48" spans="1:21" ht="78" customHeight="1" thickBot="1" x14ac:dyDescent="0.35">
      <c r="A48" s="441"/>
      <c r="B48" s="471" t="s">
        <v>845</v>
      </c>
      <c r="C48" s="573" t="s">
        <v>1303</v>
      </c>
      <c r="D48" s="574" t="s">
        <v>795</v>
      </c>
      <c r="E48" s="578">
        <v>0.3</v>
      </c>
      <c r="F48" s="576">
        <v>8</v>
      </c>
      <c r="G48" s="468">
        <v>1</v>
      </c>
      <c r="H48" s="476">
        <f>+G48/F48</f>
        <v>0.125</v>
      </c>
      <c r="I48" s="476">
        <f>+(G48/F48)*E48</f>
        <v>3.7499999999999999E-2</v>
      </c>
      <c r="J48" s="468">
        <v>1</v>
      </c>
      <c r="K48" s="476">
        <f>+(J48/G48)</f>
        <v>1</v>
      </c>
      <c r="L48" s="476">
        <f>+K48*E48</f>
        <v>0.3</v>
      </c>
      <c r="M48" s="476">
        <f>+J48/F48</f>
        <v>0.125</v>
      </c>
      <c r="N48" s="589">
        <f>+M48*E48</f>
        <v>3.7499999999999999E-2</v>
      </c>
      <c r="O48" s="479" t="s">
        <v>1862</v>
      </c>
      <c r="P48" s="563"/>
      <c r="Q48" s="564"/>
      <c r="R48" s="564"/>
      <c r="S48" s="564"/>
      <c r="T48" s="564"/>
      <c r="U48" s="437"/>
    </row>
    <row r="49" spans="1:21" ht="69.599999999999994" customHeight="1" thickBot="1" x14ac:dyDescent="0.35">
      <c r="A49" s="441"/>
      <c r="B49" s="471" t="s">
        <v>846</v>
      </c>
      <c r="C49" s="573" t="s">
        <v>1304</v>
      </c>
      <c r="D49" s="590" t="s">
        <v>795</v>
      </c>
      <c r="E49" s="591">
        <v>0.3</v>
      </c>
      <c r="F49" s="576">
        <v>1</v>
      </c>
      <c r="G49" s="468">
        <v>0.25</v>
      </c>
      <c r="H49" s="476">
        <f>+G49/F49</f>
        <v>0.25</v>
      </c>
      <c r="I49" s="476">
        <f>+(G49/F49)*E49</f>
        <v>7.4999999999999997E-2</v>
      </c>
      <c r="J49" s="468">
        <v>0.17499999999999999</v>
      </c>
      <c r="K49" s="476">
        <f>+J49/G49</f>
        <v>0.7</v>
      </c>
      <c r="L49" s="476">
        <f>+K49*E49</f>
        <v>0.21</v>
      </c>
      <c r="M49" s="476">
        <f>+J49/F49</f>
        <v>0.17499999999999999</v>
      </c>
      <c r="N49" s="589">
        <f>+M49*E49</f>
        <v>5.2499999999999998E-2</v>
      </c>
      <c r="O49" s="479" t="s">
        <v>1862</v>
      </c>
      <c r="P49" s="563"/>
      <c r="Q49" s="564"/>
      <c r="R49" s="564"/>
      <c r="S49" s="564"/>
      <c r="T49" s="564"/>
      <c r="U49" s="437"/>
    </row>
    <row r="50" spans="1:21" ht="28.5" customHeight="1" thickBot="1" x14ac:dyDescent="0.35">
      <c r="A50" s="441"/>
      <c r="B50" s="715" t="s">
        <v>1736</v>
      </c>
      <c r="C50" s="726"/>
      <c r="D50" s="581"/>
      <c r="E50" s="582">
        <v>0.15</v>
      </c>
      <c r="F50" s="576"/>
      <c r="G50" s="461"/>
      <c r="H50" s="467">
        <f>+AVERAGE(H51:H52)*0.5</f>
        <v>0.125</v>
      </c>
      <c r="I50" s="467">
        <f>+I51+I52</f>
        <v>0.1</v>
      </c>
      <c r="J50" s="466"/>
      <c r="K50" s="469">
        <f>+AVERAGE(K51:K52)</f>
        <v>1</v>
      </c>
      <c r="L50" s="469">
        <f>+(L51+L52)*E50</f>
        <v>0.06</v>
      </c>
      <c r="M50" s="467">
        <f>+AVERAGE(M51:M52)*0.5</f>
        <v>0.125</v>
      </c>
      <c r="N50" s="571">
        <f>+(N51+N52)*E50</f>
        <v>1.4999999999999999E-2</v>
      </c>
      <c r="O50" s="572"/>
      <c r="P50" s="563"/>
      <c r="Q50" s="564"/>
      <c r="R50" s="564"/>
      <c r="S50" s="564"/>
      <c r="T50" s="564"/>
      <c r="U50" s="437"/>
    </row>
    <row r="51" spans="1:21" ht="84.6" customHeight="1" thickBot="1" x14ac:dyDescent="0.35">
      <c r="A51" s="441"/>
      <c r="B51" s="471" t="s">
        <v>847</v>
      </c>
      <c r="C51" s="573" t="s">
        <v>1305</v>
      </c>
      <c r="D51" s="590" t="s">
        <v>795</v>
      </c>
      <c r="E51" s="591">
        <v>0.6</v>
      </c>
      <c r="F51" s="576">
        <v>1</v>
      </c>
      <c r="G51" s="468">
        <v>0</v>
      </c>
      <c r="H51" s="475"/>
      <c r="I51" s="475"/>
      <c r="J51" s="468"/>
      <c r="K51" s="475"/>
      <c r="L51" s="475"/>
      <c r="M51" s="475"/>
      <c r="N51" s="577"/>
      <c r="O51" s="479" t="s">
        <v>1862</v>
      </c>
      <c r="P51" s="563"/>
      <c r="Q51" s="564"/>
      <c r="R51" s="564"/>
      <c r="S51" s="564"/>
      <c r="T51" s="564"/>
      <c r="U51" s="437"/>
    </row>
    <row r="52" spans="1:21" ht="79.150000000000006" customHeight="1" thickBot="1" x14ac:dyDescent="0.35">
      <c r="A52" s="441"/>
      <c r="B52" s="471" t="s">
        <v>848</v>
      </c>
      <c r="C52" s="573" t="s">
        <v>1306</v>
      </c>
      <c r="D52" s="590" t="s">
        <v>795</v>
      </c>
      <c r="E52" s="591">
        <v>0.4</v>
      </c>
      <c r="F52" s="576">
        <v>2</v>
      </c>
      <c r="G52" s="468">
        <v>0.5</v>
      </c>
      <c r="H52" s="475">
        <f>+G52/F52</f>
        <v>0.25</v>
      </c>
      <c r="I52" s="475">
        <f>+(G52/F52)*E52</f>
        <v>0.1</v>
      </c>
      <c r="J52" s="468">
        <v>0.5</v>
      </c>
      <c r="K52" s="475">
        <f>+J52/G52</f>
        <v>1</v>
      </c>
      <c r="L52" s="475">
        <f>+K52*E52</f>
        <v>0.4</v>
      </c>
      <c r="M52" s="475">
        <f>+J52/F52</f>
        <v>0.25</v>
      </c>
      <c r="N52" s="577">
        <f>+M52*E52</f>
        <v>0.1</v>
      </c>
      <c r="O52" s="479" t="s">
        <v>1862</v>
      </c>
      <c r="P52" s="563"/>
      <c r="Q52" s="564"/>
      <c r="R52" s="564"/>
      <c r="S52" s="564"/>
      <c r="T52" s="564"/>
      <c r="U52" s="437"/>
    </row>
    <row r="53" spans="1:21" ht="57" customHeight="1" thickBot="1" x14ac:dyDescent="0.35">
      <c r="A53" s="441"/>
      <c r="B53" s="715" t="s">
        <v>1737</v>
      </c>
      <c r="C53" s="726"/>
      <c r="D53" s="581"/>
      <c r="E53" s="582">
        <v>0.1</v>
      </c>
      <c r="F53" s="576"/>
      <c r="G53" s="461"/>
      <c r="H53" s="467">
        <f>+AVERAGE(H54:H56)</f>
        <v>0.20833333333333334</v>
      </c>
      <c r="I53" s="467">
        <f>+I54+I55+I56</f>
        <v>0.20250000000000001</v>
      </c>
      <c r="J53" s="466"/>
      <c r="K53" s="469">
        <f>+AVERAGE(K54:K56)</f>
        <v>1</v>
      </c>
      <c r="L53" s="469">
        <f>+(L54+L55+L56)*E53</f>
        <v>0.1</v>
      </c>
      <c r="M53" s="467">
        <f>+AVERAGE(M54:M56)</f>
        <v>0.25</v>
      </c>
      <c r="N53" s="571">
        <f>+(N54+N55+N56)*E53</f>
        <v>2.4E-2</v>
      </c>
      <c r="O53" s="572"/>
      <c r="P53" s="563"/>
      <c r="Q53" s="564"/>
      <c r="R53" s="564"/>
      <c r="S53" s="564"/>
      <c r="T53" s="564"/>
      <c r="U53" s="437"/>
    </row>
    <row r="54" spans="1:21" ht="86.45" customHeight="1" thickBot="1" x14ac:dyDescent="0.35">
      <c r="A54" s="441"/>
      <c r="B54" s="471" t="s">
        <v>849</v>
      </c>
      <c r="C54" s="573" t="s">
        <v>1884</v>
      </c>
      <c r="D54" s="574" t="s">
        <v>795</v>
      </c>
      <c r="E54" s="578">
        <v>0.45</v>
      </c>
      <c r="F54" s="576">
        <v>5</v>
      </c>
      <c r="G54" s="468">
        <v>1</v>
      </c>
      <c r="H54" s="475">
        <f>+G54/F54</f>
        <v>0.2</v>
      </c>
      <c r="I54" s="475">
        <f>+(G54/F54)*E54</f>
        <v>9.0000000000000011E-2</v>
      </c>
      <c r="J54" s="468">
        <v>1</v>
      </c>
      <c r="K54" s="475">
        <f>+(J54/G54)</f>
        <v>1</v>
      </c>
      <c r="L54" s="475">
        <f>+K54*E54</f>
        <v>0.45</v>
      </c>
      <c r="M54" s="475">
        <f>+J54/F54</f>
        <v>0.2</v>
      </c>
      <c r="N54" s="577">
        <f>+M54*E54</f>
        <v>9.0000000000000011E-2</v>
      </c>
      <c r="O54" s="479" t="s">
        <v>1862</v>
      </c>
      <c r="P54" s="563"/>
      <c r="Q54" s="564"/>
      <c r="R54" s="564"/>
      <c r="S54" s="564"/>
      <c r="T54" s="564"/>
      <c r="U54" s="437"/>
    </row>
    <row r="55" spans="1:21" ht="76.900000000000006" customHeight="1" thickBot="1" x14ac:dyDescent="0.35">
      <c r="A55" s="441"/>
      <c r="B55" s="471" t="s">
        <v>850</v>
      </c>
      <c r="C55" s="573" t="s">
        <v>1307</v>
      </c>
      <c r="D55" s="574" t="s">
        <v>795</v>
      </c>
      <c r="E55" s="578">
        <v>0.3</v>
      </c>
      <c r="F55" s="576">
        <v>4</v>
      </c>
      <c r="G55" s="468">
        <v>0.5</v>
      </c>
      <c r="H55" s="475">
        <f>+G55/F55</f>
        <v>0.125</v>
      </c>
      <c r="I55" s="475">
        <f>+(G55/F55)*E55</f>
        <v>3.7499999999999999E-2</v>
      </c>
      <c r="J55" s="468">
        <v>1</v>
      </c>
      <c r="K55" s="475">
        <v>1</v>
      </c>
      <c r="L55" s="475">
        <f>+K55*E55</f>
        <v>0.3</v>
      </c>
      <c r="M55" s="475">
        <f>+J55/F55</f>
        <v>0.25</v>
      </c>
      <c r="N55" s="577">
        <f>+M55*E55</f>
        <v>7.4999999999999997E-2</v>
      </c>
      <c r="O55" s="479" t="s">
        <v>1862</v>
      </c>
      <c r="P55" s="563"/>
      <c r="Q55" s="564"/>
      <c r="R55" s="564"/>
      <c r="S55" s="564"/>
      <c r="T55" s="564"/>
      <c r="U55" s="437"/>
    </row>
    <row r="56" spans="1:21" ht="56.45" customHeight="1" thickBot="1" x14ac:dyDescent="0.35">
      <c r="A56" s="441"/>
      <c r="B56" s="471" t="s">
        <v>851</v>
      </c>
      <c r="C56" s="573" t="s">
        <v>1308</v>
      </c>
      <c r="D56" s="574" t="s">
        <v>795</v>
      </c>
      <c r="E56" s="578">
        <v>0.25</v>
      </c>
      <c r="F56" s="576">
        <v>1</v>
      </c>
      <c r="G56" s="468">
        <v>0.3</v>
      </c>
      <c r="H56" s="475">
        <f>+G56/F56</f>
        <v>0.3</v>
      </c>
      <c r="I56" s="475">
        <f>+(G56/F56)*E56</f>
        <v>7.4999999999999997E-2</v>
      </c>
      <c r="J56" s="468">
        <v>0.3</v>
      </c>
      <c r="K56" s="475">
        <f t="shared" ref="K56" si="15">+(J56/G56)</f>
        <v>1</v>
      </c>
      <c r="L56" s="475">
        <f>+K56*E56</f>
        <v>0.25</v>
      </c>
      <c r="M56" s="475">
        <f>+J56/F56</f>
        <v>0.3</v>
      </c>
      <c r="N56" s="577">
        <f>+M56*E56</f>
        <v>7.4999999999999997E-2</v>
      </c>
      <c r="O56" s="479" t="s">
        <v>1862</v>
      </c>
      <c r="P56" s="563"/>
      <c r="Q56" s="564"/>
      <c r="R56" s="564"/>
      <c r="S56" s="564"/>
      <c r="T56" s="564"/>
      <c r="U56" s="437"/>
    </row>
    <row r="57" spans="1:21" ht="86.25" customHeight="1" thickBot="1" x14ac:dyDescent="0.35">
      <c r="A57" s="441"/>
      <c r="B57" s="715" t="s">
        <v>1813</v>
      </c>
      <c r="C57" s="726"/>
      <c r="D57" s="581"/>
      <c r="E57" s="582">
        <v>0.25</v>
      </c>
      <c r="F57" s="576"/>
      <c r="G57" s="461"/>
      <c r="H57" s="467">
        <f>+AVERAGE(H58:H59)</f>
        <v>0.16666666666666666</v>
      </c>
      <c r="I57" s="467">
        <f>+I58+I59</f>
        <v>0.13333333333333333</v>
      </c>
      <c r="J57" s="466"/>
      <c r="K57" s="469">
        <f>+AVERAGE(K58:K59)</f>
        <v>0.5</v>
      </c>
      <c r="L57" s="469">
        <f>+(L58+L59)*E57</f>
        <v>0.1</v>
      </c>
      <c r="M57" s="467">
        <f>+AVERAGE(M58:M59)</f>
        <v>8.3333333333333329E-2</v>
      </c>
      <c r="N57" s="571">
        <f>+(N58+N59)*E57</f>
        <v>1.6666666666666666E-2</v>
      </c>
      <c r="O57" s="572"/>
      <c r="P57" s="563"/>
      <c r="Q57" s="564"/>
      <c r="R57" s="564"/>
      <c r="S57" s="564"/>
      <c r="T57" s="564"/>
      <c r="U57" s="437"/>
    </row>
    <row r="58" spans="1:21" ht="78" customHeight="1" thickBot="1" x14ac:dyDescent="0.35">
      <c r="A58" s="441"/>
      <c r="B58" s="480" t="s">
        <v>852</v>
      </c>
      <c r="C58" s="586" t="s">
        <v>1309</v>
      </c>
      <c r="D58" s="595" t="s">
        <v>1547</v>
      </c>
      <c r="E58" s="578">
        <v>0.2</v>
      </c>
      <c r="F58" s="576">
        <v>10000</v>
      </c>
      <c r="G58" s="468">
        <v>0</v>
      </c>
      <c r="H58" s="475"/>
      <c r="I58" s="475"/>
      <c r="J58" s="468"/>
      <c r="K58" s="475"/>
      <c r="L58" s="475"/>
      <c r="M58" s="475"/>
      <c r="N58" s="577"/>
      <c r="O58" s="479" t="s">
        <v>1862</v>
      </c>
      <c r="P58" s="563"/>
      <c r="Q58" s="564"/>
      <c r="R58" s="564"/>
      <c r="S58" s="564"/>
      <c r="T58" s="564"/>
      <c r="U58" s="437"/>
    </row>
    <row r="59" spans="1:21" ht="102.6" customHeight="1" thickBot="1" x14ac:dyDescent="0.35">
      <c r="A59" s="441"/>
      <c r="B59" s="480" t="s">
        <v>853</v>
      </c>
      <c r="C59" s="586" t="s">
        <v>1310</v>
      </c>
      <c r="D59" s="595" t="s">
        <v>1547</v>
      </c>
      <c r="E59" s="578">
        <v>0.8</v>
      </c>
      <c r="F59" s="576">
        <v>6</v>
      </c>
      <c r="G59" s="468">
        <v>1</v>
      </c>
      <c r="H59" s="475">
        <f>+G59/F59</f>
        <v>0.16666666666666666</v>
      </c>
      <c r="I59" s="475">
        <f>+(G59/F59)*E59</f>
        <v>0.13333333333333333</v>
      </c>
      <c r="J59" s="468">
        <v>0.5</v>
      </c>
      <c r="K59" s="475">
        <f>+(J59/G59)</f>
        <v>0.5</v>
      </c>
      <c r="L59" s="475">
        <f>+K59*E59</f>
        <v>0.4</v>
      </c>
      <c r="M59" s="501">
        <f>+J59/F59</f>
        <v>8.3333333333333329E-2</v>
      </c>
      <c r="N59" s="580">
        <f>+M59*E59</f>
        <v>6.6666666666666666E-2</v>
      </c>
      <c r="O59" s="479" t="s">
        <v>1862</v>
      </c>
      <c r="P59" s="563"/>
      <c r="Q59" s="564"/>
      <c r="R59" s="564"/>
      <c r="S59" s="564"/>
      <c r="T59" s="564"/>
      <c r="U59" s="437"/>
    </row>
    <row r="60" spans="1:21" ht="108.75" customHeight="1" thickBot="1" x14ac:dyDescent="0.35">
      <c r="A60" s="441"/>
      <c r="B60" s="717" t="s">
        <v>1814</v>
      </c>
      <c r="C60" s="726"/>
      <c r="D60" s="581"/>
      <c r="E60" s="584">
        <v>0.15</v>
      </c>
      <c r="F60" s="456">
        <f>+E60*L60</f>
        <v>0.12154551724137931</v>
      </c>
      <c r="G60" s="461"/>
      <c r="H60" s="459">
        <f>+(H61+H64+H69+H73+H77+H79)/6</f>
        <v>0.25786840977058367</v>
      </c>
      <c r="I60" s="460">
        <f>+(I61+I64+I69+I73+I77+I79)/6</f>
        <v>0.23061672626890017</v>
      </c>
      <c r="J60" s="461"/>
      <c r="K60" s="459">
        <f>+(K61+K64+K69+K73+K77+K79)/6</f>
        <v>0.89865134099616861</v>
      </c>
      <c r="L60" s="460">
        <f>+L61+L64+L69+L73+L77+L79</f>
        <v>0.81030344827586209</v>
      </c>
      <c r="M60" s="459">
        <f>(M61+M64+M69+M73+M77+M79)/6</f>
        <v>0.34751855340367338</v>
      </c>
      <c r="N60" s="568">
        <f>+(N61+N64+N69+N73+N77+N79)</f>
        <v>0.30808632226094745</v>
      </c>
      <c r="O60" s="569"/>
      <c r="P60" s="563"/>
      <c r="Q60" s="564"/>
      <c r="R60" s="564"/>
      <c r="S60" s="564"/>
      <c r="T60" s="564"/>
      <c r="U60" s="437"/>
    </row>
    <row r="61" spans="1:21" ht="57" customHeight="1" thickBot="1" x14ac:dyDescent="0.35">
      <c r="A61" s="441"/>
      <c r="B61" s="715" t="s">
        <v>1815</v>
      </c>
      <c r="C61" s="726"/>
      <c r="D61" s="581"/>
      <c r="E61" s="582">
        <v>0.1</v>
      </c>
      <c r="F61" s="576"/>
      <c r="G61" s="461"/>
      <c r="H61" s="467">
        <f>+AVERAGE(H62:H63)</f>
        <v>0.33333333333333331</v>
      </c>
      <c r="I61" s="467">
        <f>+I62+I63</f>
        <v>9.9999999999999992E-2</v>
      </c>
      <c r="J61" s="466"/>
      <c r="K61" s="469">
        <f>+AVERAGE(K62:K63)</f>
        <v>0.9</v>
      </c>
      <c r="L61" s="469">
        <f>+(L62+L63)*E61</f>
        <v>2.7000000000000003E-2</v>
      </c>
      <c r="M61" s="467">
        <f>+AVERAGE(M62:M63)</f>
        <v>0.3</v>
      </c>
      <c r="N61" s="571">
        <f>+(N62+N63)*E61</f>
        <v>8.9999999999999993E-3</v>
      </c>
      <c r="O61" s="572"/>
      <c r="P61" s="563"/>
      <c r="Q61" s="564"/>
      <c r="R61" s="564"/>
      <c r="S61" s="564"/>
      <c r="T61" s="564"/>
      <c r="U61" s="437"/>
    </row>
    <row r="62" spans="1:21" ht="90" customHeight="1" thickBot="1" x14ac:dyDescent="0.35">
      <c r="A62" s="441"/>
      <c r="B62" s="471" t="s">
        <v>854</v>
      </c>
      <c r="C62" s="573" t="s">
        <v>1311</v>
      </c>
      <c r="D62" s="574" t="s">
        <v>795</v>
      </c>
      <c r="E62" s="578">
        <v>0.3</v>
      </c>
      <c r="F62" s="576">
        <v>6</v>
      </c>
      <c r="G62" s="468">
        <v>2</v>
      </c>
      <c r="H62" s="475">
        <f>+G62/F62</f>
        <v>0.33333333333333331</v>
      </c>
      <c r="I62" s="475">
        <f>+(G62/F62)*E62</f>
        <v>9.9999999999999992E-2</v>
      </c>
      <c r="J62" s="468">
        <v>1.8</v>
      </c>
      <c r="K62" s="475">
        <f>+(J62/G62)</f>
        <v>0.9</v>
      </c>
      <c r="L62" s="475">
        <f>+K62*E62</f>
        <v>0.27</v>
      </c>
      <c r="M62" s="475">
        <f>+J62/F62</f>
        <v>0.3</v>
      </c>
      <c r="N62" s="577">
        <f>+M62*E62</f>
        <v>0.09</v>
      </c>
      <c r="O62" s="479" t="s">
        <v>1862</v>
      </c>
      <c r="P62" s="563"/>
      <c r="Q62" s="564"/>
      <c r="R62" s="564"/>
      <c r="S62" s="564"/>
      <c r="T62" s="564"/>
      <c r="U62" s="437"/>
    </row>
    <row r="63" spans="1:21" ht="88.15" customHeight="1" thickBot="1" x14ac:dyDescent="0.35">
      <c r="A63" s="441"/>
      <c r="B63" s="471" t="s">
        <v>855</v>
      </c>
      <c r="C63" s="573" t="s">
        <v>1312</v>
      </c>
      <c r="D63" s="574" t="s">
        <v>1550</v>
      </c>
      <c r="E63" s="578">
        <v>0.7</v>
      </c>
      <c r="F63" s="576">
        <v>1</v>
      </c>
      <c r="G63" s="468">
        <v>0</v>
      </c>
      <c r="H63" s="475"/>
      <c r="I63" s="475"/>
      <c r="J63" s="468"/>
      <c r="K63" s="475"/>
      <c r="L63" s="475"/>
      <c r="M63" s="475"/>
      <c r="N63" s="577">
        <v>0</v>
      </c>
      <c r="O63" s="479" t="s">
        <v>1862</v>
      </c>
      <c r="P63" s="563"/>
      <c r="Q63" s="564"/>
      <c r="R63" s="564"/>
      <c r="S63" s="564"/>
      <c r="T63" s="564"/>
      <c r="U63" s="437"/>
    </row>
    <row r="64" spans="1:21" ht="42.75" customHeight="1" thickBot="1" x14ac:dyDescent="0.35">
      <c r="A64" s="441"/>
      <c r="B64" s="715" t="s">
        <v>1740</v>
      </c>
      <c r="C64" s="726"/>
      <c r="D64" s="581"/>
      <c r="E64" s="582">
        <v>0.15</v>
      </c>
      <c r="F64" s="576"/>
      <c r="G64" s="461"/>
      <c r="H64" s="467">
        <f>+AVERAGE(H65:H68)</f>
        <v>0.23295454545454547</v>
      </c>
      <c r="I64" s="467">
        <f>+I65+I66+I67+I68</f>
        <v>0.22954545454545455</v>
      </c>
      <c r="J64" s="466"/>
      <c r="K64" s="469">
        <f>+AVERAGE(K65:K68)</f>
        <v>1</v>
      </c>
      <c r="L64" s="469">
        <f>+(L65+L66+L67+L68)*E64</f>
        <v>0.15</v>
      </c>
      <c r="M64" s="467">
        <f>+AVERAGE(M65:M68)</f>
        <v>0.32170454545454552</v>
      </c>
      <c r="N64" s="571">
        <f>+(N65+N66+N67+N68)*E64</f>
        <v>4.8156818181818176E-2</v>
      </c>
      <c r="O64" s="572"/>
      <c r="P64" s="563"/>
      <c r="Q64" s="564"/>
      <c r="R64" s="564"/>
      <c r="S64" s="564"/>
      <c r="T64" s="564"/>
      <c r="U64" s="437"/>
    </row>
    <row r="65" spans="1:21" ht="75.599999999999994" customHeight="1" thickBot="1" x14ac:dyDescent="0.35">
      <c r="A65" s="441"/>
      <c r="B65" s="471" t="s">
        <v>856</v>
      </c>
      <c r="C65" s="573" t="s">
        <v>1313</v>
      </c>
      <c r="D65" s="574" t="s">
        <v>857</v>
      </c>
      <c r="E65" s="578">
        <v>0.3</v>
      </c>
      <c r="F65" s="576">
        <v>1</v>
      </c>
      <c r="G65" s="587">
        <v>0.25</v>
      </c>
      <c r="H65" s="475">
        <f>+G65/F65</f>
        <v>0.25</v>
      </c>
      <c r="I65" s="475">
        <f>+(G65/F65)*E65</f>
        <v>7.4999999999999997E-2</v>
      </c>
      <c r="J65" s="596">
        <v>0.45500000000000002</v>
      </c>
      <c r="K65" s="475">
        <v>1</v>
      </c>
      <c r="L65" s="475">
        <f>+K65*E65</f>
        <v>0.3</v>
      </c>
      <c r="M65" s="475">
        <f>+J65/F65</f>
        <v>0.45500000000000002</v>
      </c>
      <c r="N65" s="577">
        <f>+M65*E65</f>
        <v>0.13650000000000001</v>
      </c>
      <c r="O65" s="479" t="s">
        <v>1862</v>
      </c>
      <c r="P65" s="563"/>
      <c r="Q65" s="564"/>
      <c r="R65" s="564"/>
      <c r="S65" s="564"/>
      <c r="T65" s="564"/>
      <c r="U65" s="437"/>
    </row>
    <row r="66" spans="1:21" ht="145.15" customHeight="1" thickBot="1" x14ac:dyDescent="0.35">
      <c r="A66" s="441"/>
      <c r="B66" s="471" t="s">
        <v>858</v>
      </c>
      <c r="C66" s="573" t="s">
        <v>1314</v>
      </c>
      <c r="D66" s="574" t="s">
        <v>1560</v>
      </c>
      <c r="E66" s="578">
        <v>0.2</v>
      </c>
      <c r="F66" s="576">
        <v>4</v>
      </c>
      <c r="G66" s="587">
        <v>1</v>
      </c>
      <c r="H66" s="597">
        <f>+G66/F66</f>
        <v>0.25</v>
      </c>
      <c r="I66" s="597">
        <f>+(G66/F66)*E66</f>
        <v>0.05</v>
      </c>
      <c r="J66" s="596">
        <v>1</v>
      </c>
      <c r="K66" s="475">
        <f>+(J66/G66)</f>
        <v>1</v>
      </c>
      <c r="L66" s="475">
        <f>+K66*E66</f>
        <v>0.2</v>
      </c>
      <c r="M66" s="475">
        <f>+J66/F66</f>
        <v>0.25</v>
      </c>
      <c r="N66" s="577">
        <f>+M66*E66</f>
        <v>0.05</v>
      </c>
      <c r="O66" s="479" t="s">
        <v>1862</v>
      </c>
      <c r="P66" s="563"/>
      <c r="Q66" s="564"/>
      <c r="R66" s="564"/>
      <c r="S66" s="564"/>
      <c r="T66" s="564"/>
      <c r="U66" s="437"/>
    </row>
    <row r="67" spans="1:21" ht="85.15" customHeight="1" thickBot="1" x14ac:dyDescent="0.35">
      <c r="A67" s="441"/>
      <c r="B67" s="471" t="s">
        <v>859</v>
      </c>
      <c r="C67" s="573" t="s">
        <v>1315</v>
      </c>
      <c r="D67" s="574" t="s">
        <v>857</v>
      </c>
      <c r="E67" s="578">
        <v>0.3</v>
      </c>
      <c r="F67" s="576">
        <v>33</v>
      </c>
      <c r="G67" s="468">
        <v>6</v>
      </c>
      <c r="H67" s="475">
        <f>+G67/F67</f>
        <v>0.18181818181818182</v>
      </c>
      <c r="I67" s="475">
        <f>+(G67/F67)*E67</f>
        <v>5.4545454545454543E-2</v>
      </c>
      <c r="J67" s="527">
        <v>6</v>
      </c>
      <c r="K67" s="475">
        <f>+(J67/G67)</f>
        <v>1</v>
      </c>
      <c r="L67" s="475">
        <f>+K67*E67</f>
        <v>0.3</v>
      </c>
      <c r="M67" s="475">
        <f>+J67/F67</f>
        <v>0.18181818181818182</v>
      </c>
      <c r="N67" s="577">
        <f>+M67*E67</f>
        <v>5.4545454545454543E-2</v>
      </c>
      <c r="O67" s="479" t="s">
        <v>1862</v>
      </c>
      <c r="P67" s="563"/>
      <c r="Q67" s="564"/>
      <c r="R67" s="564"/>
      <c r="S67" s="564"/>
      <c r="T67" s="564"/>
      <c r="U67" s="437"/>
    </row>
    <row r="68" spans="1:21" ht="90" customHeight="1" thickBot="1" x14ac:dyDescent="0.35">
      <c r="A68" s="441"/>
      <c r="B68" s="471" t="s">
        <v>860</v>
      </c>
      <c r="C68" s="573" t="s">
        <v>1316</v>
      </c>
      <c r="D68" s="574" t="s">
        <v>857</v>
      </c>
      <c r="E68" s="578">
        <v>0.2</v>
      </c>
      <c r="F68" s="576">
        <v>1</v>
      </c>
      <c r="G68" s="598">
        <v>0.25</v>
      </c>
      <c r="H68" s="475">
        <f>+G68/F68</f>
        <v>0.25</v>
      </c>
      <c r="I68" s="475">
        <f>+(G68/F68)*E68</f>
        <v>0.05</v>
      </c>
      <c r="J68" s="527">
        <v>0.4</v>
      </c>
      <c r="K68" s="475">
        <v>1</v>
      </c>
      <c r="L68" s="475">
        <f>+K68*E68</f>
        <v>0.2</v>
      </c>
      <c r="M68" s="475">
        <f>+J68/F68</f>
        <v>0.4</v>
      </c>
      <c r="N68" s="577">
        <f>+M68*E68</f>
        <v>8.0000000000000016E-2</v>
      </c>
      <c r="O68" s="479" t="s">
        <v>1862</v>
      </c>
      <c r="P68" s="563"/>
      <c r="Q68" s="564"/>
      <c r="R68" s="564"/>
      <c r="S68" s="564"/>
      <c r="T68" s="564"/>
      <c r="U68" s="437"/>
    </row>
    <row r="69" spans="1:21" ht="28.5" customHeight="1" thickBot="1" x14ac:dyDescent="0.35">
      <c r="A69" s="441"/>
      <c r="B69" s="715" t="s">
        <v>1816</v>
      </c>
      <c r="C69" s="726"/>
      <c r="D69" s="581"/>
      <c r="E69" s="582">
        <v>0.15</v>
      </c>
      <c r="F69" s="576"/>
      <c r="G69" s="461"/>
      <c r="H69" s="467">
        <f>+AVERAGE(H70:H72)</f>
        <v>0.26306543697848045</v>
      </c>
      <c r="I69" s="467">
        <f>+I70+I71+I72</f>
        <v>0.30629776021080368</v>
      </c>
      <c r="J69" s="466"/>
      <c r="K69" s="469">
        <f>+AVERAGE(K70:K72)</f>
        <v>1</v>
      </c>
      <c r="L69" s="469">
        <f>+(L70+L71+L72)*E69</f>
        <v>0.15</v>
      </c>
      <c r="M69" s="467">
        <f>+AVERAGE(M70:M72)</f>
        <v>0.38614404918752743</v>
      </c>
      <c r="N69" s="571">
        <f>+(N70+N71+N72)*E69</f>
        <v>5.2982213438735173E-2</v>
      </c>
      <c r="O69" s="572"/>
      <c r="P69" s="563"/>
      <c r="Q69" s="564"/>
      <c r="R69" s="564"/>
      <c r="S69" s="564"/>
      <c r="T69" s="564"/>
      <c r="U69" s="437"/>
    </row>
    <row r="70" spans="1:21" ht="165" customHeight="1" thickBot="1" x14ac:dyDescent="0.35">
      <c r="A70" s="441"/>
      <c r="B70" s="480" t="s">
        <v>861</v>
      </c>
      <c r="C70" s="586" t="s">
        <v>1317</v>
      </c>
      <c r="D70" s="590" t="s">
        <v>1561</v>
      </c>
      <c r="E70" s="578">
        <v>0.18</v>
      </c>
      <c r="F70" s="576">
        <v>23</v>
      </c>
      <c r="G70" s="468">
        <f>2+5</f>
        <v>7</v>
      </c>
      <c r="H70" s="475">
        <f>+G70/F70</f>
        <v>0.30434782608695654</v>
      </c>
      <c r="I70" s="475">
        <f>+(G70/F70)*E70</f>
        <v>5.4782608695652178E-2</v>
      </c>
      <c r="J70" s="468">
        <v>8</v>
      </c>
      <c r="K70" s="475">
        <v>1</v>
      </c>
      <c r="L70" s="475">
        <f>+K70*E70</f>
        <v>0.18</v>
      </c>
      <c r="M70" s="475">
        <f>+J70/F70</f>
        <v>0.34782608695652173</v>
      </c>
      <c r="N70" s="577">
        <f>+M70*E70</f>
        <v>6.2608695652173904E-2</v>
      </c>
      <c r="O70" s="599" t="s">
        <v>1881</v>
      </c>
      <c r="P70" s="563"/>
      <c r="Q70" s="564"/>
      <c r="R70" s="564"/>
      <c r="S70" s="564"/>
      <c r="T70" s="564"/>
      <c r="U70" s="437"/>
    </row>
    <row r="71" spans="1:21" ht="85.9" customHeight="1" thickBot="1" x14ac:dyDescent="0.35">
      <c r="A71" s="441"/>
      <c r="B71" s="471" t="s">
        <v>862</v>
      </c>
      <c r="C71" s="573" t="s">
        <v>1318</v>
      </c>
      <c r="D71" s="574" t="s">
        <v>857</v>
      </c>
      <c r="E71" s="578">
        <v>0.12</v>
      </c>
      <c r="F71" s="576">
        <v>132</v>
      </c>
      <c r="G71" s="468">
        <v>20</v>
      </c>
      <c r="H71" s="475">
        <f>+G71/F71</f>
        <v>0.15151515151515152</v>
      </c>
      <c r="I71" s="475">
        <f>+(G71/F71)*E71</f>
        <v>1.8181818181818181E-2</v>
      </c>
      <c r="J71" s="468">
        <v>63</v>
      </c>
      <c r="K71" s="475">
        <v>1</v>
      </c>
      <c r="L71" s="475">
        <f>+K71*E71</f>
        <v>0.12</v>
      </c>
      <c r="M71" s="475">
        <f>+J71/F71</f>
        <v>0.47727272727272729</v>
      </c>
      <c r="N71" s="577">
        <f>+M71*E71</f>
        <v>5.7272727272727274E-2</v>
      </c>
      <c r="O71" s="479" t="s">
        <v>1862</v>
      </c>
      <c r="P71" s="563"/>
      <c r="Q71" s="564"/>
      <c r="R71" s="564"/>
      <c r="S71" s="564"/>
      <c r="T71" s="564"/>
      <c r="U71" s="437"/>
    </row>
    <row r="72" spans="1:21" ht="70.150000000000006" customHeight="1" thickBot="1" x14ac:dyDescent="0.35">
      <c r="A72" s="441"/>
      <c r="B72" s="471" t="s">
        <v>863</v>
      </c>
      <c r="C72" s="573" t="s">
        <v>1319</v>
      </c>
      <c r="D72" s="574" t="s">
        <v>830</v>
      </c>
      <c r="E72" s="578">
        <v>0.7</v>
      </c>
      <c r="F72" s="576">
        <v>3</v>
      </c>
      <c r="G72" s="468">
        <v>1</v>
      </c>
      <c r="H72" s="475">
        <f>+G72/F72</f>
        <v>0.33333333333333331</v>
      </c>
      <c r="I72" s="475">
        <f>+(G72/F72)*E72</f>
        <v>0.23333333333333331</v>
      </c>
      <c r="J72" s="468">
        <v>1</v>
      </c>
      <c r="K72" s="475">
        <f>+(J72/G72)</f>
        <v>1</v>
      </c>
      <c r="L72" s="475">
        <f>+K72*E72</f>
        <v>0.7</v>
      </c>
      <c r="M72" s="475">
        <f>+J72/F72</f>
        <v>0.33333333333333331</v>
      </c>
      <c r="N72" s="577">
        <f>+M72*E72</f>
        <v>0.23333333333333331</v>
      </c>
      <c r="O72" s="479" t="s">
        <v>1862</v>
      </c>
      <c r="P72" s="563"/>
      <c r="Q72" s="564"/>
      <c r="R72" s="564"/>
      <c r="S72" s="564"/>
      <c r="T72" s="564"/>
      <c r="U72" s="437"/>
    </row>
    <row r="73" spans="1:21" ht="28.5" customHeight="1" thickBot="1" x14ac:dyDescent="0.35">
      <c r="A73" s="441"/>
      <c r="B73" s="715" t="s">
        <v>1742</v>
      </c>
      <c r="C73" s="726"/>
      <c r="D73" s="581"/>
      <c r="E73" s="582">
        <v>0.2</v>
      </c>
      <c r="F73" s="576"/>
      <c r="G73" s="461"/>
      <c r="H73" s="467">
        <f>+AVERAGE(H74:H76)</f>
        <v>0.25</v>
      </c>
      <c r="I73" s="467">
        <f>+I74+I75+I76</f>
        <v>0.25</v>
      </c>
      <c r="J73" s="466"/>
      <c r="K73" s="469">
        <f>+AVERAGE(K74:K76)</f>
        <v>0.75190804597701144</v>
      </c>
      <c r="L73" s="469">
        <f>+(L74+L75+L76)*E73</f>
        <v>0.13870344827586209</v>
      </c>
      <c r="M73" s="467">
        <f>+AVERAGE(M74:M76)</f>
        <v>0.35297701149425292</v>
      </c>
      <c r="N73" s="571">
        <f>+(N74+N75+N76)*E73</f>
        <v>5.4475862068965514E-2</v>
      </c>
      <c r="O73" s="572"/>
      <c r="P73" s="563"/>
      <c r="Q73" s="564"/>
      <c r="R73" s="564"/>
      <c r="S73" s="564"/>
      <c r="T73" s="564"/>
      <c r="U73" s="437"/>
    </row>
    <row r="74" spans="1:21" ht="88.9" customHeight="1" thickBot="1" x14ac:dyDescent="0.35">
      <c r="A74" s="441"/>
      <c r="B74" s="471" t="s">
        <v>864</v>
      </c>
      <c r="C74" s="573" t="s">
        <v>1320</v>
      </c>
      <c r="D74" s="574" t="s">
        <v>857</v>
      </c>
      <c r="E74" s="578">
        <v>0.2</v>
      </c>
      <c r="F74" s="576">
        <v>1</v>
      </c>
      <c r="G74" s="600">
        <v>0.25</v>
      </c>
      <c r="H74" s="475">
        <f>+G74/F74</f>
        <v>0.25</v>
      </c>
      <c r="I74" s="475">
        <f>+(G74/F74)*E74</f>
        <v>0.05</v>
      </c>
      <c r="J74" s="266">
        <v>0.745</v>
      </c>
      <c r="K74" s="475">
        <v>1</v>
      </c>
      <c r="L74" s="475">
        <f>+K74*E74</f>
        <v>0.2</v>
      </c>
      <c r="M74" s="475">
        <f>+J74/F74</f>
        <v>0.745</v>
      </c>
      <c r="N74" s="577">
        <f>+M74*E74</f>
        <v>0.14899999999999999</v>
      </c>
      <c r="O74" s="479" t="s">
        <v>1862</v>
      </c>
      <c r="P74" s="563"/>
      <c r="Q74" s="564"/>
      <c r="R74" s="564"/>
      <c r="S74" s="564"/>
      <c r="T74" s="564"/>
      <c r="U74" s="437"/>
    </row>
    <row r="75" spans="1:21" ht="78" customHeight="1" thickBot="1" x14ac:dyDescent="0.35">
      <c r="A75" s="441"/>
      <c r="B75" s="471" t="s">
        <v>865</v>
      </c>
      <c r="C75" s="573" t="s">
        <v>1321</v>
      </c>
      <c r="D75" s="574" t="s">
        <v>857</v>
      </c>
      <c r="E75" s="578">
        <v>0.5</v>
      </c>
      <c r="F75" s="576">
        <v>2000</v>
      </c>
      <c r="G75" s="600">
        <v>500</v>
      </c>
      <c r="H75" s="475">
        <f>+G75/F75</f>
        <v>0.25</v>
      </c>
      <c r="I75" s="475">
        <f>+(G75/F75)*E75</f>
        <v>0.125</v>
      </c>
      <c r="J75" s="266">
        <v>292</v>
      </c>
      <c r="K75" s="475">
        <f>+(J75/G75)</f>
        <v>0.58399999999999996</v>
      </c>
      <c r="L75" s="475">
        <f>+K75*E75</f>
        <v>0.29199999999999998</v>
      </c>
      <c r="M75" s="475">
        <f>+J75/F75</f>
        <v>0.14599999999999999</v>
      </c>
      <c r="N75" s="577">
        <f>+M75*E75</f>
        <v>7.2999999999999995E-2</v>
      </c>
      <c r="O75" s="479" t="s">
        <v>1862</v>
      </c>
      <c r="P75" s="563"/>
      <c r="Q75" s="564"/>
      <c r="R75" s="564"/>
      <c r="S75" s="564"/>
      <c r="T75" s="564"/>
      <c r="U75" s="437"/>
    </row>
    <row r="76" spans="1:21" ht="106.9" customHeight="1" thickBot="1" x14ac:dyDescent="0.35">
      <c r="A76" s="441"/>
      <c r="B76" s="471" t="s">
        <v>866</v>
      </c>
      <c r="C76" s="573" t="s">
        <v>1322</v>
      </c>
      <c r="D76" s="574" t="s">
        <v>857</v>
      </c>
      <c r="E76" s="578">
        <v>0.3</v>
      </c>
      <c r="F76" s="576">
        <f>1450*4</f>
        <v>5800</v>
      </c>
      <c r="G76" s="600">
        <v>1450</v>
      </c>
      <c r="H76" s="475">
        <f>+G76/F76</f>
        <v>0.25</v>
      </c>
      <c r="I76" s="475">
        <f>+(G76/F76)*E76</f>
        <v>7.4999999999999997E-2</v>
      </c>
      <c r="J76" s="266">
        <v>974</v>
      </c>
      <c r="K76" s="475">
        <f>+(J76/G76)</f>
        <v>0.67172413793103447</v>
      </c>
      <c r="L76" s="475">
        <f>+K76*E76</f>
        <v>0.20151724137931035</v>
      </c>
      <c r="M76" s="475">
        <f>+J76/F76</f>
        <v>0.16793103448275862</v>
      </c>
      <c r="N76" s="577">
        <f>+M76*E76</f>
        <v>5.0379310344827587E-2</v>
      </c>
      <c r="O76" s="479" t="s">
        <v>1862</v>
      </c>
      <c r="P76" s="563"/>
      <c r="Q76" s="564"/>
      <c r="R76" s="564"/>
      <c r="S76" s="564"/>
      <c r="T76" s="564"/>
      <c r="U76" s="437"/>
    </row>
    <row r="77" spans="1:21" ht="28.5" customHeight="1" thickBot="1" x14ac:dyDescent="0.35">
      <c r="A77" s="441"/>
      <c r="B77" s="715" t="s">
        <v>1817</v>
      </c>
      <c r="C77" s="726"/>
      <c r="D77" s="581"/>
      <c r="E77" s="582">
        <v>0.25</v>
      </c>
      <c r="F77" s="576"/>
      <c r="G77" s="461"/>
      <c r="H77" s="467">
        <f>+AVERAGE(H78)</f>
        <v>0.14285714285714285</v>
      </c>
      <c r="I77" s="467">
        <f>+I78</f>
        <v>0.14285714285714285</v>
      </c>
      <c r="J77" s="466"/>
      <c r="K77" s="469">
        <f>+AVERAGE(K78)</f>
        <v>0.8</v>
      </c>
      <c r="L77" s="469">
        <f>+(L78)*E77</f>
        <v>0.2</v>
      </c>
      <c r="M77" s="467">
        <f>+AVERAGE(M78)</f>
        <v>0.1142857142857143</v>
      </c>
      <c r="N77" s="571">
        <f>+(N78)*E77</f>
        <v>2.8571428571428574E-2</v>
      </c>
      <c r="O77" s="572"/>
      <c r="P77" s="563"/>
      <c r="Q77" s="564"/>
      <c r="R77" s="564"/>
      <c r="S77" s="564"/>
      <c r="T77" s="564"/>
      <c r="U77" s="437"/>
    </row>
    <row r="78" spans="1:21" ht="67.150000000000006" customHeight="1" thickBot="1" x14ac:dyDescent="0.35">
      <c r="A78" s="441"/>
      <c r="B78" s="471" t="s">
        <v>867</v>
      </c>
      <c r="C78" s="573" t="s">
        <v>1323</v>
      </c>
      <c r="D78" s="581" t="s">
        <v>868</v>
      </c>
      <c r="E78" s="578">
        <v>1</v>
      </c>
      <c r="F78" s="576">
        <v>7</v>
      </c>
      <c r="G78" s="468">
        <v>1</v>
      </c>
      <c r="H78" s="475">
        <f>+G78/F78</f>
        <v>0.14285714285714285</v>
      </c>
      <c r="I78" s="475">
        <f>+(G78/F78)*E78</f>
        <v>0.14285714285714285</v>
      </c>
      <c r="J78" s="468">
        <v>0.8</v>
      </c>
      <c r="K78" s="475">
        <f>+(J78/G78)</f>
        <v>0.8</v>
      </c>
      <c r="L78" s="475">
        <f>+K78*E78</f>
        <v>0.8</v>
      </c>
      <c r="M78" s="475">
        <f>+J78/F78</f>
        <v>0.1142857142857143</v>
      </c>
      <c r="N78" s="577">
        <f>+M78*E78</f>
        <v>0.1142857142857143</v>
      </c>
      <c r="O78" s="479" t="s">
        <v>1865</v>
      </c>
      <c r="P78" s="563"/>
      <c r="Q78" s="564"/>
      <c r="R78" s="564"/>
      <c r="S78" s="564"/>
      <c r="T78" s="564"/>
      <c r="U78" s="437"/>
    </row>
    <row r="79" spans="1:21" ht="57" customHeight="1" thickBot="1" x14ac:dyDescent="0.35">
      <c r="A79" s="441"/>
      <c r="B79" s="715" t="s">
        <v>1744</v>
      </c>
      <c r="C79" s="726"/>
      <c r="D79" s="581"/>
      <c r="E79" s="582">
        <v>0.15</v>
      </c>
      <c r="F79" s="576"/>
      <c r="G79" s="461"/>
      <c r="H79" s="467">
        <f>+AVERAGE(H80:H81)</f>
        <v>0.32500000000000001</v>
      </c>
      <c r="I79" s="467">
        <f>+I80+I81</f>
        <v>0.35499999999999998</v>
      </c>
      <c r="J79" s="466"/>
      <c r="K79" s="469">
        <f>+AVERAGE(K80:K81)</f>
        <v>0.94</v>
      </c>
      <c r="L79" s="469">
        <f>+(L80+L81)*E79</f>
        <v>0.14459999999999998</v>
      </c>
      <c r="M79" s="467">
        <f>+AVERAGE(M80:M81)</f>
        <v>0.61</v>
      </c>
      <c r="N79" s="571">
        <f>+(N80+N81)*E79</f>
        <v>0.1149</v>
      </c>
      <c r="O79" s="572"/>
      <c r="P79" s="563"/>
      <c r="Q79" s="564"/>
      <c r="R79" s="564"/>
      <c r="S79" s="564"/>
      <c r="T79" s="564"/>
      <c r="U79" s="437"/>
    </row>
    <row r="80" spans="1:21" ht="117.6" customHeight="1" thickBot="1" x14ac:dyDescent="0.35">
      <c r="A80" s="441"/>
      <c r="B80" s="471" t="s">
        <v>869</v>
      </c>
      <c r="C80" s="573" t="s">
        <v>1324</v>
      </c>
      <c r="D80" s="581" t="s">
        <v>1548</v>
      </c>
      <c r="E80" s="578">
        <v>0.3</v>
      </c>
      <c r="F80" s="576">
        <v>1</v>
      </c>
      <c r="G80" s="468">
        <v>0.25</v>
      </c>
      <c r="H80" s="475">
        <f>+G80/F80</f>
        <v>0.25</v>
      </c>
      <c r="I80" s="475">
        <f>+(G80/F80)*E80</f>
        <v>7.4999999999999997E-2</v>
      </c>
      <c r="J80" s="468">
        <v>0.22</v>
      </c>
      <c r="K80" s="475">
        <f>+(J80/G80)</f>
        <v>0.88</v>
      </c>
      <c r="L80" s="475">
        <f>+K80*E80</f>
        <v>0.26400000000000001</v>
      </c>
      <c r="M80" s="475">
        <f>+J80/F80</f>
        <v>0.22</v>
      </c>
      <c r="N80" s="580">
        <f>+M80*E80</f>
        <v>6.6000000000000003E-2</v>
      </c>
      <c r="O80" s="479" t="s">
        <v>1865</v>
      </c>
      <c r="P80" s="563"/>
      <c r="Q80" s="564"/>
      <c r="R80" s="564"/>
      <c r="S80" s="564"/>
      <c r="T80" s="564"/>
      <c r="U80" s="437"/>
    </row>
    <row r="81" spans="1:21" ht="85.15" customHeight="1" thickBot="1" x14ac:dyDescent="0.35">
      <c r="A81" s="441"/>
      <c r="B81" s="489" t="s">
        <v>870</v>
      </c>
      <c r="C81" s="592" t="s">
        <v>1325</v>
      </c>
      <c r="D81" s="581" t="s">
        <v>1547</v>
      </c>
      <c r="E81" s="578">
        <v>0.7</v>
      </c>
      <c r="F81" s="576">
        <v>5</v>
      </c>
      <c r="G81" s="468">
        <v>2</v>
      </c>
      <c r="H81" s="475">
        <f>+G81/F81</f>
        <v>0.4</v>
      </c>
      <c r="I81" s="475">
        <f>+(G81/F81)*E81</f>
        <v>0.27999999999999997</v>
      </c>
      <c r="J81" s="468">
        <v>5</v>
      </c>
      <c r="K81" s="475">
        <v>1</v>
      </c>
      <c r="L81" s="475">
        <f>+K81*E81</f>
        <v>0.7</v>
      </c>
      <c r="M81" s="475">
        <f>+J81/F81</f>
        <v>1</v>
      </c>
      <c r="N81" s="580">
        <f>+M81*E81</f>
        <v>0.7</v>
      </c>
      <c r="O81" s="585" t="s">
        <v>1877</v>
      </c>
      <c r="P81" s="563"/>
      <c r="Q81" s="564"/>
      <c r="R81" s="564"/>
      <c r="S81" s="564"/>
      <c r="T81" s="564"/>
      <c r="U81" s="437"/>
    </row>
    <row r="82" spans="1:21" ht="78" customHeight="1" thickBot="1" x14ac:dyDescent="0.35">
      <c r="A82" s="441"/>
      <c r="B82" s="717" t="s">
        <v>1818</v>
      </c>
      <c r="C82" s="726"/>
      <c r="D82" s="581"/>
      <c r="E82" s="584">
        <v>0.1</v>
      </c>
      <c r="F82" s="456">
        <f>+E82*L82</f>
        <v>2.0506728571428573E-2</v>
      </c>
      <c r="G82" s="461"/>
      <c r="H82" s="459">
        <f>+(H83+H91+H95)/3</f>
        <v>0.23703703703703705</v>
      </c>
      <c r="I82" s="460">
        <f>+(I83+I91+I95)/3</f>
        <v>0.17777777777777778</v>
      </c>
      <c r="J82" s="461"/>
      <c r="K82" s="459">
        <f>+(K83+K91+K95)/3</f>
        <v>0.43832698412698412</v>
      </c>
      <c r="L82" s="460">
        <f>+L83+L91+L95</f>
        <v>0.20506728571428573</v>
      </c>
      <c r="M82" s="459">
        <f>(M83+M91+M95)/3</f>
        <v>0.15124841269841269</v>
      </c>
      <c r="N82" s="601">
        <f>+(N83+N91+N95)</f>
        <v>6.376682142857143E-2</v>
      </c>
      <c r="O82" s="569"/>
      <c r="P82" s="563"/>
      <c r="Q82" s="564"/>
      <c r="R82" s="564"/>
      <c r="S82" s="564"/>
      <c r="T82" s="564"/>
      <c r="U82" s="437"/>
    </row>
    <row r="83" spans="1:21" ht="72" customHeight="1" thickBot="1" x14ac:dyDescent="0.35">
      <c r="A83" s="441"/>
      <c r="B83" s="715" t="s">
        <v>1819</v>
      </c>
      <c r="C83" s="726"/>
      <c r="D83" s="581"/>
      <c r="E83" s="582">
        <v>0.45</v>
      </c>
      <c r="F83" s="576"/>
      <c r="G83" s="461"/>
      <c r="H83" s="467">
        <f>+AVERAGE(H84:H90)</f>
        <v>0.21111111111111111</v>
      </c>
      <c r="I83" s="467">
        <f>+I84+I85+I86+I87+I88+I89+I90</f>
        <v>0.15833333333333333</v>
      </c>
      <c r="J83" s="466"/>
      <c r="K83" s="469">
        <f>+AVERAGE(K84:K90)</f>
        <v>0.31498095238095236</v>
      </c>
      <c r="L83" s="469">
        <f>+(L84+L85+L86+L87+L88+L89+L90)*E83</f>
        <v>0.10506728571428571</v>
      </c>
      <c r="M83" s="467">
        <f>+AVERAGE(M84:M90)</f>
        <v>7.874523809523809E-2</v>
      </c>
      <c r="N83" s="602">
        <f>+(N84+N85+N86+N87+N88+N89+N90)*E83</f>
        <v>2.6266821428571428E-2</v>
      </c>
      <c r="O83" s="572"/>
      <c r="P83" s="563"/>
      <c r="Q83" s="564"/>
      <c r="R83" s="564"/>
      <c r="S83" s="564"/>
      <c r="T83" s="564"/>
      <c r="U83" s="437"/>
    </row>
    <row r="84" spans="1:21" ht="94.15" customHeight="1" thickBot="1" x14ac:dyDescent="0.35">
      <c r="A84" s="441"/>
      <c r="B84" s="471" t="s">
        <v>871</v>
      </c>
      <c r="C84" s="573" t="s">
        <v>1326</v>
      </c>
      <c r="D84" s="603" t="s">
        <v>872</v>
      </c>
      <c r="E84" s="578">
        <v>0.1</v>
      </c>
      <c r="F84" s="576">
        <v>1</v>
      </c>
      <c r="G84" s="468">
        <v>0</v>
      </c>
      <c r="H84" s="475"/>
      <c r="I84" s="475"/>
      <c r="J84" s="468"/>
      <c r="K84" s="475"/>
      <c r="L84" s="475"/>
      <c r="M84" s="475"/>
      <c r="N84" s="577">
        <v>0</v>
      </c>
      <c r="O84" s="604" t="s">
        <v>1865</v>
      </c>
      <c r="P84" s="563"/>
      <c r="Q84" s="564"/>
      <c r="R84" s="564"/>
      <c r="S84" s="564"/>
      <c r="T84" s="564"/>
      <c r="U84" s="437"/>
    </row>
    <row r="85" spans="1:21" ht="55.9" customHeight="1" thickBot="1" x14ac:dyDescent="0.35">
      <c r="A85" s="441"/>
      <c r="B85" s="471" t="s">
        <v>873</v>
      </c>
      <c r="C85" s="573" t="s">
        <v>1327</v>
      </c>
      <c r="D85" s="603" t="s">
        <v>830</v>
      </c>
      <c r="E85" s="578">
        <v>0.3</v>
      </c>
      <c r="F85" s="576">
        <v>14000</v>
      </c>
      <c r="G85" s="468">
        <v>3500</v>
      </c>
      <c r="H85" s="475">
        <f t="shared" ref="H85:H90" si="16">+G85/F85</f>
        <v>0.25</v>
      </c>
      <c r="I85" s="475">
        <f t="shared" ref="I85:I90" si="17">+(G85/F85)*E85</f>
        <v>7.4999999999999997E-2</v>
      </c>
      <c r="J85" s="468">
        <v>1557.3</v>
      </c>
      <c r="K85" s="475">
        <f t="shared" ref="K85:K90" si="18">+(J85/G85)</f>
        <v>0.44494285714285714</v>
      </c>
      <c r="L85" s="475">
        <f t="shared" ref="L85:L90" si="19">+K85*E85</f>
        <v>0.13348285714285713</v>
      </c>
      <c r="M85" s="475">
        <f t="shared" ref="M85:M90" si="20">+J85/F85</f>
        <v>0.11123571428571428</v>
      </c>
      <c r="N85" s="577">
        <f t="shared" ref="N85:N90" si="21">+M85*E85</f>
        <v>3.3370714285714281E-2</v>
      </c>
      <c r="O85" s="604" t="s">
        <v>1865</v>
      </c>
      <c r="P85" s="563"/>
      <c r="Q85" s="564"/>
      <c r="R85" s="564"/>
      <c r="S85" s="564"/>
      <c r="T85" s="564"/>
      <c r="U85" s="437"/>
    </row>
    <row r="86" spans="1:21" ht="56.45" customHeight="1" thickBot="1" x14ac:dyDescent="0.35">
      <c r="A86" s="441"/>
      <c r="B86" s="471" t="s">
        <v>874</v>
      </c>
      <c r="C86" s="573" t="s">
        <v>1328</v>
      </c>
      <c r="D86" s="603" t="s">
        <v>823</v>
      </c>
      <c r="E86" s="578">
        <v>0.25</v>
      </c>
      <c r="F86" s="576">
        <v>15</v>
      </c>
      <c r="G86" s="468">
        <v>2</v>
      </c>
      <c r="H86" s="475">
        <f t="shared" si="16"/>
        <v>0.13333333333333333</v>
      </c>
      <c r="I86" s="475">
        <f t="shared" si="17"/>
        <v>3.3333333333333333E-2</v>
      </c>
      <c r="J86" s="468">
        <v>0</v>
      </c>
      <c r="K86" s="475">
        <f t="shared" si="18"/>
        <v>0</v>
      </c>
      <c r="L86" s="475">
        <f t="shared" si="19"/>
        <v>0</v>
      </c>
      <c r="M86" s="475">
        <f t="shared" si="20"/>
        <v>0</v>
      </c>
      <c r="N86" s="577">
        <f t="shared" si="21"/>
        <v>0</v>
      </c>
      <c r="O86" s="604" t="s">
        <v>1865</v>
      </c>
      <c r="P86" s="563"/>
      <c r="Q86" s="564"/>
      <c r="R86" s="564"/>
      <c r="S86" s="564"/>
      <c r="T86" s="564"/>
      <c r="U86" s="437"/>
    </row>
    <row r="87" spans="1:21" ht="66.599999999999994" customHeight="1" thickBot="1" x14ac:dyDescent="0.35">
      <c r="A87" s="441"/>
      <c r="B87" s="471" t="s">
        <v>875</v>
      </c>
      <c r="C87" s="573" t="s">
        <v>1329</v>
      </c>
      <c r="D87" s="603" t="s">
        <v>876</v>
      </c>
      <c r="E87" s="578">
        <v>0.08</v>
      </c>
      <c r="F87" s="576">
        <v>1</v>
      </c>
      <c r="G87" s="468">
        <v>0</v>
      </c>
      <c r="H87" s="475"/>
      <c r="I87" s="475"/>
      <c r="J87" s="468"/>
      <c r="K87" s="475"/>
      <c r="L87" s="475"/>
      <c r="M87" s="475"/>
      <c r="N87" s="577">
        <v>0</v>
      </c>
      <c r="O87" s="604" t="s">
        <v>1865</v>
      </c>
      <c r="P87" s="563"/>
      <c r="Q87" s="564"/>
      <c r="R87" s="564"/>
      <c r="S87" s="564"/>
      <c r="T87" s="564"/>
      <c r="U87" s="437"/>
    </row>
    <row r="88" spans="1:21" ht="78.599999999999994" customHeight="1" thickBot="1" x14ac:dyDescent="0.35">
      <c r="A88" s="441"/>
      <c r="B88" s="471" t="s">
        <v>877</v>
      </c>
      <c r="C88" s="573" t="s">
        <v>1330</v>
      </c>
      <c r="D88" s="603" t="s">
        <v>878</v>
      </c>
      <c r="E88" s="578">
        <v>0.05</v>
      </c>
      <c r="F88" s="576">
        <v>1</v>
      </c>
      <c r="G88" s="468">
        <v>0</v>
      </c>
      <c r="H88" s="475"/>
      <c r="I88" s="475"/>
      <c r="J88" s="468"/>
      <c r="K88" s="475"/>
      <c r="L88" s="475"/>
      <c r="M88" s="475"/>
      <c r="N88" s="577">
        <v>0</v>
      </c>
      <c r="O88" s="604" t="s">
        <v>1865</v>
      </c>
      <c r="P88" s="563"/>
      <c r="Q88" s="564"/>
      <c r="R88" s="564"/>
      <c r="S88" s="564"/>
      <c r="T88" s="564"/>
      <c r="U88" s="437"/>
    </row>
    <row r="89" spans="1:21" ht="124.9" customHeight="1" thickBot="1" x14ac:dyDescent="0.35">
      <c r="A89" s="441"/>
      <c r="B89" s="471" t="s">
        <v>879</v>
      </c>
      <c r="C89" s="573" t="s">
        <v>1331</v>
      </c>
      <c r="D89" s="603" t="s">
        <v>880</v>
      </c>
      <c r="E89" s="578">
        <v>0.02</v>
      </c>
      <c r="F89" s="576">
        <v>1</v>
      </c>
      <c r="G89" s="468">
        <v>0</v>
      </c>
      <c r="H89" s="475"/>
      <c r="I89" s="475"/>
      <c r="J89" s="468"/>
      <c r="K89" s="475"/>
      <c r="L89" s="475"/>
      <c r="M89" s="475"/>
      <c r="N89" s="577">
        <v>0</v>
      </c>
      <c r="O89" s="604" t="s">
        <v>1865</v>
      </c>
      <c r="P89" s="563"/>
      <c r="Q89" s="564"/>
      <c r="R89" s="564"/>
      <c r="S89" s="564"/>
      <c r="T89" s="564"/>
      <c r="U89" s="437"/>
    </row>
    <row r="90" spans="1:21" ht="118.9" customHeight="1" thickBot="1" x14ac:dyDescent="0.35">
      <c r="A90" s="441"/>
      <c r="B90" s="489" t="s">
        <v>881</v>
      </c>
      <c r="C90" s="592" t="s">
        <v>1332</v>
      </c>
      <c r="D90" s="605" t="s">
        <v>882</v>
      </c>
      <c r="E90" s="594">
        <v>0.2</v>
      </c>
      <c r="F90" s="576">
        <v>8</v>
      </c>
      <c r="G90" s="468">
        <v>2</v>
      </c>
      <c r="H90" s="475">
        <f t="shared" si="16"/>
        <v>0.25</v>
      </c>
      <c r="I90" s="475">
        <f t="shared" si="17"/>
        <v>0.05</v>
      </c>
      <c r="J90" s="468">
        <v>1</v>
      </c>
      <c r="K90" s="475">
        <f t="shared" si="18"/>
        <v>0.5</v>
      </c>
      <c r="L90" s="475">
        <f t="shared" si="19"/>
        <v>0.1</v>
      </c>
      <c r="M90" s="475">
        <f t="shared" si="20"/>
        <v>0.125</v>
      </c>
      <c r="N90" s="577">
        <f t="shared" si="21"/>
        <v>2.5000000000000001E-2</v>
      </c>
      <c r="O90" s="585" t="s">
        <v>1553</v>
      </c>
      <c r="P90" s="563"/>
      <c r="Q90" s="564"/>
      <c r="R90" s="564"/>
      <c r="S90" s="564"/>
      <c r="T90" s="564"/>
      <c r="U90" s="437"/>
    </row>
    <row r="91" spans="1:21" ht="114.75" customHeight="1" thickBot="1" x14ac:dyDescent="0.35">
      <c r="A91" s="441"/>
      <c r="B91" s="715" t="s">
        <v>1746</v>
      </c>
      <c r="C91" s="726"/>
      <c r="D91" s="581"/>
      <c r="E91" s="582">
        <v>0.45</v>
      </c>
      <c r="F91" s="576"/>
      <c r="G91" s="461"/>
      <c r="H91" s="467">
        <f>+AVERAGE(H92:H94)</f>
        <v>0.25</v>
      </c>
      <c r="I91" s="467">
        <f>+I92+I93+I94</f>
        <v>0.125</v>
      </c>
      <c r="J91" s="466"/>
      <c r="K91" s="469">
        <f>+AVERAGE(K92:K94)</f>
        <v>0</v>
      </c>
      <c r="L91" s="469">
        <f>+(L92+L93+L94)*E91</f>
        <v>0</v>
      </c>
      <c r="M91" s="467">
        <f>+AVERAGE(M92:M94)</f>
        <v>0</v>
      </c>
      <c r="N91" s="571">
        <f>+(N92+N93+N94)*E91</f>
        <v>0</v>
      </c>
      <c r="O91" s="572"/>
      <c r="P91" s="563"/>
      <c r="Q91" s="564"/>
      <c r="R91" s="564"/>
      <c r="S91" s="564"/>
      <c r="T91" s="564"/>
      <c r="U91" s="437"/>
    </row>
    <row r="92" spans="1:21" ht="144.6" customHeight="1" thickBot="1" x14ac:dyDescent="0.35">
      <c r="A92" s="441"/>
      <c r="B92" s="471" t="s">
        <v>883</v>
      </c>
      <c r="C92" s="573" t="s">
        <v>1333</v>
      </c>
      <c r="D92" s="581" t="s">
        <v>884</v>
      </c>
      <c r="E92" s="578">
        <v>0.25</v>
      </c>
      <c r="F92" s="576">
        <v>4</v>
      </c>
      <c r="G92" s="468">
        <v>1</v>
      </c>
      <c r="H92" s="475">
        <f>+G92/F92</f>
        <v>0.25</v>
      </c>
      <c r="I92" s="475">
        <f>+(G92/F92)*E92</f>
        <v>6.25E-2</v>
      </c>
      <c r="J92" s="468">
        <v>0</v>
      </c>
      <c r="K92" s="475">
        <f>+(J92/G92)</f>
        <v>0</v>
      </c>
      <c r="L92" s="475">
        <f>+K92*E92</f>
        <v>0</v>
      </c>
      <c r="M92" s="475">
        <f>+J92/F92</f>
        <v>0</v>
      </c>
      <c r="N92" s="577">
        <f>+M92*E92</f>
        <v>0</v>
      </c>
      <c r="O92" s="604" t="s">
        <v>1866</v>
      </c>
      <c r="P92" s="563"/>
      <c r="Q92" s="564"/>
      <c r="R92" s="564"/>
      <c r="S92" s="564"/>
      <c r="T92" s="564"/>
      <c r="U92" s="437"/>
    </row>
    <row r="93" spans="1:21" ht="213.6" customHeight="1" thickBot="1" x14ac:dyDescent="0.35">
      <c r="A93" s="441"/>
      <c r="B93" s="471" t="s">
        <v>885</v>
      </c>
      <c r="C93" s="573" t="s">
        <v>1334</v>
      </c>
      <c r="D93" s="581" t="s">
        <v>1868</v>
      </c>
      <c r="E93" s="578">
        <v>0.5</v>
      </c>
      <c r="F93" s="576">
        <v>3</v>
      </c>
      <c r="G93" s="468">
        <v>0</v>
      </c>
      <c r="H93" s="475"/>
      <c r="I93" s="475"/>
      <c r="J93" s="468"/>
      <c r="K93" s="475"/>
      <c r="L93" s="475"/>
      <c r="M93" s="475"/>
      <c r="N93" s="577"/>
      <c r="O93" s="604" t="s">
        <v>1867</v>
      </c>
      <c r="P93" s="563"/>
      <c r="Q93" s="564"/>
      <c r="R93" s="564"/>
      <c r="S93" s="564"/>
      <c r="T93" s="564"/>
      <c r="U93" s="437"/>
    </row>
    <row r="94" spans="1:21" ht="147.6" customHeight="1" thickBot="1" x14ac:dyDescent="0.35">
      <c r="A94" s="441"/>
      <c r="B94" s="489" t="s">
        <v>886</v>
      </c>
      <c r="C94" s="592" t="s">
        <v>1335</v>
      </c>
      <c r="D94" s="606" t="s">
        <v>887</v>
      </c>
      <c r="E94" s="594">
        <v>0.25</v>
      </c>
      <c r="F94" s="576">
        <v>2</v>
      </c>
      <c r="G94" s="468">
        <v>0.5</v>
      </c>
      <c r="H94" s="475">
        <f>+G94/F94</f>
        <v>0.25</v>
      </c>
      <c r="I94" s="475">
        <f>+(G94/F94)*E94</f>
        <v>6.25E-2</v>
      </c>
      <c r="J94" s="468">
        <v>0</v>
      </c>
      <c r="K94" s="475">
        <f>+(J94/G94)</f>
        <v>0</v>
      </c>
      <c r="L94" s="475">
        <f>+K94*E94</f>
        <v>0</v>
      </c>
      <c r="M94" s="475">
        <f>+J94/F94</f>
        <v>0</v>
      </c>
      <c r="N94" s="577">
        <f>+M94*E94</f>
        <v>0</v>
      </c>
      <c r="O94" s="585" t="s">
        <v>1567</v>
      </c>
      <c r="P94" s="563"/>
      <c r="Q94" s="564"/>
      <c r="R94" s="564"/>
      <c r="S94" s="564"/>
      <c r="T94" s="564"/>
      <c r="U94" s="437"/>
    </row>
    <row r="95" spans="1:21" ht="28.15" customHeight="1" thickBot="1" x14ac:dyDescent="0.35">
      <c r="A95" s="441"/>
      <c r="B95" s="715" t="s">
        <v>1747</v>
      </c>
      <c r="C95" s="726"/>
      <c r="D95" s="581"/>
      <c r="E95" s="582">
        <v>0.1</v>
      </c>
      <c r="F95" s="576"/>
      <c r="G95" s="461"/>
      <c r="H95" s="467">
        <f>+AVERAGE(H96)</f>
        <v>0.25</v>
      </c>
      <c r="I95" s="467">
        <f>+I96</f>
        <v>0.25</v>
      </c>
      <c r="J95" s="466"/>
      <c r="K95" s="469">
        <f>+AVERAGE(K96)</f>
        <v>1</v>
      </c>
      <c r="L95" s="469">
        <f>+(L96)*E95</f>
        <v>0.1</v>
      </c>
      <c r="M95" s="467">
        <f>+AVERAGE(M96)</f>
        <v>0.375</v>
      </c>
      <c r="N95" s="571">
        <f>+(N96)*E95</f>
        <v>3.7500000000000006E-2</v>
      </c>
      <c r="O95" s="572"/>
      <c r="P95" s="563"/>
      <c r="Q95" s="564"/>
      <c r="R95" s="564"/>
      <c r="S95" s="564"/>
      <c r="T95" s="564"/>
      <c r="U95" s="437"/>
    </row>
    <row r="96" spans="1:21" ht="108" customHeight="1" thickBot="1" x14ac:dyDescent="0.35">
      <c r="A96" s="441"/>
      <c r="B96" s="471" t="s">
        <v>888</v>
      </c>
      <c r="C96" s="573" t="s">
        <v>1336</v>
      </c>
      <c r="D96" s="581" t="s">
        <v>889</v>
      </c>
      <c r="E96" s="578">
        <v>1</v>
      </c>
      <c r="F96" s="576">
        <v>16</v>
      </c>
      <c r="G96" s="468">
        <v>4</v>
      </c>
      <c r="H96" s="475">
        <f>+G96/F96</f>
        <v>0.25</v>
      </c>
      <c r="I96" s="475">
        <f>+(G96/F96)*E96</f>
        <v>0.25</v>
      </c>
      <c r="J96" s="468">
        <v>6</v>
      </c>
      <c r="K96" s="475">
        <v>1</v>
      </c>
      <c r="L96" s="475">
        <f>+K96*E96</f>
        <v>1</v>
      </c>
      <c r="M96" s="475">
        <f>+J96/F96</f>
        <v>0.375</v>
      </c>
      <c r="N96" s="577">
        <f>+M96*E96</f>
        <v>0.375</v>
      </c>
      <c r="O96" s="604" t="s">
        <v>1865</v>
      </c>
      <c r="P96" s="563"/>
      <c r="Q96" s="564"/>
      <c r="R96" s="564"/>
      <c r="S96" s="564"/>
      <c r="T96" s="564"/>
      <c r="U96" s="437"/>
    </row>
    <row r="97" spans="1:21" ht="124.5" customHeight="1" thickBot="1" x14ac:dyDescent="0.35">
      <c r="A97" s="441"/>
      <c r="B97" s="717" t="s">
        <v>1820</v>
      </c>
      <c r="C97" s="726"/>
      <c r="D97" s="581"/>
      <c r="E97" s="584">
        <v>0.2</v>
      </c>
      <c r="F97" s="456">
        <f>+E97*L97</f>
        <v>7.2980616242112467E-2</v>
      </c>
      <c r="G97" s="461"/>
      <c r="H97" s="459">
        <f>+(H98+H100+H105+H109+H121)/4</f>
        <v>0.32233213614481815</v>
      </c>
      <c r="I97" s="460">
        <f>+(I98+I100+I105+I109+I121)/4</f>
        <v>0.24677777425020778</v>
      </c>
      <c r="J97" s="461"/>
      <c r="K97" s="459">
        <f>+(K98+K100+K105+K109+K121)/4</f>
        <v>0.71155118289486519</v>
      </c>
      <c r="L97" s="460">
        <f>+L98+L100+L105+L109+L121</f>
        <v>0.36490308121056231</v>
      </c>
      <c r="M97" s="459">
        <f>(M98+M100+M105+M109+M121)/4</f>
        <v>0.28704669626851897</v>
      </c>
      <c r="N97" s="601">
        <f>+(N98+N100+N105+N109+N121)</f>
        <v>0.14970787104537839</v>
      </c>
      <c r="O97" s="569"/>
      <c r="P97" s="563"/>
      <c r="Q97" s="564"/>
      <c r="R97" s="564"/>
      <c r="S97" s="564"/>
      <c r="T97" s="564"/>
      <c r="U97" s="437"/>
    </row>
    <row r="98" spans="1:21" ht="42.75" customHeight="1" thickBot="1" x14ac:dyDescent="0.35">
      <c r="A98" s="441"/>
      <c r="B98" s="715" t="s">
        <v>890</v>
      </c>
      <c r="C98" s="726"/>
      <c r="D98" s="581"/>
      <c r="E98" s="582">
        <v>0.3</v>
      </c>
      <c r="F98" s="576"/>
      <c r="G98" s="461"/>
      <c r="H98" s="467"/>
      <c r="I98" s="467"/>
      <c r="J98" s="466"/>
      <c r="K98" s="469"/>
      <c r="L98" s="469"/>
      <c r="M98" s="467"/>
      <c r="N98" s="571"/>
      <c r="O98" s="572"/>
      <c r="P98" s="563"/>
      <c r="Q98" s="564"/>
      <c r="R98" s="564"/>
      <c r="S98" s="564"/>
      <c r="T98" s="564"/>
      <c r="U98" s="437"/>
    </row>
    <row r="99" spans="1:21" ht="54.75" customHeight="1" thickBot="1" x14ac:dyDescent="0.35">
      <c r="A99" s="441"/>
      <c r="B99" s="480" t="s">
        <v>891</v>
      </c>
      <c r="C99" s="586" t="s">
        <v>1337</v>
      </c>
      <c r="D99" s="574" t="s">
        <v>830</v>
      </c>
      <c r="E99" s="578">
        <v>1</v>
      </c>
      <c r="F99" s="576">
        <v>10</v>
      </c>
      <c r="G99" s="468">
        <v>0</v>
      </c>
      <c r="H99" s="475"/>
      <c r="I99" s="475"/>
      <c r="J99" s="468"/>
      <c r="K99" s="475"/>
      <c r="L99" s="475"/>
      <c r="M99" s="475"/>
      <c r="N99" s="577"/>
      <c r="O99" s="607" t="s">
        <v>1880</v>
      </c>
      <c r="P99" s="563"/>
      <c r="Q99" s="564"/>
      <c r="R99" s="564"/>
      <c r="S99" s="564"/>
      <c r="T99" s="564"/>
      <c r="U99" s="437"/>
    </row>
    <row r="100" spans="1:21" ht="100.5" customHeight="1" thickBot="1" x14ac:dyDescent="0.35">
      <c r="A100" s="441"/>
      <c r="B100" s="715" t="s">
        <v>892</v>
      </c>
      <c r="C100" s="726"/>
      <c r="D100" s="581"/>
      <c r="E100" s="582">
        <v>0.2</v>
      </c>
      <c r="F100" s="576"/>
      <c r="G100" s="461"/>
      <c r="H100" s="467">
        <f>+AVERAGE(H101:H104)</f>
        <v>0.1875</v>
      </c>
      <c r="I100" s="467">
        <f>+I101+I102+I103+I104</f>
        <v>0.2</v>
      </c>
      <c r="J100" s="466"/>
      <c r="K100" s="469">
        <f>+AVERAGE(K101:K104)</f>
        <v>1</v>
      </c>
      <c r="L100" s="469">
        <f>+(L101+L102+L103+L104)*E100</f>
        <v>0.16000000000000003</v>
      </c>
      <c r="M100" s="467">
        <f>+AVERAGE(M101:M104)</f>
        <v>0.25510535714285715</v>
      </c>
      <c r="N100" s="571">
        <f>+(N101+N102+N103+N104)*E100</f>
        <v>5.427928571428571E-2</v>
      </c>
      <c r="O100" s="572"/>
      <c r="P100" s="563"/>
      <c r="Q100" s="564"/>
      <c r="R100" s="564"/>
      <c r="S100" s="564"/>
      <c r="T100" s="564"/>
      <c r="U100" s="437"/>
    </row>
    <row r="101" spans="1:21" ht="69.599999999999994" customHeight="1" thickBot="1" x14ac:dyDescent="0.35">
      <c r="A101" s="441"/>
      <c r="B101" s="471" t="s">
        <v>893</v>
      </c>
      <c r="C101" s="573" t="s">
        <v>1338</v>
      </c>
      <c r="D101" s="574" t="s">
        <v>830</v>
      </c>
      <c r="E101" s="578">
        <v>0.3</v>
      </c>
      <c r="F101" s="576">
        <v>60</v>
      </c>
      <c r="G101" s="468">
        <v>15</v>
      </c>
      <c r="H101" s="475">
        <f>+G101/F101</f>
        <v>0.25</v>
      </c>
      <c r="I101" s="475">
        <f>+(G101/F101)*E101</f>
        <v>7.4999999999999997E-2</v>
      </c>
      <c r="J101" s="468">
        <v>17.672999999999998</v>
      </c>
      <c r="K101" s="475">
        <v>1</v>
      </c>
      <c r="L101" s="475">
        <f>+K101*E101</f>
        <v>0.3</v>
      </c>
      <c r="M101" s="475">
        <f>+J101/F101</f>
        <v>0.29454999999999998</v>
      </c>
      <c r="N101" s="577">
        <f>+M101*E101</f>
        <v>8.8364999999999985E-2</v>
      </c>
      <c r="O101" s="604" t="s">
        <v>1865</v>
      </c>
      <c r="P101" s="563"/>
      <c r="Q101" s="564"/>
      <c r="R101" s="564"/>
      <c r="S101" s="564"/>
      <c r="T101" s="564"/>
      <c r="U101" s="437"/>
    </row>
    <row r="102" spans="1:21" ht="68.45" customHeight="1" thickBot="1" x14ac:dyDescent="0.35">
      <c r="A102" s="441"/>
      <c r="B102" s="471" t="s">
        <v>894</v>
      </c>
      <c r="C102" s="573" t="s">
        <v>1339</v>
      </c>
      <c r="D102" s="574" t="s">
        <v>830</v>
      </c>
      <c r="E102" s="578">
        <v>0.2</v>
      </c>
      <c r="F102" s="576">
        <v>4</v>
      </c>
      <c r="G102" s="468">
        <v>1</v>
      </c>
      <c r="H102" s="475">
        <f>+G102/F102</f>
        <v>0.25</v>
      </c>
      <c r="I102" s="475">
        <f>+(G102/F102)*E102</f>
        <v>0.05</v>
      </c>
      <c r="J102" s="468">
        <v>1.3892</v>
      </c>
      <c r="K102" s="475">
        <v>1</v>
      </c>
      <c r="L102" s="475">
        <f>+K102*E102</f>
        <v>0.2</v>
      </c>
      <c r="M102" s="475">
        <f>+J102/F102</f>
        <v>0.3473</v>
      </c>
      <c r="N102" s="577">
        <f>+M102*E102</f>
        <v>6.9460000000000008E-2</v>
      </c>
      <c r="O102" s="604" t="s">
        <v>1865</v>
      </c>
      <c r="P102" s="563"/>
      <c r="Q102" s="564"/>
      <c r="R102" s="564"/>
      <c r="S102" s="564"/>
      <c r="T102" s="564"/>
      <c r="U102" s="437"/>
    </row>
    <row r="103" spans="1:21" ht="64.900000000000006" customHeight="1" thickBot="1" x14ac:dyDescent="0.35">
      <c r="A103" s="441"/>
      <c r="B103" s="471" t="s">
        <v>895</v>
      </c>
      <c r="C103" s="573" t="s">
        <v>1340</v>
      </c>
      <c r="D103" s="574" t="s">
        <v>830</v>
      </c>
      <c r="E103" s="578">
        <v>0.2</v>
      </c>
      <c r="F103" s="576">
        <v>3</v>
      </c>
      <c r="G103" s="468">
        <v>0</v>
      </c>
      <c r="H103" s="475">
        <v>0</v>
      </c>
      <c r="I103" s="475"/>
      <c r="J103" s="468"/>
      <c r="K103" s="475"/>
      <c r="L103" s="475">
        <v>0</v>
      </c>
      <c r="M103" s="475">
        <v>0</v>
      </c>
      <c r="N103" s="577">
        <v>0</v>
      </c>
      <c r="O103" s="604" t="s">
        <v>1865</v>
      </c>
      <c r="P103" s="563"/>
      <c r="Q103" s="564"/>
      <c r="R103" s="564"/>
      <c r="S103" s="564"/>
      <c r="T103" s="564"/>
      <c r="U103" s="437"/>
    </row>
    <row r="104" spans="1:21" ht="82.9" customHeight="1" thickBot="1" x14ac:dyDescent="0.35">
      <c r="A104" s="441"/>
      <c r="B104" s="471" t="s">
        <v>896</v>
      </c>
      <c r="C104" s="573" t="s">
        <v>1341</v>
      </c>
      <c r="D104" s="574" t="s">
        <v>830</v>
      </c>
      <c r="E104" s="578">
        <v>0.3</v>
      </c>
      <c r="F104" s="576">
        <v>7</v>
      </c>
      <c r="G104" s="468">
        <v>1.75</v>
      </c>
      <c r="H104" s="475">
        <f>+G104/F104</f>
        <v>0.25</v>
      </c>
      <c r="I104" s="475">
        <f>+(G104/F104)*E104</f>
        <v>7.4999999999999997E-2</v>
      </c>
      <c r="J104" s="468">
        <v>2.65</v>
      </c>
      <c r="K104" s="475">
        <v>1</v>
      </c>
      <c r="L104" s="475">
        <f>+K104*E104</f>
        <v>0.3</v>
      </c>
      <c r="M104" s="475">
        <f>+J104/F104</f>
        <v>0.37857142857142856</v>
      </c>
      <c r="N104" s="577">
        <f>+M104*E104</f>
        <v>0.11357142857142856</v>
      </c>
      <c r="O104" s="604" t="s">
        <v>1865</v>
      </c>
      <c r="P104" s="563"/>
      <c r="Q104" s="564"/>
      <c r="R104" s="564"/>
      <c r="S104" s="564"/>
      <c r="T104" s="564"/>
      <c r="U104" s="437"/>
    </row>
    <row r="105" spans="1:21" ht="86.25" customHeight="1" thickBot="1" x14ac:dyDescent="0.35">
      <c r="A105" s="441"/>
      <c r="B105" s="715" t="s">
        <v>1821</v>
      </c>
      <c r="C105" s="726"/>
      <c r="D105" s="581"/>
      <c r="E105" s="582">
        <v>0.15</v>
      </c>
      <c r="F105" s="576"/>
      <c r="G105" s="461"/>
      <c r="H105" s="467">
        <f>+AVERAGE(H106:H108)</f>
        <v>0.25</v>
      </c>
      <c r="I105" s="467">
        <f>+I106+I107+I108</f>
        <v>0.25</v>
      </c>
      <c r="J105" s="466"/>
      <c r="K105" s="469">
        <f>+AVERAGE(K106:K108)</f>
        <v>0</v>
      </c>
      <c r="L105" s="469">
        <f>+(L106+L107+L108)*E105</f>
        <v>0</v>
      </c>
      <c r="M105" s="467">
        <f>+AVERAGE(M106:M108)</f>
        <v>0</v>
      </c>
      <c r="N105" s="571">
        <f>+(N106+N107+N108)*E105</f>
        <v>0</v>
      </c>
      <c r="O105" s="572"/>
      <c r="P105" s="563"/>
      <c r="Q105" s="564"/>
      <c r="R105" s="564"/>
      <c r="S105" s="564"/>
      <c r="T105" s="564"/>
      <c r="U105" s="437"/>
    </row>
    <row r="106" spans="1:21" ht="88.9" customHeight="1" thickBot="1" x14ac:dyDescent="0.35">
      <c r="A106" s="441"/>
      <c r="B106" s="471" t="s">
        <v>897</v>
      </c>
      <c r="C106" s="573" t="s">
        <v>1342</v>
      </c>
      <c r="D106" s="581" t="s">
        <v>868</v>
      </c>
      <c r="E106" s="578">
        <v>0.3</v>
      </c>
      <c r="F106" s="576">
        <v>2</v>
      </c>
      <c r="G106" s="608">
        <v>0.5</v>
      </c>
      <c r="H106" s="475">
        <f>+G106/F106</f>
        <v>0.25</v>
      </c>
      <c r="I106" s="475">
        <f>+(G106/F106)*E106</f>
        <v>7.4999999999999997E-2</v>
      </c>
      <c r="J106" s="468">
        <v>0</v>
      </c>
      <c r="K106" s="475">
        <f>+(J106/G106)</f>
        <v>0</v>
      </c>
      <c r="L106" s="475">
        <f>+K106*E106</f>
        <v>0</v>
      </c>
      <c r="M106" s="475">
        <f>+J106/F106</f>
        <v>0</v>
      </c>
      <c r="N106" s="577">
        <f>+M106*E106</f>
        <v>0</v>
      </c>
      <c r="O106" s="604" t="s">
        <v>1865</v>
      </c>
      <c r="P106" s="563"/>
      <c r="Q106" s="564"/>
      <c r="R106" s="564"/>
      <c r="S106" s="564"/>
      <c r="T106" s="564"/>
      <c r="U106" s="437"/>
    </row>
    <row r="107" spans="1:21" ht="54" customHeight="1" thickBot="1" x14ac:dyDescent="0.35">
      <c r="A107" s="441"/>
      <c r="B107" s="471" t="s">
        <v>898</v>
      </c>
      <c r="C107" s="573" t="s">
        <v>1343</v>
      </c>
      <c r="D107" s="581" t="s">
        <v>868</v>
      </c>
      <c r="E107" s="578">
        <v>0.45</v>
      </c>
      <c r="F107" s="576">
        <v>10</v>
      </c>
      <c r="G107" s="608">
        <v>2.5</v>
      </c>
      <c r="H107" s="475">
        <f>+G107/F107</f>
        <v>0.25</v>
      </c>
      <c r="I107" s="475">
        <f>+(G107/F107)*E107</f>
        <v>0.1125</v>
      </c>
      <c r="J107" s="468">
        <v>0</v>
      </c>
      <c r="K107" s="475">
        <f>+(J107/G107)</f>
        <v>0</v>
      </c>
      <c r="L107" s="475">
        <f>+K107*E107</f>
        <v>0</v>
      </c>
      <c r="M107" s="475">
        <f>+J107/F107</f>
        <v>0</v>
      </c>
      <c r="N107" s="577">
        <f>+M107*E107</f>
        <v>0</v>
      </c>
      <c r="O107" s="604" t="s">
        <v>1865</v>
      </c>
      <c r="P107" s="563"/>
      <c r="Q107" s="564"/>
      <c r="R107" s="564"/>
      <c r="S107" s="564"/>
      <c r="T107" s="564"/>
      <c r="U107" s="437"/>
    </row>
    <row r="108" spans="1:21" ht="79.150000000000006" customHeight="1" thickBot="1" x14ac:dyDescent="0.35">
      <c r="A108" s="441"/>
      <c r="B108" s="471" t="s">
        <v>899</v>
      </c>
      <c r="C108" s="573" t="s">
        <v>1344</v>
      </c>
      <c r="D108" s="581" t="s">
        <v>868</v>
      </c>
      <c r="E108" s="578">
        <v>0.25</v>
      </c>
      <c r="F108" s="576">
        <v>10000</v>
      </c>
      <c r="G108" s="608">
        <v>2500</v>
      </c>
      <c r="H108" s="475">
        <f>+G108/F108</f>
        <v>0.25</v>
      </c>
      <c r="I108" s="475">
        <f>+(G108/F108)*E108</f>
        <v>6.25E-2</v>
      </c>
      <c r="J108" s="468">
        <v>0</v>
      </c>
      <c r="K108" s="475">
        <f>+(J108/G108)</f>
        <v>0</v>
      </c>
      <c r="L108" s="475">
        <f>+K108*E108</f>
        <v>0</v>
      </c>
      <c r="M108" s="475">
        <f>+J108/F108</f>
        <v>0</v>
      </c>
      <c r="N108" s="577">
        <f>+M108*E108</f>
        <v>0</v>
      </c>
      <c r="O108" s="604" t="s">
        <v>1865</v>
      </c>
      <c r="P108" s="563"/>
      <c r="Q108" s="564"/>
      <c r="R108" s="564"/>
      <c r="S108" s="564"/>
      <c r="T108" s="564"/>
      <c r="U108" s="437"/>
    </row>
    <row r="109" spans="1:21" ht="57" customHeight="1" thickBot="1" x14ac:dyDescent="0.35">
      <c r="A109" s="441"/>
      <c r="B109" s="715" t="s">
        <v>1751</v>
      </c>
      <c r="C109" s="726"/>
      <c r="D109" s="581"/>
      <c r="E109" s="582">
        <v>0.15</v>
      </c>
      <c r="F109" s="576"/>
      <c r="G109" s="461"/>
      <c r="H109" s="467">
        <f>+AVERAGE(H110:H120)</f>
        <v>0.30482468088463477</v>
      </c>
      <c r="I109" s="467">
        <f>+I110+I111+I112+I113+I114+I115+I116+I117+I118+I119+I120</f>
        <v>0.23385974470770779</v>
      </c>
      <c r="J109" s="466"/>
      <c r="K109" s="469">
        <f>+AVERAGE(K110:K120)</f>
        <v>0.87337500000000001</v>
      </c>
      <c r="L109" s="469">
        <f>+(L110+L111+L112+L113+L114+L115+L116+L117+L118+L119+L120)*E109</f>
        <v>0.104805</v>
      </c>
      <c r="M109" s="467">
        <f>+AVERAGE(M110:M120)</f>
        <v>0.296857707518147</v>
      </c>
      <c r="N109" s="571">
        <f>+(N110+N111+N112+N113+N114+N115+N116+N117+N118+N119+N120)*E109</f>
        <v>3.3372924902177636E-2</v>
      </c>
      <c r="O109" s="572"/>
      <c r="P109" s="563"/>
      <c r="Q109" s="564"/>
      <c r="R109" s="564"/>
      <c r="S109" s="564"/>
      <c r="T109" s="564"/>
      <c r="U109" s="437"/>
    </row>
    <row r="110" spans="1:21" ht="65.45" customHeight="1" thickBot="1" x14ac:dyDescent="0.35">
      <c r="A110" s="441"/>
      <c r="B110" s="471" t="s">
        <v>900</v>
      </c>
      <c r="C110" s="573" t="s">
        <v>1345</v>
      </c>
      <c r="D110" s="581" t="s">
        <v>52</v>
      </c>
      <c r="E110" s="578">
        <v>0.1</v>
      </c>
      <c r="F110" s="576">
        <v>2289</v>
      </c>
      <c r="G110" s="468">
        <v>570</v>
      </c>
      <c r="H110" s="475">
        <f t="shared" ref="H110:H120" si="22">+G110/F110</f>
        <v>0.24901703800786371</v>
      </c>
      <c r="I110" s="475">
        <f t="shared" ref="I110:I120" si="23">+(G110/F110)*E110</f>
        <v>2.4901703800786372E-2</v>
      </c>
      <c r="J110" s="468">
        <v>647</v>
      </c>
      <c r="K110" s="475">
        <v>1</v>
      </c>
      <c r="L110" s="475">
        <f t="shared" ref="L110:L120" si="24">+K110*E110</f>
        <v>0.1</v>
      </c>
      <c r="M110" s="475">
        <f t="shared" ref="M110:M120" si="25">+J110/F110</f>
        <v>0.28265618173875057</v>
      </c>
      <c r="N110" s="580">
        <f>+M110*E110</f>
        <v>2.8265618173875059E-2</v>
      </c>
      <c r="O110" s="604" t="s">
        <v>1865</v>
      </c>
      <c r="P110" s="563"/>
      <c r="Q110" s="564"/>
      <c r="R110" s="564"/>
      <c r="S110" s="564"/>
      <c r="T110" s="564"/>
      <c r="U110" s="437"/>
    </row>
    <row r="111" spans="1:21" ht="69" customHeight="1" thickBot="1" x14ac:dyDescent="0.35">
      <c r="A111" s="441"/>
      <c r="B111" s="471" t="s">
        <v>901</v>
      </c>
      <c r="C111" s="573" t="s">
        <v>1543</v>
      </c>
      <c r="D111" s="581" t="s">
        <v>52</v>
      </c>
      <c r="E111" s="578">
        <v>0.1</v>
      </c>
      <c r="F111" s="576">
        <v>190.58</v>
      </c>
      <c r="G111" s="468">
        <v>30</v>
      </c>
      <c r="H111" s="475">
        <f t="shared" si="22"/>
        <v>0.15741420925595551</v>
      </c>
      <c r="I111" s="475">
        <f t="shared" si="23"/>
        <v>1.5741420925595551E-2</v>
      </c>
      <c r="J111" s="468">
        <v>19.61</v>
      </c>
      <c r="K111" s="475">
        <f>+(J111/G111)</f>
        <v>0.65366666666666662</v>
      </c>
      <c r="L111" s="475">
        <f t="shared" si="24"/>
        <v>6.536666666666667E-2</v>
      </c>
      <c r="M111" s="475">
        <f t="shared" si="25"/>
        <v>0.10289642145030957</v>
      </c>
      <c r="N111" s="580">
        <f t="shared" ref="N111:N120" si="26">+M111*E111</f>
        <v>1.0289642145030958E-2</v>
      </c>
      <c r="O111" s="604" t="s">
        <v>1865</v>
      </c>
      <c r="P111" s="563"/>
      <c r="Q111" s="564"/>
      <c r="R111" s="564"/>
      <c r="S111" s="564"/>
      <c r="T111" s="564"/>
      <c r="U111" s="437"/>
    </row>
    <row r="112" spans="1:21" ht="81.599999999999994" customHeight="1" thickBot="1" x14ac:dyDescent="0.35">
      <c r="A112" s="441"/>
      <c r="B112" s="480" t="s">
        <v>902</v>
      </c>
      <c r="C112" s="586" t="s">
        <v>1346</v>
      </c>
      <c r="D112" s="581" t="s">
        <v>1549</v>
      </c>
      <c r="E112" s="578">
        <v>0.05</v>
      </c>
      <c r="F112" s="576">
        <v>20</v>
      </c>
      <c r="G112" s="468">
        <v>0</v>
      </c>
      <c r="H112" s="475"/>
      <c r="I112" s="475"/>
      <c r="J112" s="468"/>
      <c r="K112" s="475"/>
      <c r="L112" s="475"/>
      <c r="M112" s="475"/>
      <c r="N112" s="580">
        <v>0</v>
      </c>
      <c r="O112" s="604" t="s">
        <v>1869</v>
      </c>
      <c r="P112" s="563"/>
      <c r="Q112" s="564"/>
      <c r="R112" s="564"/>
      <c r="S112" s="564"/>
      <c r="T112" s="564"/>
      <c r="U112" s="437"/>
    </row>
    <row r="113" spans="1:21" ht="40.15" customHeight="1" thickBot="1" x14ac:dyDescent="0.35">
      <c r="A113" s="441"/>
      <c r="B113" s="471" t="s">
        <v>903</v>
      </c>
      <c r="C113" s="573" t="s">
        <v>1347</v>
      </c>
      <c r="D113" s="581" t="s">
        <v>52</v>
      </c>
      <c r="E113" s="578">
        <v>0.2</v>
      </c>
      <c r="F113" s="576">
        <v>1</v>
      </c>
      <c r="G113" s="468">
        <v>0.25</v>
      </c>
      <c r="H113" s="475">
        <f t="shared" si="22"/>
        <v>0.25</v>
      </c>
      <c r="I113" s="475">
        <f t="shared" si="23"/>
        <v>0.05</v>
      </c>
      <c r="J113" s="468">
        <v>0.25</v>
      </c>
      <c r="K113" s="475">
        <f t="shared" ref="K113:K118" si="27">+(J113/G113)</f>
        <v>1</v>
      </c>
      <c r="L113" s="475">
        <f t="shared" si="24"/>
        <v>0.2</v>
      </c>
      <c r="M113" s="475">
        <f t="shared" si="25"/>
        <v>0.25</v>
      </c>
      <c r="N113" s="580">
        <f t="shared" si="26"/>
        <v>0.05</v>
      </c>
      <c r="O113" s="604" t="s">
        <v>1865</v>
      </c>
      <c r="P113" s="563"/>
      <c r="Q113" s="564"/>
      <c r="R113" s="564"/>
      <c r="S113" s="564"/>
      <c r="T113" s="564"/>
      <c r="U113" s="437"/>
    </row>
    <row r="114" spans="1:21" ht="58.15" customHeight="1" thickBot="1" x14ac:dyDescent="0.35">
      <c r="A114" s="441"/>
      <c r="B114" s="471" t="s">
        <v>904</v>
      </c>
      <c r="C114" s="573" t="s">
        <v>1348</v>
      </c>
      <c r="D114" s="581" t="s">
        <v>52</v>
      </c>
      <c r="E114" s="578">
        <v>0.1</v>
      </c>
      <c r="F114" s="576">
        <v>14</v>
      </c>
      <c r="G114" s="468">
        <v>3</v>
      </c>
      <c r="H114" s="475">
        <f t="shared" si="22"/>
        <v>0.21428571428571427</v>
      </c>
      <c r="I114" s="475">
        <f t="shared" si="23"/>
        <v>2.1428571428571429E-2</v>
      </c>
      <c r="J114" s="468">
        <v>1</v>
      </c>
      <c r="K114" s="475">
        <f t="shared" si="27"/>
        <v>0.33333333333333331</v>
      </c>
      <c r="L114" s="475">
        <f t="shared" si="24"/>
        <v>3.3333333333333333E-2</v>
      </c>
      <c r="M114" s="475">
        <f t="shared" si="25"/>
        <v>7.1428571428571425E-2</v>
      </c>
      <c r="N114" s="580">
        <f t="shared" si="26"/>
        <v>7.1428571428571426E-3</v>
      </c>
      <c r="O114" s="604" t="s">
        <v>1865</v>
      </c>
      <c r="P114" s="563"/>
      <c r="Q114" s="564"/>
      <c r="R114" s="564"/>
      <c r="S114" s="564"/>
      <c r="T114" s="564"/>
      <c r="U114" s="437"/>
    </row>
    <row r="115" spans="1:21" ht="54" customHeight="1" thickBot="1" x14ac:dyDescent="0.35">
      <c r="A115" s="441"/>
      <c r="B115" s="471" t="s">
        <v>905</v>
      </c>
      <c r="C115" s="573" t="s">
        <v>1349</v>
      </c>
      <c r="D115" s="581" t="s">
        <v>52</v>
      </c>
      <c r="E115" s="578">
        <v>0.05</v>
      </c>
      <c r="F115" s="576">
        <v>10</v>
      </c>
      <c r="G115" s="468">
        <v>2</v>
      </c>
      <c r="H115" s="475">
        <f t="shared" si="22"/>
        <v>0.2</v>
      </c>
      <c r="I115" s="475">
        <f t="shared" si="23"/>
        <v>1.0000000000000002E-2</v>
      </c>
      <c r="J115" s="468">
        <v>3</v>
      </c>
      <c r="K115" s="475">
        <v>1</v>
      </c>
      <c r="L115" s="475">
        <f t="shared" si="24"/>
        <v>0.05</v>
      </c>
      <c r="M115" s="475">
        <f t="shared" si="25"/>
        <v>0.3</v>
      </c>
      <c r="N115" s="580">
        <f>+M115*E115</f>
        <v>1.4999999999999999E-2</v>
      </c>
      <c r="O115" s="604" t="s">
        <v>1865</v>
      </c>
      <c r="P115" s="563"/>
      <c r="Q115" s="564"/>
      <c r="R115" s="564"/>
      <c r="S115" s="564"/>
      <c r="T115" s="564"/>
      <c r="U115" s="437"/>
    </row>
    <row r="116" spans="1:21" ht="64.900000000000006" customHeight="1" thickBot="1" x14ac:dyDescent="0.35">
      <c r="A116" s="441"/>
      <c r="B116" s="471" t="s">
        <v>906</v>
      </c>
      <c r="C116" s="573" t="s">
        <v>1350</v>
      </c>
      <c r="D116" s="581" t="s">
        <v>52</v>
      </c>
      <c r="E116" s="578">
        <v>0.1</v>
      </c>
      <c r="F116" s="576">
        <v>18</v>
      </c>
      <c r="G116" s="468">
        <v>7</v>
      </c>
      <c r="H116" s="475">
        <f>+G116/F116</f>
        <v>0.3888888888888889</v>
      </c>
      <c r="I116" s="475">
        <f t="shared" si="23"/>
        <v>3.888888888888889E-2</v>
      </c>
      <c r="J116" s="468">
        <v>7</v>
      </c>
      <c r="K116" s="475">
        <f t="shared" si="27"/>
        <v>1</v>
      </c>
      <c r="L116" s="475">
        <f t="shared" si="24"/>
        <v>0.1</v>
      </c>
      <c r="M116" s="475">
        <f t="shared" si="25"/>
        <v>0.3888888888888889</v>
      </c>
      <c r="N116" s="580">
        <f t="shared" si="26"/>
        <v>3.888888888888889E-2</v>
      </c>
      <c r="O116" s="604" t="s">
        <v>1865</v>
      </c>
      <c r="P116" s="563"/>
      <c r="Q116" s="564"/>
      <c r="R116" s="564"/>
      <c r="S116" s="564"/>
      <c r="T116" s="564"/>
      <c r="U116" s="437"/>
    </row>
    <row r="117" spans="1:21" ht="104.45" customHeight="1" thickBot="1" x14ac:dyDescent="0.35">
      <c r="A117" s="441"/>
      <c r="B117" s="471" t="s">
        <v>907</v>
      </c>
      <c r="C117" s="573" t="s">
        <v>1351</v>
      </c>
      <c r="D117" s="581" t="s">
        <v>1549</v>
      </c>
      <c r="E117" s="578">
        <v>0.05</v>
      </c>
      <c r="F117" s="576">
        <v>20</v>
      </c>
      <c r="G117" s="468">
        <v>0</v>
      </c>
      <c r="H117" s="475"/>
      <c r="I117" s="475"/>
      <c r="J117" s="468"/>
      <c r="K117" s="475"/>
      <c r="L117" s="475"/>
      <c r="M117" s="475"/>
      <c r="N117" s="580">
        <v>0</v>
      </c>
      <c r="O117" s="604" t="s">
        <v>1870</v>
      </c>
      <c r="P117" s="563"/>
      <c r="Q117" s="564"/>
      <c r="R117" s="564"/>
      <c r="S117" s="564"/>
      <c r="T117" s="564"/>
      <c r="U117" s="437"/>
    </row>
    <row r="118" spans="1:21" ht="67.150000000000006" customHeight="1" thickBot="1" x14ac:dyDescent="0.35">
      <c r="A118" s="441"/>
      <c r="B118" s="471" t="s">
        <v>908</v>
      </c>
      <c r="C118" s="573" t="s">
        <v>1352</v>
      </c>
      <c r="D118" s="581" t="s">
        <v>52</v>
      </c>
      <c r="E118" s="578">
        <v>0.1</v>
      </c>
      <c r="F118" s="576">
        <v>119</v>
      </c>
      <c r="G118" s="468">
        <v>57</v>
      </c>
      <c r="H118" s="475">
        <f t="shared" si="22"/>
        <v>0.47899159663865548</v>
      </c>
      <c r="I118" s="475">
        <f t="shared" si="23"/>
        <v>4.789915966386555E-2</v>
      </c>
      <c r="J118" s="468">
        <v>57</v>
      </c>
      <c r="K118" s="475">
        <f t="shared" si="27"/>
        <v>1</v>
      </c>
      <c r="L118" s="475">
        <f t="shared" si="24"/>
        <v>0.1</v>
      </c>
      <c r="M118" s="475">
        <f t="shared" si="25"/>
        <v>0.47899159663865548</v>
      </c>
      <c r="N118" s="580">
        <f t="shared" si="26"/>
        <v>4.789915966386555E-2</v>
      </c>
      <c r="O118" s="604" t="s">
        <v>1865</v>
      </c>
      <c r="P118" s="563"/>
      <c r="Q118" s="564"/>
      <c r="R118" s="564"/>
      <c r="S118" s="564"/>
      <c r="T118" s="564"/>
      <c r="U118" s="437"/>
    </row>
    <row r="119" spans="1:21" ht="69" customHeight="1" thickBot="1" x14ac:dyDescent="0.35">
      <c r="A119" s="441"/>
      <c r="B119" s="471" t="s">
        <v>909</v>
      </c>
      <c r="C119" s="573" t="s">
        <v>1353</v>
      </c>
      <c r="D119" s="581" t="s">
        <v>52</v>
      </c>
      <c r="E119" s="578">
        <v>0.1</v>
      </c>
      <c r="F119" s="576">
        <v>60</v>
      </c>
      <c r="G119" s="468">
        <v>0</v>
      </c>
      <c r="H119" s="475"/>
      <c r="I119" s="475"/>
      <c r="J119" s="468"/>
      <c r="K119" s="475"/>
      <c r="L119" s="475"/>
      <c r="M119" s="475"/>
      <c r="N119" s="580">
        <f t="shared" si="26"/>
        <v>0</v>
      </c>
      <c r="O119" s="604" t="s">
        <v>1871</v>
      </c>
      <c r="P119" s="563"/>
      <c r="Q119" s="564"/>
      <c r="R119" s="564"/>
      <c r="S119" s="564"/>
      <c r="T119" s="564"/>
      <c r="U119" s="437"/>
    </row>
    <row r="120" spans="1:21" ht="73.150000000000006" customHeight="1" thickBot="1" x14ac:dyDescent="0.35">
      <c r="A120" s="441"/>
      <c r="B120" s="471" t="s">
        <v>910</v>
      </c>
      <c r="C120" s="573" t="s">
        <v>1354</v>
      </c>
      <c r="D120" s="581" t="s">
        <v>52</v>
      </c>
      <c r="E120" s="578">
        <v>0.05</v>
      </c>
      <c r="F120" s="576">
        <v>1</v>
      </c>
      <c r="G120" s="468">
        <v>0.5</v>
      </c>
      <c r="H120" s="475">
        <f t="shared" si="22"/>
        <v>0.5</v>
      </c>
      <c r="I120" s="475">
        <f t="shared" si="23"/>
        <v>2.5000000000000001E-2</v>
      </c>
      <c r="J120" s="468">
        <v>0.5</v>
      </c>
      <c r="K120" s="475">
        <f>+(J120/G120)</f>
        <v>1</v>
      </c>
      <c r="L120" s="475">
        <f t="shared" si="24"/>
        <v>0.05</v>
      </c>
      <c r="M120" s="475">
        <f t="shared" si="25"/>
        <v>0.5</v>
      </c>
      <c r="N120" s="580">
        <f t="shared" si="26"/>
        <v>2.5000000000000001E-2</v>
      </c>
      <c r="O120" s="604" t="s">
        <v>1865</v>
      </c>
      <c r="P120" s="563"/>
      <c r="Q120" s="564"/>
      <c r="R120" s="564"/>
      <c r="S120" s="564"/>
      <c r="T120" s="564"/>
      <c r="U120" s="437"/>
    </row>
    <row r="121" spans="1:21" ht="57" customHeight="1" thickBot="1" x14ac:dyDescent="0.35">
      <c r="A121" s="441"/>
      <c r="B121" s="715" t="s">
        <v>1752</v>
      </c>
      <c r="C121" s="726"/>
      <c r="D121" s="581"/>
      <c r="E121" s="582">
        <v>0.2</v>
      </c>
      <c r="F121" s="576"/>
      <c r="G121" s="461"/>
      <c r="H121" s="467">
        <f>+AVERAGE(H122:H134)</f>
        <v>0.54700386369463794</v>
      </c>
      <c r="I121" s="467">
        <f>+I122+I123+I124+I125+I126+I127+I128+I129+I130+I131+I132+I133+I134</f>
        <v>0.30325135229312328</v>
      </c>
      <c r="J121" s="466"/>
      <c r="K121" s="469">
        <f>+AVERAGE(K122:K134)</f>
        <v>0.97282973157946084</v>
      </c>
      <c r="L121" s="469">
        <f>+(L122+L123+L124+L125+L126+L127+L128+L129+L130+L131+L132+L133+L134)*E121</f>
        <v>0.10009808121056228</v>
      </c>
      <c r="M121" s="467">
        <f>+AVERAGE(M122:M134)</f>
        <v>0.59622372041307181</v>
      </c>
      <c r="N121" s="571">
        <f>+(N122+N123+N124+N125+N126+N127+N128+N129+N130+N131+N132+N133+N134)*E121</f>
        <v>6.2055660428915041E-2</v>
      </c>
      <c r="O121" s="572"/>
      <c r="P121" s="563"/>
      <c r="Q121" s="564"/>
      <c r="R121" s="564"/>
      <c r="S121" s="564"/>
      <c r="T121" s="564"/>
      <c r="U121" s="437"/>
    </row>
    <row r="122" spans="1:21" ht="42.6" customHeight="1" thickBot="1" x14ac:dyDescent="0.35">
      <c r="A122" s="441"/>
      <c r="B122" s="471" t="s">
        <v>911</v>
      </c>
      <c r="C122" s="573" t="s">
        <v>1355</v>
      </c>
      <c r="D122" s="574" t="s">
        <v>912</v>
      </c>
      <c r="E122" s="578">
        <v>0.2</v>
      </c>
      <c r="F122" s="576">
        <v>18</v>
      </c>
      <c r="G122" s="468">
        <v>18</v>
      </c>
      <c r="H122" s="475">
        <f t="shared" ref="H122:H134" si="28">+G122/F122</f>
        <v>1</v>
      </c>
      <c r="I122" s="475">
        <f t="shared" ref="I122:I134" si="29">+(G122/F122)*E122</f>
        <v>0.2</v>
      </c>
      <c r="J122" s="468">
        <v>18</v>
      </c>
      <c r="K122" s="475">
        <f t="shared" ref="K122:K134" si="30">+(J122/G122)</f>
        <v>1</v>
      </c>
      <c r="L122" s="475">
        <f t="shared" ref="L122:L134" si="31">+K122*E122</f>
        <v>0.2</v>
      </c>
      <c r="M122" s="475">
        <f t="shared" ref="M122:M134" si="32">+J122/F122</f>
        <v>1</v>
      </c>
      <c r="N122" s="577">
        <f>+M122*E122</f>
        <v>0.2</v>
      </c>
      <c r="O122" s="479" t="s">
        <v>1596</v>
      </c>
      <c r="P122" s="563"/>
      <c r="Q122" s="564"/>
      <c r="R122" s="564"/>
      <c r="S122" s="564"/>
      <c r="T122" s="564"/>
      <c r="U122" s="437"/>
    </row>
    <row r="123" spans="1:21" ht="51.6" customHeight="1" thickBot="1" x14ac:dyDescent="0.35">
      <c r="A123" s="441"/>
      <c r="B123" s="471" t="s">
        <v>913</v>
      </c>
      <c r="C123" s="573" t="s">
        <v>1356</v>
      </c>
      <c r="D123" s="574" t="s">
        <v>912</v>
      </c>
      <c r="E123" s="578">
        <v>0.2</v>
      </c>
      <c r="F123" s="576">
        <v>1</v>
      </c>
      <c r="G123" s="468">
        <v>0</v>
      </c>
      <c r="H123" s="475"/>
      <c r="I123" s="475"/>
      <c r="J123" s="468"/>
      <c r="K123" s="475"/>
      <c r="L123" s="475"/>
      <c r="M123" s="475"/>
      <c r="N123" s="577"/>
      <c r="O123" s="604" t="s">
        <v>1865</v>
      </c>
      <c r="P123" s="563"/>
      <c r="Q123" s="564"/>
      <c r="R123" s="564"/>
      <c r="S123" s="564"/>
      <c r="T123" s="564"/>
      <c r="U123" s="437"/>
    </row>
    <row r="124" spans="1:21" ht="38.450000000000003" customHeight="1" thickBot="1" x14ac:dyDescent="0.35">
      <c r="A124" s="441"/>
      <c r="B124" s="471" t="s">
        <v>914</v>
      </c>
      <c r="C124" s="573" t="s">
        <v>1357</v>
      </c>
      <c r="D124" s="574" t="s">
        <v>912</v>
      </c>
      <c r="E124" s="578">
        <v>0.1</v>
      </c>
      <c r="F124" s="576">
        <v>1</v>
      </c>
      <c r="G124" s="468">
        <v>0</v>
      </c>
      <c r="H124" s="475"/>
      <c r="I124" s="475"/>
      <c r="J124" s="468"/>
      <c r="K124" s="475"/>
      <c r="L124" s="475"/>
      <c r="M124" s="475"/>
      <c r="N124" s="577"/>
      <c r="O124" s="604" t="s">
        <v>1865</v>
      </c>
      <c r="P124" s="563"/>
      <c r="Q124" s="564"/>
      <c r="R124" s="564"/>
      <c r="S124" s="564"/>
      <c r="T124" s="564"/>
      <c r="U124" s="437"/>
    </row>
    <row r="125" spans="1:21" ht="78.599999999999994" customHeight="1" thickBot="1" x14ac:dyDescent="0.35">
      <c r="A125" s="441"/>
      <c r="B125" s="471" t="s">
        <v>915</v>
      </c>
      <c r="C125" s="573" t="s">
        <v>1358</v>
      </c>
      <c r="D125" s="574" t="s">
        <v>912</v>
      </c>
      <c r="E125" s="578">
        <v>0.03</v>
      </c>
      <c r="F125" s="576">
        <v>1</v>
      </c>
      <c r="G125" s="468">
        <v>1</v>
      </c>
      <c r="H125" s="475">
        <f t="shared" si="28"/>
        <v>1</v>
      </c>
      <c r="I125" s="475">
        <f t="shared" si="29"/>
        <v>0.03</v>
      </c>
      <c r="J125" s="468">
        <v>1</v>
      </c>
      <c r="K125" s="475">
        <f t="shared" si="30"/>
        <v>1</v>
      </c>
      <c r="L125" s="475">
        <f t="shared" si="31"/>
        <v>0.03</v>
      </c>
      <c r="M125" s="501">
        <f t="shared" si="32"/>
        <v>1</v>
      </c>
      <c r="N125" s="577">
        <f>+M125*E125</f>
        <v>0.03</v>
      </c>
      <c r="O125" s="479" t="s">
        <v>1596</v>
      </c>
      <c r="P125" s="563"/>
      <c r="Q125" s="564"/>
      <c r="R125" s="564"/>
      <c r="S125" s="564"/>
      <c r="T125" s="564"/>
      <c r="U125" s="437"/>
    </row>
    <row r="126" spans="1:21" ht="37.15" customHeight="1" thickBot="1" x14ac:dyDescent="0.35">
      <c r="A126" s="441"/>
      <c r="B126" s="471" t="s">
        <v>916</v>
      </c>
      <c r="C126" s="573" t="s">
        <v>1359</v>
      </c>
      <c r="D126" s="574" t="s">
        <v>912</v>
      </c>
      <c r="E126" s="578">
        <v>0.1</v>
      </c>
      <c r="F126" s="576">
        <v>482</v>
      </c>
      <c r="G126" s="468">
        <v>0</v>
      </c>
      <c r="H126" s="475"/>
      <c r="I126" s="475"/>
      <c r="J126" s="468"/>
      <c r="K126" s="475"/>
      <c r="L126" s="475"/>
      <c r="M126" s="475"/>
      <c r="N126" s="577"/>
      <c r="O126" s="604" t="s">
        <v>1865</v>
      </c>
      <c r="P126" s="563"/>
      <c r="Q126" s="564"/>
      <c r="R126" s="564"/>
      <c r="S126" s="564"/>
      <c r="T126" s="564"/>
      <c r="U126" s="437"/>
    </row>
    <row r="127" spans="1:21" ht="68.45" customHeight="1" thickBot="1" x14ac:dyDescent="0.35">
      <c r="A127" s="441"/>
      <c r="B127" s="471" t="s">
        <v>917</v>
      </c>
      <c r="C127" s="573" t="s">
        <v>1360</v>
      </c>
      <c r="D127" s="574" t="s">
        <v>912</v>
      </c>
      <c r="E127" s="578">
        <v>0.03</v>
      </c>
      <c r="F127" s="576">
        <v>1</v>
      </c>
      <c r="G127" s="468">
        <v>0.15</v>
      </c>
      <c r="H127" s="475">
        <f t="shared" si="28"/>
        <v>0.15</v>
      </c>
      <c r="I127" s="475">
        <f t="shared" si="29"/>
        <v>4.4999999999999997E-3</v>
      </c>
      <c r="J127" s="468">
        <v>0.3</v>
      </c>
      <c r="K127" s="475">
        <v>1</v>
      </c>
      <c r="L127" s="475">
        <f t="shared" si="31"/>
        <v>0.03</v>
      </c>
      <c r="M127" s="475">
        <f t="shared" si="32"/>
        <v>0.3</v>
      </c>
      <c r="N127" s="577">
        <f t="shared" ref="N127:N134" si="33">+M127*E127</f>
        <v>8.9999999999999993E-3</v>
      </c>
      <c r="O127" s="604" t="s">
        <v>1865</v>
      </c>
      <c r="P127" s="563"/>
      <c r="Q127" s="564"/>
      <c r="R127" s="564"/>
      <c r="S127" s="564"/>
      <c r="T127" s="564"/>
      <c r="U127" s="437"/>
    </row>
    <row r="128" spans="1:21" ht="72" customHeight="1" thickBot="1" x14ac:dyDescent="0.35">
      <c r="A128" s="441"/>
      <c r="B128" s="471" t="s">
        <v>918</v>
      </c>
      <c r="C128" s="573" t="s">
        <v>1361</v>
      </c>
      <c r="D128" s="574" t="s">
        <v>912</v>
      </c>
      <c r="E128" s="578">
        <v>0.02</v>
      </c>
      <c r="F128" s="576">
        <v>25</v>
      </c>
      <c r="G128" s="468">
        <v>6</v>
      </c>
      <c r="H128" s="475">
        <f t="shared" si="28"/>
        <v>0.24</v>
      </c>
      <c r="I128" s="475">
        <f t="shared" si="29"/>
        <v>4.7999999999999996E-3</v>
      </c>
      <c r="J128" s="468">
        <v>12</v>
      </c>
      <c r="K128" s="475">
        <v>1</v>
      </c>
      <c r="L128" s="475">
        <f t="shared" si="31"/>
        <v>0.02</v>
      </c>
      <c r="M128" s="475">
        <f t="shared" si="32"/>
        <v>0.48</v>
      </c>
      <c r="N128" s="577">
        <f t="shared" si="33"/>
        <v>9.5999999999999992E-3</v>
      </c>
      <c r="O128" s="604" t="s">
        <v>1865</v>
      </c>
      <c r="P128" s="563"/>
      <c r="Q128" s="564"/>
      <c r="R128" s="564"/>
      <c r="S128" s="564"/>
      <c r="T128" s="564"/>
      <c r="U128" s="437"/>
    </row>
    <row r="129" spans="1:21" ht="88.15" customHeight="1" thickBot="1" x14ac:dyDescent="0.35">
      <c r="A129" s="441"/>
      <c r="B129" s="480" t="s">
        <v>919</v>
      </c>
      <c r="C129" s="586" t="s">
        <v>1362</v>
      </c>
      <c r="D129" s="574" t="s">
        <v>920</v>
      </c>
      <c r="E129" s="578">
        <v>0.02</v>
      </c>
      <c r="F129" s="576">
        <v>3</v>
      </c>
      <c r="G129" s="468">
        <v>0</v>
      </c>
      <c r="H129" s="475"/>
      <c r="I129" s="475"/>
      <c r="J129" s="468"/>
      <c r="K129" s="475"/>
      <c r="L129" s="475"/>
      <c r="M129" s="475"/>
      <c r="N129" s="577"/>
      <c r="O129" s="604" t="s">
        <v>1865</v>
      </c>
      <c r="P129" s="563"/>
      <c r="Q129" s="564"/>
      <c r="R129" s="564"/>
      <c r="S129" s="564"/>
      <c r="T129" s="564"/>
      <c r="U129" s="437"/>
    </row>
    <row r="130" spans="1:21" ht="82.15" customHeight="1" thickBot="1" x14ac:dyDescent="0.35">
      <c r="A130" s="441"/>
      <c r="B130" s="480" t="s">
        <v>921</v>
      </c>
      <c r="C130" s="586" t="s">
        <v>1363</v>
      </c>
      <c r="D130" s="574" t="s">
        <v>922</v>
      </c>
      <c r="E130" s="578">
        <v>0.05</v>
      </c>
      <c r="F130" s="576">
        <v>3</v>
      </c>
      <c r="G130" s="468">
        <v>0</v>
      </c>
      <c r="H130" s="475"/>
      <c r="I130" s="475"/>
      <c r="J130" s="468"/>
      <c r="K130" s="475"/>
      <c r="L130" s="475"/>
      <c r="M130" s="475"/>
      <c r="N130" s="577"/>
      <c r="O130" s="604" t="s">
        <v>1580</v>
      </c>
      <c r="P130" s="563"/>
      <c r="Q130" s="564"/>
      <c r="R130" s="564"/>
      <c r="S130" s="564"/>
      <c r="T130" s="564"/>
      <c r="U130" s="437"/>
    </row>
    <row r="131" spans="1:21" ht="84" customHeight="1" thickBot="1" x14ac:dyDescent="0.35">
      <c r="A131" s="441"/>
      <c r="B131" s="471" t="s">
        <v>923</v>
      </c>
      <c r="C131" s="573" t="s">
        <v>1364</v>
      </c>
      <c r="D131" s="574" t="s">
        <v>922</v>
      </c>
      <c r="E131" s="578">
        <v>0.16</v>
      </c>
      <c r="F131" s="576">
        <v>10</v>
      </c>
      <c r="G131" s="468">
        <v>2</v>
      </c>
      <c r="H131" s="475">
        <f t="shared" si="28"/>
        <v>0.2</v>
      </c>
      <c r="I131" s="475">
        <f t="shared" si="29"/>
        <v>3.2000000000000001E-2</v>
      </c>
      <c r="J131" s="468">
        <v>2</v>
      </c>
      <c r="K131" s="475">
        <f>+(J131/G131)</f>
        <v>1</v>
      </c>
      <c r="L131" s="475">
        <f>+K131*E131</f>
        <v>0.16</v>
      </c>
      <c r="M131" s="475">
        <f>+J131/F131</f>
        <v>0.2</v>
      </c>
      <c r="N131" s="577">
        <f>+M131*E131</f>
        <v>3.2000000000000001E-2</v>
      </c>
      <c r="O131" s="604" t="s">
        <v>1865</v>
      </c>
      <c r="P131" s="563"/>
      <c r="Q131" s="564"/>
      <c r="R131" s="564"/>
      <c r="S131" s="564"/>
      <c r="T131" s="564"/>
      <c r="U131" s="437"/>
    </row>
    <row r="132" spans="1:21" ht="54" customHeight="1" thickBot="1" x14ac:dyDescent="0.35">
      <c r="A132" s="441"/>
      <c r="B132" s="471" t="s">
        <v>924</v>
      </c>
      <c r="C132" s="573" t="s">
        <v>1365</v>
      </c>
      <c r="D132" s="574" t="s">
        <v>912</v>
      </c>
      <c r="E132" s="578">
        <v>0.02</v>
      </c>
      <c r="F132" s="576">
        <v>1</v>
      </c>
      <c r="G132" s="468">
        <v>0</v>
      </c>
      <c r="H132" s="475"/>
      <c r="I132" s="475"/>
      <c r="J132" s="468"/>
      <c r="K132" s="475"/>
      <c r="L132" s="475"/>
      <c r="M132" s="475"/>
      <c r="N132" s="577"/>
      <c r="O132" s="604" t="s">
        <v>1865</v>
      </c>
      <c r="P132" s="563"/>
      <c r="Q132" s="564"/>
      <c r="R132" s="564"/>
      <c r="S132" s="564"/>
      <c r="T132" s="564"/>
      <c r="U132" s="437"/>
    </row>
    <row r="133" spans="1:21" ht="90.6" customHeight="1" thickBot="1" x14ac:dyDescent="0.35">
      <c r="A133" s="441"/>
      <c r="B133" s="471" t="s">
        <v>925</v>
      </c>
      <c r="C133" s="573" t="s">
        <v>1366</v>
      </c>
      <c r="D133" s="574" t="s">
        <v>912</v>
      </c>
      <c r="E133" s="578">
        <v>0.02</v>
      </c>
      <c r="F133" s="576">
        <v>1</v>
      </c>
      <c r="G133" s="468">
        <v>1</v>
      </c>
      <c r="H133" s="475">
        <f t="shared" si="28"/>
        <v>1</v>
      </c>
      <c r="I133" s="475">
        <f t="shared" si="29"/>
        <v>0.02</v>
      </c>
      <c r="J133" s="468">
        <v>1</v>
      </c>
      <c r="K133" s="475">
        <f t="shared" si="30"/>
        <v>1</v>
      </c>
      <c r="L133" s="475">
        <f t="shared" si="31"/>
        <v>0.02</v>
      </c>
      <c r="M133" s="475">
        <f t="shared" si="32"/>
        <v>1</v>
      </c>
      <c r="N133" s="577">
        <f t="shared" si="33"/>
        <v>0.02</v>
      </c>
      <c r="O133" s="479" t="s">
        <v>1596</v>
      </c>
      <c r="P133" s="563"/>
      <c r="Q133" s="564"/>
      <c r="R133" s="564"/>
      <c r="S133" s="564"/>
      <c r="T133" s="564"/>
      <c r="U133" s="437"/>
    </row>
    <row r="134" spans="1:21" ht="100.9" customHeight="1" thickBot="1" x14ac:dyDescent="0.35">
      <c r="A134" s="441"/>
      <c r="B134" s="489" t="s">
        <v>926</v>
      </c>
      <c r="C134" s="592" t="s">
        <v>1367</v>
      </c>
      <c r="D134" s="593" t="s">
        <v>912</v>
      </c>
      <c r="E134" s="594">
        <v>0.05</v>
      </c>
      <c r="F134" s="576">
        <v>137302998</v>
      </c>
      <c r="G134" s="609">
        <v>32819130</v>
      </c>
      <c r="H134" s="475">
        <f t="shared" si="28"/>
        <v>0.23902704586246543</v>
      </c>
      <c r="I134" s="475">
        <f t="shared" si="29"/>
        <v>1.1951352293123272E-2</v>
      </c>
      <c r="J134" s="609">
        <v>26577198</v>
      </c>
      <c r="K134" s="475">
        <f t="shared" si="30"/>
        <v>0.80980812105622546</v>
      </c>
      <c r="L134" s="475">
        <f t="shared" si="31"/>
        <v>4.0490406052811276E-2</v>
      </c>
      <c r="M134" s="475">
        <f t="shared" si="32"/>
        <v>0.19356604289150336</v>
      </c>
      <c r="N134" s="577">
        <f t="shared" si="33"/>
        <v>9.6783021445751693E-3</v>
      </c>
      <c r="O134" s="588" t="s">
        <v>1878</v>
      </c>
      <c r="P134" s="563"/>
      <c r="Q134" s="564"/>
      <c r="R134" s="564"/>
      <c r="S134" s="564"/>
      <c r="T134" s="564"/>
      <c r="U134" s="437"/>
    </row>
    <row r="135" spans="1:21" ht="93" customHeight="1" thickBot="1" x14ac:dyDescent="0.35">
      <c r="A135" s="441"/>
      <c r="B135" s="717" t="s">
        <v>1822</v>
      </c>
      <c r="C135" s="726"/>
      <c r="D135" s="581"/>
      <c r="E135" s="584">
        <v>0.1</v>
      </c>
      <c r="F135" s="456">
        <f>+E135*L135</f>
        <v>5.5199446153846157E-2</v>
      </c>
      <c r="G135" s="461"/>
      <c r="H135" s="459">
        <f>+(H136+H140+H144+H150+H159)/4</f>
        <v>0.23930555555555558</v>
      </c>
      <c r="I135" s="460">
        <f>+(I136+I140+I144+I150+I159)/4</f>
        <v>0.17302083333333335</v>
      </c>
      <c r="J135" s="461"/>
      <c r="K135" s="459">
        <f>+(K136+K140+K144+K150+K159)/4</f>
        <v>0.92081794871794875</v>
      </c>
      <c r="L135" s="460">
        <f>+L136+L140+L144+L150+L159</f>
        <v>0.55199446153846154</v>
      </c>
      <c r="M135" s="459">
        <f>(M136+M140+M144+M150+M159)/4</f>
        <v>0.22721222222222223</v>
      </c>
      <c r="N135" s="568">
        <f>+(N136+N140+N144+N150+N159)</f>
        <v>0.15260140000000003</v>
      </c>
      <c r="O135" s="569"/>
      <c r="P135" s="563"/>
      <c r="Q135" s="564"/>
      <c r="R135" s="564"/>
      <c r="S135" s="564"/>
      <c r="T135" s="564"/>
      <c r="U135" s="437"/>
    </row>
    <row r="136" spans="1:21" ht="42.75" customHeight="1" thickBot="1" x14ac:dyDescent="0.35">
      <c r="A136" s="441"/>
      <c r="B136" s="715" t="s">
        <v>1823</v>
      </c>
      <c r="C136" s="726"/>
      <c r="D136" s="581"/>
      <c r="E136" s="582">
        <v>0.2</v>
      </c>
      <c r="F136" s="576"/>
      <c r="G136" s="461"/>
      <c r="H136" s="467">
        <f>+AVERAGE(H137:H139)</f>
        <v>0.125</v>
      </c>
      <c r="I136" s="467">
        <f>+I137+I138+I139</f>
        <v>5.6250000000000001E-2</v>
      </c>
      <c r="J136" s="466"/>
      <c r="K136" s="469">
        <f>+AVERAGE(K137:K139)</f>
        <v>1</v>
      </c>
      <c r="L136" s="469">
        <f>+(L137+L138+L139)*E136</f>
        <v>9.0000000000000011E-2</v>
      </c>
      <c r="M136" s="467">
        <f>+AVERAGE(M137:M139)</f>
        <v>0.185</v>
      </c>
      <c r="N136" s="571">
        <f>+(N137+N138+N139)*E136</f>
        <v>1.6650000000000002E-2</v>
      </c>
      <c r="O136" s="572"/>
      <c r="P136" s="563"/>
      <c r="Q136" s="564"/>
      <c r="R136" s="564"/>
      <c r="S136" s="564"/>
      <c r="T136" s="564"/>
      <c r="U136" s="437"/>
    </row>
    <row r="137" spans="1:21" ht="74.45" customHeight="1" thickBot="1" x14ac:dyDescent="0.35">
      <c r="A137" s="441"/>
      <c r="B137" s="471" t="s">
        <v>927</v>
      </c>
      <c r="C137" s="573" t="s">
        <v>1368</v>
      </c>
      <c r="D137" s="581" t="s">
        <v>795</v>
      </c>
      <c r="E137" s="578">
        <v>0.45</v>
      </c>
      <c r="F137" s="576">
        <v>40</v>
      </c>
      <c r="G137" s="468">
        <v>5</v>
      </c>
      <c r="H137" s="475">
        <f>+G137/F137</f>
        <v>0.125</v>
      </c>
      <c r="I137" s="475">
        <f>+(G137/F137)*E137</f>
        <v>5.6250000000000001E-2</v>
      </c>
      <c r="J137" s="468">
        <v>7.4</v>
      </c>
      <c r="K137" s="475">
        <v>1</v>
      </c>
      <c r="L137" s="475">
        <f>+K137*E137</f>
        <v>0.45</v>
      </c>
      <c r="M137" s="475">
        <f>+J137/F137</f>
        <v>0.185</v>
      </c>
      <c r="N137" s="577">
        <f t="shared" ref="N137:N143" si="34">+M137*E137</f>
        <v>8.3250000000000005E-2</v>
      </c>
      <c r="O137" s="604" t="s">
        <v>1865</v>
      </c>
      <c r="P137" s="563"/>
      <c r="Q137" s="564"/>
      <c r="R137" s="564"/>
      <c r="S137" s="564"/>
      <c r="T137" s="564"/>
      <c r="U137" s="437"/>
    </row>
    <row r="138" spans="1:21" ht="88.15" customHeight="1" thickBot="1" x14ac:dyDescent="0.35">
      <c r="A138" s="441"/>
      <c r="B138" s="471" t="s">
        <v>928</v>
      </c>
      <c r="C138" s="573" t="s">
        <v>1369</v>
      </c>
      <c r="D138" s="581" t="s">
        <v>929</v>
      </c>
      <c r="E138" s="578">
        <v>0.5</v>
      </c>
      <c r="F138" s="576">
        <v>140000</v>
      </c>
      <c r="G138" s="468">
        <v>0</v>
      </c>
      <c r="H138" s="475"/>
      <c r="I138" s="475"/>
      <c r="J138" s="468"/>
      <c r="K138" s="475"/>
      <c r="L138" s="475"/>
      <c r="M138" s="475"/>
      <c r="N138" s="577"/>
      <c r="O138" s="588" t="s">
        <v>1578</v>
      </c>
      <c r="P138" s="563"/>
      <c r="Q138" s="564"/>
      <c r="R138" s="564"/>
      <c r="S138" s="564"/>
      <c r="T138" s="564"/>
      <c r="U138" s="437"/>
    </row>
    <row r="139" spans="1:21" ht="106.9" customHeight="1" thickBot="1" x14ac:dyDescent="0.35">
      <c r="A139" s="441"/>
      <c r="B139" s="471" t="s">
        <v>930</v>
      </c>
      <c r="C139" s="573" t="s">
        <v>1370</v>
      </c>
      <c r="D139" s="581" t="s">
        <v>1577</v>
      </c>
      <c r="E139" s="578">
        <v>0.05</v>
      </c>
      <c r="F139" s="576">
        <v>1</v>
      </c>
      <c r="G139" s="468">
        <v>0</v>
      </c>
      <c r="H139" s="475"/>
      <c r="I139" s="475"/>
      <c r="J139" s="468"/>
      <c r="K139" s="475"/>
      <c r="L139" s="475"/>
      <c r="M139" s="475"/>
      <c r="N139" s="577"/>
      <c r="O139" s="604" t="s">
        <v>1865</v>
      </c>
      <c r="P139" s="563"/>
      <c r="Q139" s="564"/>
      <c r="R139" s="564"/>
      <c r="S139" s="564"/>
      <c r="T139" s="564"/>
      <c r="U139" s="437"/>
    </row>
    <row r="140" spans="1:21" ht="57" customHeight="1" thickBot="1" x14ac:dyDescent="0.35">
      <c r="A140" s="441"/>
      <c r="B140" s="715" t="s">
        <v>1824</v>
      </c>
      <c r="C140" s="726"/>
      <c r="D140" s="581"/>
      <c r="E140" s="582">
        <v>0.15</v>
      </c>
      <c r="F140" s="576"/>
      <c r="G140" s="461"/>
      <c r="H140" s="467">
        <f>+AVERAGE(H141:H143)</f>
        <v>0.27</v>
      </c>
      <c r="I140" s="467">
        <f>+I141+I142+I143</f>
        <v>0.22900000000000001</v>
      </c>
      <c r="J140" s="466"/>
      <c r="K140" s="469">
        <f>+AVERAGE(K141:K143)</f>
        <v>0.84660512820512823</v>
      </c>
      <c r="L140" s="469">
        <f>+(L141+L142+L143)*E140</f>
        <v>0.13619446153846154</v>
      </c>
      <c r="M140" s="467">
        <f>+AVERAGE(M141:M143)</f>
        <v>0.2016266666666667</v>
      </c>
      <c r="N140" s="571">
        <f>+(N141+N142+N143)*E140</f>
        <v>3.5951400000000001E-2</v>
      </c>
      <c r="O140" s="572"/>
      <c r="P140" s="563"/>
      <c r="Q140" s="564"/>
      <c r="R140" s="564"/>
      <c r="S140" s="564"/>
      <c r="T140" s="564"/>
      <c r="U140" s="437"/>
    </row>
    <row r="141" spans="1:21" ht="78" customHeight="1" thickBot="1" x14ac:dyDescent="0.35">
      <c r="A141" s="441"/>
      <c r="B141" s="471" t="s">
        <v>931</v>
      </c>
      <c r="C141" s="573" t="s">
        <v>1371</v>
      </c>
      <c r="D141" s="581" t="s">
        <v>932</v>
      </c>
      <c r="E141" s="578">
        <v>0.05</v>
      </c>
      <c r="F141" s="576">
        <v>10</v>
      </c>
      <c r="G141" s="468">
        <v>0.3</v>
      </c>
      <c r="H141" s="475">
        <f>+G141/F141</f>
        <v>0.03</v>
      </c>
      <c r="I141" s="475">
        <f>+(G141/F141)*E141</f>
        <v>1.5E-3</v>
      </c>
      <c r="J141" s="468">
        <v>0.3</v>
      </c>
      <c r="K141" s="475">
        <f>+(J141/G141)</f>
        <v>1</v>
      </c>
      <c r="L141" s="475">
        <f>+K141*E141</f>
        <v>0.05</v>
      </c>
      <c r="M141" s="475">
        <f>+J141/F141</f>
        <v>0.03</v>
      </c>
      <c r="N141" s="577">
        <f t="shared" si="34"/>
        <v>1.5E-3</v>
      </c>
      <c r="O141" s="604" t="s">
        <v>1865</v>
      </c>
      <c r="P141" s="563"/>
      <c r="Q141" s="564"/>
      <c r="R141" s="564"/>
      <c r="S141" s="564"/>
      <c r="T141" s="564"/>
      <c r="U141" s="437"/>
    </row>
    <row r="142" spans="1:21" ht="96.6" customHeight="1" thickBot="1" x14ac:dyDescent="0.35">
      <c r="A142" s="441"/>
      <c r="B142" s="480" t="s">
        <v>933</v>
      </c>
      <c r="C142" s="586" t="s">
        <v>1372</v>
      </c>
      <c r="D142" s="581" t="s">
        <v>932</v>
      </c>
      <c r="E142" s="578">
        <v>0.75</v>
      </c>
      <c r="F142" s="576">
        <v>1</v>
      </c>
      <c r="G142" s="468">
        <v>0.13</v>
      </c>
      <c r="H142" s="475">
        <f>+G142/F142</f>
        <v>0.13</v>
      </c>
      <c r="I142" s="475">
        <f>+(G142/F142)*E142</f>
        <v>9.7500000000000003E-2</v>
      </c>
      <c r="J142" s="468">
        <v>0.224</v>
      </c>
      <c r="K142" s="475">
        <v>1</v>
      </c>
      <c r="L142" s="475">
        <f>+K142*E142</f>
        <v>0.75</v>
      </c>
      <c r="M142" s="475">
        <f>+J142/F142</f>
        <v>0.224</v>
      </c>
      <c r="N142" s="577">
        <f>+M142*E142</f>
        <v>0.16800000000000001</v>
      </c>
      <c r="O142" s="604" t="s">
        <v>1865</v>
      </c>
      <c r="P142" s="563"/>
      <c r="Q142" s="564"/>
      <c r="R142" s="564"/>
      <c r="S142" s="564"/>
      <c r="T142" s="564"/>
      <c r="U142" s="437"/>
    </row>
    <row r="143" spans="1:21" ht="108.6" customHeight="1" thickBot="1" x14ac:dyDescent="0.35">
      <c r="A143" s="441"/>
      <c r="B143" s="480" t="s">
        <v>934</v>
      </c>
      <c r="C143" s="586" t="s">
        <v>1373</v>
      </c>
      <c r="D143" s="610" t="s">
        <v>932</v>
      </c>
      <c r="E143" s="578">
        <v>0.2</v>
      </c>
      <c r="F143" s="576">
        <v>100000</v>
      </c>
      <c r="G143" s="468">
        <f>40000+25000</f>
        <v>65000</v>
      </c>
      <c r="H143" s="475">
        <f>+G143/F143</f>
        <v>0.65</v>
      </c>
      <c r="I143" s="475">
        <f>+(G143/F143)*E143</f>
        <v>0.13</v>
      </c>
      <c r="J143" s="468">
        <v>35088</v>
      </c>
      <c r="K143" s="475">
        <f>+(J143/G143)</f>
        <v>0.53981538461538459</v>
      </c>
      <c r="L143" s="475">
        <f>+K143*E143</f>
        <v>0.10796307692307693</v>
      </c>
      <c r="M143" s="475">
        <f>+J143/F143</f>
        <v>0.35088000000000003</v>
      </c>
      <c r="N143" s="577">
        <f t="shared" si="34"/>
        <v>7.0176000000000002E-2</v>
      </c>
      <c r="O143" s="604" t="s">
        <v>1865</v>
      </c>
      <c r="P143" s="563"/>
      <c r="Q143" s="564"/>
      <c r="R143" s="564"/>
      <c r="S143" s="564"/>
      <c r="T143" s="564"/>
      <c r="U143" s="437"/>
    </row>
    <row r="144" spans="1:21" ht="121.9" customHeight="1" thickBot="1" x14ac:dyDescent="0.35">
      <c r="A144" s="441"/>
      <c r="B144" s="715" t="s">
        <v>1755</v>
      </c>
      <c r="C144" s="726"/>
      <c r="D144" s="581"/>
      <c r="E144" s="582">
        <v>0.25</v>
      </c>
      <c r="F144" s="576"/>
      <c r="G144" s="461"/>
      <c r="H144" s="467">
        <f>+AVERAGE(H145:H149)</f>
        <v>0.42000000000000004</v>
      </c>
      <c r="I144" s="467">
        <f>+I145+I146+I147+I148+I149</f>
        <v>0.30500000000000005</v>
      </c>
      <c r="J144" s="466"/>
      <c r="K144" s="469">
        <f>+AVERAGE(K145:K149)</f>
        <v>0.96666666666666667</v>
      </c>
      <c r="L144" s="469">
        <f>+(L145+L146+L147+L148+L149)*E144</f>
        <v>8.2500000000000004E-2</v>
      </c>
      <c r="M144" s="467">
        <f>+AVERAGE(M145:M149)</f>
        <v>0.4</v>
      </c>
      <c r="N144" s="571">
        <f>+(N145+N146+N147+N148+N149)*E144</f>
        <v>7.1250000000000008E-2</v>
      </c>
      <c r="O144" s="611" t="s">
        <v>1879</v>
      </c>
      <c r="P144" s="563"/>
      <c r="Q144" s="564"/>
      <c r="R144" s="564"/>
      <c r="S144" s="564"/>
      <c r="T144" s="564"/>
      <c r="U144" s="437"/>
    </row>
    <row r="145" spans="1:21" ht="120.6" customHeight="1" thickBot="1" x14ac:dyDescent="0.35">
      <c r="A145" s="441"/>
      <c r="B145" s="471" t="s">
        <v>935</v>
      </c>
      <c r="C145" s="573" t="s">
        <v>1374</v>
      </c>
      <c r="D145" s="574" t="s">
        <v>1579</v>
      </c>
      <c r="E145" s="578">
        <v>0.5</v>
      </c>
      <c r="F145" s="576">
        <v>10</v>
      </c>
      <c r="G145" s="468">
        <v>0</v>
      </c>
      <c r="H145" s="475">
        <v>0</v>
      </c>
      <c r="I145" s="475"/>
      <c r="J145" s="468"/>
      <c r="K145" s="475"/>
      <c r="L145" s="475"/>
      <c r="M145" s="475">
        <v>0</v>
      </c>
      <c r="N145" s="577">
        <v>0</v>
      </c>
      <c r="O145" s="604" t="s">
        <v>1865</v>
      </c>
      <c r="P145" s="563"/>
      <c r="Q145" s="564"/>
      <c r="R145" s="564"/>
      <c r="S145" s="564"/>
      <c r="T145" s="564"/>
      <c r="U145" s="437"/>
    </row>
    <row r="146" spans="1:21" ht="55.15" customHeight="1" thickBot="1" x14ac:dyDescent="0.35">
      <c r="A146" s="441"/>
      <c r="B146" s="471" t="s">
        <v>936</v>
      </c>
      <c r="C146" s="573" t="s">
        <v>1375</v>
      </c>
      <c r="D146" s="574" t="s">
        <v>795</v>
      </c>
      <c r="E146" s="578">
        <v>0.1</v>
      </c>
      <c r="F146" s="576">
        <v>1</v>
      </c>
      <c r="G146" s="468">
        <v>1</v>
      </c>
      <c r="H146" s="475">
        <f>+G146/F146</f>
        <v>1</v>
      </c>
      <c r="I146" s="475">
        <f>+(G146/F146)*E146</f>
        <v>0.1</v>
      </c>
      <c r="J146" s="468">
        <v>1</v>
      </c>
      <c r="K146" s="475">
        <f>+(J146/G146)</f>
        <v>1</v>
      </c>
      <c r="L146" s="475">
        <f>+K146*E146</f>
        <v>0.1</v>
      </c>
      <c r="M146" s="475">
        <f>+J146/F146</f>
        <v>1</v>
      </c>
      <c r="N146" s="577">
        <f>+M146*E146</f>
        <v>0.1</v>
      </c>
      <c r="O146" s="604" t="s">
        <v>1598</v>
      </c>
      <c r="P146" s="563"/>
      <c r="Q146" s="564"/>
      <c r="R146" s="564"/>
      <c r="S146" s="564"/>
      <c r="T146" s="564"/>
      <c r="U146" s="437"/>
    </row>
    <row r="147" spans="1:21" ht="54.6" customHeight="1" thickBot="1" x14ac:dyDescent="0.35">
      <c r="A147" s="441"/>
      <c r="B147" s="471" t="s">
        <v>937</v>
      </c>
      <c r="C147" s="573" t="s">
        <v>1376</v>
      </c>
      <c r="D147" s="574" t="s">
        <v>795</v>
      </c>
      <c r="E147" s="578">
        <v>0.2</v>
      </c>
      <c r="F147" s="576">
        <v>1</v>
      </c>
      <c r="G147" s="468">
        <v>1</v>
      </c>
      <c r="H147" s="475">
        <f>+G147/F147</f>
        <v>1</v>
      </c>
      <c r="I147" s="475">
        <f>+(G147/F147)*E147</f>
        <v>0.2</v>
      </c>
      <c r="J147" s="468">
        <v>0.9</v>
      </c>
      <c r="K147" s="475">
        <f>+(J147/G147)</f>
        <v>0.9</v>
      </c>
      <c r="L147" s="475">
        <f>+K147*E147</f>
        <v>0.18000000000000002</v>
      </c>
      <c r="M147" s="475">
        <f>+J147/F147</f>
        <v>0.9</v>
      </c>
      <c r="N147" s="577">
        <f>+M147*E147</f>
        <v>0.18000000000000002</v>
      </c>
      <c r="O147" s="604" t="s">
        <v>1865</v>
      </c>
      <c r="P147" s="563"/>
      <c r="Q147" s="564"/>
      <c r="R147" s="564"/>
      <c r="S147" s="564"/>
      <c r="T147" s="564"/>
      <c r="U147" s="437"/>
    </row>
    <row r="148" spans="1:21" ht="78.599999999999994" customHeight="1" thickBot="1" x14ac:dyDescent="0.35">
      <c r="A148" s="441"/>
      <c r="B148" s="471" t="s">
        <v>938</v>
      </c>
      <c r="C148" s="573" t="s">
        <v>1377</v>
      </c>
      <c r="D148" s="574" t="s">
        <v>564</v>
      </c>
      <c r="E148" s="578">
        <v>0.05</v>
      </c>
      <c r="F148" s="576">
        <v>1</v>
      </c>
      <c r="G148" s="600">
        <v>0.1</v>
      </c>
      <c r="H148" s="475">
        <f>+G148/F148</f>
        <v>0.1</v>
      </c>
      <c r="I148" s="475">
        <f>+(G148/F148)*E148</f>
        <v>5.000000000000001E-3</v>
      </c>
      <c r="J148" s="612">
        <v>0.1</v>
      </c>
      <c r="K148" s="475">
        <f>+(J148/G148)</f>
        <v>1</v>
      </c>
      <c r="L148" s="475">
        <f>+K148*E148</f>
        <v>0.05</v>
      </c>
      <c r="M148" s="475">
        <f>+J148/F148</f>
        <v>0.1</v>
      </c>
      <c r="N148" s="613">
        <f>+M148*E148</f>
        <v>5.000000000000001E-3</v>
      </c>
      <c r="O148" s="604" t="s">
        <v>1865</v>
      </c>
      <c r="P148" s="563"/>
      <c r="Q148" s="564"/>
      <c r="R148" s="564"/>
      <c r="S148" s="564"/>
      <c r="T148" s="564"/>
      <c r="U148" s="437"/>
    </row>
    <row r="149" spans="1:21" ht="70.900000000000006" customHeight="1" thickBot="1" x14ac:dyDescent="0.35">
      <c r="A149" s="441"/>
      <c r="B149" s="471" t="s">
        <v>939</v>
      </c>
      <c r="C149" s="573" t="s">
        <v>1378</v>
      </c>
      <c r="D149" s="574" t="s">
        <v>1544</v>
      </c>
      <c r="E149" s="578">
        <v>0.15</v>
      </c>
      <c r="F149" s="576">
        <v>1</v>
      </c>
      <c r="G149" s="600">
        <v>0</v>
      </c>
      <c r="H149" s="475">
        <v>0</v>
      </c>
      <c r="I149" s="475"/>
      <c r="J149" s="614"/>
      <c r="K149" s="475"/>
      <c r="L149" s="475"/>
      <c r="M149" s="475">
        <v>0</v>
      </c>
      <c r="N149" s="613"/>
      <c r="O149" s="604" t="s">
        <v>1865</v>
      </c>
      <c r="P149" s="563"/>
      <c r="Q149" s="564"/>
      <c r="R149" s="564"/>
      <c r="S149" s="564"/>
      <c r="T149" s="564"/>
      <c r="U149" s="437"/>
    </row>
    <row r="150" spans="1:21" ht="57" customHeight="1" thickBot="1" x14ac:dyDescent="0.35">
      <c r="A150" s="441"/>
      <c r="B150" s="715" t="s">
        <v>1756</v>
      </c>
      <c r="C150" s="726"/>
      <c r="D150" s="581"/>
      <c r="E150" s="582">
        <v>0.3</v>
      </c>
      <c r="F150" s="576"/>
      <c r="G150" s="461"/>
      <c r="H150" s="467">
        <f>+AVERAGE(H151:H158)</f>
        <v>0.14222222222222222</v>
      </c>
      <c r="I150" s="467">
        <f>+I151+I152+I153+I154+I155+I156+I157+I158</f>
        <v>0.10183333333333333</v>
      </c>
      <c r="J150" s="466"/>
      <c r="K150" s="469">
        <f>+AVERAGE(K151:K158)</f>
        <v>0.87</v>
      </c>
      <c r="L150" s="469">
        <f>+(L151+L152+L153+L154+L155+L156+L157+L158)*E150</f>
        <v>0.24330000000000002</v>
      </c>
      <c r="M150" s="467">
        <f>+AVERAGE(M151:M158)</f>
        <v>0.12222222222222223</v>
      </c>
      <c r="N150" s="571">
        <f>+(N151+N152+N153+N154+N155+N156+N157)*E150</f>
        <v>2.8750000000000001E-2</v>
      </c>
      <c r="O150" s="572"/>
      <c r="P150" s="563"/>
      <c r="Q150" s="564"/>
      <c r="R150" s="564"/>
      <c r="S150" s="564"/>
      <c r="T150" s="564"/>
      <c r="U150" s="437"/>
    </row>
    <row r="151" spans="1:21" ht="87.6" customHeight="1" thickBot="1" x14ac:dyDescent="0.35">
      <c r="A151" s="441"/>
      <c r="B151" s="615" t="s">
        <v>940</v>
      </c>
      <c r="C151" s="616" t="s">
        <v>1379</v>
      </c>
      <c r="D151" s="617" t="s">
        <v>941</v>
      </c>
      <c r="E151" s="618">
        <v>0.5</v>
      </c>
      <c r="F151" s="576">
        <v>10</v>
      </c>
      <c r="G151" s="468">
        <v>1</v>
      </c>
      <c r="H151" s="475">
        <f t="shared" ref="H151:H157" si="35">+G151/F151</f>
        <v>0.1</v>
      </c>
      <c r="I151" s="475">
        <f t="shared" ref="I151:I157" si="36">+(G151/F151)*E151</f>
        <v>0.05</v>
      </c>
      <c r="J151" s="468">
        <v>1</v>
      </c>
      <c r="K151" s="475">
        <f t="shared" ref="K151:K157" si="37">+(J151/G151)</f>
        <v>1</v>
      </c>
      <c r="L151" s="475">
        <f t="shared" ref="L151:L157" si="38">+K151*E151</f>
        <v>0.5</v>
      </c>
      <c r="M151" s="475">
        <f t="shared" ref="M151:M157" si="39">+J151/F151</f>
        <v>0.1</v>
      </c>
      <c r="N151" s="577">
        <f>+M151*E151</f>
        <v>0.05</v>
      </c>
      <c r="O151" s="604" t="s">
        <v>1865</v>
      </c>
      <c r="P151" s="563"/>
      <c r="Q151" s="564"/>
      <c r="R151" s="564"/>
      <c r="S151" s="564"/>
      <c r="T151" s="564"/>
      <c r="U151" s="437"/>
    </row>
    <row r="152" spans="1:21" ht="121.15" customHeight="1" thickBot="1" x14ac:dyDescent="0.35">
      <c r="A152" s="441"/>
      <c r="B152" s="480" t="s">
        <v>942</v>
      </c>
      <c r="C152" s="586" t="s">
        <v>1380</v>
      </c>
      <c r="D152" s="574" t="s">
        <v>941</v>
      </c>
      <c r="E152" s="578">
        <v>0.05</v>
      </c>
      <c r="F152" s="576">
        <v>20</v>
      </c>
      <c r="G152" s="468">
        <v>5</v>
      </c>
      <c r="H152" s="475">
        <f t="shared" si="35"/>
        <v>0.25</v>
      </c>
      <c r="I152" s="475">
        <f t="shared" si="36"/>
        <v>1.2500000000000001E-2</v>
      </c>
      <c r="J152" s="468">
        <v>3.6</v>
      </c>
      <c r="K152" s="475">
        <f t="shared" si="37"/>
        <v>0.72</v>
      </c>
      <c r="L152" s="475">
        <f t="shared" si="38"/>
        <v>3.5999999999999997E-2</v>
      </c>
      <c r="M152" s="475">
        <f t="shared" si="39"/>
        <v>0.18</v>
      </c>
      <c r="N152" s="577">
        <f t="shared" ref="N152:N157" si="40">+M152*E152</f>
        <v>8.9999999999999993E-3</v>
      </c>
      <c r="O152" s="604" t="s">
        <v>1865</v>
      </c>
      <c r="P152" s="563"/>
      <c r="Q152" s="564"/>
      <c r="R152" s="564"/>
      <c r="S152" s="564"/>
      <c r="T152" s="564"/>
      <c r="U152" s="437"/>
    </row>
    <row r="153" spans="1:21" ht="108" customHeight="1" thickBot="1" x14ac:dyDescent="0.35">
      <c r="A153" s="441"/>
      <c r="B153" s="471" t="s">
        <v>943</v>
      </c>
      <c r="C153" s="573" t="s">
        <v>1381</v>
      </c>
      <c r="D153" s="574" t="s">
        <v>795</v>
      </c>
      <c r="E153" s="578">
        <v>0.1</v>
      </c>
      <c r="F153" s="576">
        <v>2</v>
      </c>
      <c r="G153" s="468">
        <v>0.5</v>
      </c>
      <c r="H153" s="475">
        <f t="shared" ref="H153" si="41">+G153/F153</f>
        <v>0.25</v>
      </c>
      <c r="I153" s="475">
        <f t="shared" ref="I153" si="42">+(G153/F153)*E153</f>
        <v>2.5000000000000001E-2</v>
      </c>
      <c r="J153" s="468">
        <v>0.5</v>
      </c>
      <c r="K153" s="475">
        <f t="shared" ref="K153" si="43">+(J153/G153)</f>
        <v>1</v>
      </c>
      <c r="L153" s="475">
        <f t="shared" ref="L153" si="44">+K153*E153</f>
        <v>0.1</v>
      </c>
      <c r="M153" s="475">
        <f t="shared" ref="M153" si="45">+J153/F153</f>
        <v>0.25</v>
      </c>
      <c r="N153" s="577">
        <f t="shared" ref="N153" si="46">+M153*E153</f>
        <v>2.5000000000000001E-2</v>
      </c>
      <c r="O153" s="597"/>
      <c r="P153" s="563"/>
      <c r="Q153" s="564"/>
      <c r="R153" s="564"/>
      <c r="S153" s="564"/>
      <c r="T153" s="564"/>
      <c r="U153" s="437"/>
    </row>
    <row r="154" spans="1:21" ht="78" customHeight="1" thickBot="1" x14ac:dyDescent="0.35">
      <c r="A154" s="441"/>
      <c r="B154" s="480" t="s">
        <v>944</v>
      </c>
      <c r="C154" s="586" t="s">
        <v>1382</v>
      </c>
      <c r="D154" s="574" t="s">
        <v>564</v>
      </c>
      <c r="E154" s="578">
        <v>0.05</v>
      </c>
      <c r="F154" s="576">
        <v>1</v>
      </c>
      <c r="G154" s="600">
        <v>0.12</v>
      </c>
      <c r="H154" s="475">
        <f t="shared" si="35"/>
        <v>0.12</v>
      </c>
      <c r="I154" s="475">
        <f t="shared" si="36"/>
        <v>6.0000000000000001E-3</v>
      </c>
      <c r="J154" s="612">
        <v>0.12</v>
      </c>
      <c r="K154" s="475">
        <f t="shared" si="37"/>
        <v>1</v>
      </c>
      <c r="L154" s="475">
        <f t="shared" si="38"/>
        <v>0.05</v>
      </c>
      <c r="M154" s="475">
        <f t="shared" si="39"/>
        <v>0.12</v>
      </c>
      <c r="N154" s="580">
        <f t="shared" si="40"/>
        <v>6.0000000000000001E-3</v>
      </c>
      <c r="O154" s="604" t="s">
        <v>1865</v>
      </c>
      <c r="P154" s="563"/>
      <c r="Q154" s="564"/>
      <c r="R154" s="564"/>
      <c r="S154" s="564"/>
      <c r="T154" s="564"/>
      <c r="U154" s="437"/>
    </row>
    <row r="155" spans="1:21" ht="67.150000000000006" customHeight="1" thickBot="1" x14ac:dyDescent="0.35">
      <c r="A155" s="441"/>
      <c r="B155" s="471" t="s">
        <v>945</v>
      </c>
      <c r="C155" s="573" t="s">
        <v>1383</v>
      </c>
      <c r="D155" s="574" t="s">
        <v>564</v>
      </c>
      <c r="E155" s="578">
        <v>0.1</v>
      </c>
      <c r="F155" s="576">
        <v>1</v>
      </c>
      <c r="G155" s="468">
        <v>0</v>
      </c>
      <c r="H155" s="475"/>
      <c r="I155" s="475"/>
      <c r="J155" s="468"/>
      <c r="K155" s="475"/>
      <c r="L155" s="475"/>
      <c r="M155" s="475"/>
      <c r="N155" s="577">
        <v>0</v>
      </c>
      <c r="O155" s="604" t="s">
        <v>1865</v>
      </c>
      <c r="P155" s="563"/>
      <c r="Q155" s="564"/>
      <c r="R155" s="564"/>
      <c r="S155" s="564"/>
      <c r="T155" s="564"/>
      <c r="U155" s="437"/>
    </row>
    <row r="156" spans="1:21" ht="80.45" customHeight="1" thickBot="1" x14ac:dyDescent="0.35">
      <c r="A156" s="441"/>
      <c r="B156" s="471" t="s">
        <v>946</v>
      </c>
      <c r="C156" s="573" t="s">
        <v>1384</v>
      </c>
      <c r="D156" s="574" t="s">
        <v>564</v>
      </c>
      <c r="E156" s="578">
        <v>0.1</v>
      </c>
      <c r="F156" s="576">
        <v>3</v>
      </c>
      <c r="G156" s="600">
        <v>0.1</v>
      </c>
      <c r="H156" s="475">
        <f t="shared" si="35"/>
        <v>3.3333333333333333E-2</v>
      </c>
      <c r="I156" s="475">
        <f t="shared" si="36"/>
        <v>3.3333333333333335E-3</v>
      </c>
      <c r="J156" s="612">
        <v>0.1</v>
      </c>
      <c r="K156" s="475">
        <f t="shared" si="37"/>
        <v>1</v>
      </c>
      <c r="L156" s="475">
        <f t="shared" si="38"/>
        <v>0.1</v>
      </c>
      <c r="M156" s="475">
        <f t="shared" si="39"/>
        <v>3.3333333333333333E-2</v>
      </c>
      <c r="N156" s="613">
        <f>+M156*E156</f>
        <v>3.3333333333333335E-3</v>
      </c>
      <c r="O156" s="604" t="s">
        <v>1865</v>
      </c>
      <c r="P156" s="563"/>
      <c r="Q156" s="564"/>
      <c r="R156" s="564"/>
      <c r="S156" s="564"/>
      <c r="T156" s="564"/>
      <c r="U156" s="437"/>
    </row>
    <row r="157" spans="1:21" ht="68.45" customHeight="1" thickBot="1" x14ac:dyDescent="0.35">
      <c r="A157" s="441"/>
      <c r="B157" s="471" t="s">
        <v>947</v>
      </c>
      <c r="C157" s="573" t="s">
        <v>1385</v>
      </c>
      <c r="D157" s="574" t="s">
        <v>564</v>
      </c>
      <c r="E157" s="578">
        <v>0.05</v>
      </c>
      <c r="F157" s="576">
        <v>1</v>
      </c>
      <c r="G157" s="600">
        <v>0.1</v>
      </c>
      <c r="H157" s="475">
        <f t="shared" si="35"/>
        <v>0.1</v>
      </c>
      <c r="I157" s="475">
        <f t="shared" si="36"/>
        <v>5.000000000000001E-3</v>
      </c>
      <c r="J157" s="612">
        <v>0.05</v>
      </c>
      <c r="K157" s="475">
        <f t="shared" si="37"/>
        <v>0.5</v>
      </c>
      <c r="L157" s="475">
        <f t="shared" si="38"/>
        <v>2.5000000000000001E-2</v>
      </c>
      <c r="M157" s="475">
        <f t="shared" si="39"/>
        <v>0.05</v>
      </c>
      <c r="N157" s="613">
        <f t="shared" si="40"/>
        <v>2.5000000000000005E-3</v>
      </c>
      <c r="O157" s="604" t="s">
        <v>1872</v>
      </c>
      <c r="P157" s="563"/>
      <c r="Q157" s="564"/>
      <c r="R157" s="564"/>
      <c r="S157" s="564"/>
      <c r="T157" s="564"/>
      <c r="U157" s="437"/>
    </row>
    <row r="158" spans="1:21" ht="93.6" customHeight="1" thickBot="1" x14ac:dyDescent="0.35">
      <c r="A158" s="441"/>
      <c r="B158" s="471" t="s">
        <v>948</v>
      </c>
      <c r="C158" s="573" t="s">
        <v>1386</v>
      </c>
      <c r="D158" s="574" t="s">
        <v>564</v>
      </c>
      <c r="E158" s="578">
        <v>0.05</v>
      </c>
      <c r="F158" s="576">
        <v>5</v>
      </c>
      <c r="G158" s="468">
        <v>0</v>
      </c>
      <c r="H158" s="475"/>
      <c r="I158" s="475"/>
      <c r="J158" s="468"/>
      <c r="K158" s="475"/>
      <c r="L158" s="475"/>
      <c r="M158" s="475"/>
      <c r="N158" s="577">
        <v>0</v>
      </c>
      <c r="O158" s="604" t="s">
        <v>1865</v>
      </c>
      <c r="P158" s="563"/>
      <c r="Q158" s="564"/>
      <c r="R158" s="564"/>
      <c r="S158" s="564"/>
      <c r="T158" s="564"/>
      <c r="U158" s="437"/>
    </row>
    <row r="159" spans="1:21" ht="42.75" customHeight="1" thickBot="1" x14ac:dyDescent="0.35">
      <c r="A159" s="441"/>
      <c r="B159" s="715" t="s">
        <v>1757</v>
      </c>
      <c r="C159" s="726"/>
      <c r="D159" s="581"/>
      <c r="E159" s="582">
        <v>0.1</v>
      </c>
      <c r="F159" s="576"/>
      <c r="G159" s="461"/>
      <c r="H159" s="467"/>
      <c r="I159" s="467"/>
      <c r="J159" s="466"/>
      <c r="K159" s="469"/>
      <c r="L159" s="469"/>
      <c r="M159" s="467"/>
      <c r="N159" s="571"/>
      <c r="O159" s="572"/>
      <c r="P159" s="563"/>
      <c r="Q159" s="564"/>
      <c r="R159" s="564"/>
      <c r="S159" s="564"/>
      <c r="T159" s="564"/>
      <c r="U159" s="437"/>
    </row>
    <row r="160" spans="1:21" ht="87" customHeight="1" thickBot="1" x14ac:dyDescent="0.35">
      <c r="A160" s="441"/>
      <c r="B160" s="471" t="s">
        <v>949</v>
      </c>
      <c r="C160" s="573" t="s">
        <v>1387</v>
      </c>
      <c r="D160" s="574" t="s">
        <v>564</v>
      </c>
      <c r="E160" s="578">
        <v>0.06</v>
      </c>
      <c r="F160" s="576">
        <v>1</v>
      </c>
      <c r="G160" s="468">
        <v>0</v>
      </c>
      <c r="H160" s="475"/>
      <c r="I160" s="475"/>
      <c r="J160" s="468"/>
      <c r="K160" s="475"/>
      <c r="L160" s="475"/>
      <c r="M160" s="475"/>
      <c r="N160" s="577">
        <v>0</v>
      </c>
      <c r="O160" s="604" t="s">
        <v>1865</v>
      </c>
      <c r="P160" s="563"/>
      <c r="Q160" s="564"/>
      <c r="R160" s="564"/>
      <c r="S160" s="564"/>
      <c r="T160" s="564"/>
      <c r="U160" s="437"/>
    </row>
    <row r="161" spans="1:24" ht="66" customHeight="1" thickBot="1" x14ac:dyDescent="0.35">
      <c r="A161" s="441"/>
      <c r="B161" s="471" t="s">
        <v>950</v>
      </c>
      <c r="C161" s="573" t="s">
        <v>1388</v>
      </c>
      <c r="D161" s="574" t="s">
        <v>564</v>
      </c>
      <c r="E161" s="578">
        <v>0.06</v>
      </c>
      <c r="F161" s="576">
        <v>1</v>
      </c>
      <c r="G161" s="468">
        <v>0</v>
      </c>
      <c r="H161" s="475"/>
      <c r="I161" s="475"/>
      <c r="J161" s="468"/>
      <c r="K161" s="475"/>
      <c r="L161" s="475"/>
      <c r="M161" s="475"/>
      <c r="N161" s="577">
        <v>0</v>
      </c>
      <c r="O161" s="604" t="s">
        <v>1865</v>
      </c>
      <c r="P161" s="563"/>
      <c r="Q161" s="564"/>
      <c r="R161" s="564"/>
      <c r="S161" s="564"/>
      <c r="T161" s="564"/>
      <c r="U161" s="437"/>
    </row>
    <row r="162" spans="1:24" ht="91.15" customHeight="1" thickBot="1" x14ac:dyDescent="0.35">
      <c r="A162" s="441"/>
      <c r="B162" s="471" t="s">
        <v>951</v>
      </c>
      <c r="C162" s="573" t="s">
        <v>1389</v>
      </c>
      <c r="D162" s="574" t="s">
        <v>564</v>
      </c>
      <c r="E162" s="578">
        <v>0.06</v>
      </c>
      <c r="F162" s="576">
        <v>1</v>
      </c>
      <c r="G162" s="468">
        <v>0</v>
      </c>
      <c r="H162" s="475"/>
      <c r="I162" s="475"/>
      <c r="J162" s="468"/>
      <c r="K162" s="475"/>
      <c r="L162" s="475"/>
      <c r="M162" s="475"/>
      <c r="N162" s="577">
        <v>0</v>
      </c>
      <c r="O162" s="604" t="s">
        <v>1865</v>
      </c>
      <c r="P162" s="563"/>
      <c r="Q162" s="564"/>
      <c r="R162" s="564"/>
      <c r="S162" s="564"/>
      <c r="T162" s="564"/>
      <c r="U162" s="437"/>
    </row>
    <row r="163" spans="1:24" ht="79.150000000000006" customHeight="1" thickBot="1" x14ac:dyDescent="0.35">
      <c r="A163" s="441"/>
      <c r="B163" s="471" t="s">
        <v>952</v>
      </c>
      <c r="C163" s="573" t="s">
        <v>1390</v>
      </c>
      <c r="D163" s="574" t="s">
        <v>564</v>
      </c>
      <c r="E163" s="578">
        <v>0.3</v>
      </c>
      <c r="F163" s="576">
        <v>7</v>
      </c>
      <c r="G163" s="468">
        <v>0</v>
      </c>
      <c r="H163" s="475"/>
      <c r="I163" s="475"/>
      <c r="J163" s="468"/>
      <c r="K163" s="475"/>
      <c r="L163" s="475"/>
      <c r="M163" s="475"/>
      <c r="N163" s="577">
        <v>0</v>
      </c>
      <c r="O163" s="604" t="s">
        <v>1865</v>
      </c>
      <c r="P163" s="563"/>
      <c r="Q163" s="564"/>
      <c r="R163" s="564"/>
      <c r="S163" s="564"/>
      <c r="T163" s="564"/>
      <c r="U163" s="437"/>
    </row>
    <row r="164" spans="1:24" ht="44.45" customHeight="1" thickBot="1" x14ac:dyDescent="0.35">
      <c r="A164" s="441"/>
      <c r="B164" s="471" t="s">
        <v>953</v>
      </c>
      <c r="C164" s="573" t="s">
        <v>1391</v>
      </c>
      <c r="D164" s="574" t="s">
        <v>816</v>
      </c>
      <c r="E164" s="578">
        <v>0.02</v>
      </c>
      <c r="F164" s="576">
        <v>1</v>
      </c>
      <c r="G164" s="468">
        <v>0</v>
      </c>
      <c r="H164" s="475"/>
      <c r="I164" s="475"/>
      <c r="J164" s="468"/>
      <c r="K164" s="475"/>
      <c r="L164" s="475"/>
      <c r="M164" s="475"/>
      <c r="N164" s="577">
        <v>0</v>
      </c>
      <c r="O164" s="604" t="s">
        <v>1865</v>
      </c>
      <c r="P164" s="563"/>
      <c r="Q164" s="564"/>
      <c r="R164" s="564"/>
      <c r="S164" s="564"/>
      <c r="T164" s="564"/>
      <c r="U164" s="437"/>
    </row>
    <row r="165" spans="1:24" ht="69" customHeight="1" thickBot="1" x14ac:dyDescent="0.35">
      <c r="A165" s="441"/>
      <c r="B165" s="471" t="s">
        <v>954</v>
      </c>
      <c r="C165" s="573" t="s">
        <v>1392</v>
      </c>
      <c r="D165" s="574" t="s">
        <v>564</v>
      </c>
      <c r="E165" s="578">
        <v>0.4</v>
      </c>
      <c r="F165" s="576">
        <v>2</v>
      </c>
      <c r="G165" s="468">
        <v>0</v>
      </c>
      <c r="H165" s="475"/>
      <c r="I165" s="475"/>
      <c r="J165" s="468"/>
      <c r="K165" s="475"/>
      <c r="L165" s="475"/>
      <c r="M165" s="475"/>
      <c r="N165" s="577">
        <v>0</v>
      </c>
      <c r="O165" s="604" t="s">
        <v>1865</v>
      </c>
      <c r="P165" s="563"/>
      <c r="Q165" s="564"/>
      <c r="R165" s="564"/>
      <c r="S165" s="564"/>
      <c r="T165" s="564"/>
      <c r="U165" s="437"/>
    </row>
    <row r="166" spans="1:24" ht="91.15" customHeight="1" thickBot="1" x14ac:dyDescent="0.35">
      <c r="A166" s="441"/>
      <c r="B166" s="471" t="s">
        <v>955</v>
      </c>
      <c r="C166" s="573" t="s">
        <v>1393</v>
      </c>
      <c r="D166" s="574" t="s">
        <v>564</v>
      </c>
      <c r="E166" s="578">
        <v>0.1</v>
      </c>
      <c r="F166" s="576">
        <v>4</v>
      </c>
      <c r="G166" s="468">
        <v>0</v>
      </c>
      <c r="H166" s="475"/>
      <c r="I166" s="475"/>
      <c r="J166" s="468"/>
      <c r="K166" s="475"/>
      <c r="L166" s="475"/>
      <c r="M166" s="475"/>
      <c r="N166" s="577">
        <v>0</v>
      </c>
      <c r="O166" s="604" t="s">
        <v>1865</v>
      </c>
      <c r="P166" s="563"/>
      <c r="Q166" s="564"/>
      <c r="R166" s="564"/>
      <c r="S166" s="564"/>
      <c r="T166" s="564"/>
      <c r="U166" s="437"/>
    </row>
    <row r="167" spans="1:24" ht="78" customHeight="1" thickBot="1" x14ac:dyDescent="0.35">
      <c r="A167" s="441"/>
      <c r="B167" s="717" t="s">
        <v>1825</v>
      </c>
      <c r="C167" s="726"/>
      <c r="D167" s="581"/>
      <c r="E167" s="584">
        <v>0.05</v>
      </c>
      <c r="F167" s="456">
        <f>+E167*L167</f>
        <v>0</v>
      </c>
      <c r="G167" s="461"/>
      <c r="H167" s="459"/>
      <c r="I167" s="460"/>
      <c r="J167" s="461"/>
      <c r="K167" s="459"/>
      <c r="L167" s="460"/>
      <c r="M167" s="459"/>
      <c r="N167" s="568"/>
      <c r="O167" s="569"/>
      <c r="P167" s="563"/>
      <c r="Q167" s="564"/>
      <c r="R167" s="564"/>
      <c r="S167" s="564"/>
      <c r="T167" s="564"/>
      <c r="U167" s="437"/>
    </row>
    <row r="168" spans="1:24" ht="86.25" customHeight="1" thickBot="1" x14ac:dyDescent="0.35">
      <c r="A168" s="441"/>
      <c r="B168" s="715" t="s">
        <v>1758</v>
      </c>
      <c r="C168" s="726"/>
      <c r="D168" s="581"/>
      <c r="E168" s="582">
        <v>1</v>
      </c>
      <c r="F168" s="576"/>
      <c r="G168" s="461"/>
      <c r="H168" s="467"/>
      <c r="I168" s="467"/>
      <c r="J168" s="466"/>
      <c r="K168" s="469"/>
      <c r="L168" s="469"/>
      <c r="M168" s="467"/>
      <c r="N168" s="571"/>
      <c r="O168" s="572"/>
      <c r="P168" s="563"/>
      <c r="Q168" s="564"/>
      <c r="R168" s="564"/>
      <c r="S168" s="564"/>
      <c r="T168" s="564"/>
      <c r="U168" s="437"/>
    </row>
    <row r="169" spans="1:24" ht="60" customHeight="1" thickBot="1" x14ac:dyDescent="0.35">
      <c r="A169" s="441"/>
      <c r="B169" s="471" t="s">
        <v>956</v>
      </c>
      <c r="C169" s="573" t="s">
        <v>1394</v>
      </c>
      <c r="D169" s="574" t="s">
        <v>564</v>
      </c>
      <c r="E169" s="578">
        <v>0.2</v>
      </c>
      <c r="F169" s="576">
        <v>1</v>
      </c>
      <c r="G169" s="468">
        <v>0</v>
      </c>
      <c r="H169" s="475"/>
      <c r="I169" s="475"/>
      <c r="J169" s="475"/>
      <c r="K169" s="475"/>
      <c r="L169" s="475"/>
      <c r="M169" s="475"/>
      <c r="N169" s="577">
        <v>0</v>
      </c>
      <c r="O169" s="604" t="s">
        <v>1865</v>
      </c>
      <c r="P169" s="563"/>
      <c r="Q169" s="564"/>
      <c r="R169" s="564"/>
      <c r="S169" s="564"/>
      <c r="T169" s="564"/>
      <c r="U169" s="437"/>
    </row>
    <row r="170" spans="1:24" ht="38.25" thickBot="1" x14ac:dyDescent="0.35">
      <c r="A170" s="441"/>
      <c r="B170" s="471" t="s">
        <v>957</v>
      </c>
      <c r="C170" s="573" t="s">
        <v>1395</v>
      </c>
      <c r="D170" s="574" t="s">
        <v>958</v>
      </c>
      <c r="E170" s="578">
        <v>0.2</v>
      </c>
      <c r="F170" s="576">
        <v>1</v>
      </c>
      <c r="G170" s="468">
        <v>0</v>
      </c>
      <c r="H170" s="475"/>
      <c r="I170" s="475"/>
      <c r="J170" s="475"/>
      <c r="K170" s="475"/>
      <c r="L170" s="475"/>
      <c r="M170" s="475"/>
      <c r="N170" s="577">
        <v>0</v>
      </c>
      <c r="O170" s="604" t="s">
        <v>1865</v>
      </c>
      <c r="P170" s="563"/>
      <c r="Q170" s="564"/>
      <c r="R170" s="564"/>
      <c r="S170" s="564"/>
      <c r="T170" s="564"/>
      <c r="U170" s="437"/>
    </row>
    <row r="171" spans="1:24" ht="111.6" customHeight="1" thickBot="1" x14ac:dyDescent="0.35">
      <c r="A171" s="441"/>
      <c r="B171" s="489" t="s">
        <v>959</v>
      </c>
      <c r="C171" s="592" t="s">
        <v>1396</v>
      </c>
      <c r="D171" s="606" t="s">
        <v>1885</v>
      </c>
      <c r="E171" s="619">
        <v>0.6</v>
      </c>
      <c r="F171" s="576">
        <v>1</v>
      </c>
      <c r="G171" s="468">
        <v>0</v>
      </c>
      <c r="H171" s="475"/>
      <c r="I171" s="475"/>
      <c r="J171" s="468"/>
      <c r="K171" s="475"/>
      <c r="L171" s="475"/>
      <c r="M171" s="475"/>
      <c r="N171" s="475"/>
      <c r="O171" s="585" t="s">
        <v>1581</v>
      </c>
      <c r="P171" s="563"/>
      <c r="Q171" s="564"/>
      <c r="R171" s="564"/>
      <c r="S171" s="564"/>
      <c r="T171" s="564"/>
      <c r="U171" s="437"/>
    </row>
    <row r="172" spans="1:24" ht="15.75" customHeight="1" thickBot="1" x14ac:dyDescent="0.35">
      <c r="A172" s="437"/>
      <c r="B172" s="534"/>
      <c r="C172" s="534"/>
      <c r="D172" s="534"/>
      <c r="E172" s="534"/>
      <c r="F172" s="534"/>
      <c r="G172" s="534"/>
      <c r="H172" s="534"/>
      <c r="I172" s="534"/>
      <c r="J172" s="534"/>
      <c r="K172" s="534"/>
      <c r="L172" s="534"/>
      <c r="M172" s="534"/>
      <c r="N172" s="620"/>
      <c r="O172" s="620"/>
      <c r="P172" s="441"/>
      <c r="Q172" s="441"/>
      <c r="R172" s="441"/>
      <c r="S172" s="441"/>
      <c r="T172" s="441"/>
      <c r="U172" s="441"/>
      <c r="V172" s="441"/>
      <c r="W172" s="441"/>
      <c r="X172" s="441"/>
    </row>
    <row r="173" spans="1:24" ht="15.75" customHeight="1" thickBot="1" x14ac:dyDescent="0.35">
      <c r="A173" s="437"/>
      <c r="B173" s="437"/>
      <c r="C173" s="437"/>
      <c r="D173" s="437"/>
      <c r="E173" s="437"/>
      <c r="F173" s="437"/>
      <c r="G173" s="437"/>
      <c r="H173" s="437"/>
      <c r="I173" s="437"/>
      <c r="J173" s="437"/>
      <c r="K173" s="437"/>
      <c r="L173" s="437"/>
      <c r="M173" s="437"/>
      <c r="N173" s="441"/>
      <c r="O173" s="441"/>
      <c r="P173" s="441"/>
      <c r="Q173" s="441"/>
      <c r="R173" s="441"/>
      <c r="S173" s="441"/>
      <c r="T173" s="441"/>
      <c r="U173" s="441"/>
      <c r="V173" s="441"/>
      <c r="W173" s="441"/>
      <c r="X173" s="441"/>
    </row>
    <row r="174" spans="1:24" ht="15.75" customHeight="1" thickBot="1" x14ac:dyDescent="0.35">
      <c r="A174" s="437"/>
      <c r="B174" s="437"/>
      <c r="C174" s="437"/>
      <c r="D174" s="437"/>
      <c r="E174" s="437"/>
      <c r="F174" s="437"/>
      <c r="G174" s="437"/>
      <c r="H174" s="437"/>
      <c r="I174" s="437"/>
      <c r="J174" s="437"/>
      <c r="K174" s="437"/>
      <c r="L174" s="437"/>
      <c r="M174" s="437"/>
      <c r="N174" s="441"/>
      <c r="O174" s="441"/>
      <c r="P174" s="441"/>
      <c r="Q174" s="441"/>
      <c r="R174" s="441"/>
      <c r="S174" s="441"/>
      <c r="T174" s="441"/>
      <c r="U174" s="441"/>
      <c r="V174" s="441"/>
      <c r="W174" s="441"/>
      <c r="X174" s="441"/>
    </row>
    <row r="175" spans="1:24" ht="15.75" customHeight="1" thickBot="1" x14ac:dyDescent="0.35">
      <c r="A175" s="437"/>
      <c r="B175" s="437"/>
      <c r="C175" s="437"/>
      <c r="D175" s="437"/>
      <c r="E175" s="437"/>
      <c r="F175" s="437"/>
      <c r="G175" s="437"/>
      <c r="H175" s="437"/>
      <c r="I175" s="437"/>
      <c r="J175" s="437"/>
      <c r="K175" s="437"/>
      <c r="L175" s="437"/>
      <c r="M175" s="437"/>
      <c r="N175" s="441"/>
      <c r="O175" s="441"/>
      <c r="P175" s="441"/>
      <c r="Q175" s="441"/>
      <c r="R175" s="441"/>
      <c r="S175" s="441"/>
      <c r="T175" s="441"/>
      <c r="U175" s="441"/>
      <c r="V175" s="441"/>
      <c r="W175" s="441"/>
      <c r="X175" s="441"/>
    </row>
    <row r="176" spans="1:24" ht="15.75" customHeight="1" thickBot="1" x14ac:dyDescent="0.35">
      <c r="A176" s="437"/>
      <c r="B176" s="437"/>
      <c r="C176" s="437"/>
      <c r="D176" s="437"/>
      <c r="E176" s="437"/>
      <c r="F176" s="437"/>
      <c r="G176" s="437"/>
      <c r="H176" s="437"/>
      <c r="I176" s="437"/>
      <c r="J176" s="437"/>
      <c r="K176" s="437"/>
      <c r="L176" s="437"/>
      <c r="M176" s="437"/>
      <c r="N176" s="441"/>
      <c r="O176" s="441"/>
      <c r="P176" s="441"/>
      <c r="Q176" s="441"/>
      <c r="R176" s="441"/>
      <c r="S176" s="441"/>
      <c r="T176" s="441"/>
      <c r="U176" s="441"/>
      <c r="V176" s="441"/>
      <c r="W176" s="441"/>
      <c r="X176" s="441"/>
    </row>
    <row r="177" spans="1:24" ht="15.75" customHeight="1" thickBot="1" x14ac:dyDescent="0.35">
      <c r="A177" s="437"/>
      <c r="B177" s="437"/>
      <c r="C177" s="437"/>
      <c r="D177" s="437"/>
      <c r="E177" s="437"/>
      <c r="F177" s="437"/>
      <c r="G177" s="437"/>
      <c r="H177" s="437"/>
      <c r="I177" s="437"/>
      <c r="J177" s="437"/>
      <c r="K177" s="437"/>
      <c r="L177" s="437"/>
      <c r="M177" s="437"/>
      <c r="N177" s="441"/>
      <c r="O177" s="441"/>
      <c r="P177" s="441"/>
      <c r="Q177" s="441"/>
      <c r="R177" s="441"/>
      <c r="S177" s="441"/>
      <c r="T177" s="441"/>
      <c r="U177" s="441"/>
      <c r="V177" s="441"/>
      <c r="W177" s="441"/>
      <c r="X177" s="441"/>
    </row>
    <row r="178" spans="1:24" ht="15.75" customHeight="1" thickBot="1" x14ac:dyDescent="0.35">
      <c r="A178" s="437"/>
      <c r="B178" s="437"/>
      <c r="C178" s="437"/>
      <c r="D178" s="437"/>
      <c r="E178" s="437"/>
      <c r="F178" s="437"/>
      <c r="G178" s="437"/>
      <c r="H178" s="437"/>
      <c r="I178" s="437"/>
      <c r="J178" s="437"/>
      <c r="K178" s="437"/>
      <c r="L178" s="437"/>
      <c r="M178" s="437"/>
      <c r="N178" s="441"/>
      <c r="O178" s="441"/>
      <c r="P178" s="441"/>
      <c r="Q178" s="441"/>
      <c r="R178" s="441"/>
      <c r="S178" s="441"/>
      <c r="T178" s="441"/>
      <c r="U178" s="441"/>
      <c r="V178" s="441"/>
      <c r="W178" s="441"/>
      <c r="X178" s="441"/>
    </row>
    <row r="179" spans="1:24" ht="15.75" customHeight="1" thickBot="1" x14ac:dyDescent="0.35">
      <c r="A179" s="437"/>
      <c r="B179" s="437"/>
      <c r="C179" s="437"/>
      <c r="D179" s="437"/>
      <c r="E179" s="437"/>
      <c r="F179" s="437"/>
      <c r="G179" s="437"/>
      <c r="H179" s="437"/>
      <c r="I179" s="437"/>
      <c r="J179" s="437"/>
      <c r="K179" s="437"/>
      <c r="L179" s="437"/>
      <c r="M179" s="437"/>
      <c r="N179" s="441"/>
      <c r="O179" s="441"/>
      <c r="P179" s="441"/>
      <c r="Q179" s="441"/>
      <c r="R179" s="441"/>
      <c r="S179" s="441"/>
      <c r="T179" s="441"/>
      <c r="U179" s="441"/>
      <c r="V179" s="441"/>
      <c r="W179" s="441"/>
      <c r="X179" s="441"/>
    </row>
    <row r="180" spans="1:24" ht="15.75" customHeight="1" thickBot="1" x14ac:dyDescent="0.35">
      <c r="A180" s="437"/>
      <c r="B180" s="437"/>
      <c r="C180" s="437"/>
      <c r="D180" s="437"/>
      <c r="E180" s="437"/>
      <c r="F180" s="437"/>
      <c r="G180" s="437"/>
      <c r="H180" s="437"/>
      <c r="I180" s="437"/>
      <c r="J180" s="437"/>
      <c r="K180" s="437"/>
      <c r="L180" s="437"/>
      <c r="M180" s="437"/>
      <c r="N180" s="441"/>
      <c r="O180" s="441"/>
      <c r="P180" s="441"/>
      <c r="Q180" s="441"/>
      <c r="R180" s="441"/>
      <c r="S180" s="441"/>
      <c r="T180" s="441"/>
      <c r="U180" s="441"/>
      <c r="V180" s="441"/>
      <c r="W180" s="441"/>
      <c r="X180" s="441"/>
    </row>
    <row r="181" spans="1:24" ht="15.75" customHeight="1" thickBot="1" x14ac:dyDescent="0.35">
      <c r="A181" s="437"/>
      <c r="B181" s="437"/>
      <c r="C181" s="437"/>
      <c r="D181" s="437"/>
      <c r="E181" s="437"/>
      <c r="F181" s="437"/>
      <c r="G181" s="437"/>
      <c r="H181" s="437"/>
      <c r="I181" s="437"/>
      <c r="J181" s="437"/>
      <c r="K181" s="437"/>
      <c r="L181" s="437"/>
      <c r="M181" s="437"/>
      <c r="N181" s="441"/>
      <c r="O181" s="441"/>
      <c r="P181" s="441"/>
      <c r="Q181" s="441"/>
      <c r="R181" s="441"/>
      <c r="S181" s="441"/>
      <c r="T181" s="441"/>
      <c r="U181" s="441"/>
      <c r="V181" s="441"/>
      <c r="W181" s="441"/>
      <c r="X181" s="441"/>
    </row>
    <row r="182" spans="1:24" ht="15.75" customHeight="1" thickBot="1" x14ac:dyDescent="0.35">
      <c r="A182" s="437"/>
      <c r="B182" s="437"/>
      <c r="C182" s="437"/>
      <c r="D182" s="437"/>
      <c r="E182" s="437"/>
      <c r="F182" s="437"/>
      <c r="G182" s="437"/>
      <c r="H182" s="437"/>
      <c r="I182" s="437"/>
      <c r="J182" s="437"/>
      <c r="K182" s="437"/>
      <c r="L182" s="437"/>
      <c r="M182" s="437"/>
      <c r="N182" s="441"/>
      <c r="O182" s="441"/>
      <c r="P182" s="441"/>
      <c r="Q182" s="441"/>
      <c r="R182" s="441"/>
      <c r="S182" s="441"/>
      <c r="T182" s="441"/>
      <c r="U182" s="441"/>
      <c r="V182" s="441"/>
      <c r="W182" s="441"/>
      <c r="X182" s="441"/>
    </row>
    <row r="183" spans="1:24" ht="15.75" customHeight="1" thickBot="1" x14ac:dyDescent="0.35">
      <c r="A183" s="437"/>
      <c r="B183" s="437"/>
      <c r="C183" s="437"/>
      <c r="D183" s="437"/>
      <c r="E183" s="437"/>
      <c r="F183" s="437"/>
      <c r="G183" s="437"/>
      <c r="H183" s="437"/>
      <c r="I183" s="437"/>
      <c r="J183" s="437"/>
      <c r="K183" s="437"/>
      <c r="L183" s="437"/>
      <c r="M183" s="437"/>
      <c r="N183" s="441"/>
      <c r="O183" s="441"/>
      <c r="P183" s="441"/>
      <c r="Q183" s="441"/>
      <c r="R183" s="441"/>
      <c r="S183" s="441"/>
      <c r="T183" s="441"/>
      <c r="U183" s="441"/>
      <c r="V183" s="441"/>
      <c r="W183" s="441"/>
      <c r="X183" s="441"/>
    </row>
    <row r="184" spans="1:24" ht="15.75" customHeight="1" thickBot="1" x14ac:dyDescent="0.35">
      <c r="A184" s="437"/>
      <c r="B184" s="437"/>
      <c r="C184" s="437"/>
      <c r="D184" s="437"/>
      <c r="E184" s="437"/>
      <c r="F184" s="437"/>
      <c r="G184" s="437"/>
      <c r="H184" s="437"/>
      <c r="I184" s="437"/>
      <c r="J184" s="437"/>
      <c r="K184" s="437"/>
      <c r="L184" s="437"/>
      <c r="M184" s="437"/>
      <c r="N184" s="441"/>
      <c r="O184" s="441"/>
      <c r="P184" s="441"/>
      <c r="Q184" s="441"/>
      <c r="R184" s="441"/>
      <c r="S184" s="441"/>
      <c r="T184" s="441"/>
      <c r="U184" s="441"/>
      <c r="V184" s="441"/>
      <c r="W184" s="441"/>
      <c r="X184" s="441"/>
    </row>
    <row r="185" spans="1:24" ht="15.75" customHeight="1" thickBot="1" x14ac:dyDescent="0.35">
      <c r="A185" s="437"/>
      <c r="B185" s="437"/>
      <c r="C185" s="437"/>
      <c r="D185" s="437"/>
      <c r="E185" s="437"/>
      <c r="F185" s="437"/>
      <c r="G185" s="437"/>
      <c r="H185" s="437"/>
      <c r="I185" s="437"/>
      <c r="J185" s="437"/>
      <c r="K185" s="437"/>
      <c r="L185" s="437"/>
      <c r="M185" s="437"/>
      <c r="N185" s="441"/>
      <c r="O185" s="441"/>
      <c r="P185" s="441"/>
      <c r="Q185" s="441"/>
      <c r="R185" s="441"/>
      <c r="S185" s="441"/>
      <c r="T185" s="441"/>
      <c r="U185" s="441"/>
      <c r="V185" s="441"/>
      <c r="W185" s="441"/>
      <c r="X185" s="441"/>
    </row>
    <row r="186" spans="1:24" ht="15.75" customHeight="1" thickBot="1" x14ac:dyDescent="0.35">
      <c r="A186" s="437"/>
      <c r="B186" s="437"/>
      <c r="C186" s="437"/>
      <c r="D186" s="437"/>
      <c r="E186" s="437"/>
      <c r="F186" s="437"/>
      <c r="G186" s="437"/>
      <c r="H186" s="437"/>
      <c r="I186" s="437"/>
      <c r="J186" s="437"/>
      <c r="K186" s="437"/>
      <c r="L186" s="437"/>
      <c r="M186" s="437"/>
      <c r="N186" s="441"/>
      <c r="O186" s="441"/>
      <c r="P186" s="441"/>
      <c r="Q186" s="441"/>
      <c r="R186" s="441"/>
      <c r="S186" s="441"/>
      <c r="T186" s="441"/>
      <c r="U186" s="441"/>
      <c r="V186" s="441"/>
      <c r="W186" s="441"/>
      <c r="X186" s="441"/>
    </row>
    <row r="187" spans="1:24" ht="15.75" customHeight="1" thickBot="1" x14ac:dyDescent="0.35">
      <c r="A187" s="437"/>
      <c r="B187" s="437"/>
      <c r="C187" s="437"/>
      <c r="D187" s="437"/>
      <c r="E187" s="437"/>
      <c r="F187" s="437"/>
      <c r="G187" s="437"/>
      <c r="H187" s="437"/>
      <c r="I187" s="437"/>
      <c r="J187" s="437"/>
      <c r="K187" s="437"/>
      <c r="L187" s="437"/>
      <c r="M187" s="437"/>
      <c r="N187" s="441"/>
      <c r="O187" s="441"/>
      <c r="P187" s="441"/>
      <c r="Q187" s="441"/>
      <c r="R187" s="441"/>
      <c r="S187" s="441"/>
      <c r="T187" s="441"/>
      <c r="U187" s="441"/>
      <c r="V187" s="441"/>
      <c r="W187" s="441"/>
      <c r="X187" s="441"/>
    </row>
    <row r="188" spans="1:24" ht="15.75" customHeight="1" thickBot="1" x14ac:dyDescent="0.35">
      <c r="A188" s="437"/>
      <c r="B188" s="437"/>
      <c r="C188" s="437"/>
      <c r="D188" s="437"/>
      <c r="E188" s="437"/>
      <c r="F188" s="437"/>
      <c r="G188" s="437"/>
      <c r="H188" s="437"/>
      <c r="I188" s="437"/>
      <c r="J188" s="437"/>
      <c r="K188" s="437"/>
      <c r="L188" s="437"/>
      <c r="M188" s="437"/>
      <c r="N188" s="441"/>
      <c r="O188" s="441"/>
      <c r="P188" s="441"/>
      <c r="Q188" s="441"/>
      <c r="R188" s="441"/>
      <c r="S188" s="441"/>
      <c r="T188" s="441"/>
      <c r="U188" s="441"/>
      <c r="V188" s="441"/>
      <c r="W188" s="441"/>
      <c r="X188" s="441"/>
    </row>
    <row r="189" spans="1:24" ht="15.75" customHeight="1" thickBot="1" x14ac:dyDescent="0.35">
      <c r="A189" s="437"/>
      <c r="B189" s="437"/>
      <c r="C189" s="437"/>
      <c r="D189" s="437"/>
      <c r="E189" s="437"/>
      <c r="F189" s="437"/>
      <c r="G189" s="437"/>
      <c r="H189" s="437"/>
      <c r="I189" s="437"/>
      <c r="J189" s="437"/>
      <c r="K189" s="437"/>
      <c r="L189" s="437"/>
      <c r="M189" s="437"/>
      <c r="N189" s="441"/>
      <c r="O189" s="441"/>
      <c r="P189" s="441"/>
      <c r="Q189" s="441"/>
      <c r="R189" s="441"/>
      <c r="S189" s="441"/>
      <c r="T189" s="441"/>
      <c r="U189" s="441"/>
      <c r="V189" s="441"/>
      <c r="W189" s="441"/>
      <c r="X189" s="441"/>
    </row>
    <row r="190" spans="1:24" ht="15.75" customHeight="1" thickBot="1" x14ac:dyDescent="0.35">
      <c r="A190" s="437"/>
      <c r="B190" s="437"/>
      <c r="C190" s="437"/>
      <c r="D190" s="437"/>
      <c r="E190" s="437"/>
      <c r="F190" s="437"/>
      <c r="G190" s="437"/>
      <c r="H190" s="437"/>
      <c r="I190" s="437"/>
      <c r="J190" s="437"/>
      <c r="K190" s="437"/>
      <c r="L190" s="437"/>
      <c r="M190" s="437"/>
      <c r="N190" s="441"/>
      <c r="O190" s="441"/>
      <c r="P190" s="441"/>
      <c r="Q190" s="441"/>
      <c r="R190" s="441"/>
      <c r="S190" s="441"/>
      <c r="T190" s="441"/>
      <c r="U190" s="441"/>
      <c r="V190" s="441"/>
      <c r="W190" s="441"/>
      <c r="X190" s="441"/>
    </row>
    <row r="191" spans="1:24" ht="15.75" customHeight="1" thickBot="1" x14ac:dyDescent="0.35">
      <c r="A191" s="437"/>
      <c r="B191" s="437"/>
      <c r="C191" s="437"/>
      <c r="D191" s="437"/>
      <c r="E191" s="437"/>
      <c r="F191" s="437"/>
      <c r="G191" s="437"/>
      <c r="H191" s="437"/>
      <c r="I191" s="437"/>
      <c r="J191" s="437"/>
      <c r="K191" s="437"/>
      <c r="L191" s="437"/>
      <c r="M191" s="437"/>
      <c r="N191" s="441"/>
      <c r="O191" s="441"/>
      <c r="P191" s="441"/>
      <c r="Q191" s="441"/>
      <c r="R191" s="441"/>
      <c r="S191" s="441"/>
      <c r="T191" s="441"/>
      <c r="U191" s="441"/>
      <c r="V191" s="441"/>
      <c r="W191" s="441"/>
      <c r="X191" s="441"/>
    </row>
    <row r="192" spans="1:24" ht="15.75" customHeight="1" thickBot="1" x14ac:dyDescent="0.35">
      <c r="A192" s="437"/>
      <c r="B192" s="437"/>
      <c r="C192" s="437"/>
      <c r="D192" s="437"/>
      <c r="E192" s="437"/>
      <c r="F192" s="437"/>
      <c r="G192" s="437"/>
      <c r="H192" s="437"/>
      <c r="I192" s="437"/>
      <c r="J192" s="437"/>
      <c r="K192" s="437"/>
      <c r="L192" s="437"/>
      <c r="M192" s="437"/>
      <c r="N192" s="441"/>
      <c r="O192" s="441"/>
      <c r="P192" s="441"/>
      <c r="Q192" s="441"/>
      <c r="R192" s="441"/>
      <c r="S192" s="441"/>
      <c r="T192" s="441"/>
      <c r="U192" s="441"/>
      <c r="V192" s="441"/>
      <c r="W192" s="441"/>
      <c r="X192" s="441"/>
    </row>
    <row r="193" spans="1:24" ht="15.75" customHeight="1" thickBot="1" x14ac:dyDescent="0.35">
      <c r="A193" s="437"/>
      <c r="B193" s="437"/>
      <c r="C193" s="437"/>
      <c r="D193" s="437"/>
      <c r="E193" s="437"/>
      <c r="F193" s="437"/>
      <c r="G193" s="437"/>
      <c r="H193" s="437"/>
      <c r="I193" s="437"/>
      <c r="J193" s="437"/>
      <c r="K193" s="437"/>
      <c r="L193" s="437"/>
      <c r="M193" s="437"/>
      <c r="N193" s="441"/>
      <c r="O193" s="441"/>
      <c r="P193" s="441"/>
      <c r="Q193" s="441"/>
      <c r="R193" s="441"/>
      <c r="S193" s="441"/>
      <c r="T193" s="441"/>
      <c r="U193" s="441"/>
      <c r="V193" s="441"/>
      <c r="W193" s="441"/>
      <c r="X193" s="441"/>
    </row>
    <row r="194" spans="1:24" ht="15.75" customHeight="1" thickBot="1" x14ac:dyDescent="0.35">
      <c r="A194" s="437"/>
      <c r="B194" s="437"/>
      <c r="C194" s="437"/>
      <c r="D194" s="437"/>
      <c r="E194" s="437"/>
      <c r="F194" s="437"/>
      <c r="G194" s="437"/>
      <c r="H194" s="437"/>
      <c r="I194" s="437"/>
      <c r="J194" s="437"/>
      <c r="K194" s="437"/>
      <c r="L194" s="437"/>
      <c r="M194" s="437"/>
      <c r="N194" s="441"/>
      <c r="O194" s="441"/>
      <c r="P194" s="441"/>
      <c r="Q194" s="441"/>
      <c r="R194" s="441"/>
      <c r="S194" s="441"/>
      <c r="T194" s="441"/>
      <c r="U194" s="441"/>
      <c r="V194" s="441"/>
      <c r="W194" s="441"/>
      <c r="X194" s="441"/>
    </row>
    <row r="195" spans="1:24" ht="15.75" customHeight="1" thickBot="1" x14ac:dyDescent="0.35">
      <c r="A195" s="437"/>
      <c r="B195" s="437"/>
      <c r="C195" s="437"/>
      <c r="D195" s="437"/>
      <c r="E195" s="437"/>
      <c r="F195" s="437"/>
      <c r="G195" s="437"/>
      <c r="H195" s="437"/>
      <c r="I195" s="437"/>
      <c r="J195" s="437"/>
      <c r="K195" s="437"/>
      <c r="L195" s="437"/>
      <c r="M195" s="437"/>
      <c r="N195" s="441"/>
      <c r="O195" s="441"/>
      <c r="P195" s="441"/>
      <c r="Q195" s="441"/>
      <c r="R195" s="441"/>
      <c r="S195" s="441"/>
      <c r="T195" s="441"/>
      <c r="U195" s="441"/>
      <c r="V195" s="441"/>
      <c r="W195" s="441"/>
      <c r="X195" s="441"/>
    </row>
    <row r="196" spans="1:24" ht="15.75" customHeight="1" thickBot="1" x14ac:dyDescent="0.35">
      <c r="A196" s="437"/>
      <c r="B196" s="437"/>
      <c r="C196" s="437"/>
      <c r="D196" s="437"/>
      <c r="E196" s="437"/>
      <c r="F196" s="437"/>
      <c r="G196" s="437"/>
      <c r="H196" s="437"/>
      <c r="I196" s="437"/>
      <c r="J196" s="437"/>
      <c r="K196" s="437"/>
      <c r="L196" s="437"/>
      <c r="M196" s="437"/>
      <c r="N196" s="441"/>
      <c r="O196" s="441"/>
      <c r="P196" s="441"/>
      <c r="Q196" s="441"/>
      <c r="R196" s="441"/>
      <c r="S196" s="441"/>
      <c r="T196" s="441"/>
      <c r="U196" s="441"/>
      <c r="V196" s="441"/>
      <c r="W196" s="441"/>
      <c r="X196" s="441"/>
    </row>
    <row r="197" spans="1:24" ht="15.75" customHeight="1" thickBot="1" x14ac:dyDescent="0.35">
      <c r="A197" s="437"/>
      <c r="B197" s="437"/>
      <c r="C197" s="437"/>
      <c r="D197" s="437"/>
      <c r="E197" s="437"/>
      <c r="F197" s="437"/>
      <c r="G197" s="437"/>
      <c r="H197" s="437"/>
      <c r="I197" s="437"/>
      <c r="J197" s="437"/>
      <c r="K197" s="437"/>
      <c r="L197" s="437"/>
      <c r="M197" s="437"/>
      <c r="N197" s="441"/>
      <c r="O197" s="441"/>
      <c r="P197" s="441"/>
      <c r="Q197" s="441"/>
      <c r="R197" s="441"/>
      <c r="S197" s="441"/>
      <c r="T197" s="441"/>
      <c r="U197" s="441"/>
      <c r="V197" s="441"/>
      <c r="W197" s="441"/>
      <c r="X197" s="441"/>
    </row>
    <row r="198" spans="1:24" ht="15.75" customHeight="1" thickBot="1" x14ac:dyDescent="0.35">
      <c r="A198" s="437"/>
      <c r="B198" s="437"/>
      <c r="C198" s="437"/>
      <c r="D198" s="437"/>
      <c r="E198" s="437"/>
      <c r="F198" s="437"/>
      <c r="G198" s="437"/>
      <c r="H198" s="437"/>
      <c r="I198" s="437"/>
      <c r="J198" s="437"/>
      <c r="K198" s="437"/>
      <c r="L198" s="437"/>
      <c r="M198" s="437"/>
      <c r="N198" s="441"/>
      <c r="O198" s="441"/>
      <c r="P198" s="441"/>
      <c r="Q198" s="441"/>
      <c r="R198" s="441"/>
      <c r="S198" s="441"/>
      <c r="T198" s="441"/>
      <c r="U198" s="441"/>
      <c r="V198" s="441"/>
      <c r="W198" s="441"/>
      <c r="X198" s="441"/>
    </row>
    <row r="199" spans="1:24" ht="15.75" customHeight="1" thickBot="1" x14ac:dyDescent="0.35">
      <c r="A199" s="437"/>
      <c r="B199" s="437"/>
      <c r="C199" s="437"/>
      <c r="D199" s="437"/>
      <c r="E199" s="437"/>
      <c r="F199" s="437"/>
      <c r="G199" s="437"/>
      <c r="H199" s="437"/>
      <c r="I199" s="437"/>
      <c r="J199" s="437"/>
      <c r="K199" s="437"/>
      <c r="L199" s="437"/>
      <c r="M199" s="437"/>
      <c r="N199" s="441"/>
      <c r="O199" s="441"/>
      <c r="P199" s="441"/>
      <c r="Q199" s="441"/>
      <c r="R199" s="441"/>
      <c r="S199" s="441"/>
      <c r="T199" s="441"/>
      <c r="U199" s="441"/>
      <c r="V199" s="441"/>
      <c r="W199" s="441"/>
      <c r="X199" s="441"/>
    </row>
    <row r="200" spans="1:24" ht="15.75" customHeight="1" thickBot="1" x14ac:dyDescent="0.35">
      <c r="A200" s="437"/>
      <c r="B200" s="437"/>
      <c r="C200" s="437"/>
      <c r="D200" s="437"/>
      <c r="E200" s="437"/>
      <c r="F200" s="437"/>
      <c r="G200" s="437"/>
      <c r="H200" s="437"/>
      <c r="I200" s="437"/>
      <c r="J200" s="437"/>
      <c r="K200" s="437"/>
      <c r="L200" s="437"/>
      <c r="M200" s="437"/>
      <c r="N200" s="441"/>
      <c r="O200" s="441"/>
      <c r="P200" s="441"/>
      <c r="Q200" s="441"/>
      <c r="R200" s="441"/>
      <c r="S200" s="441"/>
      <c r="T200" s="441"/>
      <c r="U200" s="441"/>
      <c r="V200" s="441"/>
      <c r="W200" s="441"/>
      <c r="X200" s="441"/>
    </row>
    <row r="201" spans="1:24" ht="15.75" customHeight="1" thickBot="1" x14ac:dyDescent="0.35">
      <c r="A201" s="437"/>
      <c r="B201" s="437"/>
      <c r="C201" s="437"/>
      <c r="D201" s="437"/>
      <c r="E201" s="437"/>
      <c r="F201" s="437"/>
      <c r="G201" s="437"/>
      <c r="H201" s="437"/>
      <c r="I201" s="437"/>
      <c r="J201" s="437"/>
      <c r="K201" s="437"/>
      <c r="L201" s="437"/>
      <c r="M201" s="437"/>
      <c r="N201" s="441"/>
      <c r="O201" s="441"/>
      <c r="P201" s="441"/>
      <c r="Q201" s="441"/>
      <c r="R201" s="441"/>
      <c r="S201" s="441"/>
      <c r="T201" s="441"/>
      <c r="U201" s="441"/>
      <c r="V201" s="441"/>
      <c r="W201" s="441"/>
      <c r="X201" s="441"/>
    </row>
    <row r="202" spans="1:24" ht="15.75" customHeight="1" thickBot="1" x14ac:dyDescent="0.35">
      <c r="A202" s="437"/>
      <c r="B202" s="437"/>
      <c r="C202" s="437"/>
      <c r="D202" s="437"/>
      <c r="E202" s="437"/>
      <c r="F202" s="437"/>
      <c r="G202" s="437"/>
      <c r="H202" s="437"/>
      <c r="I202" s="437"/>
      <c r="J202" s="437"/>
      <c r="K202" s="437"/>
      <c r="L202" s="437"/>
      <c r="M202" s="437"/>
      <c r="N202" s="441"/>
      <c r="O202" s="441"/>
      <c r="P202" s="441"/>
      <c r="Q202" s="441"/>
      <c r="R202" s="441"/>
      <c r="S202" s="441"/>
      <c r="T202" s="441"/>
      <c r="U202" s="441"/>
      <c r="V202" s="441"/>
      <c r="W202" s="441"/>
      <c r="X202" s="441"/>
    </row>
    <row r="203" spans="1:24" ht="15.75" customHeight="1" thickBot="1" x14ac:dyDescent="0.35">
      <c r="A203" s="437"/>
      <c r="B203" s="437"/>
      <c r="C203" s="437"/>
      <c r="D203" s="437"/>
      <c r="E203" s="437"/>
      <c r="F203" s="437"/>
      <c r="G203" s="437"/>
      <c r="H203" s="437"/>
      <c r="I203" s="437"/>
      <c r="J203" s="437"/>
      <c r="K203" s="437"/>
      <c r="L203" s="437"/>
      <c r="M203" s="437"/>
      <c r="N203" s="441"/>
      <c r="O203" s="441"/>
      <c r="P203" s="441"/>
      <c r="Q203" s="441"/>
      <c r="R203" s="441"/>
      <c r="S203" s="441"/>
      <c r="T203" s="441"/>
      <c r="U203" s="441"/>
      <c r="V203" s="441"/>
      <c r="W203" s="441"/>
      <c r="X203" s="441"/>
    </row>
    <row r="204" spans="1:24" ht="15.75" customHeight="1" thickBot="1" x14ac:dyDescent="0.35">
      <c r="A204" s="437"/>
      <c r="B204" s="437"/>
      <c r="C204" s="437"/>
      <c r="D204" s="437"/>
      <c r="E204" s="437"/>
      <c r="F204" s="437"/>
      <c r="G204" s="437"/>
      <c r="H204" s="437"/>
      <c r="I204" s="437"/>
      <c r="J204" s="437"/>
      <c r="K204" s="437"/>
      <c r="L204" s="437"/>
      <c r="M204" s="437"/>
      <c r="N204" s="441"/>
      <c r="O204" s="441"/>
      <c r="P204" s="441"/>
      <c r="Q204" s="441"/>
      <c r="R204" s="441"/>
      <c r="S204" s="441"/>
      <c r="T204" s="441"/>
      <c r="U204" s="441"/>
      <c r="V204" s="441"/>
      <c r="W204" s="441"/>
      <c r="X204" s="441"/>
    </row>
    <row r="205" spans="1:24" ht="15.75" customHeight="1" thickBot="1" x14ac:dyDescent="0.35">
      <c r="A205" s="437"/>
      <c r="B205" s="437"/>
      <c r="C205" s="437"/>
      <c r="D205" s="437"/>
      <c r="E205" s="437"/>
      <c r="F205" s="437"/>
      <c r="G205" s="437"/>
      <c r="H205" s="437"/>
      <c r="I205" s="437"/>
      <c r="J205" s="437"/>
      <c r="K205" s="437"/>
      <c r="L205" s="437"/>
      <c r="M205" s="437"/>
      <c r="N205" s="441"/>
      <c r="O205" s="441"/>
      <c r="P205" s="441"/>
      <c r="Q205" s="441"/>
      <c r="R205" s="441"/>
      <c r="S205" s="441"/>
      <c r="T205" s="441"/>
      <c r="U205" s="441"/>
      <c r="V205" s="441"/>
      <c r="W205" s="441"/>
      <c r="X205" s="441"/>
    </row>
    <row r="206" spans="1:24" ht="15.75" customHeight="1" thickBot="1" x14ac:dyDescent="0.35">
      <c r="A206" s="437"/>
      <c r="B206" s="437"/>
      <c r="C206" s="437"/>
      <c r="D206" s="437"/>
      <c r="E206" s="437"/>
      <c r="F206" s="437"/>
      <c r="G206" s="437"/>
      <c r="H206" s="437"/>
      <c r="I206" s="437"/>
      <c r="J206" s="437"/>
      <c r="K206" s="437"/>
      <c r="L206" s="437"/>
      <c r="M206" s="437"/>
      <c r="N206" s="441"/>
      <c r="O206" s="441"/>
      <c r="P206" s="441"/>
      <c r="Q206" s="441"/>
      <c r="R206" s="441"/>
      <c r="S206" s="441"/>
      <c r="T206" s="441"/>
      <c r="U206" s="441"/>
      <c r="V206" s="441"/>
      <c r="W206" s="441"/>
      <c r="X206" s="441"/>
    </row>
    <row r="207" spans="1:24" ht="15.75" customHeight="1" thickBot="1" x14ac:dyDescent="0.35">
      <c r="A207" s="437"/>
      <c r="B207" s="437"/>
      <c r="C207" s="437"/>
      <c r="D207" s="437"/>
      <c r="E207" s="437"/>
      <c r="F207" s="437"/>
      <c r="G207" s="437"/>
      <c r="H207" s="437"/>
      <c r="I207" s="437"/>
      <c r="J207" s="437"/>
      <c r="K207" s="437"/>
      <c r="L207" s="437"/>
      <c r="M207" s="437"/>
      <c r="N207" s="441"/>
      <c r="O207" s="441"/>
      <c r="P207" s="441"/>
      <c r="Q207" s="441"/>
      <c r="R207" s="441"/>
      <c r="S207" s="441"/>
      <c r="T207" s="441"/>
      <c r="U207" s="441"/>
      <c r="V207" s="441"/>
      <c r="W207" s="441"/>
      <c r="X207" s="441"/>
    </row>
    <row r="208" spans="1:24" ht="15.75" customHeight="1" thickBot="1" x14ac:dyDescent="0.35">
      <c r="A208" s="437"/>
      <c r="B208" s="437"/>
      <c r="C208" s="437"/>
      <c r="D208" s="437"/>
      <c r="E208" s="437"/>
      <c r="F208" s="437"/>
      <c r="G208" s="437"/>
      <c r="H208" s="437"/>
      <c r="I208" s="437"/>
      <c r="J208" s="437"/>
      <c r="K208" s="437"/>
      <c r="L208" s="437"/>
      <c r="M208" s="437"/>
      <c r="N208" s="441"/>
      <c r="O208" s="441"/>
      <c r="P208" s="441"/>
      <c r="Q208" s="441"/>
      <c r="R208" s="441"/>
      <c r="S208" s="441"/>
      <c r="T208" s="441"/>
      <c r="U208" s="441"/>
      <c r="V208" s="441"/>
      <c r="W208" s="441"/>
      <c r="X208" s="441"/>
    </row>
    <row r="209" spans="1:24" ht="15.75" customHeight="1" thickBot="1" x14ac:dyDescent="0.35">
      <c r="A209" s="437"/>
      <c r="B209" s="437"/>
      <c r="C209" s="437"/>
      <c r="D209" s="437"/>
      <c r="E209" s="437"/>
      <c r="F209" s="437"/>
      <c r="G209" s="437"/>
      <c r="H209" s="437"/>
      <c r="I209" s="437"/>
      <c r="J209" s="437"/>
      <c r="K209" s="437"/>
      <c r="L209" s="437"/>
      <c r="M209" s="437"/>
      <c r="N209" s="441"/>
      <c r="O209" s="441"/>
      <c r="P209" s="441"/>
      <c r="Q209" s="441"/>
      <c r="R209" s="441"/>
      <c r="S209" s="441"/>
      <c r="T209" s="441"/>
      <c r="U209" s="441"/>
      <c r="V209" s="441"/>
      <c r="W209" s="441"/>
      <c r="X209" s="441"/>
    </row>
    <row r="210" spans="1:24" ht="15.75" customHeight="1" thickBot="1" x14ac:dyDescent="0.35">
      <c r="A210" s="437"/>
      <c r="B210" s="437"/>
      <c r="C210" s="437"/>
      <c r="D210" s="437"/>
      <c r="E210" s="437"/>
      <c r="F210" s="437"/>
      <c r="G210" s="437"/>
      <c r="H210" s="437"/>
      <c r="I210" s="437"/>
      <c r="J210" s="437"/>
      <c r="K210" s="437"/>
      <c r="L210" s="437"/>
      <c r="M210" s="437"/>
      <c r="N210" s="441"/>
      <c r="O210" s="441"/>
      <c r="P210" s="441"/>
      <c r="Q210" s="441"/>
      <c r="R210" s="441"/>
      <c r="S210" s="441"/>
      <c r="T210" s="441"/>
      <c r="U210" s="441"/>
      <c r="V210" s="441"/>
      <c r="W210" s="441"/>
      <c r="X210" s="441"/>
    </row>
    <row r="211" spans="1:24" ht="15.75" customHeight="1" thickBot="1" x14ac:dyDescent="0.35">
      <c r="A211" s="437"/>
      <c r="B211" s="437"/>
      <c r="C211" s="437"/>
      <c r="D211" s="437"/>
      <c r="E211" s="437"/>
      <c r="F211" s="437"/>
      <c r="G211" s="437"/>
      <c r="H211" s="437"/>
      <c r="I211" s="437"/>
      <c r="J211" s="437"/>
      <c r="K211" s="437"/>
      <c r="L211" s="437"/>
      <c r="M211" s="437"/>
      <c r="N211" s="441"/>
      <c r="O211" s="441"/>
      <c r="P211" s="441"/>
      <c r="Q211" s="441"/>
      <c r="R211" s="441"/>
      <c r="S211" s="441"/>
      <c r="T211" s="441"/>
      <c r="U211" s="441"/>
      <c r="V211" s="441"/>
      <c r="W211" s="441"/>
      <c r="X211" s="441"/>
    </row>
    <row r="212" spans="1:24" ht="15.75" customHeight="1" thickBot="1" x14ac:dyDescent="0.35">
      <c r="A212" s="437"/>
      <c r="B212" s="437"/>
      <c r="C212" s="437"/>
      <c r="D212" s="437"/>
      <c r="E212" s="437"/>
      <c r="F212" s="437"/>
      <c r="G212" s="437"/>
      <c r="H212" s="437"/>
      <c r="I212" s="437"/>
      <c r="J212" s="437"/>
      <c r="K212" s="437"/>
      <c r="L212" s="437"/>
      <c r="M212" s="437"/>
      <c r="N212" s="441"/>
      <c r="O212" s="441"/>
      <c r="P212" s="441"/>
      <c r="Q212" s="441"/>
      <c r="R212" s="441"/>
      <c r="S212" s="441"/>
      <c r="T212" s="441"/>
      <c r="U212" s="441"/>
      <c r="V212" s="441"/>
      <c r="W212" s="441"/>
      <c r="X212" s="441"/>
    </row>
    <row r="213" spans="1:24" ht="15.75" customHeight="1" thickBot="1" x14ac:dyDescent="0.35">
      <c r="A213" s="437"/>
      <c r="B213" s="437"/>
      <c r="C213" s="437"/>
      <c r="D213" s="437"/>
      <c r="E213" s="437"/>
      <c r="F213" s="437"/>
      <c r="G213" s="437"/>
      <c r="H213" s="437"/>
      <c r="I213" s="437"/>
      <c r="J213" s="437"/>
      <c r="K213" s="437"/>
      <c r="L213" s="437"/>
      <c r="M213" s="437"/>
      <c r="N213" s="441"/>
      <c r="O213" s="441"/>
      <c r="P213" s="441"/>
      <c r="Q213" s="441"/>
      <c r="R213" s="441"/>
      <c r="S213" s="441"/>
      <c r="T213" s="441"/>
      <c r="U213" s="441"/>
      <c r="V213" s="441"/>
      <c r="W213" s="441"/>
      <c r="X213" s="441"/>
    </row>
    <row r="214" spans="1:24" ht="15.75" customHeight="1" thickBot="1" x14ac:dyDescent="0.35">
      <c r="A214" s="437"/>
      <c r="B214" s="437"/>
      <c r="C214" s="437"/>
      <c r="D214" s="437"/>
      <c r="E214" s="437"/>
      <c r="F214" s="437"/>
      <c r="G214" s="437"/>
      <c r="H214" s="437"/>
      <c r="I214" s="437"/>
      <c r="J214" s="437"/>
      <c r="K214" s="437"/>
      <c r="L214" s="437"/>
      <c r="M214" s="437"/>
      <c r="N214" s="441"/>
      <c r="O214" s="441"/>
      <c r="P214" s="441"/>
      <c r="Q214" s="441"/>
      <c r="R214" s="441"/>
      <c r="S214" s="441"/>
      <c r="T214" s="441"/>
      <c r="U214" s="441"/>
      <c r="V214" s="441"/>
      <c r="W214" s="441"/>
      <c r="X214" s="441"/>
    </row>
    <row r="215" spans="1:24" ht="15.75" customHeight="1" thickBot="1" x14ac:dyDescent="0.35">
      <c r="A215" s="437"/>
      <c r="B215" s="437"/>
      <c r="C215" s="437"/>
      <c r="D215" s="437"/>
      <c r="E215" s="437"/>
      <c r="F215" s="437"/>
      <c r="G215" s="437"/>
      <c r="H215" s="437"/>
      <c r="I215" s="437"/>
      <c r="J215" s="437"/>
      <c r="K215" s="437"/>
      <c r="L215" s="437"/>
      <c r="M215" s="437"/>
      <c r="N215" s="441"/>
      <c r="O215" s="441"/>
      <c r="P215" s="441"/>
      <c r="Q215" s="441"/>
      <c r="R215" s="441"/>
      <c r="S215" s="441"/>
      <c r="T215" s="441"/>
      <c r="U215" s="441"/>
      <c r="V215" s="441"/>
      <c r="W215" s="441"/>
      <c r="X215" s="441"/>
    </row>
    <row r="216" spans="1:24" ht="15.75" customHeight="1" thickBot="1" x14ac:dyDescent="0.35">
      <c r="A216" s="437"/>
      <c r="B216" s="437"/>
      <c r="C216" s="437"/>
      <c r="D216" s="437"/>
      <c r="E216" s="437"/>
      <c r="F216" s="437"/>
      <c r="G216" s="437"/>
      <c r="H216" s="437"/>
      <c r="I216" s="437"/>
      <c r="J216" s="437"/>
      <c r="K216" s="437"/>
      <c r="L216" s="437"/>
      <c r="M216" s="437"/>
      <c r="N216" s="441"/>
      <c r="O216" s="441"/>
      <c r="P216" s="441"/>
      <c r="Q216" s="441"/>
      <c r="R216" s="441"/>
      <c r="S216" s="441"/>
      <c r="T216" s="441"/>
      <c r="U216" s="441"/>
      <c r="V216" s="441"/>
      <c r="W216" s="441"/>
      <c r="X216" s="441"/>
    </row>
    <row r="217" spans="1:24" ht="15.75" customHeight="1" thickBot="1" x14ac:dyDescent="0.35">
      <c r="A217" s="437"/>
      <c r="B217" s="437"/>
      <c r="C217" s="437"/>
      <c r="D217" s="437"/>
      <c r="E217" s="437"/>
      <c r="F217" s="437"/>
      <c r="G217" s="437"/>
      <c r="H217" s="437"/>
      <c r="I217" s="437"/>
      <c r="J217" s="437"/>
      <c r="K217" s="437"/>
      <c r="L217" s="437"/>
      <c r="M217" s="437"/>
      <c r="N217" s="441"/>
      <c r="O217" s="560"/>
      <c r="P217" s="455"/>
      <c r="Q217" s="437"/>
      <c r="R217" s="437"/>
      <c r="S217" s="437"/>
      <c r="T217" s="437"/>
      <c r="U217" s="437"/>
    </row>
    <row r="218" spans="1:24" ht="15.75" customHeight="1" thickBot="1" x14ac:dyDescent="0.35">
      <c r="A218" s="437"/>
      <c r="B218" s="437"/>
      <c r="C218" s="437"/>
      <c r="D218" s="437"/>
      <c r="E218" s="437"/>
      <c r="F218" s="437"/>
      <c r="G218" s="437"/>
      <c r="H218" s="437"/>
      <c r="I218" s="437"/>
      <c r="J218" s="437"/>
      <c r="K218" s="437"/>
      <c r="L218" s="437"/>
      <c r="M218" s="437"/>
      <c r="N218" s="441"/>
      <c r="O218" s="560"/>
      <c r="P218" s="455"/>
      <c r="Q218" s="437"/>
      <c r="R218" s="437"/>
      <c r="S218" s="437"/>
      <c r="T218" s="437"/>
      <c r="U218" s="437"/>
    </row>
    <row r="219" spans="1:24" ht="15.75" customHeight="1" thickBot="1" x14ac:dyDescent="0.35">
      <c r="A219" s="437"/>
      <c r="B219" s="437"/>
      <c r="C219" s="437"/>
      <c r="D219" s="437"/>
      <c r="E219" s="437"/>
      <c r="F219" s="437"/>
      <c r="G219" s="437"/>
      <c r="H219" s="437"/>
      <c r="I219" s="437"/>
      <c r="J219" s="437"/>
      <c r="K219" s="437"/>
      <c r="L219" s="437"/>
      <c r="M219" s="437"/>
      <c r="N219" s="441"/>
      <c r="O219" s="560"/>
      <c r="P219" s="455"/>
      <c r="Q219" s="437"/>
      <c r="R219" s="437"/>
      <c r="S219" s="437"/>
      <c r="T219" s="437"/>
      <c r="U219" s="437"/>
    </row>
    <row r="220" spans="1:24" ht="15.75" customHeight="1" thickBot="1" x14ac:dyDescent="0.35">
      <c r="A220" s="437"/>
      <c r="B220" s="437"/>
      <c r="C220" s="437"/>
      <c r="D220" s="437"/>
      <c r="E220" s="437"/>
      <c r="F220" s="437"/>
      <c r="G220" s="437"/>
      <c r="H220" s="437"/>
      <c r="I220" s="437"/>
      <c r="J220" s="437"/>
      <c r="K220" s="437"/>
      <c r="L220" s="437"/>
      <c r="M220" s="437"/>
      <c r="N220" s="441"/>
      <c r="O220" s="560"/>
      <c r="P220" s="455"/>
      <c r="Q220" s="437"/>
      <c r="R220" s="437"/>
      <c r="S220" s="437"/>
      <c r="T220" s="437"/>
      <c r="U220" s="437"/>
    </row>
    <row r="221" spans="1:24" ht="15.75" customHeight="1" thickBot="1" x14ac:dyDescent="0.35">
      <c r="A221" s="437"/>
      <c r="B221" s="437"/>
      <c r="C221" s="437"/>
      <c r="D221" s="437"/>
      <c r="E221" s="437"/>
      <c r="F221" s="437"/>
      <c r="G221" s="437"/>
      <c r="H221" s="437"/>
      <c r="I221" s="437"/>
      <c r="J221" s="437"/>
      <c r="K221" s="437"/>
      <c r="L221" s="437"/>
      <c r="M221" s="437"/>
      <c r="N221" s="441"/>
      <c r="O221" s="560"/>
      <c r="P221" s="455"/>
      <c r="Q221" s="437"/>
      <c r="R221" s="437"/>
      <c r="S221" s="437"/>
      <c r="T221" s="437"/>
      <c r="U221" s="437"/>
    </row>
    <row r="222" spans="1:24" ht="15.75" customHeight="1" thickBot="1" x14ac:dyDescent="0.35">
      <c r="A222" s="437"/>
      <c r="B222" s="437"/>
      <c r="C222" s="437"/>
      <c r="D222" s="437"/>
      <c r="E222" s="437"/>
      <c r="F222" s="437"/>
      <c r="G222" s="437"/>
      <c r="H222" s="437"/>
      <c r="I222" s="437"/>
      <c r="J222" s="437"/>
      <c r="K222" s="437"/>
      <c r="L222" s="437"/>
      <c r="M222" s="437"/>
      <c r="N222" s="441"/>
      <c r="O222" s="560"/>
      <c r="P222" s="455"/>
      <c r="Q222" s="437"/>
      <c r="R222" s="437"/>
      <c r="S222" s="437"/>
      <c r="T222" s="437"/>
      <c r="U222" s="437"/>
    </row>
    <row r="223" spans="1:24" ht="15.75" customHeight="1" thickBot="1" x14ac:dyDescent="0.35">
      <c r="A223" s="437"/>
      <c r="B223" s="437"/>
      <c r="C223" s="437"/>
      <c r="D223" s="437"/>
      <c r="E223" s="437"/>
      <c r="F223" s="437"/>
      <c r="G223" s="437"/>
      <c r="H223" s="437"/>
      <c r="I223" s="437"/>
      <c r="J223" s="437"/>
      <c r="K223" s="437"/>
      <c r="L223" s="437"/>
      <c r="M223" s="437"/>
      <c r="N223" s="441"/>
      <c r="O223" s="560"/>
      <c r="P223" s="455"/>
      <c r="Q223" s="437"/>
      <c r="R223" s="437"/>
      <c r="S223" s="437"/>
      <c r="T223" s="437"/>
      <c r="U223" s="437"/>
    </row>
    <row r="224" spans="1:24" ht="15.75" customHeight="1" thickBot="1" x14ac:dyDescent="0.35">
      <c r="A224" s="437"/>
      <c r="B224" s="437"/>
      <c r="C224" s="437"/>
      <c r="D224" s="437"/>
      <c r="E224" s="437"/>
      <c r="F224" s="437"/>
      <c r="G224" s="437"/>
      <c r="H224" s="437"/>
      <c r="I224" s="437"/>
      <c r="J224" s="437"/>
      <c r="K224" s="437"/>
      <c r="L224" s="437"/>
      <c r="M224" s="437"/>
      <c r="N224" s="441"/>
      <c r="O224" s="560"/>
      <c r="P224" s="455"/>
      <c r="Q224" s="437"/>
      <c r="R224" s="437"/>
      <c r="S224" s="437"/>
      <c r="T224" s="437"/>
      <c r="U224" s="437"/>
    </row>
    <row r="225" spans="1:21" ht="15.75" customHeight="1" thickBot="1" x14ac:dyDescent="0.35">
      <c r="A225" s="437"/>
      <c r="B225" s="437"/>
      <c r="C225" s="437"/>
      <c r="D225" s="437"/>
      <c r="E225" s="437"/>
      <c r="F225" s="437"/>
      <c r="G225" s="437"/>
      <c r="H225" s="437"/>
      <c r="I225" s="437"/>
      <c r="J225" s="437"/>
      <c r="K225" s="437"/>
      <c r="L225" s="437"/>
      <c r="M225" s="437"/>
      <c r="N225" s="441"/>
      <c r="O225" s="560"/>
      <c r="P225" s="455"/>
      <c r="Q225" s="437"/>
      <c r="R225" s="437"/>
      <c r="S225" s="437"/>
      <c r="T225" s="437"/>
      <c r="U225" s="437"/>
    </row>
    <row r="226" spans="1:21" ht="15.75" customHeight="1" thickBot="1" x14ac:dyDescent="0.35">
      <c r="A226" s="437"/>
      <c r="B226" s="437"/>
      <c r="C226" s="437"/>
      <c r="D226" s="437"/>
      <c r="E226" s="437"/>
      <c r="F226" s="437"/>
      <c r="G226" s="437"/>
      <c r="H226" s="437"/>
      <c r="I226" s="437"/>
      <c r="J226" s="437"/>
      <c r="K226" s="437"/>
      <c r="L226" s="437"/>
      <c r="M226" s="437"/>
      <c r="N226" s="441"/>
      <c r="O226" s="560"/>
      <c r="P226" s="455"/>
      <c r="Q226" s="437"/>
      <c r="R226" s="437"/>
      <c r="S226" s="437"/>
      <c r="T226" s="437"/>
      <c r="U226" s="437"/>
    </row>
    <row r="227" spans="1:21" ht="15.75" customHeight="1" thickBot="1" x14ac:dyDescent="0.35">
      <c r="A227" s="437"/>
      <c r="B227" s="437"/>
      <c r="C227" s="437"/>
      <c r="D227" s="437"/>
      <c r="E227" s="437"/>
      <c r="F227" s="437"/>
      <c r="G227" s="437"/>
      <c r="H227" s="437"/>
      <c r="I227" s="437"/>
      <c r="J227" s="437"/>
      <c r="K227" s="437"/>
      <c r="L227" s="437"/>
      <c r="M227" s="437"/>
      <c r="N227" s="441"/>
      <c r="O227" s="560"/>
      <c r="P227" s="455"/>
      <c r="Q227" s="437"/>
      <c r="R227" s="437"/>
      <c r="S227" s="437"/>
      <c r="T227" s="437"/>
      <c r="U227" s="437"/>
    </row>
    <row r="228" spans="1:21" ht="15.75" customHeight="1" thickBot="1" x14ac:dyDescent="0.35">
      <c r="A228" s="437"/>
      <c r="B228" s="437"/>
      <c r="C228" s="437"/>
      <c r="D228" s="437"/>
      <c r="E228" s="437"/>
      <c r="F228" s="437"/>
      <c r="G228" s="437"/>
      <c r="H228" s="437"/>
      <c r="I228" s="437"/>
      <c r="J228" s="437"/>
      <c r="K228" s="437"/>
      <c r="L228" s="437"/>
      <c r="M228" s="437"/>
      <c r="N228" s="441"/>
      <c r="O228" s="560"/>
      <c r="P228" s="455"/>
      <c r="Q228" s="437"/>
      <c r="R228" s="437"/>
      <c r="S228" s="437"/>
      <c r="T228" s="437"/>
      <c r="U228" s="437"/>
    </row>
    <row r="229" spans="1:21" ht="15.75" customHeight="1" thickBot="1" x14ac:dyDescent="0.35">
      <c r="A229" s="437"/>
      <c r="B229" s="437"/>
      <c r="C229" s="437"/>
      <c r="D229" s="437"/>
      <c r="E229" s="437"/>
      <c r="F229" s="437"/>
      <c r="G229" s="437"/>
      <c r="H229" s="437"/>
      <c r="I229" s="437"/>
      <c r="J229" s="437"/>
      <c r="K229" s="437"/>
      <c r="L229" s="437"/>
      <c r="M229" s="437"/>
      <c r="N229" s="441"/>
      <c r="O229" s="560"/>
      <c r="P229" s="455"/>
      <c r="Q229" s="437"/>
      <c r="R229" s="437"/>
      <c r="S229" s="437"/>
      <c r="T229" s="437"/>
      <c r="U229" s="437"/>
    </row>
    <row r="230" spans="1:21" ht="15.75" customHeight="1" thickBot="1" x14ac:dyDescent="0.35">
      <c r="A230" s="437"/>
      <c r="B230" s="437"/>
      <c r="C230" s="437"/>
      <c r="D230" s="437"/>
      <c r="E230" s="437"/>
      <c r="F230" s="437"/>
      <c r="G230" s="437"/>
      <c r="H230" s="437"/>
      <c r="I230" s="437"/>
      <c r="J230" s="437"/>
      <c r="K230" s="437"/>
      <c r="L230" s="437"/>
      <c r="M230" s="437"/>
      <c r="N230" s="441"/>
      <c r="O230" s="560"/>
      <c r="P230" s="455"/>
      <c r="Q230" s="437"/>
      <c r="R230" s="437"/>
      <c r="S230" s="437"/>
      <c r="T230" s="437"/>
      <c r="U230" s="437"/>
    </row>
    <row r="231" spans="1:21" ht="15.75" customHeight="1" thickBot="1" x14ac:dyDescent="0.35">
      <c r="A231" s="437"/>
      <c r="B231" s="437"/>
      <c r="C231" s="437"/>
      <c r="D231" s="437"/>
      <c r="E231" s="437"/>
      <c r="F231" s="437"/>
      <c r="G231" s="437"/>
      <c r="H231" s="437"/>
      <c r="I231" s="437"/>
      <c r="J231" s="437"/>
      <c r="K231" s="437"/>
      <c r="L231" s="437"/>
      <c r="M231" s="437"/>
      <c r="N231" s="441"/>
      <c r="O231" s="560"/>
      <c r="P231" s="455"/>
      <c r="Q231" s="437"/>
      <c r="R231" s="437"/>
      <c r="S231" s="437"/>
      <c r="T231" s="437"/>
      <c r="U231" s="437"/>
    </row>
    <row r="232" spans="1:21" ht="15.75" customHeight="1" thickBot="1" x14ac:dyDescent="0.35">
      <c r="A232" s="437"/>
      <c r="B232" s="437"/>
      <c r="C232" s="437"/>
      <c r="D232" s="437"/>
      <c r="E232" s="437"/>
      <c r="F232" s="437"/>
      <c r="G232" s="437"/>
      <c r="H232" s="437"/>
      <c r="I232" s="437"/>
      <c r="J232" s="437"/>
      <c r="K232" s="437"/>
      <c r="L232" s="437"/>
      <c r="M232" s="437"/>
      <c r="N232" s="441"/>
      <c r="O232" s="560"/>
      <c r="P232" s="455"/>
      <c r="Q232" s="437"/>
      <c r="R232" s="437"/>
      <c r="S232" s="437"/>
      <c r="T232" s="437"/>
      <c r="U232" s="437"/>
    </row>
    <row r="233" spans="1:21" ht="15.75" customHeight="1" thickBot="1" x14ac:dyDescent="0.35">
      <c r="A233" s="437"/>
      <c r="B233" s="437"/>
      <c r="C233" s="437"/>
      <c r="D233" s="437"/>
      <c r="E233" s="437"/>
      <c r="F233" s="437"/>
      <c r="G233" s="437"/>
      <c r="H233" s="437"/>
      <c r="I233" s="437"/>
      <c r="J233" s="437"/>
      <c r="K233" s="437"/>
      <c r="L233" s="437"/>
      <c r="M233" s="437"/>
      <c r="N233" s="441"/>
      <c r="O233" s="560"/>
      <c r="P233" s="455"/>
      <c r="Q233" s="437"/>
      <c r="R233" s="437"/>
      <c r="S233" s="437"/>
      <c r="T233" s="437"/>
      <c r="U233" s="437"/>
    </row>
    <row r="234" spans="1:21" ht="15.75" customHeight="1" thickBot="1" x14ac:dyDescent="0.35">
      <c r="A234" s="437"/>
      <c r="B234" s="437"/>
      <c r="C234" s="437"/>
      <c r="D234" s="437"/>
      <c r="E234" s="437"/>
      <c r="F234" s="437"/>
      <c r="G234" s="437"/>
      <c r="H234" s="437"/>
      <c r="I234" s="437"/>
      <c r="J234" s="437"/>
      <c r="K234" s="437"/>
      <c r="L234" s="437"/>
      <c r="M234" s="437"/>
      <c r="N234" s="441"/>
      <c r="O234" s="560"/>
      <c r="P234" s="455"/>
      <c r="Q234" s="437"/>
      <c r="R234" s="437"/>
      <c r="S234" s="437"/>
      <c r="T234" s="437"/>
      <c r="U234" s="437"/>
    </row>
    <row r="235" spans="1:21" ht="15.75" customHeight="1" thickBot="1" x14ac:dyDescent="0.35">
      <c r="A235" s="437"/>
      <c r="B235" s="437"/>
      <c r="C235" s="437"/>
      <c r="D235" s="437"/>
      <c r="E235" s="437"/>
      <c r="F235" s="437"/>
      <c r="G235" s="437"/>
      <c r="H235" s="437"/>
      <c r="I235" s="437"/>
      <c r="J235" s="437"/>
      <c r="K235" s="437"/>
      <c r="L235" s="437"/>
      <c r="M235" s="437"/>
      <c r="N235" s="441"/>
      <c r="O235" s="560"/>
      <c r="P235" s="455"/>
      <c r="Q235" s="437"/>
      <c r="R235" s="437"/>
      <c r="S235" s="437"/>
      <c r="T235" s="437"/>
      <c r="U235" s="437"/>
    </row>
    <row r="236" spans="1:21" ht="15.75" customHeight="1" thickBot="1" x14ac:dyDescent="0.35">
      <c r="A236" s="437"/>
      <c r="B236" s="437"/>
      <c r="C236" s="437"/>
      <c r="D236" s="437"/>
      <c r="E236" s="437"/>
      <c r="F236" s="437"/>
      <c r="G236" s="437"/>
      <c r="H236" s="437"/>
      <c r="I236" s="437"/>
      <c r="J236" s="437"/>
      <c r="K236" s="437"/>
      <c r="L236" s="437"/>
      <c r="M236" s="437"/>
      <c r="N236" s="441"/>
      <c r="O236" s="560"/>
      <c r="P236" s="455"/>
      <c r="Q236" s="437"/>
      <c r="R236" s="437"/>
      <c r="S236" s="437"/>
      <c r="T236" s="437"/>
      <c r="U236" s="437"/>
    </row>
    <row r="237" spans="1:21" ht="15.75" customHeight="1" thickBot="1" x14ac:dyDescent="0.35">
      <c r="A237" s="437"/>
      <c r="B237" s="437"/>
      <c r="C237" s="437"/>
      <c r="D237" s="437"/>
      <c r="E237" s="437"/>
      <c r="F237" s="437"/>
      <c r="G237" s="437"/>
      <c r="H237" s="437"/>
      <c r="I237" s="437"/>
      <c r="J237" s="437"/>
      <c r="K237" s="437"/>
      <c r="L237" s="437"/>
      <c r="M237" s="437"/>
      <c r="N237" s="441"/>
      <c r="O237" s="560"/>
      <c r="P237" s="455"/>
      <c r="Q237" s="437"/>
      <c r="R237" s="437"/>
      <c r="S237" s="437"/>
      <c r="T237" s="437"/>
      <c r="U237" s="437"/>
    </row>
    <row r="238" spans="1:21" ht="15.75" customHeight="1" thickBot="1" x14ac:dyDescent="0.35">
      <c r="A238" s="437"/>
      <c r="B238" s="437"/>
      <c r="C238" s="437"/>
      <c r="D238" s="437"/>
      <c r="E238" s="437"/>
      <c r="F238" s="437"/>
      <c r="G238" s="437"/>
      <c r="H238" s="437"/>
      <c r="I238" s="437"/>
      <c r="J238" s="437"/>
      <c r="K238" s="437"/>
      <c r="L238" s="437"/>
      <c r="M238" s="437"/>
      <c r="N238" s="441"/>
      <c r="O238" s="560"/>
      <c r="P238" s="455"/>
      <c r="Q238" s="437"/>
      <c r="R238" s="437"/>
      <c r="S238" s="437"/>
      <c r="T238" s="437"/>
      <c r="U238" s="437"/>
    </row>
    <row r="239" spans="1:21" ht="15.75" customHeight="1" thickBot="1" x14ac:dyDescent="0.35">
      <c r="A239" s="437"/>
      <c r="B239" s="437"/>
      <c r="C239" s="437"/>
      <c r="D239" s="437"/>
      <c r="E239" s="437"/>
      <c r="F239" s="437"/>
      <c r="G239" s="437"/>
      <c r="H239" s="437"/>
      <c r="I239" s="437"/>
      <c r="J239" s="437"/>
      <c r="K239" s="437"/>
      <c r="L239" s="437"/>
      <c r="M239" s="437"/>
      <c r="N239" s="441"/>
      <c r="O239" s="560"/>
      <c r="P239" s="455"/>
      <c r="Q239" s="437"/>
      <c r="R239" s="437"/>
      <c r="S239" s="437"/>
      <c r="T239" s="437"/>
      <c r="U239" s="437"/>
    </row>
    <row r="240" spans="1:21" ht="15.75" customHeight="1" thickBot="1" x14ac:dyDescent="0.35">
      <c r="A240" s="437"/>
      <c r="B240" s="437"/>
      <c r="C240" s="437"/>
      <c r="D240" s="437"/>
      <c r="E240" s="437"/>
      <c r="F240" s="437"/>
      <c r="G240" s="437"/>
      <c r="H240" s="437"/>
      <c r="I240" s="437"/>
      <c r="J240" s="437"/>
      <c r="K240" s="437"/>
      <c r="L240" s="437"/>
      <c r="M240" s="437"/>
      <c r="N240" s="441"/>
      <c r="O240" s="560"/>
      <c r="P240" s="455"/>
      <c r="Q240" s="437"/>
      <c r="R240" s="437"/>
      <c r="S240" s="437"/>
      <c r="T240" s="437"/>
      <c r="U240" s="437"/>
    </row>
    <row r="241" spans="1:21" ht="15.75" customHeight="1" thickBot="1" x14ac:dyDescent="0.35">
      <c r="A241" s="437"/>
      <c r="B241" s="437"/>
      <c r="C241" s="437"/>
      <c r="D241" s="437"/>
      <c r="E241" s="437"/>
      <c r="F241" s="437"/>
      <c r="G241" s="437"/>
      <c r="H241" s="437"/>
      <c r="I241" s="437"/>
      <c r="J241" s="437"/>
      <c r="K241" s="437"/>
      <c r="L241" s="437"/>
      <c r="M241" s="437"/>
      <c r="N241" s="441"/>
      <c r="O241" s="560"/>
      <c r="P241" s="455"/>
      <c r="Q241" s="437"/>
      <c r="R241" s="437"/>
      <c r="S241" s="437"/>
      <c r="T241" s="437"/>
      <c r="U241" s="437"/>
    </row>
    <row r="242" spans="1:21" ht="15.75" customHeight="1" thickBot="1" x14ac:dyDescent="0.35">
      <c r="A242" s="437"/>
      <c r="B242" s="437"/>
      <c r="C242" s="437"/>
      <c r="D242" s="437"/>
      <c r="E242" s="437"/>
      <c r="F242" s="437"/>
      <c r="G242" s="437"/>
      <c r="H242" s="437"/>
      <c r="I242" s="437"/>
      <c r="J242" s="437"/>
      <c r="K242" s="437"/>
      <c r="L242" s="437"/>
      <c r="M242" s="437"/>
      <c r="N242" s="441"/>
      <c r="O242" s="560"/>
      <c r="P242" s="455"/>
      <c r="Q242" s="437"/>
      <c r="R242" s="437"/>
      <c r="S242" s="437"/>
      <c r="T242" s="437"/>
      <c r="U242" s="437"/>
    </row>
    <row r="243" spans="1:21" ht="15.75" customHeight="1" thickBot="1" x14ac:dyDescent="0.35">
      <c r="A243" s="437"/>
      <c r="B243" s="437"/>
      <c r="C243" s="437"/>
      <c r="D243" s="437"/>
      <c r="E243" s="437"/>
      <c r="F243" s="437"/>
      <c r="G243" s="437"/>
      <c r="H243" s="437"/>
      <c r="I243" s="437"/>
      <c r="J243" s="437"/>
      <c r="K243" s="437"/>
      <c r="L243" s="437"/>
      <c r="M243" s="437"/>
      <c r="N243" s="441"/>
      <c r="O243" s="560"/>
      <c r="P243" s="455"/>
      <c r="Q243" s="437"/>
      <c r="R243" s="437"/>
      <c r="S243" s="437"/>
      <c r="T243" s="437"/>
      <c r="U243" s="437"/>
    </row>
    <row r="244" spans="1:21" ht="15.75" customHeight="1" thickBot="1" x14ac:dyDescent="0.35">
      <c r="A244" s="437"/>
      <c r="B244" s="437"/>
      <c r="C244" s="437"/>
      <c r="D244" s="437"/>
      <c r="E244" s="437"/>
      <c r="F244" s="437"/>
      <c r="G244" s="437"/>
      <c r="H244" s="437"/>
      <c r="I244" s="437"/>
      <c r="J244" s="437"/>
      <c r="K244" s="437"/>
      <c r="L244" s="437"/>
      <c r="M244" s="437"/>
      <c r="N244" s="441"/>
      <c r="O244" s="560"/>
      <c r="P244" s="455"/>
      <c r="Q244" s="437"/>
      <c r="R244" s="437"/>
      <c r="S244" s="437"/>
      <c r="T244" s="437"/>
      <c r="U244" s="437"/>
    </row>
    <row r="245" spans="1:21" ht="15.75" customHeight="1" thickBot="1" x14ac:dyDescent="0.35">
      <c r="A245" s="437"/>
      <c r="B245" s="437"/>
      <c r="C245" s="437"/>
      <c r="D245" s="437"/>
      <c r="E245" s="437"/>
      <c r="F245" s="437"/>
      <c r="G245" s="437"/>
      <c r="H245" s="437"/>
      <c r="I245" s="437"/>
      <c r="J245" s="437"/>
      <c r="K245" s="437"/>
      <c r="L245" s="437"/>
      <c r="M245" s="437"/>
      <c r="N245" s="441"/>
      <c r="O245" s="560"/>
      <c r="P245" s="455"/>
      <c r="Q245" s="437"/>
      <c r="R245" s="437"/>
      <c r="S245" s="437"/>
      <c r="T245" s="437"/>
      <c r="U245" s="437"/>
    </row>
    <row r="246" spans="1:21" ht="15.75" customHeight="1" thickBot="1" x14ac:dyDescent="0.35">
      <c r="A246" s="437"/>
      <c r="B246" s="437"/>
      <c r="C246" s="437"/>
      <c r="D246" s="437"/>
      <c r="E246" s="437"/>
      <c r="F246" s="437"/>
      <c r="G246" s="437"/>
      <c r="H246" s="437"/>
      <c r="I246" s="437"/>
      <c r="J246" s="437"/>
      <c r="K246" s="437"/>
      <c r="L246" s="437"/>
      <c r="M246" s="437"/>
      <c r="N246" s="441"/>
      <c r="O246" s="560"/>
      <c r="P246" s="455"/>
      <c r="Q246" s="437"/>
      <c r="R246" s="437"/>
      <c r="S246" s="437"/>
      <c r="T246" s="437"/>
      <c r="U246" s="437"/>
    </row>
    <row r="247" spans="1:21" ht="15.75" customHeight="1" thickBot="1" x14ac:dyDescent="0.35">
      <c r="A247" s="437"/>
      <c r="B247" s="437"/>
      <c r="C247" s="437"/>
      <c r="D247" s="437"/>
      <c r="E247" s="437"/>
      <c r="F247" s="437"/>
      <c r="G247" s="437"/>
      <c r="H247" s="437"/>
      <c r="I247" s="437"/>
      <c r="J247" s="437"/>
      <c r="K247" s="437"/>
      <c r="L247" s="437"/>
      <c r="M247" s="437"/>
      <c r="N247" s="441"/>
      <c r="O247" s="560"/>
      <c r="P247" s="455"/>
      <c r="Q247" s="437"/>
      <c r="R247" s="437"/>
      <c r="S247" s="437"/>
      <c r="T247" s="437"/>
      <c r="U247" s="437"/>
    </row>
    <row r="248" spans="1:21" ht="15.75" customHeight="1" thickBot="1" x14ac:dyDescent="0.35">
      <c r="A248" s="437"/>
      <c r="B248" s="437"/>
      <c r="C248" s="437"/>
      <c r="D248" s="437"/>
      <c r="E248" s="437"/>
      <c r="F248" s="437"/>
      <c r="G248" s="437"/>
      <c r="H248" s="437"/>
      <c r="I248" s="437"/>
      <c r="J248" s="437"/>
      <c r="K248" s="437"/>
      <c r="L248" s="437"/>
      <c r="M248" s="437"/>
      <c r="N248" s="441"/>
      <c r="O248" s="560"/>
      <c r="P248" s="455"/>
      <c r="Q248" s="437"/>
      <c r="R248" s="437"/>
      <c r="S248" s="437"/>
      <c r="T248" s="437"/>
      <c r="U248" s="437"/>
    </row>
    <row r="249" spans="1:21" ht="15.75" customHeight="1" thickBot="1" x14ac:dyDescent="0.35">
      <c r="A249" s="437"/>
      <c r="B249" s="437"/>
      <c r="C249" s="437"/>
      <c r="D249" s="437"/>
      <c r="E249" s="437"/>
      <c r="F249" s="437"/>
      <c r="G249" s="437"/>
      <c r="H249" s="437"/>
      <c r="I249" s="437"/>
      <c r="J249" s="437"/>
      <c r="K249" s="437"/>
      <c r="L249" s="437"/>
      <c r="M249" s="437"/>
      <c r="N249" s="441"/>
      <c r="O249" s="560"/>
      <c r="P249" s="455"/>
      <c r="Q249" s="437"/>
      <c r="R249" s="437"/>
      <c r="S249" s="437"/>
      <c r="T249" s="437"/>
      <c r="U249" s="437"/>
    </row>
    <row r="250" spans="1:21" ht="15.75" customHeight="1" thickBot="1" x14ac:dyDescent="0.35">
      <c r="A250" s="437"/>
      <c r="B250" s="437"/>
      <c r="C250" s="437"/>
      <c r="D250" s="437"/>
      <c r="E250" s="437"/>
      <c r="F250" s="437"/>
      <c r="G250" s="437"/>
      <c r="H250" s="437"/>
      <c r="I250" s="437"/>
      <c r="J250" s="437"/>
      <c r="K250" s="437"/>
      <c r="L250" s="437"/>
      <c r="M250" s="437"/>
      <c r="N250" s="441"/>
      <c r="O250" s="560"/>
      <c r="P250" s="455"/>
      <c r="Q250" s="437"/>
      <c r="R250" s="437"/>
      <c r="S250" s="437"/>
      <c r="T250" s="437"/>
      <c r="U250" s="437"/>
    </row>
    <row r="251" spans="1:21" ht="15.75" customHeight="1" thickBot="1" x14ac:dyDescent="0.35">
      <c r="A251" s="437"/>
      <c r="B251" s="437"/>
      <c r="C251" s="437"/>
      <c r="D251" s="437"/>
      <c r="E251" s="437"/>
      <c r="F251" s="437"/>
      <c r="G251" s="437"/>
      <c r="H251" s="437"/>
      <c r="I251" s="437"/>
      <c r="J251" s="437"/>
      <c r="K251" s="437"/>
      <c r="L251" s="437"/>
      <c r="M251" s="437"/>
      <c r="N251" s="441"/>
      <c r="O251" s="560"/>
      <c r="P251" s="455"/>
      <c r="Q251" s="437"/>
      <c r="R251" s="437"/>
      <c r="S251" s="437"/>
      <c r="T251" s="437"/>
      <c r="U251" s="437"/>
    </row>
    <row r="252" spans="1:21" ht="15.75" customHeight="1" thickBot="1" x14ac:dyDescent="0.35">
      <c r="A252" s="437"/>
      <c r="B252" s="437"/>
      <c r="C252" s="437"/>
      <c r="D252" s="437"/>
      <c r="E252" s="437"/>
      <c r="F252" s="437"/>
      <c r="G252" s="437"/>
      <c r="H252" s="437"/>
      <c r="I252" s="437"/>
      <c r="J252" s="437"/>
      <c r="K252" s="437"/>
      <c r="L252" s="437"/>
      <c r="M252" s="437"/>
      <c r="N252" s="441"/>
      <c r="O252" s="560"/>
      <c r="P252" s="455"/>
      <c r="Q252" s="437"/>
      <c r="R252" s="437"/>
      <c r="S252" s="437"/>
      <c r="T252" s="437"/>
      <c r="U252" s="437"/>
    </row>
    <row r="253" spans="1:21" ht="15.75" customHeight="1" thickBot="1" x14ac:dyDescent="0.35">
      <c r="A253" s="437"/>
      <c r="B253" s="437"/>
      <c r="C253" s="437"/>
      <c r="D253" s="437"/>
      <c r="E253" s="437"/>
      <c r="F253" s="437"/>
      <c r="G253" s="437"/>
      <c r="H253" s="437"/>
      <c r="I253" s="437"/>
      <c r="J253" s="437"/>
      <c r="K253" s="437"/>
      <c r="L253" s="437"/>
      <c r="M253" s="437"/>
      <c r="N253" s="441"/>
      <c r="O253" s="560"/>
      <c r="P253" s="455"/>
      <c r="Q253" s="437"/>
      <c r="R253" s="437"/>
      <c r="S253" s="437"/>
      <c r="T253" s="437"/>
      <c r="U253" s="437"/>
    </row>
    <row r="254" spans="1:21" ht="15.75" customHeight="1" thickBot="1" x14ac:dyDescent="0.35">
      <c r="A254" s="437"/>
      <c r="B254" s="437"/>
      <c r="C254" s="437"/>
      <c r="D254" s="437"/>
      <c r="E254" s="437"/>
      <c r="F254" s="437"/>
      <c r="G254" s="437"/>
      <c r="H254" s="437"/>
      <c r="I254" s="437"/>
      <c r="J254" s="437"/>
      <c r="K254" s="437"/>
      <c r="L254" s="437"/>
      <c r="M254" s="437"/>
      <c r="N254" s="441"/>
      <c r="O254" s="560"/>
      <c r="P254" s="455"/>
      <c r="Q254" s="437"/>
      <c r="R254" s="437"/>
      <c r="S254" s="437"/>
      <c r="T254" s="437"/>
      <c r="U254" s="437"/>
    </row>
    <row r="255" spans="1:21" ht="15.75" customHeight="1" thickBot="1" x14ac:dyDescent="0.35">
      <c r="A255" s="437"/>
      <c r="B255" s="437"/>
      <c r="C255" s="437"/>
      <c r="D255" s="437"/>
      <c r="E255" s="437"/>
      <c r="F255" s="437"/>
      <c r="G255" s="437"/>
      <c r="H255" s="437"/>
      <c r="I255" s="437"/>
      <c r="J255" s="437"/>
      <c r="K255" s="437"/>
      <c r="L255" s="437"/>
      <c r="M255" s="437"/>
      <c r="N255" s="441"/>
      <c r="O255" s="560"/>
      <c r="P255" s="455"/>
      <c r="Q255" s="437"/>
      <c r="R255" s="437"/>
      <c r="S255" s="437"/>
      <c r="T255" s="437"/>
      <c r="U255" s="437"/>
    </row>
    <row r="256" spans="1:21" ht="15.75" customHeight="1" thickBot="1" x14ac:dyDescent="0.35">
      <c r="A256" s="437"/>
      <c r="B256" s="437"/>
      <c r="C256" s="437"/>
      <c r="D256" s="437"/>
      <c r="E256" s="437"/>
      <c r="F256" s="437"/>
      <c r="G256" s="437"/>
      <c r="H256" s="437"/>
      <c r="I256" s="437"/>
      <c r="J256" s="437"/>
      <c r="K256" s="437"/>
      <c r="L256" s="437"/>
      <c r="M256" s="437"/>
      <c r="N256" s="441"/>
      <c r="O256" s="560"/>
      <c r="P256" s="455"/>
      <c r="Q256" s="437"/>
      <c r="R256" s="437"/>
      <c r="S256" s="437"/>
      <c r="T256" s="437"/>
      <c r="U256" s="437"/>
    </row>
    <row r="257" spans="1:21" ht="15.75" customHeight="1" thickBot="1" x14ac:dyDescent="0.35">
      <c r="A257" s="437"/>
      <c r="B257" s="437"/>
      <c r="C257" s="437"/>
      <c r="D257" s="437"/>
      <c r="E257" s="437"/>
      <c r="F257" s="437"/>
      <c r="G257" s="437"/>
      <c r="H257" s="437"/>
      <c r="I257" s="437"/>
      <c r="J257" s="437"/>
      <c r="K257" s="437"/>
      <c r="L257" s="437"/>
      <c r="M257" s="437"/>
      <c r="N257" s="441"/>
      <c r="O257" s="560"/>
      <c r="P257" s="455"/>
      <c r="Q257" s="437"/>
      <c r="R257" s="437"/>
      <c r="S257" s="437"/>
      <c r="T257" s="437"/>
      <c r="U257" s="437"/>
    </row>
    <row r="258" spans="1:21" ht="15.75" customHeight="1" thickBot="1" x14ac:dyDescent="0.35">
      <c r="A258" s="437"/>
      <c r="B258" s="437"/>
      <c r="C258" s="437"/>
      <c r="D258" s="437"/>
      <c r="E258" s="437"/>
      <c r="F258" s="437"/>
      <c r="G258" s="437"/>
      <c r="H258" s="437"/>
      <c r="I258" s="437"/>
      <c r="J258" s="437"/>
      <c r="K258" s="437"/>
      <c r="L258" s="437"/>
      <c r="M258" s="437"/>
      <c r="N258" s="441"/>
      <c r="O258" s="560"/>
      <c r="P258" s="455"/>
      <c r="Q258" s="437"/>
      <c r="R258" s="437"/>
      <c r="S258" s="437"/>
      <c r="T258" s="437"/>
      <c r="U258" s="437"/>
    </row>
    <row r="259" spans="1:21" ht="15.75" customHeight="1" thickBot="1" x14ac:dyDescent="0.35">
      <c r="A259" s="437"/>
      <c r="B259" s="437"/>
      <c r="C259" s="437"/>
      <c r="D259" s="437"/>
      <c r="E259" s="437"/>
      <c r="F259" s="437"/>
      <c r="G259" s="437"/>
      <c r="H259" s="437"/>
      <c r="I259" s="437"/>
      <c r="J259" s="437"/>
      <c r="K259" s="437"/>
      <c r="L259" s="437"/>
      <c r="M259" s="437"/>
      <c r="N259" s="441"/>
      <c r="O259" s="560"/>
      <c r="P259" s="455"/>
      <c r="Q259" s="437"/>
      <c r="R259" s="437"/>
      <c r="S259" s="437"/>
      <c r="T259" s="437"/>
      <c r="U259" s="437"/>
    </row>
    <row r="260" spans="1:21" ht="15.75" customHeight="1" thickBot="1" x14ac:dyDescent="0.35">
      <c r="A260" s="437"/>
      <c r="B260" s="437"/>
      <c r="C260" s="437"/>
      <c r="D260" s="437"/>
      <c r="E260" s="437"/>
      <c r="F260" s="437"/>
      <c r="G260" s="437"/>
      <c r="H260" s="437"/>
      <c r="I260" s="437"/>
      <c r="J260" s="437"/>
      <c r="K260" s="437"/>
      <c r="L260" s="437"/>
      <c r="M260" s="437"/>
      <c r="N260" s="441"/>
      <c r="O260" s="560"/>
      <c r="P260" s="455"/>
      <c r="Q260" s="437"/>
      <c r="R260" s="437"/>
      <c r="S260" s="437"/>
      <c r="T260" s="437"/>
      <c r="U260" s="437"/>
    </row>
    <row r="261" spans="1:21" ht="15.75" customHeight="1" thickBot="1" x14ac:dyDescent="0.35">
      <c r="A261" s="437"/>
      <c r="B261" s="437"/>
      <c r="C261" s="437"/>
      <c r="D261" s="437"/>
      <c r="E261" s="437"/>
      <c r="F261" s="437"/>
      <c r="G261" s="437"/>
      <c r="H261" s="437"/>
      <c r="I261" s="437"/>
      <c r="J261" s="437"/>
      <c r="K261" s="437"/>
      <c r="L261" s="437"/>
      <c r="M261" s="437"/>
      <c r="N261" s="441"/>
      <c r="O261" s="560"/>
      <c r="P261" s="455"/>
      <c r="Q261" s="437"/>
      <c r="R261" s="437"/>
      <c r="S261" s="437"/>
      <c r="T261" s="437"/>
      <c r="U261" s="437"/>
    </row>
    <row r="262" spans="1:21" ht="15.75" customHeight="1" thickBot="1" x14ac:dyDescent="0.35">
      <c r="A262" s="437"/>
      <c r="B262" s="437"/>
      <c r="C262" s="437"/>
      <c r="D262" s="437"/>
      <c r="E262" s="437"/>
      <c r="F262" s="437"/>
      <c r="G262" s="437"/>
      <c r="H262" s="437"/>
      <c r="I262" s="437"/>
      <c r="J262" s="437"/>
      <c r="K262" s="437"/>
      <c r="L262" s="437"/>
      <c r="M262" s="437"/>
      <c r="N262" s="441"/>
      <c r="O262" s="560"/>
      <c r="P262" s="455"/>
      <c r="Q262" s="437"/>
      <c r="R262" s="437"/>
      <c r="S262" s="437"/>
      <c r="T262" s="437"/>
      <c r="U262" s="437"/>
    </row>
    <row r="263" spans="1:21" ht="15.75" customHeight="1" thickBot="1" x14ac:dyDescent="0.35">
      <c r="A263" s="437"/>
      <c r="B263" s="437"/>
      <c r="C263" s="437"/>
      <c r="D263" s="437"/>
      <c r="E263" s="437"/>
      <c r="F263" s="437"/>
      <c r="G263" s="437"/>
      <c r="H263" s="437"/>
      <c r="I263" s="437"/>
      <c r="J263" s="437"/>
      <c r="K263" s="437"/>
      <c r="L263" s="437"/>
      <c r="M263" s="437"/>
      <c r="N263" s="441"/>
      <c r="O263" s="560"/>
      <c r="P263" s="455"/>
      <c r="Q263" s="437"/>
      <c r="R263" s="437"/>
      <c r="S263" s="437"/>
      <c r="T263" s="437"/>
      <c r="U263" s="437"/>
    </row>
    <row r="264" spans="1:21" ht="15.75" customHeight="1" thickBot="1" x14ac:dyDescent="0.35">
      <c r="A264" s="437"/>
      <c r="B264" s="437"/>
      <c r="C264" s="437"/>
      <c r="D264" s="437"/>
      <c r="E264" s="437"/>
      <c r="F264" s="437"/>
      <c r="G264" s="437"/>
      <c r="H264" s="437"/>
      <c r="I264" s="437"/>
      <c r="J264" s="437"/>
      <c r="K264" s="437"/>
      <c r="L264" s="437"/>
      <c r="M264" s="437"/>
      <c r="N264" s="441"/>
      <c r="O264" s="560"/>
      <c r="P264" s="455"/>
      <c r="Q264" s="437"/>
      <c r="R264" s="437"/>
      <c r="S264" s="437"/>
      <c r="T264" s="437"/>
      <c r="U264" s="437"/>
    </row>
    <row r="265" spans="1:21" ht="15.75" customHeight="1" thickBot="1" x14ac:dyDescent="0.35">
      <c r="A265" s="437"/>
      <c r="B265" s="437"/>
      <c r="C265" s="437"/>
      <c r="D265" s="437"/>
      <c r="E265" s="437"/>
      <c r="F265" s="437"/>
      <c r="G265" s="437"/>
      <c r="H265" s="437"/>
      <c r="I265" s="437"/>
      <c r="J265" s="437"/>
      <c r="K265" s="437"/>
      <c r="L265" s="437"/>
      <c r="M265" s="437"/>
      <c r="N265" s="441"/>
      <c r="O265" s="560"/>
      <c r="P265" s="455"/>
      <c r="Q265" s="437"/>
      <c r="R265" s="437"/>
      <c r="S265" s="437"/>
      <c r="T265" s="437"/>
      <c r="U265" s="437"/>
    </row>
    <row r="266" spans="1:21" ht="15.75" customHeight="1" thickBot="1" x14ac:dyDescent="0.35">
      <c r="A266" s="437"/>
      <c r="B266" s="437"/>
      <c r="C266" s="437"/>
      <c r="D266" s="437"/>
      <c r="E266" s="437"/>
      <c r="F266" s="437"/>
      <c r="G266" s="437"/>
      <c r="H266" s="437"/>
      <c r="I266" s="437"/>
      <c r="J266" s="437"/>
      <c r="K266" s="437"/>
      <c r="L266" s="437"/>
      <c r="M266" s="437"/>
      <c r="N266" s="441"/>
      <c r="O266" s="560"/>
      <c r="P266" s="455"/>
      <c r="Q266" s="437"/>
      <c r="R266" s="437"/>
      <c r="S266" s="437"/>
      <c r="T266" s="437"/>
      <c r="U266" s="437"/>
    </row>
    <row r="267" spans="1:21" ht="15.75" customHeight="1" thickBot="1" x14ac:dyDescent="0.35">
      <c r="A267" s="437"/>
      <c r="B267" s="437"/>
      <c r="C267" s="437"/>
      <c r="D267" s="437"/>
      <c r="E267" s="437"/>
      <c r="F267" s="437"/>
      <c r="G267" s="437"/>
      <c r="H267" s="437"/>
      <c r="I267" s="437"/>
      <c r="J267" s="437"/>
      <c r="K267" s="437"/>
      <c r="L267" s="437"/>
      <c r="M267" s="437"/>
      <c r="N267" s="441"/>
      <c r="O267" s="560"/>
      <c r="P267" s="455"/>
      <c r="Q267" s="437"/>
      <c r="R267" s="437"/>
      <c r="S267" s="437"/>
      <c r="T267" s="437"/>
      <c r="U267" s="437"/>
    </row>
    <row r="268" spans="1:21" ht="15.75" customHeight="1" thickBot="1" x14ac:dyDescent="0.35">
      <c r="A268" s="437"/>
      <c r="B268" s="437"/>
      <c r="C268" s="437"/>
      <c r="D268" s="437"/>
      <c r="E268" s="437"/>
      <c r="F268" s="437"/>
      <c r="G268" s="437"/>
      <c r="H268" s="437"/>
      <c r="I268" s="437"/>
      <c r="J268" s="437"/>
      <c r="K268" s="437"/>
      <c r="L268" s="437"/>
      <c r="M268" s="437"/>
      <c r="N268" s="441"/>
      <c r="O268" s="560"/>
      <c r="P268" s="455"/>
      <c r="Q268" s="437"/>
      <c r="R268" s="437"/>
      <c r="S268" s="437"/>
      <c r="T268" s="437"/>
      <c r="U268" s="437"/>
    </row>
    <row r="269" spans="1:21" ht="15.75" customHeight="1" thickBot="1" x14ac:dyDescent="0.35">
      <c r="A269" s="437"/>
      <c r="B269" s="437"/>
      <c r="C269" s="437"/>
      <c r="D269" s="437"/>
      <c r="E269" s="437"/>
      <c r="F269" s="437"/>
      <c r="G269" s="437"/>
      <c r="H269" s="437"/>
      <c r="I269" s="437"/>
      <c r="J269" s="437"/>
      <c r="K269" s="437"/>
      <c r="L269" s="437"/>
      <c r="M269" s="437"/>
      <c r="N269" s="441"/>
      <c r="O269" s="560"/>
      <c r="P269" s="455"/>
      <c r="Q269" s="437"/>
      <c r="R269" s="437"/>
      <c r="S269" s="437"/>
      <c r="T269" s="437"/>
      <c r="U269" s="437"/>
    </row>
    <row r="270" spans="1:21" ht="15.75" customHeight="1" thickBot="1" x14ac:dyDescent="0.35">
      <c r="A270" s="437"/>
      <c r="B270" s="437"/>
      <c r="C270" s="437"/>
      <c r="D270" s="437"/>
      <c r="E270" s="437"/>
      <c r="F270" s="437"/>
      <c r="G270" s="437"/>
      <c r="H270" s="437"/>
      <c r="I270" s="437"/>
      <c r="J270" s="437"/>
      <c r="K270" s="437"/>
      <c r="L270" s="437"/>
      <c r="M270" s="437"/>
      <c r="N270" s="441"/>
      <c r="O270" s="560"/>
      <c r="P270" s="455"/>
      <c r="Q270" s="437"/>
      <c r="R270" s="437"/>
      <c r="S270" s="437"/>
      <c r="T270" s="437"/>
      <c r="U270" s="437"/>
    </row>
    <row r="271" spans="1:21" ht="15.75" customHeight="1" thickBot="1" x14ac:dyDescent="0.35">
      <c r="A271" s="437"/>
      <c r="B271" s="437"/>
      <c r="C271" s="437"/>
      <c r="D271" s="437"/>
      <c r="E271" s="437"/>
      <c r="F271" s="437"/>
      <c r="G271" s="437"/>
      <c r="H271" s="437"/>
      <c r="I271" s="437"/>
      <c r="J271" s="437"/>
      <c r="K271" s="437"/>
      <c r="L271" s="437"/>
      <c r="M271" s="437"/>
      <c r="N271" s="441"/>
      <c r="O271" s="560"/>
      <c r="P271" s="455"/>
      <c r="Q271" s="437"/>
      <c r="R271" s="437"/>
      <c r="S271" s="437"/>
      <c r="T271" s="437"/>
      <c r="U271" s="437"/>
    </row>
    <row r="272" spans="1:21" ht="15.75" customHeight="1" thickBot="1" x14ac:dyDescent="0.35">
      <c r="A272" s="437"/>
      <c r="B272" s="437"/>
      <c r="C272" s="437"/>
      <c r="D272" s="437"/>
      <c r="E272" s="437"/>
      <c r="F272" s="437"/>
      <c r="G272" s="437"/>
      <c r="H272" s="437"/>
      <c r="I272" s="437"/>
      <c r="J272" s="437"/>
      <c r="K272" s="437"/>
      <c r="L272" s="437"/>
      <c r="M272" s="437"/>
      <c r="N272" s="441"/>
      <c r="O272" s="560"/>
      <c r="P272" s="455"/>
      <c r="Q272" s="437"/>
      <c r="R272" s="437"/>
      <c r="S272" s="437"/>
      <c r="T272" s="437"/>
      <c r="U272" s="437"/>
    </row>
    <row r="273" spans="1:21" ht="15.75" customHeight="1" thickBot="1" x14ac:dyDescent="0.35">
      <c r="A273" s="437"/>
      <c r="B273" s="437"/>
      <c r="C273" s="437"/>
      <c r="D273" s="437"/>
      <c r="E273" s="437"/>
      <c r="F273" s="437"/>
      <c r="G273" s="437"/>
      <c r="H273" s="437"/>
      <c r="I273" s="437"/>
      <c r="J273" s="437"/>
      <c r="K273" s="437"/>
      <c r="L273" s="437"/>
      <c r="M273" s="437"/>
      <c r="N273" s="441"/>
      <c r="O273" s="560"/>
      <c r="P273" s="455"/>
      <c r="Q273" s="437"/>
      <c r="R273" s="437"/>
      <c r="S273" s="437"/>
      <c r="T273" s="437"/>
      <c r="U273" s="437"/>
    </row>
    <row r="274" spans="1:21" ht="15.75" customHeight="1" thickBot="1" x14ac:dyDescent="0.35">
      <c r="A274" s="437"/>
      <c r="B274" s="437"/>
      <c r="C274" s="437"/>
      <c r="D274" s="437"/>
      <c r="E274" s="437"/>
      <c r="F274" s="437"/>
      <c r="G274" s="437"/>
      <c r="H274" s="437"/>
      <c r="I274" s="437"/>
      <c r="J274" s="437"/>
      <c r="K274" s="437"/>
      <c r="L274" s="437"/>
      <c r="M274" s="437"/>
      <c r="N274" s="441"/>
      <c r="O274" s="560"/>
      <c r="P274" s="455"/>
      <c r="Q274" s="437"/>
      <c r="R274" s="437"/>
      <c r="S274" s="437"/>
      <c r="T274" s="437"/>
      <c r="U274" s="437"/>
    </row>
    <row r="275" spans="1:21" ht="15.75" customHeight="1" thickBot="1" x14ac:dyDescent="0.35">
      <c r="A275" s="437"/>
      <c r="B275" s="437"/>
      <c r="C275" s="437"/>
      <c r="D275" s="437"/>
      <c r="E275" s="437"/>
      <c r="F275" s="437"/>
      <c r="G275" s="437"/>
      <c r="H275" s="437"/>
      <c r="I275" s="437"/>
      <c r="J275" s="437"/>
      <c r="K275" s="437"/>
      <c r="L275" s="437"/>
      <c r="M275" s="437"/>
      <c r="N275" s="441"/>
      <c r="O275" s="560"/>
      <c r="P275" s="455"/>
      <c r="Q275" s="437"/>
      <c r="R275" s="437"/>
      <c r="S275" s="437"/>
      <c r="T275" s="437"/>
      <c r="U275" s="437"/>
    </row>
    <row r="276" spans="1:21" ht="15.75" customHeight="1" thickBot="1" x14ac:dyDescent="0.35">
      <c r="A276" s="437"/>
      <c r="B276" s="437"/>
      <c r="C276" s="437"/>
      <c r="D276" s="437"/>
      <c r="E276" s="437"/>
      <c r="F276" s="437"/>
      <c r="G276" s="437"/>
      <c r="H276" s="437"/>
      <c r="I276" s="437"/>
      <c r="J276" s="437"/>
      <c r="K276" s="437"/>
      <c r="L276" s="437"/>
      <c r="M276" s="437"/>
      <c r="N276" s="441"/>
      <c r="O276" s="560"/>
      <c r="P276" s="455"/>
      <c r="Q276" s="437"/>
      <c r="R276" s="437"/>
      <c r="S276" s="437"/>
      <c r="T276" s="437"/>
      <c r="U276" s="437"/>
    </row>
    <row r="277" spans="1:21" ht="15.75" customHeight="1" thickBot="1" x14ac:dyDescent="0.35">
      <c r="A277" s="437"/>
      <c r="B277" s="437"/>
      <c r="C277" s="437"/>
      <c r="D277" s="437"/>
      <c r="E277" s="437"/>
      <c r="F277" s="437"/>
      <c r="G277" s="437"/>
      <c r="H277" s="437"/>
      <c r="I277" s="437"/>
      <c r="J277" s="437"/>
      <c r="K277" s="437"/>
      <c r="L277" s="437"/>
      <c r="M277" s="437"/>
      <c r="N277" s="441"/>
      <c r="O277" s="560"/>
      <c r="P277" s="455"/>
      <c r="Q277" s="437"/>
      <c r="R277" s="437"/>
      <c r="S277" s="437"/>
      <c r="T277" s="437"/>
      <c r="U277" s="437"/>
    </row>
    <row r="278" spans="1:21" ht="15.75" customHeight="1" thickBot="1" x14ac:dyDescent="0.35">
      <c r="A278" s="437"/>
      <c r="B278" s="437"/>
      <c r="C278" s="437"/>
      <c r="D278" s="437"/>
      <c r="E278" s="437"/>
      <c r="F278" s="437"/>
      <c r="G278" s="437"/>
      <c r="H278" s="437"/>
      <c r="I278" s="437"/>
      <c r="J278" s="437"/>
      <c r="K278" s="437"/>
      <c r="L278" s="437"/>
      <c r="M278" s="437"/>
      <c r="N278" s="441"/>
      <c r="O278" s="560"/>
      <c r="P278" s="455"/>
      <c r="Q278" s="437"/>
      <c r="R278" s="437"/>
      <c r="S278" s="437"/>
      <c r="T278" s="437"/>
      <c r="U278" s="437"/>
    </row>
    <row r="279" spans="1:21" ht="15.75" customHeight="1" thickBot="1" x14ac:dyDescent="0.35">
      <c r="A279" s="437"/>
      <c r="B279" s="437"/>
      <c r="C279" s="437"/>
      <c r="D279" s="437"/>
      <c r="E279" s="437"/>
      <c r="F279" s="437"/>
      <c r="G279" s="437"/>
      <c r="H279" s="437"/>
      <c r="I279" s="437"/>
      <c r="J279" s="437"/>
      <c r="K279" s="437"/>
      <c r="L279" s="437"/>
      <c r="M279" s="437"/>
      <c r="N279" s="441"/>
      <c r="O279" s="560"/>
      <c r="P279" s="455"/>
      <c r="Q279" s="437"/>
      <c r="R279" s="437"/>
      <c r="S279" s="437"/>
      <c r="T279" s="437"/>
      <c r="U279" s="437"/>
    </row>
    <row r="280" spans="1:21" ht="15.75" customHeight="1" thickBot="1" x14ac:dyDescent="0.35">
      <c r="A280" s="437"/>
      <c r="B280" s="437"/>
      <c r="C280" s="437"/>
      <c r="D280" s="437"/>
      <c r="E280" s="437"/>
      <c r="F280" s="437"/>
      <c r="G280" s="437"/>
      <c r="H280" s="437"/>
      <c r="I280" s="437"/>
      <c r="J280" s="437"/>
      <c r="K280" s="437"/>
      <c r="L280" s="437"/>
      <c r="M280" s="437"/>
      <c r="N280" s="441"/>
      <c r="O280" s="560"/>
      <c r="P280" s="455"/>
      <c r="Q280" s="437"/>
      <c r="R280" s="437"/>
      <c r="S280" s="437"/>
      <c r="T280" s="437"/>
      <c r="U280" s="437"/>
    </row>
    <row r="281" spans="1:21" ht="15.75" customHeight="1" thickBot="1" x14ac:dyDescent="0.35">
      <c r="A281" s="437"/>
      <c r="B281" s="437"/>
      <c r="C281" s="437"/>
      <c r="D281" s="437"/>
      <c r="E281" s="437"/>
      <c r="F281" s="437"/>
      <c r="G281" s="437"/>
      <c r="H281" s="437"/>
      <c r="I281" s="437"/>
      <c r="J281" s="437"/>
      <c r="K281" s="437"/>
      <c r="L281" s="437"/>
      <c r="M281" s="437"/>
      <c r="N281" s="441"/>
      <c r="O281" s="560"/>
      <c r="P281" s="455"/>
      <c r="Q281" s="437"/>
      <c r="R281" s="437"/>
      <c r="S281" s="437"/>
      <c r="T281" s="437"/>
      <c r="U281" s="437"/>
    </row>
    <row r="282" spans="1:21" ht="15.75" customHeight="1" thickBot="1" x14ac:dyDescent="0.35">
      <c r="A282" s="437"/>
      <c r="B282" s="437"/>
      <c r="C282" s="437"/>
      <c r="D282" s="437"/>
      <c r="E282" s="437"/>
      <c r="F282" s="437"/>
      <c r="G282" s="437"/>
      <c r="H282" s="437"/>
      <c r="I282" s="437"/>
      <c r="J282" s="437"/>
      <c r="K282" s="437"/>
      <c r="L282" s="437"/>
      <c r="M282" s="437"/>
      <c r="N282" s="441"/>
      <c r="O282" s="560"/>
      <c r="P282" s="455"/>
      <c r="Q282" s="437"/>
      <c r="R282" s="437"/>
      <c r="S282" s="437"/>
      <c r="T282" s="437"/>
      <c r="U282" s="437"/>
    </row>
    <row r="283" spans="1:21" ht="15.75" customHeight="1" thickBot="1" x14ac:dyDescent="0.35">
      <c r="A283" s="437"/>
      <c r="B283" s="437"/>
      <c r="C283" s="437"/>
      <c r="D283" s="437"/>
      <c r="E283" s="437"/>
      <c r="F283" s="437"/>
      <c r="G283" s="437"/>
      <c r="H283" s="437"/>
      <c r="I283" s="437"/>
      <c r="J283" s="437"/>
      <c r="K283" s="437"/>
      <c r="L283" s="437"/>
      <c r="M283" s="437"/>
      <c r="N283" s="441"/>
      <c r="O283" s="560"/>
      <c r="P283" s="455"/>
      <c r="Q283" s="437"/>
      <c r="R283" s="437"/>
      <c r="S283" s="437"/>
      <c r="T283" s="437"/>
      <c r="U283" s="437"/>
    </row>
    <row r="284" spans="1:21" ht="15.75" customHeight="1" thickBot="1" x14ac:dyDescent="0.35">
      <c r="A284" s="437"/>
      <c r="B284" s="437"/>
      <c r="C284" s="437"/>
      <c r="D284" s="437"/>
      <c r="E284" s="437"/>
      <c r="F284" s="437"/>
      <c r="G284" s="437"/>
      <c r="H284" s="437"/>
      <c r="I284" s="437"/>
      <c r="J284" s="437"/>
      <c r="K284" s="437"/>
      <c r="L284" s="437"/>
      <c r="M284" s="437"/>
      <c r="N284" s="441"/>
      <c r="O284" s="560"/>
      <c r="P284" s="455"/>
      <c r="Q284" s="437"/>
      <c r="R284" s="437"/>
      <c r="S284" s="437"/>
      <c r="T284" s="437"/>
      <c r="U284" s="437"/>
    </row>
    <row r="285" spans="1:21" ht="15.75" customHeight="1" thickBot="1" x14ac:dyDescent="0.35">
      <c r="A285" s="437"/>
      <c r="B285" s="437"/>
      <c r="C285" s="437"/>
      <c r="D285" s="437"/>
      <c r="E285" s="437"/>
      <c r="F285" s="437"/>
      <c r="G285" s="437"/>
      <c r="H285" s="437"/>
      <c r="I285" s="437"/>
      <c r="J285" s="437"/>
      <c r="K285" s="437"/>
      <c r="L285" s="437"/>
      <c r="M285" s="437"/>
      <c r="N285" s="441"/>
      <c r="O285" s="560"/>
      <c r="P285" s="455"/>
      <c r="Q285" s="437"/>
      <c r="R285" s="437"/>
      <c r="S285" s="437"/>
      <c r="T285" s="437"/>
      <c r="U285" s="437"/>
    </row>
    <row r="286" spans="1:21" ht="15.75" customHeight="1" thickBot="1" x14ac:dyDescent="0.35">
      <c r="A286" s="437"/>
      <c r="B286" s="437"/>
      <c r="C286" s="437"/>
      <c r="D286" s="437"/>
      <c r="E286" s="437"/>
      <c r="F286" s="437"/>
      <c r="G286" s="437"/>
      <c r="H286" s="437"/>
      <c r="I286" s="437"/>
      <c r="J286" s="437"/>
      <c r="K286" s="437"/>
      <c r="L286" s="437"/>
      <c r="M286" s="437"/>
      <c r="N286" s="441"/>
      <c r="O286" s="560"/>
      <c r="P286" s="455"/>
      <c r="Q286" s="437"/>
      <c r="R286" s="437"/>
      <c r="S286" s="437"/>
      <c r="T286" s="437"/>
      <c r="U286" s="437"/>
    </row>
    <row r="287" spans="1:21" ht="15.75" customHeight="1" thickBot="1" x14ac:dyDescent="0.35">
      <c r="A287" s="437"/>
      <c r="B287" s="437"/>
      <c r="C287" s="437"/>
      <c r="D287" s="437"/>
      <c r="E287" s="437"/>
      <c r="F287" s="437"/>
      <c r="G287" s="437"/>
      <c r="H287" s="437"/>
      <c r="I287" s="437"/>
      <c r="J287" s="437"/>
      <c r="K287" s="437"/>
      <c r="L287" s="437"/>
      <c r="M287" s="437"/>
      <c r="N287" s="441"/>
      <c r="O287" s="560"/>
      <c r="P287" s="455"/>
      <c r="Q287" s="437"/>
      <c r="R287" s="437"/>
      <c r="S287" s="437"/>
      <c r="T287" s="437"/>
      <c r="U287" s="437"/>
    </row>
    <row r="288" spans="1:21" ht="15.75" customHeight="1" thickBot="1" x14ac:dyDescent="0.35">
      <c r="A288" s="437"/>
      <c r="B288" s="437"/>
      <c r="C288" s="437"/>
      <c r="D288" s="437"/>
      <c r="E288" s="437"/>
      <c r="F288" s="437"/>
      <c r="G288" s="437"/>
      <c r="H288" s="437"/>
      <c r="I288" s="437"/>
      <c r="J288" s="437"/>
      <c r="K288" s="437"/>
      <c r="L288" s="437"/>
      <c r="M288" s="437"/>
      <c r="N288" s="441"/>
      <c r="O288" s="560"/>
      <c r="P288" s="455"/>
      <c r="Q288" s="437"/>
      <c r="R288" s="437"/>
      <c r="S288" s="437"/>
      <c r="T288" s="437"/>
      <c r="U288" s="437"/>
    </row>
    <row r="289" spans="1:21" ht="15.75" customHeight="1" thickBot="1" x14ac:dyDescent="0.35">
      <c r="A289" s="437"/>
      <c r="B289" s="437"/>
      <c r="C289" s="437"/>
      <c r="D289" s="437"/>
      <c r="E289" s="437"/>
      <c r="F289" s="437"/>
      <c r="G289" s="437"/>
      <c r="H289" s="437"/>
      <c r="I289" s="437"/>
      <c r="J289" s="437"/>
      <c r="K289" s="437"/>
      <c r="L289" s="437"/>
      <c r="M289" s="437"/>
      <c r="N289" s="441"/>
      <c r="O289" s="560"/>
      <c r="P289" s="455"/>
      <c r="Q289" s="437"/>
      <c r="R289" s="437"/>
      <c r="S289" s="437"/>
      <c r="T289" s="437"/>
      <c r="U289" s="437"/>
    </row>
    <row r="290" spans="1:21" ht="15.75" customHeight="1" thickBot="1" x14ac:dyDescent="0.35">
      <c r="A290" s="437"/>
      <c r="B290" s="437"/>
      <c r="C290" s="437"/>
      <c r="D290" s="437"/>
      <c r="E290" s="437"/>
      <c r="F290" s="437"/>
      <c r="G290" s="437"/>
      <c r="H290" s="437"/>
      <c r="I290" s="437"/>
      <c r="J290" s="437"/>
      <c r="K290" s="437"/>
      <c r="L290" s="437"/>
      <c r="M290" s="437"/>
      <c r="N290" s="441"/>
      <c r="O290" s="560"/>
      <c r="P290" s="455"/>
      <c r="Q290" s="437"/>
      <c r="R290" s="437"/>
      <c r="S290" s="437"/>
      <c r="T290" s="437"/>
      <c r="U290" s="437"/>
    </row>
    <row r="291" spans="1:21" ht="15.75" customHeight="1" thickBot="1" x14ac:dyDescent="0.35">
      <c r="A291" s="437"/>
      <c r="B291" s="437"/>
      <c r="C291" s="437"/>
      <c r="D291" s="437"/>
      <c r="E291" s="437"/>
      <c r="F291" s="437"/>
      <c r="G291" s="437"/>
      <c r="H291" s="437"/>
      <c r="I291" s="437"/>
      <c r="J291" s="437"/>
      <c r="K291" s="437"/>
      <c r="L291" s="437"/>
      <c r="M291" s="437"/>
      <c r="N291" s="441"/>
      <c r="O291" s="560"/>
      <c r="P291" s="455"/>
      <c r="Q291" s="437"/>
      <c r="R291" s="437"/>
      <c r="S291" s="437"/>
      <c r="T291" s="437"/>
      <c r="U291" s="437"/>
    </row>
    <row r="292" spans="1:21" ht="15.75" customHeight="1" thickBot="1" x14ac:dyDescent="0.35">
      <c r="A292" s="437"/>
      <c r="B292" s="437"/>
      <c r="C292" s="437"/>
      <c r="D292" s="437"/>
      <c r="E292" s="437"/>
      <c r="F292" s="437"/>
      <c r="G292" s="437"/>
      <c r="H292" s="437"/>
      <c r="I292" s="437"/>
      <c r="J292" s="437"/>
      <c r="K292" s="437"/>
      <c r="L292" s="437"/>
      <c r="M292" s="437"/>
      <c r="N292" s="441"/>
      <c r="O292" s="560"/>
      <c r="P292" s="455"/>
      <c r="Q292" s="437"/>
      <c r="R292" s="437"/>
      <c r="S292" s="437"/>
      <c r="T292" s="437"/>
      <c r="U292" s="437"/>
    </row>
    <row r="293" spans="1:21" ht="15.75" customHeight="1" thickBot="1" x14ac:dyDescent="0.35">
      <c r="A293" s="437"/>
      <c r="B293" s="437"/>
      <c r="C293" s="437"/>
      <c r="D293" s="437"/>
      <c r="E293" s="437"/>
      <c r="F293" s="437"/>
      <c r="G293" s="437"/>
      <c r="H293" s="437"/>
      <c r="I293" s="437"/>
      <c r="J293" s="437"/>
      <c r="K293" s="437"/>
      <c r="L293" s="437"/>
      <c r="M293" s="437"/>
      <c r="N293" s="441"/>
      <c r="O293" s="560"/>
      <c r="P293" s="455"/>
      <c r="Q293" s="437"/>
      <c r="R293" s="437"/>
      <c r="S293" s="437"/>
      <c r="T293" s="437"/>
      <c r="U293" s="437"/>
    </row>
    <row r="294" spans="1:21" ht="15.75" customHeight="1" thickBot="1" x14ac:dyDescent="0.35">
      <c r="A294" s="437"/>
      <c r="B294" s="437"/>
      <c r="C294" s="437"/>
      <c r="D294" s="437"/>
      <c r="E294" s="437"/>
      <c r="F294" s="437"/>
      <c r="G294" s="437"/>
      <c r="H294" s="437"/>
      <c r="I294" s="437"/>
      <c r="J294" s="437"/>
      <c r="K294" s="437"/>
      <c r="L294" s="437"/>
      <c r="M294" s="437"/>
      <c r="N294" s="441"/>
      <c r="O294" s="560"/>
      <c r="P294" s="455"/>
      <c r="Q294" s="437"/>
      <c r="R294" s="437"/>
      <c r="S294" s="437"/>
      <c r="T294" s="437"/>
      <c r="U294" s="437"/>
    </row>
    <row r="295" spans="1:21" ht="15.75" customHeight="1" thickBot="1" x14ac:dyDescent="0.35">
      <c r="A295" s="437"/>
      <c r="B295" s="437"/>
      <c r="C295" s="437"/>
      <c r="D295" s="437"/>
      <c r="E295" s="437"/>
      <c r="F295" s="437"/>
      <c r="G295" s="437"/>
      <c r="H295" s="437"/>
      <c r="I295" s="437"/>
      <c r="J295" s="437"/>
      <c r="K295" s="437"/>
      <c r="L295" s="437"/>
      <c r="M295" s="437"/>
      <c r="N295" s="441"/>
      <c r="O295" s="560"/>
      <c r="P295" s="455"/>
      <c r="Q295" s="437"/>
      <c r="R295" s="437"/>
      <c r="S295" s="437"/>
      <c r="T295" s="437"/>
      <c r="U295" s="437"/>
    </row>
    <row r="296" spans="1:21" ht="15.75" customHeight="1" thickBot="1" x14ac:dyDescent="0.35">
      <c r="A296" s="437"/>
      <c r="B296" s="437"/>
      <c r="C296" s="437"/>
      <c r="D296" s="437"/>
      <c r="E296" s="437"/>
      <c r="F296" s="437"/>
      <c r="G296" s="437"/>
      <c r="H296" s="437"/>
      <c r="I296" s="437"/>
      <c r="J296" s="437"/>
      <c r="K296" s="437"/>
      <c r="L296" s="437"/>
      <c r="M296" s="437"/>
      <c r="N296" s="441"/>
      <c r="O296" s="560"/>
      <c r="P296" s="455"/>
      <c r="Q296" s="437"/>
      <c r="R296" s="437"/>
      <c r="S296" s="437"/>
      <c r="T296" s="437"/>
      <c r="U296" s="437"/>
    </row>
    <row r="297" spans="1:21" ht="15.75" customHeight="1" thickBot="1" x14ac:dyDescent="0.35">
      <c r="A297" s="437"/>
      <c r="B297" s="437"/>
      <c r="C297" s="437"/>
      <c r="D297" s="437"/>
      <c r="E297" s="437"/>
      <c r="F297" s="437"/>
      <c r="G297" s="437"/>
      <c r="H297" s="437"/>
      <c r="I297" s="437"/>
      <c r="J297" s="437"/>
      <c r="K297" s="437"/>
      <c r="L297" s="437"/>
      <c r="M297" s="437"/>
      <c r="N297" s="441"/>
      <c r="O297" s="560"/>
      <c r="P297" s="455"/>
      <c r="Q297" s="437"/>
      <c r="R297" s="437"/>
      <c r="S297" s="437"/>
      <c r="T297" s="437"/>
      <c r="U297" s="437"/>
    </row>
    <row r="298" spans="1:21" ht="15.75" customHeight="1" thickBot="1" x14ac:dyDescent="0.35">
      <c r="A298" s="437"/>
      <c r="B298" s="437"/>
      <c r="C298" s="437"/>
      <c r="D298" s="437"/>
      <c r="E298" s="437"/>
      <c r="F298" s="437"/>
      <c r="G298" s="437"/>
      <c r="H298" s="437"/>
      <c r="I298" s="437"/>
      <c r="J298" s="437"/>
      <c r="K298" s="437"/>
      <c r="L298" s="437"/>
      <c r="M298" s="437"/>
      <c r="N298" s="441"/>
      <c r="O298" s="560"/>
      <c r="P298" s="455"/>
      <c r="Q298" s="437"/>
      <c r="R298" s="437"/>
      <c r="S298" s="437"/>
      <c r="T298" s="437"/>
      <c r="U298" s="437"/>
    </row>
    <row r="299" spans="1:21" ht="15.75" customHeight="1" thickBot="1" x14ac:dyDescent="0.35">
      <c r="A299" s="437"/>
      <c r="B299" s="437"/>
      <c r="C299" s="437"/>
      <c r="D299" s="437"/>
      <c r="E299" s="437"/>
      <c r="F299" s="437"/>
      <c r="G299" s="437"/>
      <c r="H299" s="437"/>
      <c r="I299" s="437"/>
      <c r="J299" s="437"/>
      <c r="K299" s="437"/>
      <c r="L299" s="437"/>
      <c r="M299" s="437"/>
      <c r="N299" s="441"/>
      <c r="O299" s="560"/>
      <c r="P299" s="455"/>
      <c r="Q299" s="437"/>
      <c r="R299" s="437"/>
      <c r="S299" s="437"/>
      <c r="T299" s="437"/>
      <c r="U299" s="437"/>
    </row>
    <row r="300" spans="1:21" ht="15.75" customHeight="1" thickBot="1" x14ac:dyDescent="0.35">
      <c r="A300" s="437"/>
      <c r="B300" s="437"/>
      <c r="C300" s="437"/>
      <c r="D300" s="437"/>
      <c r="E300" s="437"/>
      <c r="F300" s="437"/>
      <c r="G300" s="437"/>
      <c r="H300" s="437"/>
      <c r="I300" s="437"/>
      <c r="J300" s="437"/>
      <c r="K300" s="437"/>
      <c r="L300" s="437"/>
      <c r="M300" s="437"/>
      <c r="N300" s="441"/>
      <c r="O300" s="560"/>
      <c r="P300" s="455"/>
      <c r="Q300" s="437"/>
      <c r="R300" s="437"/>
      <c r="S300" s="437"/>
      <c r="T300" s="437"/>
      <c r="U300" s="437"/>
    </row>
    <row r="301" spans="1:21" ht="15.75" customHeight="1" thickBot="1" x14ac:dyDescent="0.35">
      <c r="A301" s="437"/>
      <c r="B301" s="437"/>
      <c r="C301" s="437"/>
      <c r="D301" s="437"/>
      <c r="E301" s="437"/>
      <c r="F301" s="437"/>
      <c r="G301" s="437"/>
      <c r="H301" s="437"/>
      <c r="I301" s="437"/>
      <c r="J301" s="437"/>
      <c r="K301" s="437"/>
      <c r="L301" s="437"/>
      <c r="M301" s="437"/>
      <c r="N301" s="441"/>
      <c r="O301" s="560"/>
      <c r="P301" s="455"/>
      <c r="Q301" s="437"/>
      <c r="R301" s="437"/>
      <c r="S301" s="437"/>
      <c r="T301" s="437"/>
      <c r="U301" s="437"/>
    </row>
    <row r="302" spans="1:21" ht="15.75" customHeight="1" thickBot="1" x14ac:dyDescent="0.35">
      <c r="A302" s="437"/>
      <c r="B302" s="437"/>
      <c r="C302" s="437"/>
      <c r="D302" s="437"/>
      <c r="E302" s="437"/>
      <c r="F302" s="437"/>
      <c r="G302" s="437"/>
      <c r="H302" s="437"/>
      <c r="I302" s="437"/>
      <c r="J302" s="437"/>
      <c r="K302" s="437"/>
      <c r="L302" s="437"/>
      <c r="M302" s="437"/>
      <c r="N302" s="441"/>
      <c r="O302" s="560"/>
      <c r="P302" s="455"/>
      <c r="Q302" s="437"/>
      <c r="R302" s="437"/>
      <c r="S302" s="437"/>
      <c r="T302" s="437"/>
      <c r="U302" s="437"/>
    </row>
    <row r="303" spans="1:21" ht="15.75" customHeight="1" thickBot="1" x14ac:dyDescent="0.35">
      <c r="A303" s="437"/>
      <c r="B303" s="437"/>
      <c r="C303" s="437"/>
      <c r="D303" s="437"/>
      <c r="E303" s="437"/>
      <c r="F303" s="437"/>
      <c r="G303" s="437"/>
      <c r="H303" s="437"/>
      <c r="I303" s="437"/>
      <c r="J303" s="437"/>
      <c r="K303" s="437"/>
      <c r="L303" s="437"/>
      <c r="M303" s="437"/>
      <c r="N303" s="441"/>
      <c r="O303" s="560"/>
      <c r="P303" s="455"/>
      <c r="Q303" s="437"/>
      <c r="R303" s="437"/>
      <c r="S303" s="437"/>
      <c r="T303" s="437"/>
      <c r="U303" s="437"/>
    </row>
    <row r="304" spans="1:21" ht="15.75" customHeight="1" thickBot="1" x14ac:dyDescent="0.35">
      <c r="A304" s="437"/>
      <c r="B304" s="437"/>
      <c r="C304" s="437"/>
      <c r="D304" s="437"/>
      <c r="E304" s="437"/>
      <c r="F304" s="437"/>
      <c r="G304" s="437"/>
      <c r="H304" s="437"/>
      <c r="I304" s="437"/>
      <c r="J304" s="437"/>
      <c r="K304" s="437"/>
      <c r="L304" s="437"/>
      <c r="M304" s="437"/>
      <c r="N304" s="441"/>
      <c r="O304" s="560"/>
      <c r="P304" s="455"/>
      <c r="Q304" s="437"/>
      <c r="R304" s="437"/>
      <c r="S304" s="437"/>
      <c r="T304" s="437"/>
      <c r="U304" s="437"/>
    </row>
    <row r="305" spans="1:21" ht="15.75" customHeight="1" thickBot="1" x14ac:dyDescent="0.35">
      <c r="A305" s="437"/>
      <c r="B305" s="437"/>
      <c r="C305" s="437"/>
      <c r="D305" s="437"/>
      <c r="E305" s="437"/>
      <c r="F305" s="437"/>
      <c r="G305" s="437"/>
      <c r="H305" s="437"/>
      <c r="I305" s="437"/>
      <c r="J305" s="437"/>
      <c r="K305" s="437"/>
      <c r="L305" s="437"/>
      <c r="M305" s="437"/>
      <c r="N305" s="441"/>
      <c r="O305" s="560"/>
      <c r="P305" s="455"/>
      <c r="Q305" s="437"/>
      <c r="R305" s="437"/>
      <c r="S305" s="437"/>
      <c r="T305" s="437"/>
      <c r="U305" s="437"/>
    </row>
    <row r="306" spans="1:21" ht="15.75" customHeight="1" thickBot="1" x14ac:dyDescent="0.35">
      <c r="A306" s="437"/>
      <c r="B306" s="437"/>
      <c r="C306" s="437"/>
      <c r="D306" s="437"/>
      <c r="E306" s="437"/>
      <c r="F306" s="437"/>
      <c r="G306" s="437"/>
      <c r="H306" s="437"/>
      <c r="I306" s="437"/>
      <c r="J306" s="437"/>
      <c r="K306" s="437"/>
      <c r="L306" s="437"/>
      <c r="M306" s="437"/>
      <c r="N306" s="441"/>
      <c r="O306" s="560"/>
      <c r="P306" s="455"/>
      <c r="Q306" s="437"/>
      <c r="R306" s="437"/>
      <c r="S306" s="437"/>
      <c r="T306" s="437"/>
      <c r="U306" s="437"/>
    </row>
    <row r="307" spans="1:21" ht="15.75" customHeight="1" thickBot="1" x14ac:dyDescent="0.35">
      <c r="A307" s="437"/>
      <c r="B307" s="437"/>
      <c r="C307" s="437"/>
      <c r="D307" s="437"/>
      <c r="E307" s="437"/>
      <c r="F307" s="437"/>
      <c r="G307" s="437"/>
      <c r="H307" s="437"/>
      <c r="I307" s="437"/>
      <c r="J307" s="437"/>
      <c r="K307" s="437"/>
      <c r="L307" s="437"/>
      <c r="M307" s="437"/>
      <c r="N307" s="441"/>
      <c r="O307" s="560"/>
      <c r="P307" s="455"/>
      <c r="Q307" s="437"/>
      <c r="R307" s="437"/>
      <c r="S307" s="437"/>
      <c r="T307" s="437"/>
      <c r="U307" s="437"/>
    </row>
    <row r="308" spans="1:21" ht="15.75" customHeight="1" thickBot="1" x14ac:dyDescent="0.35">
      <c r="A308" s="437"/>
      <c r="B308" s="437"/>
      <c r="C308" s="437"/>
      <c r="D308" s="437"/>
      <c r="E308" s="437"/>
      <c r="F308" s="437"/>
      <c r="G308" s="437"/>
      <c r="H308" s="437"/>
      <c r="I308" s="437"/>
      <c r="J308" s="437"/>
      <c r="K308" s="437"/>
      <c r="L308" s="437"/>
      <c r="M308" s="437"/>
      <c r="N308" s="441"/>
      <c r="O308" s="560"/>
      <c r="P308" s="455"/>
      <c r="Q308" s="437"/>
      <c r="R308" s="437"/>
      <c r="S308" s="437"/>
      <c r="T308" s="437"/>
      <c r="U308" s="437"/>
    </row>
    <row r="309" spans="1:21" ht="15.75" customHeight="1" thickBot="1" x14ac:dyDescent="0.35">
      <c r="A309" s="437"/>
      <c r="B309" s="437"/>
      <c r="C309" s="437"/>
      <c r="D309" s="437"/>
      <c r="E309" s="437"/>
      <c r="F309" s="437"/>
      <c r="G309" s="437"/>
      <c r="H309" s="437"/>
      <c r="I309" s="437"/>
      <c r="J309" s="437"/>
      <c r="K309" s="437"/>
      <c r="L309" s="437"/>
      <c r="M309" s="437"/>
      <c r="N309" s="441"/>
      <c r="O309" s="560"/>
      <c r="P309" s="455"/>
      <c r="Q309" s="437"/>
      <c r="R309" s="437"/>
      <c r="S309" s="437"/>
      <c r="T309" s="437"/>
      <c r="U309" s="437"/>
    </row>
    <row r="310" spans="1:21" ht="15.75" customHeight="1" thickBot="1" x14ac:dyDescent="0.35">
      <c r="A310" s="437"/>
      <c r="B310" s="437"/>
      <c r="C310" s="437"/>
      <c r="D310" s="437"/>
      <c r="E310" s="437"/>
      <c r="F310" s="437"/>
      <c r="G310" s="437"/>
      <c r="H310" s="437"/>
      <c r="I310" s="437"/>
      <c r="J310" s="437"/>
      <c r="K310" s="437"/>
      <c r="L310" s="437"/>
      <c r="M310" s="437"/>
      <c r="N310" s="441"/>
      <c r="O310" s="560"/>
      <c r="P310" s="455"/>
      <c r="Q310" s="437"/>
      <c r="R310" s="437"/>
      <c r="S310" s="437"/>
      <c r="T310" s="437"/>
      <c r="U310" s="437"/>
    </row>
    <row r="311" spans="1:21" ht="15.75" customHeight="1" thickBot="1" x14ac:dyDescent="0.35">
      <c r="A311" s="437"/>
      <c r="B311" s="437"/>
      <c r="C311" s="437"/>
      <c r="D311" s="437"/>
      <c r="E311" s="437"/>
      <c r="F311" s="437"/>
      <c r="G311" s="437"/>
      <c r="H311" s="437"/>
      <c r="I311" s="437"/>
      <c r="J311" s="437"/>
      <c r="K311" s="437"/>
      <c r="L311" s="437"/>
      <c r="M311" s="437"/>
      <c r="N311" s="441"/>
      <c r="O311" s="560"/>
      <c r="P311" s="455"/>
      <c r="Q311" s="437"/>
      <c r="R311" s="437"/>
      <c r="S311" s="437"/>
      <c r="T311" s="437"/>
      <c r="U311" s="437"/>
    </row>
    <row r="312" spans="1:21" ht="15.75" customHeight="1" thickBot="1" x14ac:dyDescent="0.35">
      <c r="A312" s="437"/>
      <c r="B312" s="437"/>
      <c r="C312" s="437"/>
      <c r="D312" s="437"/>
      <c r="E312" s="437"/>
      <c r="F312" s="437"/>
      <c r="G312" s="437"/>
      <c r="H312" s="437"/>
      <c r="I312" s="437"/>
      <c r="J312" s="437"/>
      <c r="K312" s="437"/>
      <c r="L312" s="437"/>
      <c r="M312" s="437"/>
      <c r="N312" s="441"/>
      <c r="O312" s="560"/>
      <c r="P312" s="455"/>
      <c r="Q312" s="437"/>
      <c r="R312" s="437"/>
      <c r="S312" s="437"/>
      <c r="T312" s="437"/>
      <c r="U312" s="437"/>
    </row>
    <row r="313" spans="1:21" ht="15.75" customHeight="1" thickBot="1" x14ac:dyDescent="0.35">
      <c r="A313" s="437"/>
      <c r="B313" s="437"/>
      <c r="C313" s="437"/>
      <c r="D313" s="437"/>
      <c r="E313" s="437"/>
      <c r="F313" s="437"/>
      <c r="G313" s="437"/>
      <c r="H313" s="437"/>
      <c r="I313" s="437"/>
      <c r="J313" s="437"/>
      <c r="K313" s="437"/>
      <c r="L313" s="437"/>
      <c r="M313" s="437"/>
      <c r="N313" s="441"/>
      <c r="O313" s="560"/>
      <c r="P313" s="455"/>
      <c r="Q313" s="437"/>
      <c r="R313" s="437"/>
      <c r="S313" s="437"/>
      <c r="T313" s="437"/>
      <c r="U313" s="437"/>
    </row>
    <row r="314" spans="1:21" ht="15.75" customHeight="1" thickBot="1" x14ac:dyDescent="0.35">
      <c r="A314" s="437"/>
      <c r="B314" s="437"/>
      <c r="C314" s="437"/>
      <c r="D314" s="437"/>
      <c r="E314" s="437"/>
      <c r="F314" s="437"/>
      <c r="G314" s="437"/>
      <c r="H314" s="437"/>
      <c r="I314" s="437"/>
      <c r="J314" s="437"/>
      <c r="K314" s="437"/>
      <c r="L314" s="437"/>
      <c r="M314" s="437"/>
      <c r="N314" s="441"/>
      <c r="O314" s="560"/>
      <c r="P314" s="455"/>
      <c r="Q314" s="437"/>
      <c r="R314" s="437"/>
      <c r="S314" s="437"/>
      <c r="T314" s="437"/>
      <c r="U314" s="437"/>
    </row>
    <row r="315" spans="1:21" ht="15.75" customHeight="1" thickBot="1" x14ac:dyDescent="0.35">
      <c r="A315" s="437"/>
      <c r="B315" s="437"/>
      <c r="C315" s="437"/>
      <c r="D315" s="437"/>
      <c r="E315" s="437"/>
      <c r="F315" s="437"/>
      <c r="G315" s="437"/>
      <c r="H315" s="437"/>
      <c r="I315" s="437"/>
      <c r="J315" s="437"/>
      <c r="K315" s="437"/>
      <c r="L315" s="437"/>
      <c r="M315" s="437"/>
      <c r="N315" s="441"/>
      <c r="O315" s="560"/>
      <c r="P315" s="455"/>
      <c r="Q315" s="437"/>
      <c r="R315" s="437"/>
      <c r="S315" s="437"/>
      <c r="T315" s="437"/>
      <c r="U315" s="437"/>
    </row>
    <row r="316" spans="1:21" ht="15.75" customHeight="1" thickBot="1" x14ac:dyDescent="0.35">
      <c r="A316" s="437"/>
      <c r="B316" s="437"/>
      <c r="C316" s="437"/>
      <c r="D316" s="437"/>
      <c r="E316" s="437"/>
      <c r="F316" s="437"/>
      <c r="G316" s="437"/>
      <c r="H316" s="437"/>
      <c r="I316" s="437"/>
      <c r="J316" s="437"/>
      <c r="K316" s="437"/>
      <c r="L316" s="437"/>
      <c r="M316" s="437"/>
      <c r="N316" s="441"/>
      <c r="O316" s="560"/>
      <c r="P316" s="455"/>
      <c r="Q316" s="437"/>
      <c r="R316" s="437"/>
      <c r="S316" s="437"/>
      <c r="T316" s="437"/>
      <c r="U316" s="437"/>
    </row>
    <row r="317" spans="1:21" ht="15.75" customHeight="1" thickBot="1" x14ac:dyDescent="0.35">
      <c r="A317" s="437"/>
      <c r="B317" s="437"/>
      <c r="C317" s="437"/>
      <c r="D317" s="437"/>
      <c r="E317" s="437"/>
      <c r="F317" s="437"/>
      <c r="G317" s="437"/>
      <c r="H317" s="437"/>
      <c r="I317" s="437"/>
      <c r="J317" s="437"/>
      <c r="K317" s="437"/>
      <c r="L317" s="437"/>
      <c r="M317" s="437"/>
      <c r="N317" s="441"/>
      <c r="O317" s="560"/>
      <c r="P317" s="455"/>
      <c r="Q317" s="437"/>
      <c r="R317" s="437"/>
      <c r="S317" s="437"/>
      <c r="T317" s="437"/>
      <c r="U317" s="437"/>
    </row>
    <row r="318" spans="1:21" ht="15.75" customHeight="1" thickBot="1" x14ac:dyDescent="0.35">
      <c r="A318" s="437"/>
      <c r="B318" s="437"/>
      <c r="C318" s="437"/>
      <c r="D318" s="437"/>
      <c r="E318" s="437"/>
      <c r="F318" s="437"/>
      <c r="G318" s="437"/>
      <c r="H318" s="437"/>
      <c r="I318" s="437"/>
      <c r="J318" s="437"/>
      <c r="K318" s="437"/>
      <c r="L318" s="437"/>
      <c r="M318" s="437"/>
      <c r="N318" s="441"/>
      <c r="O318" s="560"/>
      <c r="P318" s="455"/>
      <c r="Q318" s="437"/>
      <c r="R318" s="437"/>
      <c r="S318" s="437"/>
      <c r="T318" s="437"/>
      <c r="U318" s="437"/>
    </row>
    <row r="319" spans="1:21" ht="15.75" customHeight="1" thickBot="1" x14ac:dyDescent="0.35">
      <c r="A319" s="437"/>
      <c r="B319" s="437"/>
      <c r="C319" s="437"/>
      <c r="D319" s="437"/>
      <c r="E319" s="437"/>
      <c r="F319" s="437"/>
      <c r="G319" s="437"/>
      <c r="H319" s="437"/>
      <c r="I319" s="437"/>
      <c r="J319" s="437"/>
      <c r="K319" s="437"/>
      <c r="L319" s="437"/>
      <c r="M319" s="437"/>
      <c r="N319" s="441"/>
      <c r="O319" s="560"/>
      <c r="P319" s="455"/>
      <c r="Q319" s="437"/>
      <c r="R319" s="437"/>
      <c r="S319" s="437"/>
      <c r="T319" s="437"/>
      <c r="U319" s="437"/>
    </row>
    <row r="320" spans="1:21" ht="15.75" customHeight="1" thickBot="1" x14ac:dyDescent="0.35">
      <c r="A320" s="437"/>
      <c r="B320" s="437"/>
      <c r="C320" s="437"/>
      <c r="D320" s="437"/>
      <c r="E320" s="437"/>
      <c r="F320" s="437"/>
      <c r="G320" s="437"/>
      <c r="H320" s="437"/>
      <c r="I320" s="437"/>
      <c r="J320" s="437"/>
      <c r="K320" s="437"/>
      <c r="L320" s="437"/>
      <c r="M320" s="437"/>
      <c r="N320" s="441"/>
      <c r="O320" s="560"/>
      <c r="P320" s="455"/>
      <c r="Q320" s="437"/>
      <c r="R320" s="437"/>
      <c r="S320" s="437"/>
      <c r="T320" s="437"/>
      <c r="U320" s="437"/>
    </row>
    <row r="321" spans="1:21" ht="15.75" customHeight="1" thickBot="1" x14ac:dyDescent="0.35">
      <c r="A321" s="437"/>
      <c r="B321" s="437"/>
      <c r="C321" s="437"/>
      <c r="D321" s="437"/>
      <c r="E321" s="437"/>
      <c r="F321" s="437"/>
      <c r="G321" s="437"/>
      <c r="H321" s="437"/>
      <c r="I321" s="437"/>
      <c r="J321" s="437"/>
      <c r="K321" s="437"/>
      <c r="L321" s="437"/>
      <c r="M321" s="437"/>
      <c r="N321" s="441"/>
      <c r="O321" s="560"/>
      <c r="P321" s="455"/>
      <c r="Q321" s="437"/>
      <c r="R321" s="437"/>
      <c r="S321" s="437"/>
      <c r="T321" s="437"/>
      <c r="U321" s="437"/>
    </row>
    <row r="322" spans="1:21" ht="15.75" customHeight="1" thickBot="1" x14ac:dyDescent="0.35">
      <c r="A322" s="437"/>
      <c r="B322" s="437"/>
      <c r="C322" s="437"/>
      <c r="D322" s="437"/>
      <c r="E322" s="437"/>
      <c r="F322" s="437"/>
      <c r="G322" s="437"/>
      <c r="H322" s="437"/>
      <c r="I322" s="437"/>
      <c r="J322" s="437"/>
      <c r="K322" s="437"/>
      <c r="L322" s="437"/>
      <c r="M322" s="437"/>
      <c r="N322" s="441"/>
      <c r="O322" s="560"/>
      <c r="P322" s="455"/>
      <c r="Q322" s="437"/>
      <c r="R322" s="437"/>
      <c r="S322" s="437"/>
      <c r="T322" s="437"/>
      <c r="U322" s="437"/>
    </row>
    <row r="323" spans="1:21" ht="15.75" customHeight="1" thickBot="1" x14ac:dyDescent="0.35">
      <c r="A323" s="437"/>
      <c r="B323" s="437"/>
      <c r="C323" s="437"/>
      <c r="D323" s="437"/>
      <c r="E323" s="437"/>
      <c r="F323" s="437"/>
      <c r="G323" s="437"/>
      <c r="H323" s="437"/>
      <c r="I323" s="437"/>
      <c r="J323" s="437"/>
      <c r="K323" s="437"/>
      <c r="L323" s="437"/>
      <c r="M323" s="437"/>
      <c r="N323" s="441"/>
      <c r="O323" s="560"/>
      <c r="P323" s="455"/>
      <c r="Q323" s="437"/>
      <c r="R323" s="437"/>
      <c r="S323" s="437"/>
      <c r="T323" s="437"/>
      <c r="U323" s="437"/>
    </row>
    <row r="324" spans="1:21" ht="15.75" customHeight="1" thickBot="1" x14ac:dyDescent="0.35">
      <c r="A324" s="437"/>
      <c r="B324" s="437"/>
      <c r="C324" s="437"/>
      <c r="D324" s="437"/>
      <c r="E324" s="437"/>
      <c r="F324" s="437"/>
      <c r="G324" s="437"/>
      <c r="H324" s="437"/>
      <c r="I324" s="437"/>
      <c r="J324" s="437"/>
      <c r="K324" s="437"/>
      <c r="L324" s="437"/>
      <c r="M324" s="437"/>
      <c r="N324" s="441"/>
      <c r="O324" s="560"/>
      <c r="P324" s="455"/>
      <c r="Q324" s="437"/>
      <c r="R324" s="437"/>
      <c r="S324" s="437"/>
      <c r="T324" s="437"/>
      <c r="U324" s="437"/>
    </row>
    <row r="325" spans="1:21" ht="15.75" customHeight="1" thickBot="1" x14ac:dyDescent="0.35">
      <c r="A325" s="437"/>
      <c r="B325" s="437"/>
      <c r="C325" s="437"/>
      <c r="D325" s="437"/>
      <c r="E325" s="437"/>
      <c r="F325" s="437"/>
      <c r="G325" s="437"/>
      <c r="H325" s="437"/>
      <c r="I325" s="437"/>
      <c r="J325" s="437"/>
      <c r="K325" s="437"/>
      <c r="L325" s="437"/>
      <c r="M325" s="437"/>
      <c r="N325" s="441"/>
      <c r="O325" s="560"/>
      <c r="P325" s="455"/>
      <c r="Q325" s="437"/>
      <c r="R325" s="437"/>
      <c r="S325" s="437"/>
      <c r="T325" s="437"/>
      <c r="U325" s="437"/>
    </row>
    <row r="326" spans="1:21" ht="15.75" customHeight="1" thickBot="1" x14ac:dyDescent="0.35">
      <c r="A326" s="437"/>
      <c r="B326" s="437"/>
      <c r="C326" s="437"/>
      <c r="D326" s="437"/>
      <c r="E326" s="437"/>
      <c r="F326" s="437"/>
      <c r="G326" s="437"/>
      <c r="H326" s="437"/>
      <c r="I326" s="437"/>
      <c r="J326" s="437"/>
      <c r="K326" s="437"/>
      <c r="L326" s="437"/>
      <c r="M326" s="437"/>
      <c r="N326" s="441"/>
      <c r="O326" s="560"/>
      <c r="P326" s="455"/>
      <c r="Q326" s="437"/>
      <c r="R326" s="437"/>
      <c r="S326" s="437"/>
      <c r="T326" s="437"/>
      <c r="U326" s="437"/>
    </row>
    <row r="327" spans="1:21" ht="15.75" customHeight="1" thickBot="1" x14ac:dyDescent="0.35">
      <c r="A327" s="437"/>
      <c r="B327" s="437"/>
      <c r="C327" s="437"/>
      <c r="D327" s="437"/>
      <c r="E327" s="437"/>
      <c r="F327" s="437"/>
      <c r="G327" s="437"/>
      <c r="H327" s="437"/>
      <c r="I327" s="437"/>
      <c r="J327" s="437"/>
      <c r="K327" s="437"/>
      <c r="L327" s="437"/>
      <c r="M327" s="437"/>
      <c r="N327" s="441"/>
      <c r="O327" s="560"/>
      <c r="P327" s="455"/>
      <c r="Q327" s="437"/>
      <c r="R327" s="437"/>
      <c r="S327" s="437"/>
      <c r="T327" s="437"/>
      <c r="U327" s="437"/>
    </row>
    <row r="328" spans="1:21" ht="15.75" customHeight="1" thickBot="1" x14ac:dyDescent="0.35">
      <c r="A328" s="437"/>
      <c r="B328" s="437"/>
      <c r="C328" s="437"/>
      <c r="D328" s="437"/>
      <c r="E328" s="437"/>
      <c r="F328" s="437"/>
      <c r="G328" s="437"/>
      <c r="H328" s="437"/>
      <c r="I328" s="437"/>
      <c r="J328" s="437"/>
      <c r="K328" s="437"/>
      <c r="L328" s="437"/>
      <c r="M328" s="437"/>
      <c r="N328" s="441"/>
      <c r="O328" s="560"/>
      <c r="P328" s="455"/>
      <c r="Q328" s="437"/>
      <c r="R328" s="437"/>
      <c r="S328" s="437"/>
      <c r="T328" s="437"/>
      <c r="U328" s="437"/>
    </row>
    <row r="329" spans="1:21" ht="15.75" customHeight="1" thickBot="1" x14ac:dyDescent="0.35">
      <c r="A329" s="437"/>
      <c r="B329" s="437"/>
      <c r="C329" s="437"/>
      <c r="D329" s="437"/>
      <c r="E329" s="437"/>
      <c r="F329" s="437"/>
      <c r="G329" s="437"/>
      <c r="H329" s="437"/>
      <c r="I329" s="437"/>
      <c r="J329" s="437"/>
      <c r="K329" s="437"/>
      <c r="L329" s="437"/>
      <c r="M329" s="437"/>
      <c r="N329" s="441"/>
      <c r="O329" s="560"/>
      <c r="P329" s="455"/>
      <c r="Q329" s="437"/>
      <c r="R329" s="437"/>
      <c r="S329" s="437"/>
      <c r="T329" s="437"/>
      <c r="U329" s="437"/>
    </row>
    <row r="330" spans="1:21" ht="15.75" customHeight="1" thickBot="1" x14ac:dyDescent="0.35">
      <c r="A330" s="437"/>
      <c r="B330" s="437"/>
      <c r="C330" s="437"/>
      <c r="D330" s="437"/>
      <c r="E330" s="437"/>
      <c r="F330" s="437"/>
      <c r="G330" s="437"/>
      <c r="H330" s="437"/>
      <c r="I330" s="437"/>
      <c r="J330" s="437"/>
      <c r="K330" s="437"/>
      <c r="L330" s="437"/>
      <c r="M330" s="437"/>
      <c r="N330" s="441"/>
      <c r="O330" s="560"/>
      <c r="P330" s="455"/>
      <c r="Q330" s="437"/>
      <c r="R330" s="437"/>
      <c r="S330" s="437"/>
      <c r="T330" s="437"/>
      <c r="U330" s="437"/>
    </row>
    <row r="331" spans="1:21" ht="15.75" customHeight="1" thickBot="1" x14ac:dyDescent="0.35">
      <c r="A331" s="437"/>
      <c r="B331" s="437"/>
      <c r="C331" s="437"/>
      <c r="D331" s="437"/>
      <c r="E331" s="437"/>
      <c r="F331" s="437"/>
      <c r="G331" s="437"/>
      <c r="H331" s="437"/>
      <c r="I331" s="437"/>
      <c r="J331" s="437"/>
      <c r="K331" s="437"/>
      <c r="L331" s="437"/>
      <c r="M331" s="437"/>
      <c r="N331" s="441"/>
      <c r="O331" s="560"/>
      <c r="P331" s="455"/>
      <c r="Q331" s="437"/>
      <c r="R331" s="437"/>
      <c r="S331" s="437"/>
      <c r="T331" s="437"/>
      <c r="U331" s="437"/>
    </row>
    <row r="332" spans="1:21" ht="15.75" customHeight="1" thickBot="1" x14ac:dyDescent="0.35">
      <c r="A332" s="437"/>
      <c r="B332" s="437"/>
      <c r="C332" s="437"/>
      <c r="D332" s="437"/>
      <c r="E332" s="437"/>
      <c r="F332" s="437"/>
      <c r="G332" s="437"/>
      <c r="H332" s="437"/>
      <c r="I332" s="437"/>
      <c r="J332" s="437"/>
      <c r="K332" s="437"/>
      <c r="L332" s="437"/>
      <c r="M332" s="437"/>
      <c r="N332" s="441"/>
      <c r="O332" s="560"/>
      <c r="P332" s="455"/>
      <c r="Q332" s="437"/>
      <c r="R332" s="437"/>
      <c r="S332" s="437"/>
      <c r="T332" s="437"/>
      <c r="U332" s="437"/>
    </row>
    <row r="333" spans="1:21" ht="15.75" customHeight="1" thickBot="1" x14ac:dyDescent="0.35">
      <c r="A333" s="437"/>
      <c r="B333" s="437"/>
      <c r="C333" s="437"/>
      <c r="D333" s="437"/>
      <c r="E333" s="437"/>
      <c r="F333" s="437"/>
      <c r="G333" s="437"/>
      <c r="H333" s="437"/>
      <c r="I333" s="437"/>
      <c r="J333" s="437"/>
      <c r="K333" s="437"/>
      <c r="L333" s="437"/>
      <c r="M333" s="437"/>
      <c r="N333" s="441"/>
      <c r="O333" s="560"/>
      <c r="P333" s="455"/>
      <c r="Q333" s="437"/>
      <c r="R333" s="437"/>
      <c r="S333" s="437"/>
      <c r="T333" s="437"/>
      <c r="U333" s="437"/>
    </row>
    <row r="334" spans="1:21" ht="15.75" customHeight="1" thickBot="1" x14ac:dyDescent="0.35">
      <c r="A334" s="437"/>
      <c r="B334" s="437"/>
      <c r="C334" s="437"/>
      <c r="D334" s="437"/>
      <c r="E334" s="437"/>
      <c r="F334" s="437"/>
      <c r="G334" s="437"/>
      <c r="H334" s="437"/>
      <c r="I334" s="437"/>
      <c r="J334" s="437"/>
      <c r="K334" s="437"/>
      <c r="L334" s="437"/>
      <c r="M334" s="437"/>
      <c r="N334" s="441"/>
      <c r="O334" s="560"/>
      <c r="P334" s="455"/>
      <c r="Q334" s="437"/>
      <c r="R334" s="437"/>
      <c r="S334" s="437"/>
      <c r="T334" s="437"/>
      <c r="U334" s="437"/>
    </row>
    <row r="335" spans="1:21" ht="15.75" customHeight="1" thickBot="1" x14ac:dyDescent="0.35">
      <c r="A335" s="437"/>
      <c r="B335" s="437"/>
      <c r="C335" s="437"/>
      <c r="D335" s="437"/>
      <c r="E335" s="437"/>
      <c r="F335" s="437"/>
      <c r="G335" s="437"/>
      <c r="H335" s="437"/>
      <c r="I335" s="437"/>
      <c r="J335" s="437"/>
      <c r="K335" s="437"/>
      <c r="L335" s="437"/>
      <c r="M335" s="437"/>
      <c r="N335" s="441"/>
      <c r="O335" s="560"/>
      <c r="P335" s="455"/>
      <c r="Q335" s="437"/>
      <c r="R335" s="437"/>
      <c r="S335" s="437"/>
      <c r="T335" s="437"/>
      <c r="U335" s="437"/>
    </row>
    <row r="336" spans="1:21" ht="15.75" customHeight="1" thickBot="1" x14ac:dyDescent="0.35">
      <c r="A336" s="437"/>
      <c r="B336" s="437"/>
      <c r="C336" s="437"/>
      <c r="D336" s="437"/>
      <c r="E336" s="437"/>
      <c r="F336" s="437"/>
      <c r="G336" s="437"/>
      <c r="H336" s="437"/>
      <c r="I336" s="437"/>
      <c r="J336" s="437"/>
      <c r="K336" s="437"/>
      <c r="L336" s="437"/>
      <c r="M336" s="437"/>
      <c r="N336" s="441"/>
      <c r="O336" s="560"/>
      <c r="P336" s="455"/>
      <c r="Q336" s="437"/>
      <c r="R336" s="437"/>
      <c r="S336" s="437"/>
      <c r="T336" s="437"/>
      <c r="U336" s="437"/>
    </row>
    <row r="337" spans="1:21" ht="15.75" customHeight="1" thickBot="1" x14ac:dyDescent="0.35">
      <c r="A337" s="437"/>
      <c r="B337" s="437"/>
      <c r="C337" s="437"/>
      <c r="D337" s="437"/>
      <c r="E337" s="437"/>
      <c r="F337" s="437"/>
      <c r="G337" s="437"/>
      <c r="H337" s="437"/>
      <c r="I337" s="437"/>
      <c r="J337" s="437"/>
      <c r="K337" s="437"/>
      <c r="L337" s="437"/>
      <c r="M337" s="437"/>
      <c r="N337" s="441"/>
      <c r="O337" s="560"/>
      <c r="P337" s="455"/>
      <c r="Q337" s="437"/>
      <c r="R337" s="437"/>
      <c r="S337" s="437"/>
      <c r="T337" s="437"/>
      <c r="U337" s="437"/>
    </row>
    <row r="338" spans="1:21" ht="15.75" customHeight="1" thickBot="1" x14ac:dyDescent="0.35">
      <c r="A338" s="437"/>
      <c r="B338" s="437"/>
      <c r="C338" s="437"/>
      <c r="D338" s="437"/>
      <c r="E338" s="437"/>
      <c r="F338" s="437"/>
      <c r="G338" s="437"/>
      <c r="H338" s="437"/>
      <c r="I338" s="437"/>
      <c r="J338" s="437"/>
      <c r="K338" s="437"/>
      <c r="L338" s="437"/>
      <c r="M338" s="437"/>
      <c r="N338" s="441"/>
      <c r="O338" s="560"/>
      <c r="P338" s="455"/>
      <c r="Q338" s="437"/>
      <c r="R338" s="437"/>
      <c r="S338" s="437"/>
      <c r="T338" s="437"/>
      <c r="U338" s="437"/>
    </row>
    <row r="339" spans="1:21" ht="15.75" customHeight="1" thickBot="1" x14ac:dyDescent="0.35">
      <c r="A339" s="437"/>
      <c r="B339" s="437"/>
      <c r="C339" s="437"/>
      <c r="D339" s="437"/>
      <c r="E339" s="437"/>
      <c r="F339" s="437"/>
      <c r="G339" s="437"/>
      <c r="H339" s="437"/>
      <c r="I339" s="437"/>
      <c r="J339" s="437"/>
      <c r="K339" s="437"/>
      <c r="L339" s="437"/>
      <c r="M339" s="437"/>
      <c r="N339" s="441"/>
      <c r="O339" s="560"/>
      <c r="P339" s="455"/>
      <c r="Q339" s="437"/>
      <c r="R339" s="437"/>
      <c r="S339" s="437"/>
      <c r="T339" s="437"/>
      <c r="U339" s="437"/>
    </row>
    <row r="340" spans="1:21" ht="15.75" customHeight="1" thickBot="1" x14ac:dyDescent="0.35">
      <c r="A340" s="437"/>
      <c r="B340" s="437"/>
      <c r="C340" s="437"/>
      <c r="D340" s="437"/>
      <c r="E340" s="437"/>
      <c r="F340" s="437"/>
      <c r="G340" s="437"/>
      <c r="H340" s="437"/>
      <c r="I340" s="437"/>
      <c r="J340" s="437"/>
      <c r="K340" s="437"/>
      <c r="L340" s="437"/>
      <c r="M340" s="437"/>
      <c r="N340" s="441"/>
      <c r="O340" s="560"/>
      <c r="P340" s="455"/>
      <c r="Q340" s="437"/>
      <c r="R340" s="437"/>
      <c r="S340" s="437"/>
      <c r="T340" s="437"/>
      <c r="U340" s="437"/>
    </row>
    <row r="341" spans="1:21" ht="15.75" customHeight="1" thickBot="1" x14ac:dyDescent="0.35">
      <c r="A341" s="437"/>
      <c r="B341" s="437"/>
      <c r="C341" s="437"/>
      <c r="D341" s="437"/>
      <c r="E341" s="437"/>
      <c r="F341" s="437"/>
      <c r="G341" s="437"/>
      <c r="H341" s="437"/>
      <c r="I341" s="437"/>
      <c r="J341" s="437"/>
      <c r="K341" s="437"/>
      <c r="L341" s="437"/>
      <c r="M341" s="437"/>
      <c r="N341" s="441"/>
      <c r="O341" s="560"/>
      <c r="P341" s="455"/>
      <c r="Q341" s="437"/>
      <c r="R341" s="437"/>
      <c r="S341" s="437"/>
      <c r="T341" s="437"/>
      <c r="U341" s="437"/>
    </row>
    <row r="342" spans="1:21" ht="15.75" customHeight="1" thickBot="1" x14ac:dyDescent="0.35">
      <c r="A342" s="437"/>
      <c r="B342" s="437"/>
      <c r="C342" s="437"/>
      <c r="D342" s="437"/>
      <c r="E342" s="437"/>
      <c r="F342" s="437"/>
      <c r="G342" s="437"/>
      <c r="H342" s="437"/>
      <c r="I342" s="437"/>
      <c r="J342" s="437"/>
      <c r="K342" s="437"/>
      <c r="L342" s="437"/>
      <c r="M342" s="437"/>
      <c r="N342" s="441"/>
      <c r="O342" s="560"/>
      <c r="P342" s="455"/>
      <c r="Q342" s="437"/>
      <c r="R342" s="437"/>
      <c r="S342" s="437"/>
      <c r="T342" s="437"/>
      <c r="U342" s="437"/>
    </row>
    <row r="343" spans="1:21" ht="15.75" customHeight="1" thickBot="1" x14ac:dyDescent="0.35">
      <c r="A343" s="437"/>
      <c r="B343" s="437"/>
      <c r="C343" s="437"/>
      <c r="D343" s="437"/>
      <c r="E343" s="437"/>
      <c r="F343" s="437"/>
      <c r="G343" s="437"/>
      <c r="H343" s="437"/>
      <c r="I343" s="437"/>
      <c r="J343" s="437"/>
      <c r="K343" s="437"/>
      <c r="L343" s="437"/>
      <c r="M343" s="437"/>
      <c r="N343" s="441"/>
      <c r="O343" s="560"/>
      <c r="P343" s="455"/>
      <c r="Q343" s="437"/>
      <c r="R343" s="437"/>
      <c r="S343" s="437"/>
      <c r="T343" s="437"/>
      <c r="U343" s="437"/>
    </row>
    <row r="344" spans="1:21" ht="15.75" customHeight="1" thickBot="1" x14ac:dyDescent="0.35">
      <c r="A344" s="437"/>
      <c r="B344" s="437"/>
      <c r="C344" s="437"/>
      <c r="D344" s="437"/>
      <c r="E344" s="437"/>
      <c r="F344" s="437"/>
      <c r="G344" s="437"/>
      <c r="H344" s="437"/>
      <c r="I344" s="437"/>
      <c r="J344" s="437"/>
      <c r="K344" s="437"/>
      <c r="L344" s="437"/>
      <c r="M344" s="437"/>
      <c r="N344" s="441"/>
      <c r="O344" s="560"/>
      <c r="P344" s="455"/>
      <c r="Q344" s="437"/>
      <c r="R344" s="437"/>
      <c r="S344" s="437"/>
      <c r="T344" s="437"/>
      <c r="U344" s="437"/>
    </row>
    <row r="345" spans="1:21" ht="15.75" customHeight="1" thickBot="1" x14ac:dyDescent="0.35">
      <c r="A345" s="437"/>
      <c r="B345" s="437"/>
      <c r="C345" s="437"/>
      <c r="D345" s="437"/>
      <c r="E345" s="437"/>
      <c r="F345" s="437"/>
      <c r="G345" s="437"/>
      <c r="H345" s="437"/>
      <c r="I345" s="437"/>
      <c r="J345" s="437"/>
      <c r="K345" s="437"/>
      <c r="L345" s="437"/>
      <c r="M345" s="437"/>
      <c r="N345" s="441"/>
      <c r="O345" s="560"/>
      <c r="P345" s="455"/>
      <c r="Q345" s="437"/>
      <c r="R345" s="437"/>
      <c r="S345" s="437"/>
      <c r="T345" s="437"/>
      <c r="U345" s="437"/>
    </row>
    <row r="346" spans="1:21" ht="15.75" customHeight="1" thickBot="1" x14ac:dyDescent="0.35">
      <c r="A346" s="437"/>
      <c r="B346" s="437"/>
      <c r="C346" s="437"/>
      <c r="D346" s="437"/>
      <c r="E346" s="437"/>
      <c r="F346" s="437"/>
      <c r="G346" s="437"/>
      <c r="H346" s="437"/>
      <c r="I346" s="437"/>
      <c r="J346" s="437"/>
      <c r="K346" s="437"/>
      <c r="L346" s="437"/>
      <c r="M346" s="437"/>
      <c r="N346" s="441"/>
      <c r="O346" s="560"/>
      <c r="P346" s="455"/>
      <c r="Q346" s="437"/>
      <c r="R346" s="437"/>
      <c r="S346" s="437"/>
      <c r="T346" s="437"/>
      <c r="U346" s="437"/>
    </row>
    <row r="347" spans="1:21" ht="15.75" customHeight="1" thickBot="1" x14ac:dyDescent="0.35">
      <c r="A347" s="437"/>
      <c r="B347" s="437"/>
      <c r="C347" s="437"/>
      <c r="D347" s="437"/>
      <c r="E347" s="437"/>
      <c r="F347" s="437"/>
      <c r="G347" s="437"/>
      <c r="H347" s="437"/>
      <c r="I347" s="437"/>
      <c r="J347" s="437"/>
      <c r="K347" s="437"/>
      <c r="L347" s="437"/>
      <c r="M347" s="437"/>
      <c r="N347" s="441"/>
      <c r="O347" s="560"/>
      <c r="P347" s="455"/>
      <c r="Q347" s="437"/>
      <c r="R347" s="437"/>
      <c r="S347" s="437"/>
      <c r="T347" s="437"/>
      <c r="U347" s="437"/>
    </row>
    <row r="348" spans="1:21" ht="15.75" customHeight="1" thickBot="1" x14ac:dyDescent="0.35">
      <c r="A348" s="437"/>
      <c r="B348" s="437"/>
      <c r="C348" s="437"/>
      <c r="D348" s="437"/>
      <c r="E348" s="437"/>
      <c r="F348" s="437"/>
      <c r="G348" s="437"/>
      <c r="H348" s="437"/>
      <c r="I348" s="437"/>
      <c r="J348" s="437"/>
      <c r="K348" s="437"/>
      <c r="L348" s="437"/>
      <c r="M348" s="437"/>
      <c r="N348" s="441"/>
      <c r="O348" s="560"/>
      <c r="P348" s="455"/>
      <c r="Q348" s="437"/>
      <c r="R348" s="437"/>
      <c r="S348" s="437"/>
      <c r="T348" s="437"/>
      <c r="U348" s="437"/>
    </row>
    <row r="349" spans="1:21" ht="15.75" customHeight="1" thickBot="1" x14ac:dyDescent="0.35">
      <c r="A349" s="437"/>
      <c r="B349" s="437"/>
      <c r="C349" s="437"/>
      <c r="D349" s="437"/>
      <c r="E349" s="437"/>
      <c r="F349" s="437"/>
      <c r="G349" s="437"/>
      <c r="H349" s="437"/>
      <c r="I349" s="437"/>
      <c r="J349" s="437"/>
      <c r="K349" s="437"/>
      <c r="L349" s="437"/>
      <c r="M349" s="437"/>
      <c r="N349" s="441"/>
      <c r="O349" s="560"/>
      <c r="P349" s="455"/>
      <c r="Q349" s="437"/>
      <c r="R349" s="437"/>
      <c r="S349" s="437"/>
      <c r="T349" s="437"/>
      <c r="U349" s="437"/>
    </row>
    <row r="350" spans="1:21" ht="15.75" customHeight="1" thickBot="1" x14ac:dyDescent="0.35">
      <c r="A350" s="437"/>
      <c r="B350" s="437"/>
      <c r="C350" s="437"/>
      <c r="D350" s="437"/>
      <c r="E350" s="437"/>
      <c r="F350" s="437"/>
      <c r="G350" s="437"/>
      <c r="H350" s="437"/>
      <c r="I350" s="437"/>
      <c r="J350" s="437"/>
      <c r="K350" s="437"/>
      <c r="L350" s="437"/>
      <c r="M350" s="437"/>
      <c r="N350" s="441"/>
      <c r="O350" s="560"/>
      <c r="P350" s="455"/>
      <c r="Q350" s="437"/>
      <c r="R350" s="437"/>
      <c r="S350" s="437"/>
      <c r="T350" s="437"/>
      <c r="U350" s="437"/>
    </row>
    <row r="351" spans="1:21" ht="15.75" customHeight="1" thickBot="1" x14ac:dyDescent="0.35">
      <c r="A351" s="437"/>
      <c r="B351" s="437"/>
      <c r="C351" s="437"/>
      <c r="D351" s="437"/>
      <c r="E351" s="437"/>
      <c r="F351" s="437"/>
      <c r="G351" s="437"/>
      <c r="H351" s="437"/>
      <c r="I351" s="437"/>
      <c r="J351" s="437"/>
      <c r="K351" s="437"/>
      <c r="L351" s="437"/>
      <c r="M351" s="437"/>
      <c r="N351" s="441"/>
      <c r="O351" s="560"/>
      <c r="P351" s="455"/>
      <c r="Q351" s="437"/>
      <c r="R351" s="437"/>
      <c r="S351" s="437"/>
      <c r="T351" s="437"/>
      <c r="U351" s="437"/>
    </row>
    <row r="352" spans="1:21" ht="15.75" customHeight="1" thickBot="1" x14ac:dyDescent="0.35">
      <c r="A352" s="437"/>
      <c r="B352" s="437"/>
      <c r="C352" s="437"/>
      <c r="D352" s="437"/>
      <c r="E352" s="437"/>
      <c r="F352" s="437"/>
      <c r="G352" s="437"/>
      <c r="H352" s="437"/>
      <c r="I352" s="437"/>
      <c r="J352" s="437"/>
      <c r="K352" s="437"/>
      <c r="L352" s="437"/>
      <c r="M352" s="437"/>
      <c r="N352" s="441"/>
      <c r="O352" s="560"/>
      <c r="P352" s="455"/>
      <c r="Q352" s="437"/>
      <c r="R352" s="437"/>
      <c r="S352" s="437"/>
      <c r="T352" s="437"/>
      <c r="U352" s="437"/>
    </row>
    <row r="353" spans="1:21" ht="15.75" customHeight="1" thickBot="1" x14ac:dyDescent="0.35">
      <c r="A353" s="437"/>
      <c r="B353" s="437"/>
      <c r="C353" s="437"/>
      <c r="D353" s="437"/>
      <c r="E353" s="437"/>
      <c r="F353" s="437"/>
      <c r="G353" s="437"/>
      <c r="H353" s="437"/>
      <c r="I353" s="437"/>
      <c r="J353" s="437"/>
      <c r="K353" s="437"/>
      <c r="L353" s="437"/>
      <c r="M353" s="437"/>
      <c r="N353" s="441"/>
      <c r="O353" s="560"/>
      <c r="P353" s="455"/>
      <c r="Q353" s="437"/>
      <c r="R353" s="437"/>
      <c r="S353" s="437"/>
      <c r="T353" s="437"/>
      <c r="U353" s="437"/>
    </row>
    <row r="354" spans="1:21" ht="15.75" customHeight="1" thickBot="1" x14ac:dyDescent="0.35">
      <c r="A354" s="437"/>
      <c r="B354" s="437"/>
      <c r="C354" s="437"/>
      <c r="D354" s="437"/>
      <c r="E354" s="437"/>
      <c r="F354" s="437"/>
      <c r="G354" s="437"/>
      <c r="H354" s="437"/>
      <c r="I354" s="437"/>
      <c r="J354" s="437"/>
      <c r="K354" s="437"/>
      <c r="L354" s="437"/>
      <c r="M354" s="437"/>
      <c r="N354" s="441"/>
      <c r="O354" s="560"/>
      <c r="P354" s="455"/>
      <c r="Q354" s="437"/>
      <c r="R354" s="437"/>
      <c r="S354" s="437"/>
      <c r="T354" s="437"/>
      <c r="U354" s="437"/>
    </row>
    <row r="355" spans="1:21" ht="15.75" customHeight="1" thickBot="1" x14ac:dyDescent="0.35">
      <c r="A355" s="437"/>
      <c r="B355" s="437"/>
      <c r="C355" s="437"/>
      <c r="D355" s="437"/>
      <c r="E355" s="437"/>
      <c r="F355" s="437"/>
      <c r="G355" s="437"/>
      <c r="H355" s="437"/>
      <c r="I355" s="437"/>
      <c r="J355" s="437"/>
      <c r="K355" s="437"/>
      <c r="L355" s="437"/>
      <c r="M355" s="437"/>
      <c r="N355" s="441"/>
      <c r="O355" s="560"/>
      <c r="P355" s="455"/>
      <c r="Q355" s="437"/>
      <c r="R355" s="437"/>
      <c r="S355" s="437"/>
      <c r="T355" s="437"/>
      <c r="U355" s="437"/>
    </row>
    <row r="356" spans="1:21" ht="15.75" customHeight="1" thickBot="1" x14ac:dyDescent="0.35">
      <c r="A356" s="437"/>
      <c r="B356" s="437"/>
      <c r="C356" s="437"/>
      <c r="D356" s="437"/>
      <c r="E356" s="437"/>
      <c r="F356" s="437"/>
      <c r="G356" s="437"/>
      <c r="H356" s="437"/>
      <c r="I356" s="437"/>
      <c r="J356" s="437"/>
      <c r="K356" s="437"/>
      <c r="L356" s="437"/>
      <c r="M356" s="437"/>
      <c r="N356" s="441"/>
      <c r="O356" s="560"/>
      <c r="P356" s="455"/>
      <c r="Q356" s="437"/>
      <c r="R356" s="437"/>
      <c r="S356" s="437"/>
      <c r="T356" s="437"/>
      <c r="U356" s="437"/>
    </row>
    <row r="357" spans="1:21" ht="15.75" customHeight="1" thickBot="1" x14ac:dyDescent="0.35">
      <c r="A357" s="437"/>
      <c r="B357" s="437"/>
      <c r="C357" s="437"/>
      <c r="D357" s="437"/>
      <c r="E357" s="437"/>
      <c r="F357" s="437"/>
      <c r="G357" s="437"/>
      <c r="H357" s="437"/>
      <c r="I357" s="437"/>
      <c r="J357" s="437"/>
      <c r="K357" s="437"/>
      <c r="L357" s="437"/>
      <c r="M357" s="437"/>
      <c r="N357" s="441"/>
      <c r="O357" s="560"/>
      <c r="P357" s="455"/>
      <c r="Q357" s="437"/>
      <c r="R357" s="437"/>
      <c r="S357" s="437"/>
      <c r="T357" s="437"/>
      <c r="U357" s="437"/>
    </row>
    <row r="358" spans="1:21" ht="15.75" customHeight="1" thickBot="1" x14ac:dyDescent="0.35">
      <c r="A358" s="437"/>
      <c r="B358" s="437"/>
      <c r="C358" s="437"/>
      <c r="D358" s="437"/>
      <c r="E358" s="437"/>
      <c r="F358" s="437"/>
      <c r="G358" s="437"/>
      <c r="H358" s="437"/>
      <c r="I358" s="437"/>
      <c r="J358" s="437"/>
      <c r="K358" s="437"/>
      <c r="L358" s="437"/>
      <c r="M358" s="437"/>
      <c r="N358" s="441"/>
      <c r="O358" s="560"/>
      <c r="P358" s="455"/>
      <c r="Q358" s="437"/>
      <c r="R358" s="437"/>
      <c r="S358" s="437"/>
      <c r="T358" s="437"/>
      <c r="U358" s="437"/>
    </row>
    <row r="359" spans="1:21" ht="15.75" customHeight="1" thickBot="1" x14ac:dyDescent="0.35">
      <c r="A359" s="437"/>
      <c r="B359" s="437"/>
      <c r="C359" s="437"/>
      <c r="D359" s="437"/>
      <c r="E359" s="437"/>
      <c r="F359" s="437"/>
      <c r="G359" s="437"/>
      <c r="H359" s="437"/>
      <c r="I359" s="437"/>
      <c r="J359" s="437"/>
      <c r="K359" s="437"/>
      <c r="L359" s="437"/>
      <c r="M359" s="437"/>
      <c r="N359" s="441"/>
      <c r="O359" s="560"/>
      <c r="P359" s="455"/>
      <c r="Q359" s="437"/>
      <c r="R359" s="437"/>
      <c r="S359" s="437"/>
      <c r="T359" s="437"/>
      <c r="U359" s="437"/>
    </row>
    <row r="360" spans="1:21" ht="15.75" customHeight="1" thickBot="1" x14ac:dyDescent="0.35">
      <c r="A360" s="437"/>
      <c r="B360" s="437"/>
      <c r="C360" s="437"/>
      <c r="D360" s="437"/>
      <c r="E360" s="437"/>
      <c r="F360" s="437"/>
      <c r="G360" s="437"/>
      <c r="H360" s="437"/>
      <c r="I360" s="437"/>
      <c r="J360" s="437"/>
      <c r="K360" s="437"/>
      <c r="L360" s="437"/>
      <c r="M360" s="437"/>
      <c r="N360" s="441"/>
      <c r="O360" s="560"/>
      <c r="P360" s="455"/>
      <c r="Q360" s="437"/>
      <c r="R360" s="437"/>
      <c r="S360" s="437"/>
      <c r="T360" s="437"/>
      <c r="U360" s="437"/>
    </row>
    <row r="361" spans="1:21" ht="15.75" customHeight="1" thickBot="1" x14ac:dyDescent="0.35">
      <c r="A361" s="437"/>
      <c r="B361" s="437"/>
      <c r="C361" s="437"/>
      <c r="D361" s="437"/>
      <c r="E361" s="437"/>
      <c r="F361" s="437"/>
      <c r="G361" s="437"/>
      <c r="H361" s="437"/>
      <c r="I361" s="437"/>
      <c r="J361" s="437"/>
      <c r="K361" s="437"/>
      <c r="L361" s="437"/>
      <c r="M361" s="437"/>
      <c r="N361" s="441"/>
      <c r="O361" s="560"/>
      <c r="P361" s="455"/>
      <c r="Q361" s="437"/>
      <c r="R361" s="437"/>
      <c r="S361" s="437"/>
      <c r="T361" s="437"/>
      <c r="U361" s="437"/>
    </row>
    <row r="362" spans="1:21" ht="15.75" customHeight="1" thickBot="1" x14ac:dyDescent="0.35">
      <c r="A362" s="437"/>
      <c r="B362" s="437"/>
      <c r="C362" s="437"/>
      <c r="D362" s="437"/>
      <c r="E362" s="437"/>
      <c r="F362" s="437"/>
      <c r="G362" s="437"/>
      <c r="H362" s="437"/>
      <c r="I362" s="437"/>
      <c r="J362" s="437"/>
      <c r="K362" s="437"/>
      <c r="L362" s="437"/>
      <c r="M362" s="437"/>
      <c r="N362" s="441"/>
      <c r="O362" s="560"/>
      <c r="P362" s="455"/>
      <c r="Q362" s="437"/>
      <c r="R362" s="437"/>
      <c r="S362" s="437"/>
      <c r="T362" s="437"/>
      <c r="U362" s="437"/>
    </row>
    <row r="363" spans="1:21" ht="15.75" customHeight="1" thickBot="1" x14ac:dyDescent="0.35">
      <c r="A363" s="437"/>
      <c r="B363" s="437"/>
      <c r="C363" s="437"/>
      <c r="D363" s="437"/>
      <c r="E363" s="437"/>
      <c r="F363" s="437"/>
      <c r="G363" s="437"/>
      <c r="H363" s="437"/>
      <c r="I363" s="437"/>
      <c r="J363" s="437"/>
      <c r="K363" s="437"/>
      <c r="L363" s="437"/>
      <c r="M363" s="437"/>
      <c r="N363" s="441"/>
      <c r="O363" s="560"/>
      <c r="P363" s="455"/>
      <c r="Q363" s="437"/>
      <c r="R363" s="437"/>
      <c r="S363" s="437"/>
      <c r="T363" s="437"/>
      <c r="U363" s="437"/>
    </row>
    <row r="364" spans="1:21" ht="15.75" customHeight="1" thickBot="1" x14ac:dyDescent="0.35">
      <c r="A364" s="437"/>
      <c r="B364" s="437"/>
      <c r="C364" s="437"/>
      <c r="D364" s="437"/>
      <c r="E364" s="437"/>
      <c r="F364" s="437"/>
      <c r="G364" s="437"/>
      <c r="H364" s="437"/>
      <c r="I364" s="437"/>
      <c r="J364" s="437"/>
      <c r="K364" s="437"/>
      <c r="L364" s="437"/>
      <c r="M364" s="437"/>
      <c r="N364" s="441"/>
      <c r="O364" s="560"/>
      <c r="P364" s="455"/>
      <c r="Q364" s="437"/>
      <c r="R364" s="437"/>
      <c r="S364" s="437"/>
      <c r="T364" s="437"/>
      <c r="U364" s="437"/>
    </row>
    <row r="365" spans="1:21" ht="15.75" customHeight="1" thickBot="1" x14ac:dyDescent="0.35">
      <c r="A365" s="437"/>
      <c r="B365" s="437"/>
      <c r="C365" s="437"/>
      <c r="D365" s="437"/>
      <c r="E365" s="437"/>
      <c r="F365" s="437"/>
      <c r="G365" s="437"/>
      <c r="H365" s="437"/>
      <c r="I365" s="437"/>
      <c r="J365" s="437"/>
      <c r="K365" s="437"/>
      <c r="L365" s="437"/>
      <c r="M365" s="437"/>
      <c r="N365" s="441"/>
      <c r="O365" s="560"/>
      <c r="P365" s="455"/>
      <c r="Q365" s="437"/>
      <c r="R365" s="437"/>
      <c r="S365" s="437"/>
      <c r="T365" s="437"/>
      <c r="U365" s="437"/>
    </row>
    <row r="366" spans="1:21" ht="15.75" customHeight="1" thickBot="1" x14ac:dyDescent="0.35">
      <c r="A366" s="437"/>
      <c r="B366" s="437"/>
      <c r="C366" s="437"/>
      <c r="D366" s="437"/>
      <c r="E366" s="437"/>
      <c r="F366" s="437"/>
      <c r="G366" s="437"/>
      <c r="H366" s="437"/>
      <c r="I366" s="437"/>
      <c r="J366" s="437"/>
      <c r="K366" s="437"/>
      <c r="L366" s="437"/>
      <c r="M366" s="437"/>
      <c r="N366" s="441"/>
      <c r="O366" s="560"/>
      <c r="P366" s="455"/>
      <c r="Q366" s="437"/>
      <c r="R366" s="437"/>
      <c r="S366" s="437"/>
      <c r="T366" s="437"/>
      <c r="U366" s="437"/>
    </row>
    <row r="367" spans="1:21" ht="15.75" customHeight="1" thickBot="1" x14ac:dyDescent="0.35">
      <c r="A367" s="437"/>
      <c r="B367" s="437"/>
      <c r="C367" s="437"/>
      <c r="D367" s="437"/>
      <c r="E367" s="437"/>
      <c r="F367" s="437"/>
      <c r="G367" s="437"/>
      <c r="H367" s="437"/>
      <c r="I367" s="437"/>
      <c r="J367" s="437"/>
      <c r="K367" s="437"/>
      <c r="L367" s="437"/>
      <c r="M367" s="437"/>
      <c r="N367" s="441"/>
      <c r="O367" s="560"/>
      <c r="P367" s="455"/>
      <c r="Q367" s="437"/>
      <c r="R367" s="437"/>
      <c r="S367" s="437"/>
      <c r="T367" s="437"/>
      <c r="U367" s="437"/>
    </row>
    <row r="368" spans="1:21" ht="15.75" customHeight="1" thickBot="1" x14ac:dyDescent="0.35">
      <c r="A368" s="437"/>
      <c r="B368" s="437"/>
      <c r="C368" s="437"/>
      <c r="D368" s="437"/>
      <c r="E368" s="437"/>
      <c r="F368" s="437"/>
      <c r="G368" s="437"/>
      <c r="H368" s="437"/>
      <c r="I368" s="437"/>
      <c r="J368" s="437"/>
      <c r="K368" s="437"/>
      <c r="L368" s="437"/>
      <c r="M368" s="437"/>
      <c r="N368" s="441"/>
      <c r="O368" s="560"/>
      <c r="P368" s="455"/>
      <c r="Q368" s="437"/>
      <c r="R368" s="437"/>
      <c r="S368" s="437"/>
      <c r="T368" s="437"/>
      <c r="U368" s="437"/>
    </row>
    <row r="369" spans="1:21" ht="15.75" customHeight="1" thickBot="1" x14ac:dyDescent="0.35">
      <c r="A369" s="437"/>
      <c r="B369" s="437"/>
      <c r="C369" s="437"/>
      <c r="D369" s="437"/>
      <c r="E369" s="437"/>
      <c r="F369" s="437"/>
      <c r="G369" s="437"/>
      <c r="H369" s="437"/>
      <c r="I369" s="437"/>
      <c r="J369" s="437"/>
      <c r="K369" s="437"/>
      <c r="L369" s="437"/>
      <c r="M369" s="437"/>
      <c r="N369" s="441"/>
      <c r="O369" s="560"/>
      <c r="P369" s="455"/>
      <c r="Q369" s="437"/>
      <c r="R369" s="437"/>
      <c r="S369" s="437"/>
      <c r="T369" s="437"/>
      <c r="U369" s="437"/>
    </row>
    <row r="370" spans="1:21" ht="15.75" customHeight="1" thickBot="1" x14ac:dyDescent="0.35">
      <c r="A370" s="437"/>
      <c r="B370" s="437"/>
      <c r="C370" s="437"/>
      <c r="D370" s="437"/>
      <c r="E370" s="437"/>
      <c r="F370" s="437"/>
      <c r="G370" s="437"/>
      <c r="H370" s="437"/>
      <c r="I370" s="437"/>
      <c r="J370" s="437"/>
      <c r="K370" s="437"/>
      <c r="L370" s="437"/>
      <c r="M370" s="437"/>
      <c r="N370" s="441"/>
      <c r="O370" s="560"/>
      <c r="P370" s="455"/>
      <c r="Q370" s="437"/>
      <c r="R370" s="437"/>
      <c r="S370" s="437"/>
      <c r="T370" s="437"/>
      <c r="U370" s="437"/>
    </row>
    <row r="371" spans="1:21" ht="15.75" customHeight="1" thickBot="1" x14ac:dyDescent="0.35">
      <c r="A371" s="437"/>
      <c r="B371" s="437"/>
      <c r="C371" s="437"/>
      <c r="D371" s="437"/>
      <c r="E371" s="437"/>
      <c r="F371" s="437"/>
      <c r="G371" s="437"/>
      <c r="H371" s="437"/>
      <c r="I371" s="437"/>
      <c r="J371" s="437"/>
      <c r="K371" s="437"/>
      <c r="L371" s="437"/>
      <c r="M371" s="437"/>
      <c r="N371" s="441"/>
      <c r="O371" s="560"/>
      <c r="P371" s="455"/>
      <c r="Q371" s="437"/>
      <c r="R371" s="437"/>
      <c r="S371" s="437"/>
      <c r="T371" s="437"/>
      <c r="U371" s="437"/>
    </row>
    <row r="372" spans="1:21" ht="15.75" customHeight="1" x14ac:dyDescent="0.3"/>
    <row r="373" spans="1:21" ht="15.75" customHeight="1" x14ac:dyDescent="0.3"/>
    <row r="374" spans="1:21" ht="15.75" customHeight="1" x14ac:dyDescent="0.3"/>
    <row r="375" spans="1:21" ht="15.75" customHeight="1" x14ac:dyDescent="0.3"/>
    <row r="376" spans="1:21" ht="15.75" customHeight="1" x14ac:dyDescent="0.3"/>
    <row r="377" spans="1:21" ht="15.75" customHeight="1" x14ac:dyDescent="0.3"/>
    <row r="378" spans="1:21" ht="15.75" customHeight="1" x14ac:dyDescent="0.3"/>
    <row r="379" spans="1:21" ht="15.75" customHeight="1" x14ac:dyDescent="0.3"/>
    <row r="380" spans="1:21" ht="15.75" customHeight="1" x14ac:dyDescent="0.3"/>
    <row r="381" spans="1:21" ht="15.75" customHeight="1" x14ac:dyDescent="0.3"/>
    <row r="382" spans="1:21" ht="15.75" customHeight="1" x14ac:dyDescent="0.3"/>
    <row r="383" spans="1:21" ht="15.75" customHeight="1" x14ac:dyDescent="0.3"/>
    <row r="384" spans="1:21"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password="DEFC" sheet="1" objects="1" scenarios="1"/>
  <autoFilter ref="A2:V171">
    <sortState ref="A3:U171">
      <sortCondition sortBy="cellColor" ref="B2" dxfId="1"/>
    </sortState>
  </autoFilter>
  <mergeCells count="39">
    <mergeCell ref="B167:C167"/>
    <mergeCell ref="B168:C168"/>
    <mergeCell ref="B135:C135"/>
    <mergeCell ref="B136:C136"/>
    <mergeCell ref="B140:C140"/>
    <mergeCell ref="B144:C144"/>
    <mergeCell ref="B150:C150"/>
    <mergeCell ref="B159:C159"/>
    <mergeCell ref="B121:C121"/>
    <mergeCell ref="B77:C77"/>
    <mergeCell ref="B79:C79"/>
    <mergeCell ref="B82:C82"/>
    <mergeCell ref="B83:C83"/>
    <mergeCell ref="B91:C91"/>
    <mergeCell ref="B95:C95"/>
    <mergeCell ref="B97:C97"/>
    <mergeCell ref="B98:C98"/>
    <mergeCell ref="B100:C100"/>
    <mergeCell ref="B105:C105"/>
    <mergeCell ref="B109:C109"/>
    <mergeCell ref="B73:C73"/>
    <mergeCell ref="B33:C33"/>
    <mergeCell ref="B37:C37"/>
    <mergeCell ref="B38:C38"/>
    <mergeCell ref="B46:C46"/>
    <mergeCell ref="B50:C50"/>
    <mergeCell ref="B53:C53"/>
    <mergeCell ref="B57:C57"/>
    <mergeCell ref="B60:C60"/>
    <mergeCell ref="B61:C61"/>
    <mergeCell ref="B64:C64"/>
    <mergeCell ref="B69:C69"/>
    <mergeCell ref="B27:C27"/>
    <mergeCell ref="B2:C2"/>
    <mergeCell ref="B3:C3"/>
    <mergeCell ref="B4:C4"/>
    <mergeCell ref="B5:C5"/>
    <mergeCell ref="B22:C22"/>
    <mergeCell ref="B26:C26"/>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1"/>
  <sheetViews>
    <sheetView zoomScale="40" zoomScaleNormal="40" workbookViewId="0">
      <pane ySplit="2" topLeftCell="A12" activePane="bottomLeft" state="frozen"/>
      <selection activeCell="K14" sqref="K14"/>
      <selection pane="bottomLeft" activeCell="F8" sqref="F8"/>
    </sheetView>
  </sheetViews>
  <sheetFormatPr baseColWidth="10" defaultColWidth="14.42578125" defaultRowHeight="67.150000000000006" customHeight="1" x14ac:dyDescent="0.3"/>
  <cols>
    <col min="1" max="1" width="3.7109375" style="440" customWidth="1"/>
    <col min="2" max="2" width="58" style="440" customWidth="1"/>
    <col min="3" max="3" width="48.85546875" style="440" customWidth="1"/>
    <col min="4" max="4" width="33.5703125" style="440" customWidth="1"/>
    <col min="5" max="5" width="34.85546875" style="440" customWidth="1"/>
    <col min="6" max="6" width="44.5703125" style="440" customWidth="1"/>
    <col min="7" max="7" width="28" style="440" customWidth="1"/>
    <col min="8" max="8" width="29.5703125" style="440" customWidth="1"/>
    <col min="9" max="9" width="32.42578125" style="440" customWidth="1"/>
    <col min="10" max="10" width="26.42578125" style="440" customWidth="1"/>
    <col min="11" max="11" width="37" style="440" customWidth="1"/>
    <col min="12" max="12" width="37.28515625" style="440" customWidth="1"/>
    <col min="13" max="14" width="37.85546875" style="440" customWidth="1"/>
    <col min="15" max="15" width="42.7109375" style="440" customWidth="1"/>
    <col min="16" max="16" width="30.140625" style="440" hidden="1" customWidth="1"/>
    <col min="17" max="17" width="27.5703125" style="440" hidden="1" customWidth="1"/>
    <col min="18" max="18" width="21.85546875" style="440" hidden="1" customWidth="1"/>
    <col min="19" max="20" width="23.140625" style="440" hidden="1" customWidth="1"/>
    <col min="21" max="21" width="10.7109375" style="440" hidden="1" customWidth="1"/>
    <col min="22" max="26" width="10.7109375" style="440" customWidth="1"/>
    <col min="27" max="16384" width="14.42578125" style="440"/>
  </cols>
  <sheetData>
    <row r="1" spans="1:21" ht="33.6" customHeight="1" thickBot="1" x14ac:dyDescent="0.35">
      <c r="A1" s="437"/>
      <c r="B1" s="438"/>
      <c r="C1" s="438"/>
      <c r="D1" s="438"/>
      <c r="E1" s="438"/>
      <c r="F1" s="438"/>
      <c r="G1" s="438"/>
      <c r="H1" s="438"/>
      <c r="I1" s="438"/>
      <c r="J1" s="438"/>
      <c r="K1" s="438"/>
      <c r="L1" s="438"/>
      <c r="M1" s="438"/>
      <c r="N1" s="438"/>
      <c r="O1" s="438"/>
      <c r="P1" s="437"/>
      <c r="Q1" s="437"/>
      <c r="R1" s="437"/>
      <c r="S1" s="437"/>
      <c r="T1" s="437"/>
      <c r="U1" s="437"/>
    </row>
    <row r="2" spans="1:21" ht="111" customHeight="1" thickBot="1" x14ac:dyDescent="0.35">
      <c r="A2" s="441"/>
      <c r="B2" s="731" t="s">
        <v>0</v>
      </c>
      <c r="C2" s="732"/>
      <c r="D2" s="636" t="s">
        <v>1</v>
      </c>
      <c r="E2" s="637" t="s">
        <v>2</v>
      </c>
      <c r="F2" s="637" t="s">
        <v>3</v>
      </c>
      <c r="G2" s="637" t="s">
        <v>4</v>
      </c>
      <c r="H2" s="445" t="s">
        <v>5</v>
      </c>
      <c r="I2" s="446" t="s">
        <v>6</v>
      </c>
      <c r="J2" s="447" t="s">
        <v>1852</v>
      </c>
      <c r="K2" s="448" t="s">
        <v>8</v>
      </c>
      <c r="L2" s="449" t="s">
        <v>9</v>
      </c>
      <c r="M2" s="448" t="s">
        <v>1863</v>
      </c>
      <c r="N2" s="450" t="s">
        <v>1854</v>
      </c>
      <c r="O2" s="451" t="s">
        <v>1856</v>
      </c>
      <c r="P2" s="452" t="s">
        <v>7</v>
      </c>
      <c r="Q2" s="448" t="s">
        <v>8</v>
      </c>
      <c r="R2" s="449" t="s">
        <v>9</v>
      </c>
      <c r="S2" s="448" t="s">
        <v>10</v>
      </c>
      <c r="T2" s="453" t="s">
        <v>11</v>
      </c>
      <c r="U2" s="449" t="s">
        <v>12</v>
      </c>
    </row>
    <row r="3" spans="1:21" s="242" customFormat="1" ht="67.150000000000006" customHeight="1" thickBot="1" x14ac:dyDescent="0.75">
      <c r="A3" s="239"/>
      <c r="B3" s="733" t="s">
        <v>1826</v>
      </c>
      <c r="C3" s="734"/>
      <c r="D3" s="665"/>
      <c r="E3" s="666">
        <v>0.08</v>
      </c>
      <c r="F3" s="667"/>
      <c r="G3" s="668"/>
      <c r="H3" s="669">
        <f>+(H4+H17+H48+H57+H77+H109)/6</f>
        <v>0.23220555246626431</v>
      </c>
      <c r="I3" s="670">
        <f>+(I4+I17+I48+I57+I77+I109)/6</f>
        <v>0.2172509675080054</v>
      </c>
      <c r="J3" s="671"/>
      <c r="K3" s="669">
        <f>+(K4+K17+K48+K57+K77+K109)/6</f>
        <v>0.9123330643239469</v>
      </c>
      <c r="L3" s="670">
        <f>F4+F17+F48+F57+F77+F109</f>
        <v>0.74493002580232992</v>
      </c>
      <c r="M3" s="669">
        <f>+(M4+M17+M48+M57+M77+M109)/6</f>
        <v>0.21665121472005613</v>
      </c>
      <c r="N3" s="670">
        <f>+(N4+N17+N48+N57+N77+N109)/6</f>
        <v>0.19221658801626931</v>
      </c>
      <c r="O3" s="672"/>
      <c r="P3" s="673"/>
      <c r="Q3" s="250"/>
      <c r="R3" s="250"/>
      <c r="S3" s="250"/>
      <c r="T3" s="250"/>
      <c r="U3" s="250"/>
    </row>
    <row r="4" spans="1:21" ht="67.150000000000006" customHeight="1" thickBot="1" x14ac:dyDescent="0.35">
      <c r="A4" s="638"/>
      <c r="B4" s="730" t="s">
        <v>1593</v>
      </c>
      <c r="C4" s="718"/>
      <c r="D4" s="640"/>
      <c r="E4" s="584">
        <v>0.15</v>
      </c>
      <c r="F4" s="641">
        <f>+E4*L4</f>
        <v>9.6000000000000002E-2</v>
      </c>
      <c r="G4" s="565"/>
      <c r="H4" s="459">
        <f>+(H5+H9+H12)/2</f>
        <v>0.24124999999999999</v>
      </c>
      <c r="I4" s="460">
        <f>+(I5+I9+I12)/2</f>
        <v>0.24783333333333332</v>
      </c>
      <c r="J4" s="461"/>
      <c r="K4" s="459">
        <f>+(K5+K9+K12)/2</f>
        <v>0.875</v>
      </c>
      <c r="L4" s="460">
        <f>+L5+L9+L12</f>
        <v>0.64</v>
      </c>
      <c r="M4" s="459">
        <f>(M5+M9+M12)/2</f>
        <v>0.21</v>
      </c>
      <c r="N4" s="642">
        <f>(N5+N9+N12)</f>
        <v>0.15870000000000001</v>
      </c>
      <c r="O4" s="461"/>
      <c r="P4" s="455"/>
      <c r="Q4" s="437"/>
      <c r="R4" s="437"/>
      <c r="S4" s="437"/>
      <c r="T4" s="437"/>
      <c r="U4" s="437"/>
    </row>
    <row r="5" spans="1:21" ht="67.150000000000006" customHeight="1" thickBot="1" x14ac:dyDescent="0.35">
      <c r="A5" s="638"/>
      <c r="B5" s="735" t="s">
        <v>1827</v>
      </c>
      <c r="C5" s="718"/>
      <c r="D5" s="640"/>
      <c r="E5" s="643">
        <v>0.3</v>
      </c>
      <c r="F5" s="562"/>
      <c r="G5" s="461"/>
      <c r="H5" s="467"/>
      <c r="I5" s="467"/>
      <c r="J5" s="466"/>
      <c r="K5" s="469"/>
      <c r="L5" s="469"/>
      <c r="M5" s="467"/>
      <c r="N5" s="467"/>
      <c r="O5" s="461"/>
      <c r="P5" s="455"/>
      <c r="Q5" s="437"/>
      <c r="R5" s="437"/>
      <c r="S5" s="437"/>
      <c r="T5" s="437"/>
      <c r="U5" s="437"/>
    </row>
    <row r="6" spans="1:21" ht="67.150000000000006" customHeight="1" thickBot="1" x14ac:dyDescent="0.35">
      <c r="A6" s="638"/>
      <c r="B6" s="472" t="s">
        <v>960</v>
      </c>
      <c r="C6" s="472" t="s">
        <v>1168</v>
      </c>
      <c r="D6" s="640" t="s">
        <v>520</v>
      </c>
      <c r="E6" s="575">
        <v>0.35</v>
      </c>
      <c r="F6" s="576">
        <v>40</v>
      </c>
      <c r="G6" s="468">
        <v>0</v>
      </c>
      <c r="H6" s="475"/>
      <c r="I6" s="475"/>
      <c r="J6" s="468"/>
      <c r="K6" s="476"/>
      <c r="L6" s="477"/>
      <c r="M6" s="475"/>
      <c r="N6" s="475"/>
      <c r="O6" s="604" t="s">
        <v>1865</v>
      </c>
      <c r="P6" s="455"/>
      <c r="Q6" s="437"/>
      <c r="R6" s="437"/>
      <c r="S6" s="437"/>
      <c r="T6" s="437"/>
      <c r="U6" s="437"/>
    </row>
    <row r="7" spans="1:21" ht="67.150000000000006" customHeight="1" thickBot="1" x14ac:dyDescent="0.35">
      <c r="A7" s="638"/>
      <c r="B7" s="472" t="s">
        <v>961</v>
      </c>
      <c r="C7" s="472" t="s">
        <v>1169</v>
      </c>
      <c r="D7" s="640" t="s">
        <v>520</v>
      </c>
      <c r="E7" s="578">
        <v>0.5</v>
      </c>
      <c r="F7" s="576">
        <v>1</v>
      </c>
      <c r="G7" s="468">
        <v>0</v>
      </c>
      <c r="H7" s="475"/>
      <c r="I7" s="475"/>
      <c r="J7" s="468"/>
      <c r="K7" s="476"/>
      <c r="L7" s="477"/>
      <c r="M7" s="475"/>
      <c r="N7" s="475"/>
      <c r="O7" s="604" t="s">
        <v>1865</v>
      </c>
      <c r="P7" s="455"/>
      <c r="Q7" s="437"/>
      <c r="R7" s="437"/>
      <c r="S7" s="437"/>
      <c r="T7" s="437"/>
      <c r="U7" s="437"/>
    </row>
    <row r="8" spans="1:21" ht="67.150000000000006" customHeight="1" thickBot="1" x14ac:dyDescent="0.35">
      <c r="A8" s="638"/>
      <c r="B8" s="472" t="s">
        <v>962</v>
      </c>
      <c r="C8" s="472" t="s">
        <v>1170</v>
      </c>
      <c r="D8" s="640" t="s">
        <v>520</v>
      </c>
      <c r="E8" s="644">
        <v>0.15</v>
      </c>
      <c r="F8" s="576">
        <v>3</v>
      </c>
      <c r="G8" s="468">
        <v>0</v>
      </c>
      <c r="H8" s="475"/>
      <c r="I8" s="475"/>
      <c r="J8" s="468"/>
      <c r="K8" s="476"/>
      <c r="L8" s="477"/>
      <c r="M8" s="475"/>
      <c r="N8" s="475"/>
      <c r="O8" s="604" t="s">
        <v>1865</v>
      </c>
      <c r="P8" s="455"/>
      <c r="Q8" s="437"/>
      <c r="R8" s="437"/>
      <c r="S8" s="437"/>
      <c r="T8" s="437"/>
      <c r="U8" s="437"/>
    </row>
    <row r="9" spans="1:21" ht="67.150000000000006" customHeight="1" thickBot="1" x14ac:dyDescent="0.35">
      <c r="A9" s="638"/>
      <c r="B9" s="735" t="s">
        <v>1828</v>
      </c>
      <c r="C9" s="718"/>
      <c r="D9" s="640"/>
      <c r="E9" s="645">
        <v>0.4</v>
      </c>
      <c r="F9" s="576"/>
      <c r="G9" s="468"/>
      <c r="H9" s="467">
        <f>+AVERAGE(H10:H11)</f>
        <v>0.25</v>
      </c>
      <c r="I9" s="467">
        <f>+I10+I11</f>
        <v>0.25</v>
      </c>
      <c r="J9" s="466"/>
      <c r="K9" s="469">
        <f>+AVERAGE(K10:K11)</f>
        <v>0.75</v>
      </c>
      <c r="L9" s="469">
        <f>+(L10+L11)*E9</f>
        <v>0.34</v>
      </c>
      <c r="M9" s="467">
        <f>+AVERAGE(M10:M11)</f>
        <v>0.1875</v>
      </c>
      <c r="N9" s="467">
        <f>+(N10+N11)*E9</f>
        <v>8.5000000000000006E-2</v>
      </c>
      <c r="O9" s="461"/>
      <c r="P9" s="455"/>
      <c r="Q9" s="437"/>
      <c r="R9" s="437"/>
      <c r="S9" s="437"/>
      <c r="T9" s="437"/>
      <c r="U9" s="437"/>
    </row>
    <row r="10" spans="1:21" ht="163.9" customHeight="1" thickBot="1" x14ac:dyDescent="0.35">
      <c r="A10" s="638"/>
      <c r="B10" s="472" t="s">
        <v>963</v>
      </c>
      <c r="C10" s="472" t="s">
        <v>1171</v>
      </c>
      <c r="D10" s="640" t="s">
        <v>520</v>
      </c>
      <c r="E10" s="575">
        <v>0.7</v>
      </c>
      <c r="F10" s="576">
        <v>1</v>
      </c>
      <c r="G10" s="468">
        <v>0.25</v>
      </c>
      <c r="H10" s="475">
        <f>+G10/F10</f>
        <v>0.25</v>
      </c>
      <c r="I10" s="475">
        <f>+(G10/F10)*E10</f>
        <v>0.17499999999999999</v>
      </c>
      <c r="J10" s="468">
        <v>0.25</v>
      </c>
      <c r="K10" s="475">
        <f>+(J10/G10)</f>
        <v>1</v>
      </c>
      <c r="L10" s="477">
        <f>+K10*E10</f>
        <v>0.7</v>
      </c>
      <c r="M10" s="475">
        <f>+J10/F10</f>
        <v>0.25</v>
      </c>
      <c r="N10" s="475">
        <f>+M10*E10</f>
        <v>0.17499999999999999</v>
      </c>
      <c r="O10" s="604" t="s">
        <v>1865</v>
      </c>
      <c r="P10" s="455"/>
      <c r="Q10" s="437"/>
      <c r="R10" s="437"/>
      <c r="S10" s="437"/>
      <c r="T10" s="437"/>
      <c r="U10" s="437"/>
    </row>
    <row r="11" spans="1:21" ht="97.15" customHeight="1" thickBot="1" x14ac:dyDescent="0.35">
      <c r="A11" s="638"/>
      <c r="B11" s="472" t="s">
        <v>964</v>
      </c>
      <c r="C11" s="472" t="s">
        <v>1172</v>
      </c>
      <c r="D11" s="640" t="s">
        <v>965</v>
      </c>
      <c r="E11" s="644">
        <v>0.3</v>
      </c>
      <c r="F11" s="576">
        <v>8</v>
      </c>
      <c r="G11" s="468">
        <v>2</v>
      </c>
      <c r="H11" s="475">
        <f>+G11/F11</f>
        <v>0.25</v>
      </c>
      <c r="I11" s="475">
        <f>+(G11/F11)*E11</f>
        <v>7.4999999999999997E-2</v>
      </c>
      <c r="J11" s="468">
        <v>1</v>
      </c>
      <c r="K11" s="475">
        <f>+(J11/G11)</f>
        <v>0.5</v>
      </c>
      <c r="L11" s="477">
        <f>+K11*E11</f>
        <v>0.15</v>
      </c>
      <c r="M11" s="475">
        <f>+J11/F11</f>
        <v>0.125</v>
      </c>
      <c r="N11" s="475">
        <f>+M11*E11</f>
        <v>3.7499999999999999E-2</v>
      </c>
      <c r="O11" s="604" t="s">
        <v>1865</v>
      </c>
      <c r="P11" s="455"/>
      <c r="Q11" s="437"/>
      <c r="R11" s="437"/>
      <c r="S11" s="437"/>
      <c r="T11" s="437"/>
      <c r="U11" s="437"/>
    </row>
    <row r="12" spans="1:21" ht="67.150000000000006" customHeight="1" thickBot="1" x14ac:dyDescent="0.35">
      <c r="A12" s="638"/>
      <c r="B12" s="735" t="s">
        <v>1829</v>
      </c>
      <c r="C12" s="718"/>
      <c r="D12" s="640"/>
      <c r="E12" s="646">
        <v>0.3</v>
      </c>
      <c r="F12" s="562"/>
      <c r="G12" s="461"/>
      <c r="H12" s="467">
        <f>+AVERAGE(H13:H16)</f>
        <v>0.23249999999999998</v>
      </c>
      <c r="I12" s="467">
        <f>+I13+I14+I15+I16</f>
        <v>0.24566666666666664</v>
      </c>
      <c r="J12" s="466"/>
      <c r="K12" s="469">
        <f>+AVERAGE(K13:K16)</f>
        <v>1</v>
      </c>
      <c r="L12" s="469">
        <f>+(L13+L14+L15+L16)*E12</f>
        <v>0.3</v>
      </c>
      <c r="M12" s="467">
        <f>+AVERAGE(M13:M16)</f>
        <v>0.23249999999999998</v>
      </c>
      <c r="N12" s="467">
        <f>+(N13+N14+N15+N16)*E12</f>
        <v>7.3699999999999988E-2</v>
      </c>
      <c r="O12" s="461"/>
      <c r="P12" s="455"/>
      <c r="Q12" s="437"/>
      <c r="R12" s="437"/>
      <c r="S12" s="437"/>
      <c r="T12" s="437"/>
      <c r="U12" s="437"/>
    </row>
    <row r="13" spans="1:21" ht="135.6" customHeight="1" thickBot="1" x14ac:dyDescent="0.35">
      <c r="A13" s="638"/>
      <c r="B13" s="472" t="s">
        <v>966</v>
      </c>
      <c r="C13" s="472" t="s">
        <v>1173</v>
      </c>
      <c r="D13" s="483" t="s">
        <v>967</v>
      </c>
      <c r="E13" s="578">
        <v>0.3</v>
      </c>
      <c r="F13" s="576">
        <v>3000</v>
      </c>
      <c r="G13" s="468">
        <v>350</v>
      </c>
      <c r="H13" s="475">
        <f>+G13/F13</f>
        <v>0.11666666666666667</v>
      </c>
      <c r="I13" s="475">
        <f>+(G13/F13)*E13</f>
        <v>3.4999999999999996E-2</v>
      </c>
      <c r="J13" s="468">
        <v>350</v>
      </c>
      <c r="K13" s="475">
        <f>+(J13/G13)</f>
        <v>1</v>
      </c>
      <c r="L13" s="477">
        <f>+K13*E13</f>
        <v>0.3</v>
      </c>
      <c r="M13" s="475">
        <f>+J13/F13</f>
        <v>0.11666666666666667</v>
      </c>
      <c r="N13" s="475">
        <f>+M13*E13</f>
        <v>3.4999999999999996E-2</v>
      </c>
      <c r="O13" s="604" t="s">
        <v>1865</v>
      </c>
      <c r="P13" s="455"/>
      <c r="Q13" s="437"/>
      <c r="R13" s="437"/>
      <c r="S13" s="437"/>
      <c r="T13" s="437"/>
      <c r="U13" s="437"/>
    </row>
    <row r="14" spans="1:21" ht="67.150000000000006" customHeight="1" thickBot="1" x14ac:dyDescent="0.35">
      <c r="A14" s="638"/>
      <c r="B14" s="472" t="s">
        <v>968</v>
      </c>
      <c r="C14" s="472" t="s">
        <v>1174</v>
      </c>
      <c r="D14" s="483" t="s">
        <v>969</v>
      </c>
      <c r="E14" s="578">
        <v>0.2</v>
      </c>
      <c r="F14" s="576">
        <v>6</v>
      </c>
      <c r="G14" s="468">
        <v>1</v>
      </c>
      <c r="H14" s="475">
        <f>+G14/F14</f>
        <v>0.16666666666666666</v>
      </c>
      <c r="I14" s="475">
        <f>+(G14/F14)*E14</f>
        <v>3.3333333333333333E-2</v>
      </c>
      <c r="J14" s="468">
        <v>1</v>
      </c>
      <c r="K14" s="475">
        <f>+(J14/G14)</f>
        <v>1</v>
      </c>
      <c r="L14" s="477">
        <f>+K14*E14</f>
        <v>0.2</v>
      </c>
      <c r="M14" s="475">
        <f>+J14/F14</f>
        <v>0.16666666666666666</v>
      </c>
      <c r="N14" s="475">
        <f>+M14*E14</f>
        <v>3.3333333333333333E-2</v>
      </c>
      <c r="O14" s="604" t="s">
        <v>1865</v>
      </c>
      <c r="P14" s="455"/>
      <c r="Q14" s="437"/>
      <c r="R14" s="437"/>
      <c r="S14" s="437"/>
      <c r="T14" s="437"/>
      <c r="U14" s="437"/>
    </row>
    <row r="15" spans="1:21" ht="67.150000000000006" customHeight="1" thickBot="1" x14ac:dyDescent="0.35">
      <c r="A15" s="638"/>
      <c r="B15" s="472" t="s">
        <v>970</v>
      </c>
      <c r="C15" s="472" t="s">
        <v>1175</v>
      </c>
      <c r="D15" s="483" t="s">
        <v>969</v>
      </c>
      <c r="E15" s="578">
        <v>0.2</v>
      </c>
      <c r="F15" s="576">
        <v>6</v>
      </c>
      <c r="G15" s="468">
        <v>1</v>
      </c>
      <c r="H15" s="475">
        <f>+G15/F15</f>
        <v>0.16666666666666666</v>
      </c>
      <c r="I15" s="475">
        <f>+(G15/F15)*E15</f>
        <v>3.3333333333333333E-2</v>
      </c>
      <c r="J15" s="468">
        <v>1</v>
      </c>
      <c r="K15" s="475">
        <f>+(J15/G15)</f>
        <v>1</v>
      </c>
      <c r="L15" s="477">
        <f>+K15*E15</f>
        <v>0.2</v>
      </c>
      <c r="M15" s="475">
        <f>+J15/F15</f>
        <v>0.16666666666666666</v>
      </c>
      <c r="N15" s="475">
        <f>+M15*E15</f>
        <v>3.3333333333333333E-2</v>
      </c>
      <c r="O15" s="604" t="s">
        <v>1865</v>
      </c>
      <c r="P15" s="455"/>
      <c r="Q15" s="437"/>
      <c r="R15" s="437"/>
      <c r="S15" s="437"/>
      <c r="T15" s="437"/>
      <c r="U15" s="437"/>
    </row>
    <row r="16" spans="1:21" ht="67.150000000000006" customHeight="1" thickBot="1" x14ac:dyDescent="0.35">
      <c r="A16" s="638"/>
      <c r="B16" s="472" t="s">
        <v>971</v>
      </c>
      <c r="C16" s="472" t="s">
        <v>1176</v>
      </c>
      <c r="D16" s="483" t="s">
        <v>969</v>
      </c>
      <c r="E16" s="578">
        <v>0.3</v>
      </c>
      <c r="F16" s="576">
        <v>50</v>
      </c>
      <c r="G16" s="468">
        <v>24</v>
      </c>
      <c r="H16" s="475">
        <f>+G16/F16</f>
        <v>0.48</v>
      </c>
      <c r="I16" s="475">
        <f>+(G16/F16)*E16</f>
        <v>0.14399999999999999</v>
      </c>
      <c r="J16" s="468">
        <v>24</v>
      </c>
      <c r="K16" s="475">
        <f>+(J16/G16)</f>
        <v>1</v>
      </c>
      <c r="L16" s="477">
        <f>+K16*E16</f>
        <v>0.3</v>
      </c>
      <c r="M16" s="475">
        <f>+J16/F16</f>
        <v>0.48</v>
      </c>
      <c r="N16" s="475">
        <f>+M16*E16</f>
        <v>0.14399999999999999</v>
      </c>
      <c r="O16" s="604" t="s">
        <v>1865</v>
      </c>
      <c r="P16" s="455"/>
      <c r="Q16" s="437"/>
      <c r="R16" s="437"/>
      <c r="S16" s="437"/>
      <c r="T16" s="437"/>
      <c r="U16" s="437"/>
    </row>
    <row r="17" spans="1:21" ht="67.150000000000006" customHeight="1" thickBot="1" x14ac:dyDescent="0.35">
      <c r="A17" s="638"/>
      <c r="B17" s="730" t="s">
        <v>1830</v>
      </c>
      <c r="C17" s="718"/>
      <c r="D17" s="640"/>
      <c r="E17" s="584">
        <v>0.2</v>
      </c>
      <c r="F17" s="641">
        <f>+E17*L17</f>
        <v>0.14334709480122326</v>
      </c>
      <c r="G17" s="461"/>
      <c r="H17" s="459">
        <f>+(H18+H23+H26+H30+H32+H36+H40+H43)/6</f>
        <v>0.19706348655814188</v>
      </c>
      <c r="I17" s="460">
        <f>+(I18+I23+I26+I30+I32+I36+I40+I43)/6</f>
        <v>0.16739826874293517</v>
      </c>
      <c r="J17" s="461"/>
      <c r="K17" s="459">
        <f>+(K18+K23+K26+K30+K32+K36+K40+K43)/6</f>
        <v>0.89936289500509681</v>
      </c>
      <c r="L17" s="460">
        <f>+L18+L23+L26+L30+L32+L36+L40+L43</f>
        <v>0.71673547400611626</v>
      </c>
      <c r="M17" s="459">
        <f>(M18+M23+M26+M30+M32+M36+M40+M43)/6</f>
        <v>0.19835461103210691</v>
      </c>
      <c r="N17" s="642">
        <f>(N18+N23+N26+N30+N32+N36+N40+N43)</f>
        <v>0.1419048239393558</v>
      </c>
      <c r="O17" s="461"/>
      <c r="P17" s="455"/>
      <c r="Q17" s="437"/>
      <c r="R17" s="437"/>
      <c r="S17" s="437"/>
      <c r="T17" s="437"/>
      <c r="U17" s="437"/>
    </row>
    <row r="18" spans="1:21" ht="67.150000000000006" customHeight="1" thickBot="1" x14ac:dyDescent="0.35">
      <c r="A18" s="638"/>
      <c r="B18" s="735" t="s">
        <v>1762</v>
      </c>
      <c r="C18" s="718"/>
      <c r="D18" s="640"/>
      <c r="E18" s="582">
        <v>0.15</v>
      </c>
      <c r="F18" s="562"/>
      <c r="G18" s="461"/>
      <c r="H18" s="467">
        <f>+AVERAGE(H19:H22)</f>
        <v>0.27777777777777773</v>
      </c>
      <c r="I18" s="467">
        <f>+I19+I20+I21+I22</f>
        <v>0.27083333333333337</v>
      </c>
      <c r="J18" s="466"/>
      <c r="K18" s="469">
        <f>+AVERAGE(K19:K22)</f>
        <v>1</v>
      </c>
      <c r="L18" s="469">
        <f>+(L19+L20+L21+L22)*E18</f>
        <v>0.14249999999999999</v>
      </c>
      <c r="M18" s="467">
        <f>+AVERAGE(M19:M22)</f>
        <v>0.29444444444444445</v>
      </c>
      <c r="N18" s="467">
        <f>+(N19+N20+N21+N22)*E18</f>
        <v>4.0999999999999995E-2</v>
      </c>
      <c r="O18" s="461"/>
      <c r="P18" s="455"/>
      <c r="Q18" s="437"/>
      <c r="R18" s="437"/>
      <c r="S18" s="437"/>
      <c r="T18" s="437"/>
      <c r="U18" s="437"/>
    </row>
    <row r="19" spans="1:21" ht="67.150000000000006" customHeight="1" thickBot="1" x14ac:dyDescent="0.35">
      <c r="A19" s="638"/>
      <c r="B19" s="472" t="s">
        <v>972</v>
      </c>
      <c r="C19" s="472" t="s">
        <v>1177</v>
      </c>
      <c r="D19" s="640" t="s">
        <v>520</v>
      </c>
      <c r="E19" s="578">
        <v>0.05</v>
      </c>
      <c r="F19" s="576">
        <v>1</v>
      </c>
      <c r="G19" s="468">
        <v>0.25</v>
      </c>
      <c r="H19" s="475">
        <f>+G19/F19</f>
        <v>0.25</v>
      </c>
      <c r="I19" s="475">
        <f>+(G19/F19)*E19</f>
        <v>1.2500000000000001E-2</v>
      </c>
      <c r="J19" s="468">
        <v>0.3</v>
      </c>
      <c r="K19" s="475">
        <v>1</v>
      </c>
      <c r="L19" s="475">
        <f>+K19*E19</f>
        <v>0.05</v>
      </c>
      <c r="M19" s="475">
        <f>+J19/F19</f>
        <v>0.3</v>
      </c>
      <c r="N19" s="475">
        <f>+M19*E19</f>
        <v>1.4999999999999999E-2</v>
      </c>
      <c r="O19" s="604" t="s">
        <v>1865</v>
      </c>
      <c r="P19" s="455"/>
      <c r="Q19" s="437"/>
      <c r="R19" s="437"/>
      <c r="S19" s="437"/>
      <c r="T19" s="437"/>
      <c r="U19" s="437"/>
    </row>
    <row r="20" spans="1:21" ht="67.150000000000006" customHeight="1" thickBot="1" x14ac:dyDescent="0.35">
      <c r="A20" s="638"/>
      <c r="B20" s="472" t="s">
        <v>973</v>
      </c>
      <c r="C20" s="472" t="s">
        <v>1178</v>
      </c>
      <c r="D20" s="640" t="s">
        <v>974</v>
      </c>
      <c r="E20" s="578">
        <v>0.05</v>
      </c>
      <c r="F20" s="576">
        <v>1</v>
      </c>
      <c r="G20" s="468">
        <v>0</v>
      </c>
      <c r="H20" s="475"/>
      <c r="I20" s="475"/>
      <c r="J20" s="468"/>
      <c r="K20" s="475"/>
      <c r="L20" s="475"/>
      <c r="M20" s="475"/>
      <c r="N20" s="475"/>
      <c r="O20" s="604" t="s">
        <v>1865</v>
      </c>
      <c r="P20" s="455"/>
      <c r="Q20" s="437"/>
      <c r="R20" s="437"/>
      <c r="S20" s="437"/>
      <c r="T20" s="437"/>
      <c r="U20" s="437"/>
    </row>
    <row r="21" spans="1:21" ht="97.15" customHeight="1" thickBot="1" x14ac:dyDescent="0.35">
      <c r="A21" s="638"/>
      <c r="B21" s="472" t="s">
        <v>975</v>
      </c>
      <c r="C21" s="472" t="s">
        <v>1179</v>
      </c>
      <c r="D21" s="640" t="s">
        <v>795</v>
      </c>
      <c r="E21" s="578">
        <v>0.4</v>
      </c>
      <c r="F21" s="576">
        <v>3</v>
      </c>
      <c r="G21" s="468">
        <v>1</v>
      </c>
      <c r="H21" s="475">
        <f>+G21/F21</f>
        <v>0.33333333333333331</v>
      </c>
      <c r="I21" s="475">
        <f>+(G21/F21)*E21</f>
        <v>0.13333333333333333</v>
      </c>
      <c r="J21" s="468">
        <v>1</v>
      </c>
      <c r="K21" s="475">
        <f>+(J21/G21)</f>
        <v>1</v>
      </c>
      <c r="L21" s="475">
        <f>+K21*E21</f>
        <v>0.4</v>
      </c>
      <c r="M21" s="475">
        <f>+J21/F21</f>
        <v>0.33333333333333331</v>
      </c>
      <c r="N21" s="475">
        <f>+M21*E21</f>
        <v>0.13333333333333333</v>
      </c>
      <c r="O21" s="604" t="s">
        <v>1865</v>
      </c>
      <c r="P21" s="455"/>
      <c r="Q21" s="437"/>
      <c r="R21" s="437"/>
      <c r="S21" s="437"/>
      <c r="T21" s="437"/>
      <c r="U21" s="437"/>
    </row>
    <row r="22" spans="1:21" ht="67.150000000000006" customHeight="1" thickBot="1" x14ac:dyDescent="0.35">
      <c r="A22" s="638"/>
      <c r="B22" s="472" t="s">
        <v>976</v>
      </c>
      <c r="C22" s="472" t="s">
        <v>1180</v>
      </c>
      <c r="D22" s="640" t="s">
        <v>795</v>
      </c>
      <c r="E22" s="578">
        <v>0.5</v>
      </c>
      <c r="F22" s="576">
        <v>4</v>
      </c>
      <c r="G22" s="468">
        <v>1</v>
      </c>
      <c r="H22" s="475">
        <f>+G22/F22</f>
        <v>0.25</v>
      </c>
      <c r="I22" s="475">
        <f>+(G22/F22)*E22</f>
        <v>0.125</v>
      </c>
      <c r="J22" s="468">
        <v>1</v>
      </c>
      <c r="K22" s="475">
        <f>+(J22/G22)</f>
        <v>1</v>
      </c>
      <c r="L22" s="477">
        <f>+K22*E22</f>
        <v>0.5</v>
      </c>
      <c r="M22" s="475">
        <f>+J22/F22</f>
        <v>0.25</v>
      </c>
      <c r="N22" s="475">
        <f>+M22*E22</f>
        <v>0.125</v>
      </c>
      <c r="O22" s="604" t="s">
        <v>1865</v>
      </c>
      <c r="P22" s="455"/>
      <c r="Q22" s="437"/>
      <c r="R22" s="437"/>
      <c r="S22" s="437"/>
      <c r="T22" s="437"/>
      <c r="U22" s="437"/>
    </row>
    <row r="23" spans="1:21" ht="67.150000000000006" customHeight="1" thickBot="1" x14ac:dyDescent="0.35">
      <c r="A23" s="638"/>
      <c r="B23" s="735" t="s">
        <v>1831</v>
      </c>
      <c r="C23" s="718"/>
      <c r="D23" s="559"/>
      <c r="E23" s="582">
        <v>0.05</v>
      </c>
      <c r="F23" s="562"/>
      <c r="G23" s="461"/>
      <c r="H23" s="467">
        <f>+AVERAGE(H24:H25)</f>
        <v>0.25</v>
      </c>
      <c r="I23" s="467">
        <f>+I24+I25</f>
        <v>0.25</v>
      </c>
      <c r="J23" s="466"/>
      <c r="K23" s="469">
        <f>+AVERAGE(K24:K25)</f>
        <v>1</v>
      </c>
      <c r="L23" s="469">
        <f>+(L24+L25)*E23</f>
        <v>0.05</v>
      </c>
      <c r="M23" s="467">
        <f>+AVERAGE(M24:M25)</f>
        <v>0.25</v>
      </c>
      <c r="N23" s="467">
        <f>+(N24+N25)*E23</f>
        <v>1.2500000000000001E-2</v>
      </c>
      <c r="O23" s="461"/>
      <c r="P23" s="455"/>
      <c r="Q23" s="437"/>
      <c r="R23" s="437"/>
      <c r="S23" s="437"/>
      <c r="T23" s="437"/>
      <c r="U23" s="437"/>
    </row>
    <row r="24" spans="1:21" ht="67.150000000000006" customHeight="1" thickBot="1" x14ac:dyDescent="0.35">
      <c r="A24" s="638"/>
      <c r="B24" s="472" t="s">
        <v>977</v>
      </c>
      <c r="C24" s="483" t="s">
        <v>1181</v>
      </c>
      <c r="D24" s="647" t="s">
        <v>1558</v>
      </c>
      <c r="E24" s="578">
        <v>0.8</v>
      </c>
      <c r="F24" s="576">
        <v>4</v>
      </c>
      <c r="G24" s="468">
        <v>1</v>
      </c>
      <c r="H24" s="475">
        <f>+G24/F24</f>
        <v>0.25</v>
      </c>
      <c r="I24" s="475">
        <f>+(G24/F24)*E24</f>
        <v>0.2</v>
      </c>
      <c r="J24" s="468">
        <v>1</v>
      </c>
      <c r="K24" s="476">
        <f>+(J24/G24)</f>
        <v>1</v>
      </c>
      <c r="L24" s="477">
        <f>+K24*E24</f>
        <v>0.8</v>
      </c>
      <c r="M24" s="475">
        <f>+J24/F24</f>
        <v>0.25</v>
      </c>
      <c r="N24" s="475">
        <f>+M24*E24</f>
        <v>0.2</v>
      </c>
      <c r="O24" s="604" t="s">
        <v>1865</v>
      </c>
      <c r="P24" s="455"/>
      <c r="Q24" s="437"/>
      <c r="R24" s="437"/>
      <c r="S24" s="437"/>
      <c r="T24" s="437"/>
      <c r="U24" s="437"/>
    </row>
    <row r="25" spans="1:21" ht="67.150000000000006" customHeight="1" thickBot="1" x14ac:dyDescent="0.35">
      <c r="A25" s="638"/>
      <c r="B25" s="472" t="s">
        <v>978</v>
      </c>
      <c r="C25" s="472" t="s">
        <v>1182</v>
      </c>
      <c r="D25" s="647" t="s">
        <v>1558</v>
      </c>
      <c r="E25" s="644">
        <v>0.2</v>
      </c>
      <c r="F25" s="576">
        <v>4</v>
      </c>
      <c r="G25" s="468">
        <v>1</v>
      </c>
      <c r="H25" s="475">
        <f>+G25/F25</f>
        <v>0.25</v>
      </c>
      <c r="I25" s="475">
        <f>+(G25/F25)*E25</f>
        <v>0.05</v>
      </c>
      <c r="J25" s="468">
        <v>1</v>
      </c>
      <c r="K25" s="476">
        <f>+(J25/G25)</f>
        <v>1</v>
      </c>
      <c r="L25" s="477">
        <f>+K25*E25</f>
        <v>0.2</v>
      </c>
      <c r="M25" s="475">
        <f>+J25/F25</f>
        <v>0.25</v>
      </c>
      <c r="N25" s="475">
        <f>+M25*E25</f>
        <v>0.05</v>
      </c>
      <c r="O25" s="604" t="s">
        <v>1865</v>
      </c>
      <c r="P25" s="455"/>
      <c r="Q25" s="437"/>
      <c r="R25" s="437"/>
      <c r="S25" s="437"/>
      <c r="T25" s="437"/>
      <c r="U25" s="437"/>
    </row>
    <row r="26" spans="1:21" ht="67.150000000000006" customHeight="1" thickBot="1" x14ac:dyDescent="0.35">
      <c r="A26" s="638"/>
      <c r="B26" s="735" t="s">
        <v>1832</v>
      </c>
      <c r="C26" s="718"/>
      <c r="D26" s="559"/>
      <c r="E26" s="646">
        <v>0.2</v>
      </c>
      <c r="F26" s="562"/>
      <c r="G26" s="461"/>
      <c r="H26" s="467">
        <f>+AVERAGE(H27:H29)</f>
        <v>0.20186882933709449</v>
      </c>
      <c r="I26" s="467">
        <f>+I27+I28+I29</f>
        <v>0.17686882933709452</v>
      </c>
      <c r="J26" s="466"/>
      <c r="K26" s="469">
        <f>+AVERAGE(K27:K29)</f>
        <v>0.64617737003058107</v>
      </c>
      <c r="L26" s="469">
        <f>+(L27+L28+L29)*E26</f>
        <v>0.10923547400611622</v>
      </c>
      <c r="M26" s="467">
        <f>+AVERAGE(M27:M29)</f>
        <v>0.14747296661965209</v>
      </c>
      <c r="N26" s="467">
        <f>+(N27+N28+N29)*E26</f>
        <v>2.4494593323930419E-2</v>
      </c>
      <c r="O26" s="461"/>
      <c r="P26" s="455"/>
      <c r="Q26" s="437"/>
      <c r="R26" s="437"/>
      <c r="S26" s="437"/>
      <c r="T26" s="437"/>
      <c r="U26" s="437"/>
    </row>
    <row r="27" spans="1:21" ht="103.15" customHeight="1" thickBot="1" x14ac:dyDescent="0.35">
      <c r="A27" s="638"/>
      <c r="B27" s="648" t="s">
        <v>979</v>
      </c>
      <c r="C27" s="490" t="s">
        <v>1183</v>
      </c>
      <c r="D27" s="649" t="s">
        <v>980</v>
      </c>
      <c r="E27" s="594">
        <v>0.5</v>
      </c>
      <c r="F27" s="576">
        <v>10635</v>
      </c>
      <c r="G27" s="468">
        <v>1635</v>
      </c>
      <c r="H27" s="475">
        <f>+G27/F27</f>
        <v>0.15373765867418901</v>
      </c>
      <c r="I27" s="475">
        <f>+(G27/F27)*E27</f>
        <v>7.6868829337094505E-2</v>
      </c>
      <c r="J27" s="468">
        <v>478</v>
      </c>
      <c r="K27" s="475">
        <f>+(J27/G27)</f>
        <v>0.29235474006116208</v>
      </c>
      <c r="L27" s="475">
        <f>+K27*E27</f>
        <v>0.14617737003058104</v>
      </c>
      <c r="M27" s="475">
        <f>+J27/F27</f>
        <v>4.4945933239304181E-2</v>
      </c>
      <c r="N27" s="475">
        <f>+M27*E27</f>
        <v>2.2472966619652091E-2</v>
      </c>
      <c r="O27" s="650" t="s">
        <v>1878</v>
      </c>
      <c r="P27" s="455"/>
      <c r="Q27" s="437"/>
      <c r="R27" s="437"/>
      <c r="S27" s="437"/>
      <c r="T27" s="437"/>
      <c r="U27" s="437"/>
    </row>
    <row r="28" spans="1:21" ht="67.150000000000006" customHeight="1" thickBot="1" x14ac:dyDescent="0.35">
      <c r="A28" s="638"/>
      <c r="B28" s="648" t="s">
        <v>981</v>
      </c>
      <c r="C28" s="490" t="s">
        <v>1184</v>
      </c>
      <c r="D28" s="649" t="s">
        <v>980</v>
      </c>
      <c r="E28" s="594">
        <v>0.4</v>
      </c>
      <c r="F28" s="576">
        <v>600</v>
      </c>
      <c r="G28" s="468">
        <v>150</v>
      </c>
      <c r="H28" s="475">
        <f>+G28/F28</f>
        <v>0.25</v>
      </c>
      <c r="I28" s="475">
        <f>+(G28/F28)*E28</f>
        <v>0.1</v>
      </c>
      <c r="J28" s="468">
        <v>150</v>
      </c>
      <c r="K28" s="475">
        <f>+(J28/G28)</f>
        <v>1</v>
      </c>
      <c r="L28" s="475">
        <f>+K28*E28</f>
        <v>0.4</v>
      </c>
      <c r="M28" s="475">
        <f>+J28/F28</f>
        <v>0.25</v>
      </c>
      <c r="N28" s="475">
        <f>+M28*E28</f>
        <v>0.1</v>
      </c>
      <c r="O28" s="650" t="s">
        <v>1878</v>
      </c>
      <c r="P28" s="455"/>
      <c r="Q28" s="437"/>
      <c r="R28" s="437"/>
      <c r="S28" s="437"/>
      <c r="T28" s="437"/>
      <c r="U28" s="437"/>
    </row>
    <row r="29" spans="1:21" ht="67.150000000000006" customHeight="1" thickBot="1" x14ac:dyDescent="0.35">
      <c r="A29" s="638"/>
      <c r="B29" s="472" t="s">
        <v>982</v>
      </c>
      <c r="C29" s="472" t="s">
        <v>1185</v>
      </c>
      <c r="D29" s="639" t="s">
        <v>980</v>
      </c>
      <c r="E29" s="578">
        <v>0.1</v>
      </c>
      <c r="F29" s="576">
        <v>1</v>
      </c>
      <c r="G29" s="468">
        <v>0</v>
      </c>
      <c r="H29" s="475"/>
      <c r="I29" s="475"/>
      <c r="J29" s="468"/>
      <c r="K29" s="475"/>
      <c r="L29" s="475"/>
      <c r="M29" s="475"/>
      <c r="N29" s="475"/>
      <c r="O29" s="604" t="s">
        <v>1865</v>
      </c>
      <c r="P29" s="455"/>
      <c r="Q29" s="437"/>
      <c r="R29" s="437"/>
      <c r="S29" s="437"/>
      <c r="T29" s="437"/>
      <c r="U29" s="437"/>
    </row>
    <row r="30" spans="1:21" ht="67.150000000000006" customHeight="1" thickBot="1" x14ac:dyDescent="0.35">
      <c r="A30" s="638"/>
      <c r="B30" s="735" t="s">
        <v>1765</v>
      </c>
      <c r="C30" s="718"/>
      <c r="D30" s="640"/>
      <c r="E30" s="578">
        <v>0.3</v>
      </c>
      <c r="F30" s="562"/>
      <c r="G30" s="461"/>
      <c r="H30" s="467">
        <f>+AVERAGE(H31)</f>
        <v>0.06</v>
      </c>
      <c r="I30" s="467">
        <f>+I31</f>
        <v>0.06</v>
      </c>
      <c r="J30" s="466"/>
      <c r="K30" s="469">
        <f>+AVERAGE(K31)</f>
        <v>1</v>
      </c>
      <c r="L30" s="469">
        <f>+(L31)*E30</f>
        <v>0.3</v>
      </c>
      <c r="M30" s="467">
        <f>+AVERAGE(M31)</f>
        <v>0.15</v>
      </c>
      <c r="N30" s="467">
        <f>+(N31)*E30</f>
        <v>4.4999999999999998E-2</v>
      </c>
      <c r="O30" s="461"/>
      <c r="P30" s="455"/>
      <c r="Q30" s="437"/>
      <c r="R30" s="437"/>
      <c r="S30" s="437"/>
      <c r="T30" s="437"/>
      <c r="U30" s="437"/>
    </row>
    <row r="31" spans="1:21" ht="103.15" customHeight="1" thickBot="1" x14ac:dyDescent="0.35">
      <c r="A31" s="638"/>
      <c r="B31" s="648" t="s">
        <v>983</v>
      </c>
      <c r="C31" s="648" t="s">
        <v>1186</v>
      </c>
      <c r="D31" s="651" t="s">
        <v>974</v>
      </c>
      <c r="E31" s="594">
        <v>1</v>
      </c>
      <c r="F31" s="576">
        <v>5</v>
      </c>
      <c r="G31" s="468">
        <v>0.3</v>
      </c>
      <c r="H31" s="475">
        <f>+G31/F31</f>
        <v>0.06</v>
      </c>
      <c r="I31" s="475">
        <f>+(G31/F31)*E31</f>
        <v>0.06</v>
      </c>
      <c r="J31" s="468">
        <v>0.75</v>
      </c>
      <c r="K31" s="475">
        <v>1</v>
      </c>
      <c r="L31" s="475">
        <f>+K31*E31</f>
        <v>1</v>
      </c>
      <c r="M31" s="475">
        <f>+J31/F31</f>
        <v>0.15</v>
      </c>
      <c r="N31" s="475">
        <f>+M31*E31</f>
        <v>0.15</v>
      </c>
      <c r="O31" s="650" t="s">
        <v>1878</v>
      </c>
      <c r="P31" s="455"/>
      <c r="Q31" s="437"/>
      <c r="R31" s="437"/>
      <c r="S31" s="437"/>
      <c r="T31" s="437"/>
      <c r="U31" s="437"/>
    </row>
    <row r="32" spans="1:21" ht="67.150000000000006" customHeight="1" thickBot="1" x14ac:dyDescent="0.35">
      <c r="A32" s="638"/>
      <c r="B32" s="735" t="s">
        <v>1766</v>
      </c>
      <c r="C32" s="718"/>
      <c r="D32" s="640"/>
      <c r="E32" s="578">
        <v>0.05</v>
      </c>
      <c r="F32" s="562"/>
      <c r="G32" s="461"/>
      <c r="H32" s="467"/>
      <c r="I32" s="467"/>
      <c r="J32" s="466"/>
      <c r="K32" s="469"/>
      <c r="L32" s="469"/>
      <c r="M32" s="467"/>
      <c r="N32" s="467"/>
      <c r="O32" s="461"/>
      <c r="P32" s="455"/>
      <c r="Q32" s="437"/>
      <c r="R32" s="437"/>
      <c r="S32" s="437"/>
      <c r="T32" s="437"/>
      <c r="U32" s="437"/>
    </row>
    <row r="33" spans="1:21" ht="67.150000000000006" customHeight="1" thickBot="1" x14ac:dyDescent="0.35">
      <c r="A33" s="638"/>
      <c r="B33" s="472" t="s">
        <v>984</v>
      </c>
      <c r="C33" s="472" t="s">
        <v>1187</v>
      </c>
      <c r="D33" s="640" t="s">
        <v>520</v>
      </c>
      <c r="E33" s="578">
        <v>0.3</v>
      </c>
      <c r="F33" s="576">
        <v>1</v>
      </c>
      <c r="G33" s="468">
        <v>0</v>
      </c>
      <c r="H33" s="475"/>
      <c r="I33" s="475"/>
      <c r="J33" s="468"/>
      <c r="K33" s="475"/>
      <c r="L33" s="475"/>
      <c r="M33" s="475"/>
      <c r="N33" s="475"/>
      <c r="O33" s="604" t="s">
        <v>1865</v>
      </c>
      <c r="P33" s="455"/>
      <c r="Q33" s="437"/>
      <c r="R33" s="437"/>
      <c r="S33" s="437"/>
      <c r="T33" s="437"/>
      <c r="U33" s="437"/>
    </row>
    <row r="34" spans="1:21" ht="67.150000000000006" customHeight="1" thickBot="1" x14ac:dyDescent="0.35">
      <c r="A34" s="638"/>
      <c r="B34" s="472" t="s">
        <v>985</v>
      </c>
      <c r="C34" s="472" t="s">
        <v>1188</v>
      </c>
      <c r="D34" s="640" t="s">
        <v>520</v>
      </c>
      <c r="E34" s="578">
        <v>0.3</v>
      </c>
      <c r="F34" s="576">
        <v>1</v>
      </c>
      <c r="G34" s="468">
        <v>0</v>
      </c>
      <c r="H34" s="475"/>
      <c r="I34" s="475"/>
      <c r="J34" s="468"/>
      <c r="K34" s="475"/>
      <c r="L34" s="475"/>
      <c r="M34" s="475"/>
      <c r="N34" s="475"/>
      <c r="O34" s="604" t="s">
        <v>1865</v>
      </c>
      <c r="P34" s="455"/>
      <c r="Q34" s="437"/>
      <c r="R34" s="437"/>
      <c r="S34" s="437"/>
      <c r="T34" s="437"/>
      <c r="U34" s="437"/>
    </row>
    <row r="35" spans="1:21" ht="67.150000000000006" customHeight="1" thickBot="1" x14ac:dyDescent="0.35">
      <c r="A35" s="638"/>
      <c r="B35" s="472" t="s">
        <v>986</v>
      </c>
      <c r="C35" s="472" t="s">
        <v>1189</v>
      </c>
      <c r="D35" s="640" t="s">
        <v>520</v>
      </c>
      <c r="E35" s="578">
        <v>0.4</v>
      </c>
      <c r="F35" s="576">
        <v>1</v>
      </c>
      <c r="G35" s="468">
        <v>0</v>
      </c>
      <c r="H35" s="475"/>
      <c r="I35" s="475"/>
      <c r="J35" s="468"/>
      <c r="K35" s="475"/>
      <c r="L35" s="475"/>
      <c r="M35" s="475"/>
      <c r="N35" s="475"/>
      <c r="O35" s="604" t="s">
        <v>1865</v>
      </c>
      <c r="P35" s="455"/>
      <c r="Q35" s="437"/>
      <c r="R35" s="437"/>
      <c r="S35" s="437"/>
      <c r="T35" s="437"/>
      <c r="U35" s="437"/>
    </row>
    <row r="36" spans="1:21" ht="67.150000000000006" customHeight="1" thickBot="1" x14ac:dyDescent="0.35">
      <c r="A36" s="638"/>
      <c r="B36" s="735" t="s">
        <v>1767</v>
      </c>
      <c r="C36" s="718"/>
      <c r="D36" s="640"/>
      <c r="E36" s="578">
        <v>0.05</v>
      </c>
      <c r="F36" s="576"/>
      <c r="G36" s="461"/>
      <c r="H36" s="467">
        <f>+AVERAGE(H37:H39)</f>
        <v>0.22500000000000001</v>
      </c>
      <c r="I36" s="467">
        <f>+I37+I38+I39</f>
        <v>0.16250000000000001</v>
      </c>
      <c r="J36" s="466"/>
      <c r="K36" s="469">
        <f>+AVERAGE(K37:K39)</f>
        <v>0.75</v>
      </c>
      <c r="L36" s="469">
        <f>+(L37+L38+L39)*E36</f>
        <v>2.5000000000000001E-2</v>
      </c>
      <c r="M36" s="467">
        <f>+AVERAGE(M37:M39)</f>
        <v>0.17499999999999999</v>
      </c>
      <c r="N36" s="467">
        <f>+(N37+N38+N39)*E36</f>
        <v>5.6250000000000007E-3</v>
      </c>
      <c r="O36" s="461"/>
      <c r="P36" s="455"/>
      <c r="Q36" s="437"/>
      <c r="R36" s="437"/>
      <c r="S36" s="437"/>
      <c r="T36" s="437"/>
      <c r="U36" s="437"/>
    </row>
    <row r="37" spans="1:21" ht="67.150000000000006" customHeight="1" thickBot="1" x14ac:dyDescent="0.35">
      <c r="A37" s="638"/>
      <c r="B37" s="472" t="s">
        <v>987</v>
      </c>
      <c r="C37" s="472" t="s">
        <v>1190</v>
      </c>
      <c r="D37" s="640" t="s">
        <v>520</v>
      </c>
      <c r="E37" s="578">
        <v>0.5</v>
      </c>
      <c r="F37" s="576">
        <v>5</v>
      </c>
      <c r="G37" s="468">
        <v>1</v>
      </c>
      <c r="H37" s="475">
        <f>+G37/F37</f>
        <v>0.2</v>
      </c>
      <c r="I37" s="475">
        <f>+(G37/F37)*E37</f>
        <v>0.1</v>
      </c>
      <c r="J37" s="468">
        <v>0.5</v>
      </c>
      <c r="K37" s="475">
        <f>+(J37/G37)</f>
        <v>0.5</v>
      </c>
      <c r="L37" s="475">
        <f>+K37*E37</f>
        <v>0.25</v>
      </c>
      <c r="M37" s="475">
        <f>+J37/F37</f>
        <v>0.1</v>
      </c>
      <c r="N37" s="475">
        <f>+M37*E37</f>
        <v>0.05</v>
      </c>
      <c r="O37" s="604" t="s">
        <v>1865</v>
      </c>
      <c r="P37" s="455"/>
      <c r="Q37" s="437"/>
      <c r="R37" s="437"/>
      <c r="S37" s="437"/>
      <c r="T37" s="437"/>
      <c r="U37" s="437"/>
    </row>
    <row r="38" spans="1:21" ht="67.150000000000006" customHeight="1" thickBot="1" x14ac:dyDescent="0.35">
      <c r="A38" s="638"/>
      <c r="B38" s="472" t="s">
        <v>988</v>
      </c>
      <c r="C38" s="472" t="s">
        <v>1191</v>
      </c>
      <c r="D38" s="640" t="s">
        <v>520</v>
      </c>
      <c r="E38" s="578">
        <v>0.25</v>
      </c>
      <c r="F38" s="576">
        <v>2</v>
      </c>
      <c r="G38" s="468">
        <v>0.5</v>
      </c>
      <c r="H38" s="475">
        <f>+G38/F38</f>
        <v>0.25</v>
      </c>
      <c r="I38" s="475">
        <f>+(G38/F38)*E38</f>
        <v>6.25E-2</v>
      </c>
      <c r="J38" s="468">
        <v>0.5</v>
      </c>
      <c r="K38" s="475">
        <f>+(J38/G38)</f>
        <v>1</v>
      </c>
      <c r="L38" s="475">
        <f>+K38*E38</f>
        <v>0.25</v>
      </c>
      <c r="M38" s="475">
        <f>+J38/F38</f>
        <v>0.25</v>
      </c>
      <c r="N38" s="475">
        <f>+M38*E38</f>
        <v>6.25E-2</v>
      </c>
      <c r="O38" s="604" t="s">
        <v>1865</v>
      </c>
      <c r="P38" s="455"/>
      <c r="Q38" s="437"/>
      <c r="R38" s="437"/>
      <c r="S38" s="437"/>
      <c r="T38" s="437"/>
      <c r="U38" s="437"/>
    </row>
    <row r="39" spans="1:21" ht="93.6" customHeight="1" thickBot="1" x14ac:dyDescent="0.35">
      <c r="A39" s="638"/>
      <c r="B39" s="472" t="s">
        <v>989</v>
      </c>
      <c r="C39" s="472" t="s">
        <v>1192</v>
      </c>
      <c r="D39" s="640" t="s">
        <v>520</v>
      </c>
      <c r="E39" s="578">
        <v>0.25</v>
      </c>
      <c r="F39" s="576">
        <v>1</v>
      </c>
      <c r="G39" s="468">
        <v>0</v>
      </c>
      <c r="H39" s="475"/>
      <c r="I39" s="475"/>
      <c r="J39" s="468"/>
      <c r="K39" s="475"/>
      <c r="L39" s="475"/>
      <c r="M39" s="475"/>
      <c r="N39" s="475"/>
      <c r="O39" s="604" t="s">
        <v>1865</v>
      </c>
      <c r="P39" s="455"/>
      <c r="Q39" s="437"/>
      <c r="R39" s="437"/>
      <c r="S39" s="437"/>
      <c r="T39" s="437"/>
      <c r="U39" s="437"/>
    </row>
    <row r="40" spans="1:21" ht="67.150000000000006" customHeight="1" thickBot="1" x14ac:dyDescent="0.35">
      <c r="A40" s="638"/>
      <c r="B40" s="735" t="s">
        <v>1768</v>
      </c>
      <c r="C40" s="718"/>
      <c r="D40" s="640"/>
      <c r="E40" s="582">
        <v>0.05</v>
      </c>
      <c r="F40" s="562"/>
      <c r="G40" s="461"/>
      <c r="H40" s="467"/>
      <c r="I40" s="467"/>
      <c r="J40" s="466"/>
      <c r="K40" s="469"/>
      <c r="L40" s="469"/>
      <c r="M40" s="467"/>
      <c r="N40" s="467"/>
      <c r="O40" s="461"/>
      <c r="P40" s="455"/>
      <c r="Q40" s="437"/>
      <c r="R40" s="437"/>
      <c r="S40" s="437"/>
      <c r="T40" s="437"/>
      <c r="U40" s="437"/>
    </row>
    <row r="41" spans="1:21" ht="103.15" customHeight="1" thickBot="1" x14ac:dyDescent="0.35">
      <c r="A41" s="638"/>
      <c r="B41" s="472" t="s">
        <v>990</v>
      </c>
      <c r="C41" s="472" t="s">
        <v>1193</v>
      </c>
      <c r="D41" s="640" t="s">
        <v>1557</v>
      </c>
      <c r="E41" s="578">
        <v>0.5</v>
      </c>
      <c r="F41" s="576">
        <v>1</v>
      </c>
      <c r="G41" s="468">
        <v>0</v>
      </c>
      <c r="H41" s="475"/>
      <c r="I41" s="475"/>
      <c r="J41" s="468"/>
      <c r="K41" s="475"/>
      <c r="L41" s="475"/>
      <c r="M41" s="475"/>
      <c r="N41" s="475"/>
      <c r="O41" s="604" t="s">
        <v>1865</v>
      </c>
      <c r="P41" s="455"/>
      <c r="Q41" s="437"/>
      <c r="R41" s="437"/>
      <c r="S41" s="437"/>
      <c r="T41" s="437"/>
      <c r="U41" s="437"/>
    </row>
    <row r="42" spans="1:21" ht="85.15" customHeight="1" thickBot="1" x14ac:dyDescent="0.35">
      <c r="A42" s="638"/>
      <c r="B42" s="472" t="s">
        <v>991</v>
      </c>
      <c r="C42" s="472" t="s">
        <v>1194</v>
      </c>
      <c r="D42" s="640" t="s">
        <v>1557</v>
      </c>
      <c r="E42" s="578">
        <v>0.5</v>
      </c>
      <c r="F42" s="576">
        <v>1</v>
      </c>
      <c r="G42" s="468">
        <v>0</v>
      </c>
      <c r="H42" s="475"/>
      <c r="I42" s="475"/>
      <c r="J42" s="468"/>
      <c r="K42" s="475"/>
      <c r="L42" s="475"/>
      <c r="M42" s="475"/>
      <c r="N42" s="475"/>
      <c r="O42" s="604" t="s">
        <v>1865</v>
      </c>
      <c r="P42" s="455"/>
      <c r="Q42" s="437"/>
      <c r="R42" s="437"/>
      <c r="S42" s="437"/>
      <c r="T42" s="437"/>
      <c r="U42" s="437"/>
    </row>
    <row r="43" spans="1:21" ht="67.150000000000006" customHeight="1" thickBot="1" x14ac:dyDescent="0.35">
      <c r="A43" s="638"/>
      <c r="B43" s="735" t="s">
        <v>1769</v>
      </c>
      <c r="C43" s="718"/>
      <c r="D43" s="640"/>
      <c r="E43" s="582">
        <v>0.15</v>
      </c>
      <c r="F43" s="562"/>
      <c r="G43" s="461"/>
      <c r="H43" s="467">
        <f>+AVERAGE(H44:H47)</f>
        <v>0.16773431223397892</v>
      </c>
      <c r="I43" s="467">
        <f>+I44+I45+I46+I47</f>
        <v>8.4187449787183122E-2</v>
      </c>
      <c r="J43" s="466"/>
      <c r="K43" s="499">
        <f>+AVERAGE(K44:K47)</f>
        <v>1</v>
      </c>
      <c r="L43" s="499">
        <f>+(L44+L45+L46+L47)*E43</f>
        <v>9.0000000000000011E-2</v>
      </c>
      <c r="M43" s="467">
        <f>+AVERAGE(M44:M47)</f>
        <v>0.17321025512854482</v>
      </c>
      <c r="N43" s="467">
        <f>+(N44+N45+N46+N47)*E43</f>
        <v>1.3285230615425379E-2</v>
      </c>
      <c r="O43" s="461"/>
      <c r="P43" s="455"/>
      <c r="Q43" s="437"/>
      <c r="R43" s="437"/>
      <c r="S43" s="437"/>
      <c r="T43" s="437"/>
      <c r="U43" s="437"/>
    </row>
    <row r="44" spans="1:21" ht="67.150000000000006" customHeight="1" thickBot="1" x14ac:dyDescent="0.35">
      <c r="A44" s="638"/>
      <c r="B44" s="472" t="s">
        <v>992</v>
      </c>
      <c r="C44" s="472" t="s">
        <v>1195</v>
      </c>
      <c r="D44" s="640" t="s">
        <v>52</v>
      </c>
      <c r="E44" s="578">
        <v>0.3</v>
      </c>
      <c r="F44" s="576">
        <v>3</v>
      </c>
      <c r="G44" s="468">
        <v>0</v>
      </c>
      <c r="H44" s="475"/>
      <c r="I44" s="475"/>
      <c r="J44" s="468"/>
      <c r="K44" s="475"/>
      <c r="L44" s="475"/>
      <c r="M44" s="475"/>
      <c r="N44" s="475"/>
      <c r="O44" s="604" t="s">
        <v>1865</v>
      </c>
      <c r="P44" s="455"/>
      <c r="Q44" s="437"/>
      <c r="R44" s="437"/>
      <c r="S44" s="437"/>
      <c r="T44" s="437"/>
      <c r="U44" s="437"/>
    </row>
    <row r="45" spans="1:21" ht="67.150000000000006" customHeight="1" thickBot="1" x14ac:dyDescent="0.35">
      <c r="A45" s="638"/>
      <c r="B45" s="472" t="s">
        <v>993</v>
      </c>
      <c r="C45" s="472" t="s">
        <v>1196</v>
      </c>
      <c r="D45" s="640" t="s">
        <v>52</v>
      </c>
      <c r="E45" s="578">
        <v>0.2</v>
      </c>
      <c r="F45" s="576">
        <v>1</v>
      </c>
      <c r="G45" s="468">
        <v>0.25</v>
      </c>
      <c r="H45" s="475">
        <f>+G45/F45</f>
        <v>0.25</v>
      </c>
      <c r="I45" s="475">
        <f>+(G45/F45)*E45</f>
        <v>0.05</v>
      </c>
      <c r="J45" s="468">
        <v>0.25</v>
      </c>
      <c r="K45" s="475">
        <f>+(J45/G45)</f>
        <v>1</v>
      </c>
      <c r="L45" s="475">
        <f>+K45*E45</f>
        <v>0.2</v>
      </c>
      <c r="M45" s="475">
        <f>+J45/F45</f>
        <v>0.25</v>
      </c>
      <c r="N45" s="475">
        <f>+M45*E45</f>
        <v>0.05</v>
      </c>
      <c r="O45" s="604" t="s">
        <v>1865</v>
      </c>
      <c r="P45" s="455"/>
      <c r="Q45" s="437"/>
      <c r="R45" s="437"/>
      <c r="S45" s="437"/>
      <c r="T45" s="437"/>
      <c r="U45" s="437"/>
    </row>
    <row r="46" spans="1:21" ht="67.150000000000006" customHeight="1" thickBot="1" x14ac:dyDescent="0.35">
      <c r="A46" s="638"/>
      <c r="B46" s="472" t="s">
        <v>994</v>
      </c>
      <c r="C46" s="472" t="s">
        <v>1197</v>
      </c>
      <c r="D46" s="640" t="s">
        <v>52</v>
      </c>
      <c r="E46" s="578">
        <v>0.4</v>
      </c>
      <c r="F46" s="652">
        <v>117002000000</v>
      </c>
      <c r="G46" s="609">
        <v>10000000000</v>
      </c>
      <c r="H46" s="475">
        <f>+G46/F46</f>
        <v>8.5468624467957818E-2</v>
      </c>
      <c r="I46" s="475">
        <f>+(G46/F46)*E46</f>
        <v>3.4187449787183126E-2</v>
      </c>
      <c r="J46" s="609">
        <v>11281392541.1</v>
      </c>
      <c r="K46" s="501">
        <v>1</v>
      </c>
      <c r="L46" s="475">
        <f>+K46*E46</f>
        <v>0.4</v>
      </c>
      <c r="M46" s="501">
        <f>+J46/F46</f>
        <v>9.6420510257089628E-2</v>
      </c>
      <c r="N46" s="475">
        <f>+M46*E46</f>
        <v>3.8568204102835853E-2</v>
      </c>
      <c r="O46" s="604" t="s">
        <v>1865</v>
      </c>
      <c r="P46" s="455"/>
      <c r="Q46" s="437"/>
      <c r="R46" s="437"/>
      <c r="S46" s="437"/>
      <c r="T46" s="437"/>
      <c r="U46" s="437"/>
    </row>
    <row r="47" spans="1:21" ht="67.150000000000006" customHeight="1" thickBot="1" x14ac:dyDescent="0.35">
      <c r="A47" s="638"/>
      <c r="B47" s="472" t="s">
        <v>995</v>
      </c>
      <c r="C47" s="472" t="s">
        <v>1198</v>
      </c>
      <c r="D47" s="640" t="s">
        <v>52</v>
      </c>
      <c r="E47" s="578">
        <v>0.1</v>
      </c>
      <c r="F47" s="576">
        <v>30</v>
      </c>
      <c r="G47" s="468">
        <v>0</v>
      </c>
      <c r="H47" s="475"/>
      <c r="I47" s="475"/>
      <c r="J47" s="468"/>
      <c r="K47" s="475"/>
      <c r="L47" s="475"/>
      <c r="M47" s="475"/>
      <c r="N47" s="475"/>
      <c r="O47" s="604" t="s">
        <v>1865</v>
      </c>
      <c r="P47" s="455"/>
      <c r="Q47" s="437"/>
      <c r="R47" s="437"/>
      <c r="S47" s="437"/>
      <c r="T47" s="437"/>
      <c r="U47" s="437"/>
    </row>
    <row r="48" spans="1:21" ht="67.150000000000006" customHeight="1" thickBot="1" x14ac:dyDescent="0.35">
      <c r="A48" s="638"/>
      <c r="B48" s="730" t="s">
        <v>1833</v>
      </c>
      <c r="C48" s="718"/>
      <c r="D48" s="640"/>
      <c r="E48" s="584">
        <v>0.2</v>
      </c>
      <c r="F48" s="641">
        <f>+E48*L48</f>
        <v>0.18625993100110649</v>
      </c>
      <c r="G48" s="461"/>
      <c r="H48" s="459">
        <f>+(H49+H55)</f>
        <v>0.22689134534516447</v>
      </c>
      <c r="I48" s="460">
        <f>+(I49+I55)</f>
        <v>0.22571301967260979</v>
      </c>
      <c r="J48" s="461"/>
      <c r="K48" s="459">
        <f>+(K49+K55)</f>
        <v>0.99015771316080659</v>
      </c>
      <c r="L48" s="460">
        <f>+L49+L55</f>
        <v>0.93129965500553247</v>
      </c>
      <c r="M48" s="459">
        <f>(M49+M55)</f>
        <v>0.25580038172039926</v>
      </c>
      <c r="N48" s="642">
        <f>(N49+N55)</f>
        <v>0.22738216072471779</v>
      </c>
      <c r="O48" s="461"/>
      <c r="P48" s="455"/>
      <c r="Q48" s="437"/>
      <c r="R48" s="437"/>
      <c r="S48" s="437"/>
      <c r="T48" s="437"/>
      <c r="U48" s="437"/>
    </row>
    <row r="49" spans="1:21" ht="67.150000000000006" customHeight="1" thickBot="1" x14ac:dyDescent="0.35">
      <c r="A49" s="638"/>
      <c r="B49" s="735" t="s">
        <v>1770</v>
      </c>
      <c r="C49" s="718"/>
      <c r="D49" s="640"/>
      <c r="E49" s="582">
        <v>0.95</v>
      </c>
      <c r="F49" s="562"/>
      <c r="G49" s="461"/>
      <c r="H49" s="467">
        <f>+AVERAGE(H50:H54)</f>
        <v>0.22689134534516447</v>
      </c>
      <c r="I49" s="467">
        <f>+I50+I51+I52+I53+I54</f>
        <v>0.22571301967260979</v>
      </c>
      <c r="J49" s="466"/>
      <c r="K49" s="469">
        <f>+AVERAGE(K50:K54)</f>
        <v>0.99015771316080659</v>
      </c>
      <c r="L49" s="469">
        <f>+(L50+L51+L52+L53+L54)*E49</f>
        <v>0.93129965500553247</v>
      </c>
      <c r="M49" s="467">
        <f>+AVERAGE(M50:M54)</f>
        <v>0.25580038172039926</v>
      </c>
      <c r="N49" s="467">
        <f>+(N50+N51+N52+N53+N54)*E49</f>
        <v>0.22738216072471779</v>
      </c>
      <c r="O49" s="461"/>
      <c r="P49" s="455"/>
      <c r="Q49" s="437"/>
      <c r="R49" s="437"/>
      <c r="S49" s="437"/>
      <c r="T49" s="437"/>
      <c r="U49" s="437"/>
    </row>
    <row r="50" spans="1:21" ht="67.150000000000006" customHeight="1" thickBot="1" x14ac:dyDescent="0.35">
      <c r="A50" s="638"/>
      <c r="B50" s="472" t="s">
        <v>996</v>
      </c>
      <c r="C50" s="472" t="s">
        <v>1199</v>
      </c>
      <c r="D50" s="640" t="s">
        <v>687</v>
      </c>
      <c r="E50" s="578">
        <v>0.35</v>
      </c>
      <c r="F50" s="652">
        <v>1727905000000</v>
      </c>
      <c r="G50" s="609">
        <v>393165798563</v>
      </c>
      <c r="H50" s="475">
        <f>+G50/F50</f>
        <v>0.22753901317665035</v>
      </c>
      <c r="I50" s="475">
        <f>+(G50/F50)*E50</f>
        <v>7.963865461182762E-2</v>
      </c>
      <c r="J50" s="609">
        <v>423913849857</v>
      </c>
      <c r="K50" s="475">
        <v>1</v>
      </c>
      <c r="L50" s="475">
        <f>+K50*E50</f>
        <v>0.35</v>
      </c>
      <c r="M50" s="475">
        <f>+J50/F50</f>
        <v>0.24533400265465982</v>
      </c>
      <c r="N50" s="475">
        <f>+M50*E50</f>
        <v>8.5866900929130935E-2</v>
      </c>
      <c r="O50" s="604" t="s">
        <v>1865</v>
      </c>
      <c r="P50" s="455"/>
      <c r="Q50" s="437"/>
      <c r="R50" s="437"/>
      <c r="S50" s="437"/>
      <c r="T50" s="437"/>
      <c r="U50" s="437"/>
    </row>
    <row r="51" spans="1:21" ht="67.150000000000006" customHeight="1" thickBot="1" x14ac:dyDescent="0.35">
      <c r="A51" s="638"/>
      <c r="B51" s="472" t="s">
        <v>997</v>
      </c>
      <c r="C51" s="472" t="s">
        <v>1200</v>
      </c>
      <c r="D51" s="640" t="s">
        <v>687</v>
      </c>
      <c r="E51" s="578">
        <v>0.4</v>
      </c>
      <c r="F51" s="652">
        <v>2912805184493</v>
      </c>
      <c r="G51" s="609">
        <v>662915926390</v>
      </c>
      <c r="H51" s="475">
        <f>+G51/F51</f>
        <v>0.22758677096538693</v>
      </c>
      <c r="I51" s="475">
        <f>+(G51/F51)*E51</f>
        <v>9.1034708386154781E-2</v>
      </c>
      <c r="J51" s="609">
        <v>630292882901</v>
      </c>
      <c r="K51" s="475">
        <f>+(J51/G51)</f>
        <v>0.95078856580403304</v>
      </c>
      <c r="L51" s="475">
        <f>+K51*E51</f>
        <v>0.38031542632161325</v>
      </c>
      <c r="M51" s="475">
        <f>+J51/F51</f>
        <v>0.21638689956215118</v>
      </c>
      <c r="N51" s="475">
        <f>+M51*E51</f>
        <v>8.655475982486048E-2</v>
      </c>
      <c r="O51" s="604" t="s">
        <v>1865</v>
      </c>
      <c r="P51" s="455"/>
      <c r="Q51" s="437"/>
      <c r="R51" s="437"/>
      <c r="S51" s="437"/>
      <c r="T51" s="437"/>
      <c r="U51" s="437"/>
    </row>
    <row r="52" spans="1:21" ht="67.150000000000006" customHeight="1" thickBot="1" x14ac:dyDescent="0.35">
      <c r="A52" s="638"/>
      <c r="B52" s="472" t="s">
        <v>998</v>
      </c>
      <c r="C52" s="472" t="s">
        <v>1201</v>
      </c>
      <c r="D52" s="640" t="s">
        <v>687</v>
      </c>
      <c r="E52" s="578">
        <v>0.08</v>
      </c>
      <c r="F52" s="652">
        <v>34797802428</v>
      </c>
      <c r="G52" s="609">
        <v>7138513013</v>
      </c>
      <c r="H52" s="475">
        <f>+G52/F52</f>
        <v>0.2051426387562913</v>
      </c>
      <c r="I52" s="475">
        <f>+(G52/F52)*E52</f>
        <v>1.6411411100503304E-2</v>
      </c>
      <c r="J52" s="609">
        <v>11515173869</v>
      </c>
      <c r="K52" s="475">
        <v>1</v>
      </c>
      <c r="L52" s="475">
        <f>+K52*E52</f>
        <v>0.08</v>
      </c>
      <c r="M52" s="475">
        <f>+J52/F52</f>
        <v>0.33091669776636046</v>
      </c>
      <c r="N52" s="475">
        <f>+M52*E52</f>
        <v>2.6473335821308838E-2</v>
      </c>
      <c r="O52" s="604" t="s">
        <v>1865</v>
      </c>
      <c r="P52" s="455"/>
      <c r="Q52" s="437"/>
      <c r="R52" s="437"/>
      <c r="S52" s="437"/>
      <c r="T52" s="437"/>
      <c r="U52" s="437"/>
    </row>
    <row r="53" spans="1:21" ht="67.150000000000006" customHeight="1" thickBot="1" x14ac:dyDescent="0.35">
      <c r="A53" s="638"/>
      <c r="B53" s="472" t="s">
        <v>999</v>
      </c>
      <c r="C53" s="472" t="s">
        <v>1202</v>
      </c>
      <c r="D53" s="640" t="s">
        <v>687</v>
      </c>
      <c r="E53" s="578">
        <v>0.15</v>
      </c>
      <c r="F53" s="652">
        <v>238874034451</v>
      </c>
      <c r="G53" s="609">
        <v>53552764612</v>
      </c>
      <c r="H53" s="475">
        <f>+G53/F53</f>
        <v>0.22418830382749377</v>
      </c>
      <c r="I53" s="475">
        <f>+(G53/F53)*E53</f>
        <v>3.3628245574124062E-2</v>
      </c>
      <c r="J53" s="609">
        <v>56461296000</v>
      </c>
      <c r="K53" s="475">
        <v>1</v>
      </c>
      <c r="L53" s="475">
        <f>+K53*E53</f>
        <v>0.15</v>
      </c>
      <c r="M53" s="475">
        <f>+J53/F53</f>
        <v>0.23636430861882501</v>
      </c>
      <c r="N53" s="475">
        <f>+M53*E53</f>
        <v>3.5454646292823751E-2</v>
      </c>
      <c r="O53" s="604" t="s">
        <v>1865</v>
      </c>
      <c r="P53" s="455"/>
      <c r="Q53" s="437"/>
      <c r="R53" s="437"/>
      <c r="S53" s="437"/>
      <c r="T53" s="437"/>
      <c r="U53" s="437"/>
    </row>
    <row r="54" spans="1:21" ht="67.150000000000006" customHeight="1" thickBot="1" x14ac:dyDescent="0.35">
      <c r="A54" s="638"/>
      <c r="B54" s="472" t="s">
        <v>1000</v>
      </c>
      <c r="C54" s="472" t="s">
        <v>1563</v>
      </c>
      <c r="D54" s="640" t="s">
        <v>687</v>
      </c>
      <c r="E54" s="578">
        <v>0.02</v>
      </c>
      <c r="F54" s="576">
        <v>16</v>
      </c>
      <c r="G54" s="609">
        <v>4</v>
      </c>
      <c r="H54" s="475">
        <f>+G54/F54</f>
        <v>0.25</v>
      </c>
      <c r="I54" s="475">
        <f>+(G54/F54)*E54</f>
        <v>5.0000000000000001E-3</v>
      </c>
      <c r="J54" s="609">
        <v>4</v>
      </c>
      <c r="K54" s="475">
        <f>+(J54/G54)</f>
        <v>1</v>
      </c>
      <c r="L54" s="475">
        <f>+K54*E54</f>
        <v>0.02</v>
      </c>
      <c r="M54" s="475">
        <f>+J54/F54</f>
        <v>0.25</v>
      </c>
      <c r="N54" s="475">
        <f>+M54*E54</f>
        <v>5.0000000000000001E-3</v>
      </c>
      <c r="O54" s="461"/>
      <c r="P54" s="455"/>
      <c r="Q54" s="437"/>
      <c r="R54" s="437"/>
      <c r="S54" s="437"/>
      <c r="T54" s="437"/>
      <c r="U54" s="437"/>
    </row>
    <row r="55" spans="1:21" ht="67.150000000000006" customHeight="1" thickBot="1" x14ac:dyDescent="0.35">
      <c r="A55" s="638"/>
      <c r="B55" s="735" t="s">
        <v>1771</v>
      </c>
      <c r="C55" s="718"/>
      <c r="D55" s="640"/>
      <c r="E55" s="582">
        <v>0.05</v>
      </c>
      <c r="F55" s="562"/>
      <c r="G55" s="461"/>
      <c r="H55" s="467"/>
      <c r="I55" s="467"/>
      <c r="J55" s="466"/>
      <c r="K55" s="469"/>
      <c r="L55" s="469"/>
      <c r="M55" s="467"/>
      <c r="N55" s="467"/>
      <c r="O55" s="461"/>
      <c r="P55" s="455"/>
      <c r="Q55" s="437"/>
      <c r="R55" s="437"/>
      <c r="S55" s="437"/>
      <c r="T55" s="437"/>
      <c r="U55" s="437"/>
    </row>
    <row r="56" spans="1:21" ht="67.150000000000006" customHeight="1" thickBot="1" x14ac:dyDescent="0.35">
      <c r="A56" s="638"/>
      <c r="B56" s="481" t="s">
        <v>1001</v>
      </c>
      <c r="C56" s="481" t="s">
        <v>1203</v>
      </c>
      <c r="D56" s="653" t="s">
        <v>687</v>
      </c>
      <c r="E56" s="591">
        <v>1</v>
      </c>
      <c r="F56" s="576">
        <v>1</v>
      </c>
      <c r="G56" s="468"/>
      <c r="H56" s="475"/>
      <c r="I56" s="475"/>
      <c r="J56" s="468"/>
      <c r="K56" s="475"/>
      <c r="L56" s="475"/>
      <c r="M56" s="475"/>
      <c r="N56" s="475"/>
      <c r="O56" s="654" t="s">
        <v>1592</v>
      </c>
      <c r="P56" s="455"/>
      <c r="Q56" s="437"/>
      <c r="R56" s="437"/>
      <c r="S56" s="437"/>
      <c r="T56" s="437"/>
      <c r="U56" s="437"/>
    </row>
    <row r="57" spans="1:21" ht="67.150000000000006" customHeight="1" thickBot="1" x14ac:dyDescent="0.35">
      <c r="A57" s="638"/>
      <c r="B57" s="730" t="s">
        <v>1834</v>
      </c>
      <c r="C57" s="718"/>
      <c r="D57" s="640"/>
      <c r="E57" s="584">
        <v>0.1</v>
      </c>
      <c r="F57" s="641">
        <f>E57*L57</f>
        <v>8.6250000000000007E-2</v>
      </c>
      <c r="G57" s="461"/>
      <c r="H57" s="459">
        <f>+(H58+H61+H66+H68+H74)/5</f>
        <v>0.22780333900383748</v>
      </c>
      <c r="I57" s="460">
        <f>+(I58+I61+I66+I68+I74)/5</f>
        <v>0.22258316849309651</v>
      </c>
      <c r="J57" s="461"/>
      <c r="K57" s="459">
        <f>+(K58+K61+K66+K68+K74)/5</f>
        <v>0.93333333333333324</v>
      </c>
      <c r="L57" s="460">
        <f>L58+L61+L66+L68+L74</f>
        <v>0.86250000000000004</v>
      </c>
      <c r="M57" s="459">
        <f>(M58+M61+M66+M68+M74)/5</f>
        <v>0.25439168183196847</v>
      </c>
      <c r="N57" s="642">
        <f>(N58+N61+N66+N68+N74)</f>
        <v>0.28719335759781622</v>
      </c>
      <c r="O57" s="461"/>
      <c r="P57" s="455"/>
      <c r="Q57" s="437"/>
      <c r="R57" s="437"/>
      <c r="S57" s="437"/>
      <c r="T57" s="437"/>
      <c r="U57" s="437"/>
    </row>
    <row r="58" spans="1:21" ht="67.150000000000006" customHeight="1" thickBot="1" x14ac:dyDescent="0.35">
      <c r="A58" s="638"/>
      <c r="B58" s="735" t="s">
        <v>1772</v>
      </c>
      <c r="C58" s="718"/>
      <c r="D58" s="640"/>
      <c r="E58" s="582">
        <v>0.2</v>
      </c>
      <c r="F58" s="562"/>
      <c r="G58" s="461"/>
      <c r="H58" s="467">
        <f>+AVERAGE(H59:H60)</f>
        <v>0.24988626023657873</v>
      </c>
      <c r="I58" s="467">
        <f>+I59+I60</f>
        <v>0.24981801637852596</v>
      </c>
      <c r="J58" s="466"/>
      <c r="K58" s="469">
        <f>+AVERAGE(K59:K60)</f>
        <v>1</v>
      </c>
      <c r="L58" s="469">
        <f>+(L59+L60)*E58</f>
        <v>0.2</v>
      </c>
      <c r="M58" s="467">
        <f>+AVERAGE(M59:M60)</f>
        <v>0.38341674249317559</v>
      </c>
      <c r="N58" s="467">
        <f>+(N59+N60)*E58</f>
        <v>9.2693357597816203E-2</v>
      </c>
      <c r="O58" s="461"/>
      <c r="P58" s="455"/>
      <c r="Q58" s="437"/>
      <c r="R58" s="437"/>
      <c r="S58" s="437"/>
      <c r="T58" s="437"/>
      <c r="U58" s="437"/>
    </row>
    <row r="59" spans="1:21" ht="89.45" customHeight="1" thickBot="1" x14ac:dyDescent="0.35">
      <c r="A59" s="638"/>
      <c r="B59" s="472" t="s">
        <v>1002</v>
      </c>
      <c r="C59" s="472" t="s">
        <v>1204</v>
      </c>
      <c r="D59" s="640" t="s">
        <v>1003</v>
      </c>
      <c r="E59" s="578">
        <v>0.8</v>
      </c>
      <c r="F59" s="576">
        <v>2198</v>
      </c>
      <c r="G59" s="468">
        <v>549</v>
      </c>
      <c r="H59" s="475">
        <f>+G59/F59</f>
        <v>0.24977252047315743</v>
      </c>
      <c r="I59" s="475">
        <f>+(G59/F59)*E59</f>
        <v>0.19981801637852595</v>
      </c>
      <c r="J59" s="468">
        <v>1136</v>
      </c>
      <c r="K59" s="475">
        <v>1</v>
      </c>
      <c r="L59" s="475">
        <f>+K59*E59</f>
        <v>0.8</v>
      </c>
      <c r="M59" s="475">
        <f>+J59/F59</f>
        <v>0.51683348498635118</v>
      </c>
      <c r="N59" s="475">
        <f>+M59*E59</f>
        <v>0.41346678798908099</v>
      </c>
      <c r="O59" s="604" t="s">
        <v>1865</v>
      </c>
      <c r="P59" s="455"/>
      <c r="Q59" s="437"/>
      <c r="R59" s="437"/>
      <c r="S59" s="437"/>
      <c r="T59" s="437"/>
      <c r="U59" s="437"/>
    </row>
    <row r="60" spans="1:21" ht="118.9" customHeight="1" thickBot="1" x14ac:dyDescent="0.35">
      <c r="A60" s="638"/>
      <c r="B60" s="472" t="s">
        <v>1004</v>
      </c>
      <c r="C60" s="472" t="s">
        <v>1205</v>
      </c>
      <c r="D60" s="640" t="s">
        <v>1003</v>
      </c>
      <c r="E60" s="578">
        <v>0.2</v>
      </c>
      <c r="F60" s="576">
        <v>4</v>
      </c>
      <c r="G60" s="468">
        <v>1</v>
      </c>
      <c r="H60" s="475">
        <f>+G60/F60</f>
        <v>0.25</v>
      </c>
      <c r="I60" s="475">
        <f>+(G60/F60)*E60</f>
        <v>0.05</v>
      </c>
      <c r="J60" s="468">
        <v>1</v>
      </c>
      <c r="K60" s="475">
        <f>+(J60/G60)</f>
        <v>1</v>
      </c>
      <c r="L60" s="475">
        <f>+K60*E60</f>
        <v>0.2</v>
      </c>
      <c r="M60" s="475">
        <f>+J60/F60</f>
        <v>0.25</v>
      </c>
      <c r="N60" s="475">
        <f>+M60*E60</f>
        <v>0.05</v>
      </c>
      <c r="O60" s="604" t="s">
        <v>1865</v>
      </c>
      <c r="P60" s="455"/>
      <c r="Q60" s="437"/>
      <c r="R60" s="437"/>
      <c r="S60" s="437"/>
      <c r="T60" s="437"/>
      <c r="U60" s="437"/>
    </row>
    <row r="61" spans="1:21" ht="67.150000000000006" customHeight="1" thickBot="1" x14ac:dyDescent="0.35">
      <c r="A61" s="638"/>
      <c r="B61" s="735" t="s">
        <v>1835</v>
      </c>
      <c r="C61" s="718"/>
      <c r="D61" s="640"/>
      <c r="E61" s="582">
        <v>0.3</v>
      </c>
      <c r="F61" s="562"/>
      <c r="G61" s="461"/>
      <c r="H61" s="467">
        <f>+AVERAGE(H62:H65)</f>
        <v>0.15</v>
      </c>
      <c r="I61" s="467">
        <f>+I62+I63+I64+I65</f>
        <v>0.19624999999999998</v>
      </c>
      <c r="J61" s="466"/>
      <c r="K61" s="469">
        <f>+AVERAGE(K62:K65)</f>
        <v>1</v>
      </c>
      <c r="L61" s="469">
        <f>+(L62+L63+L64+L65)*E61</f>
        <v>0.3</v>
      </c>
      <c r="M61" s="467">
        <f>+AVERAGE(M62:M65)</f>
        <v>0.22187499999999999</v>
      </c>
      <c r="N61" s="467">
        <f>+(N62+N63+N64+N65)*E61</f>
        <v>0.103875</v>
      </c>
      <c r="O61" s="461"/>
      <c r="P61" s="455"/>
      <c r="Q61" s="437"/>
      <c r="R61" s="437"/>
      <c r="S61" s="437"/>
      <c r="T61" s="437"/>
      <c r="U61" s="437"/>
    </row>
    <row r="62" spans="1:21" ht="67.150000000000006" customHeight="1" thickBot="1" x14ac:dyDescent="0.35">
      <c r="A62" s="638"/>
      <c r="B62" s="472" t="s">
        <v>1005</v>
      </c>
      <c r="C62" s="472" t="s">
        <v>1206</v>
      </c>
      <c r="D62" s="640" t="s">
        <v>1003</v>
      </c>
      <c r="E62" s="578">
        <v>0.6</v>
      </c>
      <c r="F62" s="576">
        <v>80</v>
      </c>
      <c r="G62" s="468">
        <v>20</v>
      </c>
      <c r="H62" s="475">
        <f>+G62/F62</f>
        <v>0.25</v>
      </c>
      <c r="I62" s="475">
        <f>+(G62/F62)*E62</f>
        <v>0.15</v>
      </c>
      <c r="J62" s="468">
        <v>39</v>
      </c>
      <c r="K62" s="475">
        <v>1</v>
      </c>
      <c r="L62" s="475">
        <f>+K62*E62</f>
        <v>0.6</v>
      </c>
      <c r="M62" s="475">
        <f>+J62/F62</f>
        <v>0.48749999999999999</v>
      </c>
      <c r="N62" s="475">
        <f>+M62*E62</f>
        <v>0.29249999999999998</v>
      </c>
      <c r="O62" s="604" t="s">
        <v>1865</v>
      </c>
      <c r="P62" s="455"/>
      <c r="Q62" s="437"/>
      <c r="R62" s="437"/>
      <c r="S62" s="437"/>
      <c r="T62" s="437"/>
      <c r="U62" s="437"/>
    </row>
    <row r="63" spans="1:21" ht="67.150000000000006" customHeight="1" thickBot="1" x14ac:dyDescent="0.35">
      <c r="A63" s="638"/>
      <c r="B63" s="472" t="s">
        <v>1006</v>
      </c>
      <c r="C63" s="472" t="s">
        <v>1207</v>
      </c>
      <c r="D63" s="640" t="s">
        <v>1003</v>
      </c>
      <c r="E63" s="578">
        <v>0.15</v>
      </c>
      <c r="F63" s="576">
        <v>20</v>
      </c>
      <c r="G63" s="468">
        <v>2</v>
      </c>
      <c r="H63" s="475">
        <f>+G63/F63</f>
        <v>0.1</v>
      </c>
      <c r="I63" s="475">
        <f>+(G63/F63)*E63</f>
        <v>1.4999999999999999E-2</v>
      </c>
      <c r="J63" s="468">
        <v>3</v>
      </c>
      <c r="K63" s="475">
        <v>1</v>
      </c>
      <c r="L63" s="475">
        <f>+K63*E63</f>
        <v>0.15</v>
      </c>
      <c r="M63" s="475">
        <f>+J63/F63</f>
        <v>0.15</v>
      </c>
      <c r="N63" s="475">
        <f>+M63*E63</f>
        <v>2.2499999999999999E-2</v>
      </c>
      <c r="O63" s="604" t="s">
        <v>1865</v>
      </c>
      <c r="P63" s="455"/>
      <c r="Q63" s="437"/>
      <c r="R63" s="437"/>
      <c r="S63" s="437"/>
      <c r="T63" s="437"/>
      <c r="U63" s="437"/>
    </row>
    <row r="64" spans="1:21" ht="125.45" customHeight="1" thickBot="1" x14ac:dyDescent="0.35">
      <c r="A64" s="638"/>
      <c r="B64" s="472" t="s">
        <v>1007</v>
      </c>
      <c r="C64" s="472" t="s">
        <v>1208</v>
      </c>
      <c r="D64" s="640" t="s">
        <v>1003</v>
      </c>
      <c r="E64" s="578">
        <v>0.1</v>
      </c>
      <c r="F64" s="576">
        <v>16</v>
      </c>
      <c r="G64" s="468">
        <v>2</v>
      </c>
      <c r="H64" s="475">
        <f>+G64/F64</f>
        <v>0.125</v>
      </c>
      <c r="I64" s="475">
        <f>+(G64/F64)*E64</f>
        <v>1.2500000000000001E-2</v>
      </c>
      <c r="J64" s="468">
        <v>2</v>
      </c>
      <c r="K64" s="475">
        <f>+(J64/G64)</f>
        <v>1</v>
      </c>
      <c r="L64" s="475">
        <f>+K64*E64</f>
        <v>0.1</v>
      </c>
      <c r="M64" s="475">
        <f>+J64/F64</f>
        <v>0.125</v>
      </c>
      <c r="N64" s="475">
        <f>+M64*E64</f>
        <v>1.2500000000000001E-2</v>
      </c>
      <c r="O64" s="604" t="s">
        <v>1865</v>
      </c>
      <c r="P64" s="455"/>
      <c r="Q64" s="437"/>
      <c r="R64" s="437"/>
      <c r="S64" s="437"/>
      <c r="T64" s="437"/>
      <c r="U64" s="437"/>
    </row>
    <row r="65" spans="1:21" ht="67.150000000000006" customHeight="1" thickBot="1" x14ac:dyDescent="0.35">
      <c r="A65" s="638"/>
      <c r="B65" s="472" t="s">
        <v>1008</v>
      </c>
      <c r="C65" s="472" t="s">
        <v>1209</v>
      </c>
      <c r="D65" s="640" t="s">
        <v>1003</v>
      </c>
      <c r="E65" s="578">
        <v>0.15</v>
      </c>
      <c r="F65" s="576">
        <v>40</v>
      </c>
      <c r="G65" s="468">
        <v>5</v>
      </c>
      <c r="H65" s="475">
        <f>+G65/F65</f>
        <v>0.125</v>
      </c>
      <c r="I65" s="475">
        <f>+(G65/F65)*E65</f>
        <v>1.8749999999999999E-2</v>
      </c>
      <c r="J65" s="468">
        <v>5</v>
      </c>
      <c r="K65" s="475">
        <f>+(J65/G65)</f>
        <v>1</v>
      </c>
      <c r="L65" s="475">
        <f>+K65*E65</f>
        <v>0.15</v>
      </c>
      <c r="M65" s="475">
        <f>+J65/F65</f>
        <v>0.125</v>
      </c>
      <c r="N65" s="475">
        <f>+M65*E65</f>
        <v>1.8749999999999999E-2</v>
      </c>
      <c r="O65" s="604" t="s">
        <v>1865</v>
      </c>
      <c r="P65" s="455"/>
      <c r="Q65" s="437"/>
      <c r="R65" s="437"/>
      <c r="S65" s="437"/>
      <c r="T65" s="437"/>
      <c r="U65" s="437"/>
    </row>
    <row r="66" spans="1:21" ht="67.150000000000006" customHeight="1" thickBot="1" x14ac:dyDescent="0.35">
      <c r="A66" s="638"/>
      <c r="B66" s="735" t="s">
        <v>1836</v>
      </c>
      <c r="C66" s="718"/>
      <c r="D66" s="640"/>
      <c r="E66" s="582">
        <v>0.15</v>
      </c>
      <c r="F66" s="562"/>
      <c r="G66" s="461"/>
      <c r="H66" s="467">
        <f>+AVERAGE(H67)</f>
        <v>0.25</v>
      </c>
      <c r="I66" s="467">
        <f>+I67</f>
        <v>0.25</v>
      </c>
      <c r="J66" s="466"/>
      <c r="K66" s="469">
        <f>+AVERAGE(K67)</f>
        <v>1</v>
      </c>
      <c r="L66" s="469">
        <f>+(L67)*E66</f>
        <v>0.15</v>
      </c>
      <c r="M66" s="467">
        <f>+AVERAGE(M67)</f>
        <v>0.25</v>
      </c>
      <c r="N66" s="467">
        <f>+(N67)*E66</f>
        <v>3.7499999999999999E-2</v>
      </c>
      <c r="O66" s="461"/>
      <c r="P66" s="455"/>
      <c r="Q66" s="437"/>
      <c r="R66" s="437"/>
      <c r="S66" s="437"/>
      <c r="T66" s="437"/>
      <c r="U66" s="437"/>
    </row>
    <row r="67" spans="1:21" ht="114.6" customHeight="1" thickBot="1" x14ac:dyDescent="0.35">
      <c r="A67" s="638"/>
      <c r="B67" s="472" t="s">
        <v>1009</v>
      </c>
      <c r="C67" s="472" t="s">
        <v>1210</v>
      </c>
      <c r="D67" s="640" t="s">
        <v>1003</v>
      </c>
      <c r="E67" s="578">
        <v>1</v>
      </c>
      <c r="F67" s="576">
        <v>4</v>
      </c>
      <c r="G67" s="468">
        <v>1</v>
      </c>
      <c r="H67" s="475">
        <f>+G67/F67</f>
        <v>0.25</v>
      </c>
      <c r="I67" s="475">
        <f>+(G67/F67)*E67</f>
        <v>0.25</v>
      </c>
      <c r="J67" s="468">
        <v>1</v>
      </c>
      <c r="K67" s="475">
        <f>+(J67/G67)</f>
        <v>1</v>
      </c>
      <c r="L67" s="475">
        <f>+K67*E67</f>
        <v>1</v>
      </c>
      <c r="M67" s="475">
        <f>+J67/F67</f>
        <v>0.25</v>
      </c>
      <c r="N67" s="475">
        <f>+M67*E67</f>
        <v>0.25</v>
      </c>
      <c r="O67" s="604" t="s">
        <v>1865</v>
      </c>
      <c r="P67" s="455"/>
      <c r="Q67" s="437"/>
      <c r="R67" s="437"/>
      <c r="S67" s="437"/>
      <c r="T67" s="437"/>
      <c r="U67" s="437"/>
    </row>
    <row r="68" spans="1:21" ht="67.150000000000006" customHeight="1" thickBot="1" x14ac:dyDescent="0.35">
      <c r="A68" s="638"/>
      <c r="B68" s="735" t="s">
        <v>1837</v>
      </c>
      <c r="C68" s="718"/>
      <c r="D68" s="640"/>
      <c r="E68" s="582">
        <v>0.25</v>
      </c>
      <c r="F68" s="562"/>
      <c r="G68" s="461"/>
      <c r="H68" s="467">
        <f>+AVERAGE(H69:H73)</f>
        <v>0.23913043478260868</v>
      </c>
      <c r="I68" s="467">
        <f>+I69+I70+I71+I72+I73</f>
        <v>0.16684782608695653</v>
      </c>
      <c r="J68" s="466"/>
      <c r="K68" s="469">
        <f>+AVERAGE(K69:K73)</f>
        <v>0.66666666666666663</v>
      </c>
      <c r="L68" s="469">
        <f>+(L69+L70+L71+L72+L73)*E68</f>
        <v>0.1125</v>
      </c>
      <c r="M68" s="467">
        <f>+AVERAGE(M69:M73)</f>
        <v>0.16666666666666666</v>
      </c>
      <c r="N68" s="655">
        <f>+(N69+N70+N71+N72+N73)*E68</f>
        <v>2.8125000000000001E-2</v>
      </c>
      <c r="O68" s="461"/>
      <c r="P68" s="455"/>
      <c r="Q68" s="437"/>
      <c r="R68" s="437"/>
      <c r="S68" s="437"/>
      <c r="T68" s="437"/>
      <c r="U68" s="437"/>
    </row>
    <row r="69" spans="1:21" ht="67.150000000000006" customHeight="1" thickBot="1" x14ac:dyDescent="0.35">
      <c r="A69" s="638"/>
      <c r="B69" s="472" t="s">
        <v>1010</v>
      </c>
      <c r="C69" s="472" t="s">
        <v>1211</v>
      </c>
      <c r="D69" s="640" t="s">
        <v>1003</v>
      </c>
      <c r="E69" s="578">
        <v>0.25</v>
      </c>
      <c r="F69" s="576">
        <v>138</v>
      </c>
      <c r="G69" s="468">
        <v>30</v>
      </c>
      <c r="H69" s="475">
        <f>+G69/F69</f>
        <v>0.21739130434782608</v>
      </c>
      <c r="I69" s="475">
        <f>+(G69/F69)*E69</f>
        <v>5.434782608695652E-2</v>
      </c>
      <c r="J69" s="468">
        <v>0</v>
      </c>
      <c r="K69" s="475">
        <f>+(J69/G69)</f>
        <v>0</v>
      </c>
      <c r="L69" s="475">
        <f>+K69*E69</f>
        <v>0</v>
      </c>
      <c r="M69" s="475">
        <f>+J69/F69</f>
        <v>0</v>
      </c>
      <c r="N69" s="475">
        <f>+M69*E69</f>
        <v>0</v>
      </c>
      <c r="O69" s="604" t="s">
        <v>1865</v>
      </c>
      <c r="P69" s="455"/>
      <c r="Q69" s="437"/>
      <c r="R69" s="437"/>
      <c r="S69" s="437"/>
      <c r="T69" s="437"/>
      <c r="U69" s="437"/>
    </row>
    <row r="70" spans="1:21" ht="95.45" customHeight="1" thickBot="1" x14ac:dyDescent="0.35">
      <c r="A70" s="638"/>
      <c r="B70" s="472" t="s">
        <v>1011</v>
      </c>
      <c r="C70" s="472" t="s">
        <v>1212</v>
      </c>
      <c r="D70" s="640" t="s">
        <v>1003</v>
      </c>
      <c r="E70" s="578">
        <v>0.25</v>
      </c>
      <c r="F70" s="576">
        <v>8</v>
      </c>
      <c r="G70" s="468">
        <v>2</v>
      </c>
      <c r="H70" s="475">
        <f>+G70/F70</f>
        <v>0.25</v>
      </c>
      <c r="I70" s="475">
        <f>+(G70/F70)*E70</f>
        <v>6.25E-2</v>
      </c>
      <c r="J70" s="468">
        <v>2</v>
      </c>
      <c r="K70" s="475">
        <f>+(J70/G70)</f>
        <v>1</v>
      </c>
      <c r="L70" s="475">
        <f>+K70*E70</f>
        <v>0.25</v>
      </c>
      <c r="M70" s="475">
        <f>+J70/F70</f>
        <v>0.25</v>
      </c>
      <c r="N70" s="475">
        <f>+M70*E70</f>
        <v>6.25E-2</v>
      </c>
      <c r="O70" s="604" t="s">
        <v>1865</v>
      </c>
      <c r="P70" s="455"/>
      <c r="Q70" s="437"/>
      <c r="R70" s="437"/>
      <c r="S70" s="437"/>
      <c r="T70" s="437"/>
      <c r="U70" s="437"/>
    </row>
    <row r="71" spans="1:21" ht="93" customHeight="1" thickBot="1" x14ac:dyDescent="0.35">
      <c r="A71" s="638"/>
      <c r="B71" s="472" t="s">
        <v>1012</v>
      </c>
      <c r="C71" s="472" t="s">
        <v>1213</v>
      </c>
      <c r="D71" s="640" t="s">
        <v>1003</v>
      </c>
      <c r="E71" s="578">
        <v>0.15</v>
      </c>
      <c r="F71" s="576">
        <v>4</v>
      </c>
      <c r="G71" s="468">
        <v>0</v>
      </c>
      <c r="H71" s="475"/>
      <c r="I71" s="475"/>
      <c r="J71" s="468"/>
      <c r="K71" s="475"/>
      <c r="L71" s="475"/>
      <c r="M71" s="475"/>
      <c r="N71" s="475"/>
      <c r="O71" s="461"/>
      <c r="P71" s="455"/>
      <c r="Q71" s="437"/>
      <c r="R71" s="437"/>
      <c r="S71" s="437"/>
      <c r="T71" s="437"/>
      <c r="U71" s="437"/>
    </row>
    <row r="72" spans="1:21" ht="85.15" customHeight="1" thickBot="1" x14ac:dyDescent="0.35">
      <c r="A72" s="638"/>
      <c r="B72" s="472" t="s">
        <v>1013</v>
      </c>
      <c r="C72" s="472" t="s">
        <v>1214</v>
      </c>
      <c r="D72" s="640" t="s">
        <v>1003</v>
      </c>
      <c r="E72" s="578">
        <v>0.15</v>
      </c>
      <c r="F72" s="576">
        <v>4</v>
      </c>
      <c r="G72" s="468">
        <v>0</v>
      </c>
      <c r="H72" s="475"/>
      <c r="I72" s="475"/>
      <c r="J72" s="468"/>
      <c r="K72" s="475"/>
      <c r="L72" s="475"/>
      <c r="M72" s="475"/>
      <c r="N72" s="475"/>
      <c r="O72" s="461"/>
      <c r="P72" s="455"/>
      <c r="Q72" s="437"/>
      <c r="R72" s="437"/>
      <c r="S72" s="437"/>
      <c r="T72" s="437"/>
      <c r="U72" s="437"/>
    </row>
    <row r="73" spans="1:21" ht="67.150000000000006" customHeight="1" thickBot="1" x14ac:dyDescent="0.35">
      <c r="A73" s="638"/>
      <c r="B73" s="472" t="s">
        <v>1552</v>
      </c>
      <c r="C73" s="472" t="s">
        <v>1551</v>
      </c>
      <c r="D73" s="640" t="s">
        <v>1003</v>
      </c>
      <c r="E73" s="578">
        <v>0.2</v>
      </c>
      <c r="F73" s="576">
        <v>4</v>
      </c>
      <c r="G73" s="468">
        <v>1</v>
      </c>
      <c r="H73" s="475">
        <f>+G73/F73</f>
        <v>0.25</v>
      </c>
      <c r="I73" s="475">
        <f>+(G73/F73)*E73</f>
        <v>0.05</v>
      </c>
      <c r="J73" s="468">
        <v>1</v>
      </c>
      <c r="K73" s="475">
        <f>+(J73/G73)</f>
        <v>1</v>
      </c>
      <c r="L73" s="475">
        <f>+K73*E73</f>
        <v>0.2</v>
      </c>
      <c r="M73" s="475">
        <f>+J73/F73</f>
        <v>0.25</v>
      </c>
      <c r="N73" s="475">
        <f>+M73*E73</f>
        <v>0.05</v>
      </c>
      <c r="O73" s="604" t="s">
        <v>1865</v>
      </c>
      <c r="P73" s="455"/>
      <c r="Q73" s="437"/>
      <c r="R73" s="437"/>
      <c r="S73" s="437"/>
      <c r="T73" s="437"/>
      <c r="U73" s="437"/>
    </row>
    <row r="74" spans="1:21" ht="67.150000000000006" customHeight="1" thickBot="1" x14ac:dyDescent="0.35">
      <c r="A74" s="638"/>
      <c r="B74" s="735" t="s">
        <v>1838</v>
      </c>
      <c r="C74" s="718"/>
      <c r="D74" s="640"/>
      <c r="E74" s="582">
        <v>0.1</v>
      </c>
      <c r="F74" s="562"/>
      <c r="G74" s="461"/>
      <c r="H74" s="467">
        <f>+AVERAGE(H75:H76)</f>
        <v>0.25</v>
      </c>
      <c r="I74" s="467">
        <f>+I75+I76</f>
        <v>0.25</v>
      </c>
      <c r="J74" s="466"/>
      <c r="K74" s="469">
        <f>+AVERAGE(K75:K76)</f>
        <v>1</v>
      </c>
      <c r="L74" s="469">
        <f>+(L75+L76)*E74</f>
        <v>0.1</v>
      </c>
      <c r="M74" s="467">
        <f>+AVERAGE(M75:M76)</f>
        <v>0.25</v>
      </c>
      <c r="N74" s="467">
        <f>+(N75+N76)*E74</f>
        <v>2.5000000000000001E-2</v>
      </c>
      <c r="O74" s="461"/>
      <c r="P74" s="455"/>
      <c r="Q74" s="437"/>
      <c r="R74" s="437"/>
      <c r="S74" s="437"/>
      <c r="T74" s="437"/>
      <c r="U74" s="437"/>
    </row>
    <row r="75" spans="1:21" ht="67.150000000000006" customHeight="1" thickBot="1" x14ac:dyDescent="0.35">
      <c r="A75" s="638"/>
      <c r="B75" s="472" t="s">
        <v>1014</v>
      </c>
      <c r="C75" s="472" t="s">
        <v>1215</v>
      </c>
      <c r="D75" s="640" t="s">
        <v>1003</v>
      </c>
      <c r="E75" s="578">
        <v>0.5</v>
      </c>
      <c r="F75" s="576">
        <v>12</v>
      </c>
      <c r="G75" s="468">
        <v>3</v>
      </c>
      <c r="H75" s="475">
        <f>+G75/F75</f>
        <v>0.25</v>
      </c>
      <c r="I75" s="475">
        <f>+(G75/F75)*E75</f>
        <v>0.125</v>
      </c>
      <c r="J75" s="468">
        <v>3</v>
      </c>
      <c r="K75" s="475">
        <f>+(J75/G75)</f>
        <v>1</v>
      </c>
      <c r="L75" s="475">
        <f>+K75*E75</f>
        <v>0.5</v>
      </c>
      <c r="M75" s="475">
        <f>+J75/F75</f>
        <v>0.25</v>
      </c>
      <c r="N75" s="475">
        <f>+M75*E75</f>
        <v>0.125</v>
      </c>
      <c r="O75" s="604" t="s">
        <v>1865</v>
      </c>
      <c r="P75" s="455"/>
      <c r="Q75" s="437"/>
      <c r="R75" s="437"/>
      <c r="S75" s="437"/>
      <c r="T75" s="437"/>
      <c r="U75" s="437"/>
    </row>
    <row r="76" spans="1:21" ht="67.150000000000006" customHeight="1" thickBot="1" x14ac:dyDescent="0.35">
      <c r="A76" s="638"/>
      <c r="B76" s="472" t="s">
        <v>1015</v>
      </c>
      <c r="C76" s="472" t="s">
        <v>1216</v>
      </c>
      <c r="D76" s="640" t="s">
        <v>1003</v>
      </c>
      <c r="E76" s="578">
        <v>0.5</v>
      </c>
      <c r="F76" s="576">
        <v>4</v>
      </c>
      <c r="G76" s="468">
        <v>1</v>
      </c>
      <c r="H76" s="475">
        <f>+G76/F76</f>
        <v>0.25</v>
      </c>
      <c r="I76" s="475">
        <f>+(G76/F76)*E76</f>
        <v>0.125</v>
      </c>
      <c r="J76" s="468">
        <v>1</v>
      </c>
      <c r="K76" s="475">
        <f>+(J76/G76)</f>
        <v>1</v>
      </c>
      <c r="L76" s="475">
        <f>+K76*E76</f>
        <v>0.5</v>
      </c>
      <c r="M76" s="475">
        <f>+J76/F76</f>
        <v>0.25</v>
      </c>
      <c r="N76" s="475">
        <f>+M76*E76</f>
        <v>0.125</v>
      </c>
      <c r="O76" s="604" t="s">
        <v>1865</v>
      </c>
      <c r="P76" s="455"/>
      <c r="Q76" s="437"/>
      <c r="R76" s="437"/>
      <c r="S76" s="437"/>
      <c r="T76" s="437"/>
      <c r="U76" s="437"/>
    </row>
    <row r="77" spans="1:21" ht="67.150000000000006" customHeight="1" thickBot="1" x14ac:dyDescent="0.35">
      <c r="A77" s="638"/>
      <c r="B77" s="730" t="s">
        <v>1839</v>
      </c>
      <c r="C77" s="718"/>
      <c r="D77" s="640"/>
      <c r="E77" s="584">
        <v>0.15</v>
      </c>
      <c r="F77" s="641">
        <f>E77*L77</f>
        <v>8.2600999999999994E-2</v>
      </c>
      <c r="G77" s="461"/>
      <c r="H77" s="459">
        <f>+(H78+H85+H92+H94+H99+H105)/5</f>
        <v>0.25436567555113532</v>
      </c>
      <c r="I77" s="460">
        <f>+(I78+I85+I92+I94+I99+I105)/5</f>
        <v>0.23789244132935511</v>
      </c>
      <c r="J77" s="461"/>
      <c r="K77" s="459">
        <f>+(K78+K85+K92+K94+K99+K105)/5</f>
        <v>0.85431111111111113</v>
      </c>
      <c r="L77" s="460">
        <f>+L78+L85+L92+L94+L99+L105</f>
        <v>0.55067333333333335</v>
      </c>
      <c r="M77" s="459">
        <f>+(M78+M85+M92+M94+M99+M105)/6</f>
        <v>0.17211584073705719</v>
      </c>
      <c r="N77" s="642">
        <f>+(N78+N85+N92+N94+N99+N105)</f>
        <v>0.15231066433034965</v>
      </c>
      <c r="O77" s="461"/>
      <c r="P77" s="455"/>
      <c r="Q77" s="437"/>
      <c r="R77" s="437"/>
      <c r="S77" s="437"/>
      <c r="T77" s="437"/>
      <c r="U77" s="437"/>
    </row>
    <row r="78" spans="1:21" ht="67.150000000000006" customHeight="1" thickBot="1" x14ac:dyDescent="0.35">
      <c r="A78" s="638"/>
      <c r="B78" s="735" t="s">
        <v>1777</v>
      </c>
      <c r="C78" s="718"/>
      <c r="D78" s="640"/>
      <c r="E78" s="582">
        <v>0.15</v>
      </c>
      <c r="F78" s="562"/>
      <c r="G78" s="461"/>
      <c r="H78" s="467">
        <f>+AVERAGE(H79:H84)</f>
        <v>0.35243948886678761</v>
      </c>
      <c r="I78" s="467">
        <f>+I79+I80+I81+I82+I83+I84</f>
        <v>0.34219553998010876</v>
      </c>
      <c r="J78" s="466"/>
      <c r="K78" s="469">
        <f>+AVERAGE(K79:K84)</f>
        <v>0.9</v>
      </c>
      <c r="L78" s="469">
        <f>+(L79+L80+L81+L82+L83+L84)*E78</f>
        <v>0.1275</v>
      </c>
      <c r="M78" s="467">
        <f>+AVERAGE(M79:M84)</f>
        <v>0.32743948886678759</v>
      </c>
      <c r="N78" s="467">
        <f>+(N79+N80+N81+N82+N83+N84)*E78</f>
        <v>4.5704330997016318E-2</v>
      </c>
      <c r="O78" s="461"/>
      <c r="P78" s="455"/>
      <c r="Q78" s="437"/>
      <c r="R78" s="437"/>
      <c r="S78" s="437"/>
      <c r="T78" s="437"/>
      <c r="U78" s="437"/>
    </row>
    <row r="79" spans="1:21" ht="107.45" customHeight="1" thickBot="1" x14ac:dyDescent="0.35">
      <c r="A79" s="638"/>
      <c r="B79" s="472" t="s">
        <v>1016</v>
      </c>
      <c r="C79" s="472" t="s">
        <v>1217</v>
      </c>
      <c r="D79" s="640" t="s">
        <v>1017</v>
      </c>
      <c r="E79" s="578">
        <v>0.15</v>
      </c>
      <c r="F79" s="576">
        <v>209</v>
      </c>
      <c r="G79" s="468">
        <v>53</v>
      </c>
      <c r="H79" s="475">
        <f t="shared" ref="H79:H84" si="0">+G79/F79</f>
        <v>0.25358851674641147</v>
      </c>
      <c r="I79" s="475">
        <f t="shared" ref="I79:I84" si="1">+(G79/F79)*E79</f>
        <v>3.8038277511961718E-2</v>
      </c>
      <c r="J79" s="656">
        <v>53</v>
      </c>
      <c r="K79" s="475">
        <f>+(J79/G79)</f>
        <v>1</v>
      </c>
      <c r="L79" s="501">
        <f t="shared" ref="L79:L84" si="2">+K79*E79</f>
        <v>0.15</v>
      </c>
      <c r="M79" s="475">
        <f t="shared" ref="M79:M84" si="3">+J79/F79</f>
        <v>0.25358851674641147</v>
      </c>
      <c r="N79" s="501">
        <f t="shared" ref="N79:N84" si="4">+M79*E79</f>
        <v>3.8038277511961718E-2</v>
      </c>
      <c r="O79" s="604" t="s">
        <v>1865</v>
      </c>
      <c r="P79" s="455"/>
      <c r="Q79" s="437"/>
      <c r="R79" s="437"/>
      <c r="S79" s="437"/>
      <c r="T79" s="437"/>
      <c r="U79" s="437"/>
    </row>
    <row r="80" spans="1:21" ht="117" customHeight="1" thickBot="1" x14ac:dyDescent="0.35">
      <c r="A80" s="638"/>
      <c r="B80" s="472" t="s">
        <v>1018</v>
      </c>
      <c r="C80" s="472" t="s">
        <v>1218</v>
      </c>
      <c r="D80" s="640" t="s">
        <v>1017</v>
      </c>
      <c r="E80" s="578">
        <v>0.15</v>
      </c>
      <c r="F80" s="576">
        <v>328</v>
      </c>
      <c r="G80" s="468">
        <v>150</v>
      </c>
      <c r="H80" s="475">
        <f t="shared" si="0"/>
        <v>0.45731707317073172</v>
      </c>
      <c r="I80" s="475">
        <f t="shared" si="1"/>
        <v>6.8597560975609762E-2</v>
      </c>
      <c r="J80" s="656">
        <v>150</v>
      </c>
      <c r="K80" s="475">
        <v>1</v>
      </c>
      <c r="L80" s="475">
        <f t="shared" si="2"/>
        <v>0.15</v>
      </c>
      <c r="M80" s="475">
        <f t="shared" si="3"/>
        <v>0.45731707317073172</v>
      </c>
      <c r="N80" s="475">
        <f t="shared" si="4"/>
        <v>6.8597560975609762E-2</v>
      </c>
      <c r="O80" s="604" t="s">
        <v>1865</v>
      </c>
      <c r="P80" s="455"/>
      <c r="Q80" s="437"/>
      <c r="R80" s="437"/>
      <c r="S80" s="437"/>
      <c r="T80" s="437"/>
      <c r="U80" s="437"/>
    </row>
    <row r="81" spans="1:21" ht="93.6" customHeight="1" thickBot="1" x14ac:dyDescent="0.35">
      <c r="A81" s="638"/>
      <c r="B81" s="472" t="s">
        <v>1019</v>
      </c>
      <c r="C81" s="472" t="s">
        <v>1219</v>
      </c>
      <c r="D81" s="640" t="s">
        <v>1017</v>
      </c>
      <c r="E81" s="578">
        <v>0.15</v>
      </c>
      <c r="F81" s="576">
        <v>402</v>
      </c>
      <c r="G81" s="468">
        <v>102</v>
      </c>
      <c r="H81" s="475">
        <f t="shared" si="0"/>
        <v>0.2537313432835821</v>
      </c>
      <c r="I81" s="475">
        <f t="shared" si="1"/>
        <v>3.8059701492537311E-2</v>
      </c>
      <c r="J81" s="656">
        <v>102</v>
      </c>
      <c r="K81" s="475">
        <f t="shared" ref="K81:K84" si="5">+(J81/G81)</f>
        <v>1</v>
      </c>
      <c r="L81" s="475">
        <f t="shared" si="2"/>
        <v>0.15</v>
      </c>
      <c r="M81" s="475">
        <f t="shared" si="3"/>
        <v>0.2537313432835821</v>
      </c>
      <c r="N81" s="475">
        <f t="shared" si="4"/>
        <v>3.8059701492537311E-2</v>
      </c>
      <c r="O81" s="604" t="s">
        <v>1865</v>
      </c>
      <c r="P81" s="455"/>
      <c r="Q81" s="437"/>
      <c r="R81" s="437"/>
      <c r="S81" s="437"/>
      <c r="T81" s="437"/>
      <c r="U81" s="437"/>
    </row>
    <row r="82" spans="1:21" ht="97.15" customHeight="1" thickBot="1" x14ac:dyDescent="0.35">
      <c r="A82" s="638"/>
      <c r="B82" s="472" t="s">
        <v>1020</v>
      </c>
      <c r="C82" s="472" t="s">
        <v>1220</v>
      </c>
      <c r="D82" s="640" t="s">
        <v>1017</v>
      </c>
      <c r="E82" s="578">
        <v>0.15</v>
      </c>
      <c r="F82" s="576">
        <v>1</v>
      </c>
      <c r="G82" s="587">
        <v>0.45</v>
      </c>
      <c r="H82" s="475">
        <f t="shared" si="0"/>
        <v>0.45</v>
      </c>
      <c r="I82" s="475">
        <f t="shared" si="1"/>
        <v>6.7500000000000004E-2</v>
      </c>
      <c r="J82" s="657">
        <v>0.45</v>
      </c>
      <c r="K82" s="475">
        <v>1</v>
      </c>
      <c r="L82" s="475">
        <f t="shared" si="2"/>
        <v>0.15</v>
      </c>
      <c r="M82" s="475">
        <f t="shared" si="3"/>
        <v>0.45</v>
      </c>
      <c r="N82" s="475">
        <f t="shared" si="4"/>
        <v>6.7500000000000004E-2</v>
      </c>
      <c r="O82" s="604" t="s">
        <v>1873</v>
      </c>
      <c r="P82" s="455"/>
      <c r="Q82" s="437"/>
      <c r="R82" s="437"/>
      <c r="S82" s="437"/>
      <c r="T82" s="437"/>
      <c r="U82" s="437"/>
    </row>
    <row r="83" spans="1:21" ht="137.44999999999999" customHeight="1" thickBot="1" x14ac:dyDescent="0.35">
      <c r="A83" s="638"/>
      <c r="B83" s="472" t="s">
        <v>1021</v>
      </c>
      <c r="C83" s="472" t="s">
        <v>1221</v>
      </c>
      <c r="D83" s="640" t="s">
        <v>1017</v>
      </c>
      <c r="E83" s="578">
        <v>0.15</v>
      </c>
      <c r="F83" s="576">
        <v>1</v>
      </c>
      <c r="G83" s="468">
        <v>0.45</v>
      </c>
      <c r="H83" s="475">
        <f t="shared" si="0"/>
        <v>0.45</v>
      </c>
      <c r="I83" s="475">
        <f t="shared" si="1"/>
        <v>6.7500000000000004E-2</v>
      </c>
      <c r="J83" s="657">
        <v>0.45</v>
      </c>
      <c r="K83" s="475">
        <f t="shared" si="5"/>
        <v>1</v>
      </c>
      <c r="L83" s="475">
        <f t="shared" si="2"/>
        <v>0.15</v>
      </c>
      <c r="M83" s="475">
        <f t="shared" si="3"/>
        <v>0.45</v>
      </c>
      <c r="N83" s="475">
        <f t="shared" si="4"/>
        <v>6.7500000000000004E-2</v>
      </c>
      <c r="O83" s="604" t="s">
        <v>1874</v>
      </c>
      <c r="P83" s="455"/>
      <c r="Q83" s="437"/>
      <c r="R83" s="437"/>
      <c r="S83" s="437"/>
      <c r="T83" s="437"/>
      <c r="U83" s="437"/>
    </row>
    <row r="84" spans="1:21" ht="133.15" customHeight="1" thickBot="1" x14ac:dyDescent="0.35">
      <c r="A84" s="638"/>
      <c r="B84" s="472" t="s">
        <v>1022</v>
      </c>
      <c r="C84" s="472" t="s">
        <v>1222</v>
      </c>
      <c r="D84" s="640" t="s">
        <v>1017</v>
      </c>
      <c r="E84" s="578">
        <v>0.25</v>
      </c>
      <c r="F84" s="576">
        <v>1</v>
      </c>
      <c r="G84" s="468">
        <v>0.25</v>
      </c>
      <c r="H84" s="475">
        <f t="shared" si="0"/>
        <v>0.25</v>
      </c>
      <c r="I84" s="475">
        <f t="shared" si="1"/>
        <v>6.25E-2</v>
      </c>
      <c r="J84" s="657">
        <v>0.1</v>
      </c>
      <c r="K84" s="475">
        <f t="shared" si="5"/>
        <v>0.4</v>
      </c>
      <c r="L84" s="475">
        <f t="shared" si="2"/>
        <v>0.1</v>
      </c>
      <c r="M84" s="475">
        <f t="shared" si="3"/>
        <v>0.1</v>
      </c>
      <c r="N84" s="475">
        <f t="shared" si="4"/>
        <v>2.5000000000000001E-2</v>
      </c>
      <c r="O84" s="604" t="s">
        <v>1865</v>
      </c>
      <c r="P84" s="455"/>
      <c r="Q84" s="437"/>
      <c r="R84" s="437"/>
      <c r="S84" s="437"/>
      <c r="T84" s="437"/>
      <c r="U84" s="437"/>
    </row>
    <row r="85" spans="1:21" ht="67.150000000000006" customHeight="1" thickBot="1" x14ac:dyDescent="0.35">
      <c r="A85" s="638"/>
      <c r="B85" s="735" t="s">
        <v>1778</v>
      </c>
      <c r="C85" s="718"/>
      <c r="D85" s="640"/>
      <c r="E85" s="582">
        <v>0.3</v>
      </c>
      <c r="F85" s="562"/>
      <c r="G85" s="461"/>
      <c r="H85" s="467">
        <f>+AVERAGE(H86:H91)*((1/6)*2)</f>
        <v>0.17916666666666664</v>
      </c>
      <c r="I85" s="467">
        <f>+I86+I87+I88+I89+I90+I91</f>
        <v>0.14250000000000002</v>
      </c>
      <c r="J85" s="466"/>
      <c r="K85" s="469">
        <f>+AVERAGE(K86:K91)</f>
        <v>0.88888888888888884</v>
      </c>
      <c r="L85" s="469">
        <f>+(L86+L87+L88+L89+L90+L91)*E85</f>
        <v>0.11333333333333333</v>
      </c>
      <c r="M85" s="467">
        <f>+AVERAGE(M86:M91)*((1/6)*2)</f>
        <v>0.14999999999999997</v>
      </c>
      <c r="N85" s="467">
        <f>+(N86+N87+N88+N89+N90+N91)*E85</f>
        <v>3.9E-2</v>
      </c>
      <c r="O85" s="604" t="s">
        <v>1875</v>
      </c>
      <c r="P85" s="455"/>
      <c r="Q85" s="437"/>
      <c r="R85" s="437"/>
      <c r="S85" s="437"/>
      <c r="T85" s="437"/>
      <c r="U85" s="437"/>
    </row>
    <row r="86" spans="1:21" ht="83.45" customHeight="1" thickBot="1" x14ac:dyDescent="0.35">
      <c r="A86" s="638"/>
      <c r="B86" s="472" t="s">
        <v>1023</v>
      </c>
      <c r="C86" s="472" t="s">
        <v>1223</v>
      </c>
      <c r="D86" s="640" t="s">
        <v>1017</v>
      </c>
      <c r="E86" s="578">
        <v>0.4</v>
      </c>
      <c r="F86" s="576">
        <v>300</v>
      </c>
      <c r="G86" s="468">
        <v>0</v>
      </c>
      <c r="H86" s="475"/>
      <c r="I86" s="475"/>
      <c r="J86" s="468"/>
      <c r="K86" s="475"/>
      <c r="L86" s="475"/>
      <c r="M86" s="475"/>
      <c r="N86" s="475"/>
      <c r="O86" s="604" t="s">
        <v>1865</v>
      </c>
      <c r="P86" s="455"/>
      <c r="Q86" s="437"/>
      <c r="R86" s="437"/>
      <c r="S86" s="437"/>
      <c r="T86" s="437"/>
      <c r="U86" s="437"/>
    </row>
    <row r="87" spans="1:21" ht="67.150000000000006" customHeight="1" thickBot="1" x14ac:dyDescent="0.35">
      <c r="A87" s="638"/>
      <c r="B87" s="472" t="s">
        <v>1024</v>
      </c>
      <c r="C87" s="472" t="s">
        <v>1224</v>
      </c>
      <c r="D87" s="640" t="s">
        <v>1017</v>
      </c>
      <c r="E87" s="578">
        <v>0.1</v>
      </c>
      <c r="F87" s="576">
        <v>100</v>
      </c>
      <c r="G87" s="468">
        <v>90</v>
      </c>
      <c r="H87" s="475">
        <f t="shared" ref="H87" si="6">+G87/F87</f>
        <v>0.9</v>
      </c>
      <c r="I87" s="475">
        <f t="shared" ref="I87" si="7">+(G87/F87)*E87</f>
        <v>9.0000000000000011E-2</v>
      </c>
      <c r="J87" s="468">
        <v>70</v>
      </c>
      <c r="K87" s="475">
        <f t="shared" ref="K87" si="8">+(J87/G87)</f>
        <v>0.77777777777777779</v>
      </c>
      <c r="L87" s="475">
        <f t="shared" ref="L87" si="9">+K87*E87</f>
        <v>7.7777777777777779E-2</v>
      </c>
      <c r="M87" s="475">
        <f t="shared" ref="M87" si="10">+J87/F87</f>
        <v>0.7</v>
      </c>
      <c r="N87" s="475">
        <f t="shared" ref="N87" si="11">+M87*E87</f>
        <v>6.9999999999999993E-2</v>
      </c>
      <c r="O87" s="604" t="s">
        <v>1865</v>
      </c>
      <c r="P87" s="455"/>
      <c r="Q87" s="437"/>
      <c r="R87" s="437"/>
      <c r="S87" s="437"/>
      <c r="T87" s="437"/>
      <c r="U87" s="437"/>
    </row>
    <row r="88" spans="1:21" ht="67.150000000000006" customHeight="1" thickBot="1" x14ac:dyDescent="0.35">
      <c r="A88" s="638"/>
      <c r="B88" s="472" t="s">
        <v>1025</v>
      </c>
      <c r="C88" s="472" t="s">
        <v>1225</v>
      </c>
      <c r="D88" s="640" t="s">
        <v>1017</v>
      </c>
      <c r="E88" s="578">
        <v>0.1</v>
      </c>
      <c r="F88" s="576">
        <v>3</v>
      </c>
      <c r="G88" s="468">
        <v>0</v>
      </c>
      <c r="H88" s="475"/>
      <c r="I88" s="475"/>
      <c r="J88" s="468"/>
      <c r="K88" s="475"/>
      <c r="L88" s="475"/>
      <c r="M88" s="475"/>
      <c r="N88" s="475"/>
      <c r="O88" s="461" t="s">
        <v>1574</v>
      </c>
      <c r="P88" s="455"/>
      <c r="Q88" s="437"/>
      <c r="R88" s="437"/>
      <c r="S88" s="437"/>
      <c r="T88" s="437"/>
      <c r="U88" s="437"/>
    </row>
    <row r="89" spans="1:21" ht="67.150000000000006" customHeight="1" thickBot="1" x14ac:dyDescent="0.35">
      <c r="A89" s="638"/>
      <c r="B89" s="472" t="s">
        <v>1026</v>
      </c>
      <c r="C89" s="472" t="s">
        <v>1226</v>
      </c>
      <c r="D89" s="640" t="s">
        <v>1017</v>
      </c>
      <c r="E89" s="578">
        <v>0.05</v>
      </c>
      <c r="F89" s="576">
        <v>1</v>
      </c>
      <c r="G89" s="468">
        <v>0</v>
      </c>
      <c r="H89" s="475"/>
      <c r="I89" s="475"/>
      <c r="J89" s="468"/>
      <c r="K89" s="475"/>
      <c r="L89" s="475"/>
      <c r="M89" s="475"/>
      <c r="N89" s="475"/>
      <c r="O89" s="461" t="s">
        <v>1575</v>
      </c>
      <c r="P89" s="455"/>
      <c r="Q89" s="437"/>
      <c r="R89" s="437"/>
      <c r="S89" s="437"/>
      <c r="T89" s="437"/>
      <c r="U89" s="437"/>
    </row>
    <row r="90" spans="1:21" ht="112.9" customHeight="1" thickBot="1" x14ac:dyDescent="0.35">
      <c r="A90" s="638"/>
      <c r="B90" s="472" t="s">
        <v>1027</v>
      </c>
      <c r="C90" s="472" t="s">
        <v>1227</v>
      </c>
      <c r="D90" s="640" t="s">
        <v>1017</v>
      </c>
      <c r="E90" s="578">
        <v>0.3</v>
      </c>
      <c r="F90" s="576">
        <v>200</v>
      </c>
      <c r="G90" s="468">
        <v>35</v>
      </c>
      <c r="H90" s="475">
        <f>+G90/F90</f>
        <v>0.17499999999999999</v>
      </c>
      <c r="I90" s="475">
        <f>+(G90/F90)*E90</f>
        <v>5.2499999999999998E-2</v>
      </c>
      <c r="J90" s="468">
        <v>40</v>
      </c>
      <c r="K90" s="475">
        <v>1</v>
      </c>
      <c r="L90" s="475">
        <f>+K90*E90</f>
        <v>0.3</v>
      </c>
      <c r="M90" s="501">
        <f>+J90/F90</f>
        <v>0.2</v>
      </c>
      <c r="N90" s="475">
        <f>+M90*E90</f>
        <v>0.06</v>
      </c>
      <c r="O90" s="604" t="s">
        <v>1865</v>
      </c>
      <c r="P90" s="455"/>
      <c r="Q90" s="437"/>
      <c r="R90" s="437"/>
      <c r="S90" s="437"/>
      <c r="T90" s="437"/>
      <c r="U90" s="437"/>
    </row>
    <row r="91" spans="1:21" ht="120.6" customHeight="1" thickBot="1" x14ac:dyDescent="0.35">
      <c r="A91" s="638"/>
      <c r="B91" s="472" t="s">
        <v>1028</v>
      </c>
      <c r="C91" s="472" t="s">
        <v>1228</v>
      </c>
      <c r="D91" s="640" t="s">
        <v>1017</v>
      </c>
      <c r="E91" s="578">
        <v>0.05</v>
      </c>
      <c r="F91" s="576">
        <v>1</v>
      </c>
      <c r="G91" s="468">
        <v>0</v>
      </c>
      <c r="H91" s="475"/>
      <c r="I91" s="475"/>
      <c r="J91" s="468"/>
      <c r="K91" s="475"/>
      <c r="L91" s="475"/>
      <c r="M91" s="475"/>
      <c r="N91" s="475"/>
      <c r="O91" s="604" t="s">
        <v>1865</v>
      </c>
      <c r="P91" s="455"/>
      <c r="Q91" s="437"/>
      <c r="R91" s="437"/>
      <c r="S91" s="437"/>
      <c r="T91" s="437"/>
      <c r="U91" s="437"/>
    </row>
    <row r="92" spans="1:21" ht="67.150000000000006" customHeight="1" thickBot="1" x14ac:dyDescent="0.35">
      <c r="A92" s="638"/>
      <c r="B92" s="735" t="s">
        <v>1840</v>
      </c>
      <c r="C92" s="718"/>
      <c r="D92" s="640"/>
      <c r="E92" s="582">
        <v>0.05</v>
      </c>
      <c r="F92" s="562"/>
      <c r="G92" s="461"/>
      <c r="H92" s="467"/>
      <c r="I92" s="467"/>
      <c r="J92" s="466"/>
      <c r="K92" s="469"/>
      <c r="L92" s="469"/>
      <c r="M92" s="467"/>
      <c r="N92" s="467"/>
      <c r="O92" s="461"/>
      <c r="P92" s="658"/>
      <c r="Q92" s="437"/>
      <c r="R92" s="437"/>
      <c r="S92" s="437"/>
      <c r="T92" s="437"/>
      <c r="U92" s="437"/>
    </row>
    <row r="93" spans="1:21" ht="81.599999999999994" customHeight="1" thickBot="1" x14ac:dyDescent="0.35">
      <c r="A93" s="638"/>
      <c r="B93" s="481" t="s">
        <v>1029</v>
      </c>
      <c r="C93" s="481" t="s">
        <v>1229</v>
      </c>
      <c r="D93" s="640" t="s">
        <v>1030</v>
      </c>
      <c r="E93" s="578">
        <v>1</v>
      </c>
      <c r="F93" s="576">
        <v>6000000000</v>
      </c>
      <c r="G93" s="468"/>
      <c r="H93" s="475"/>
      <c r="I93" s="475"/>
      <c r="J93" s="468"/>
      <c r="K93" s="475"/>
      <c r="L93" s="475"/>
      <c r="M93" s="475"/>
      <c r="N93" s="475"/>
      <c r="O93" s="650" t="s">
        <v>1573</v>
      </c>
      <c r="P93" s="455"/>
      <c r="Q93" s="437"/>
      <c r="R93" s="437"/>
      <c r="S93" s="437"/>
      <c r="T93" s="437"/>
      <c r="U93" s="437"/>
    </row>
    <row r="94" spans="1:21" ht="67.150000000000006" customHeight="1" thickBot="1" x14ac:dyDescent="0.35">
      <c r="A94" s="638"/>
      <c r="B94" s="735" t="s">
        <v>1841</v>
      </c>
      <c r="C94" s="718"/>
      <c r="D94" s="640"/>
      <c r="E94" s="582">
        <v>0.2</v>
      </c>
      <c r="F94" s="562"/>
      <c r="G94" s="461"/>
      <c r="H94" s="467">
        <f>+AVERAGE(H95:H98)</f>
        <v>0.18466666666666667</v>
      </c>
      <c r="I94" s="467">
        <f>+I95+I96+I97+I98</f>
        <v>0.17810000000000001</v>
      </c>
      <c r="J94" s="466"/>
      <c r="K94" s="469">
        <f>+AVERAGE(K95:K98)</f>
        <v>1</v>
      </c>
      <c r="L94" s="469">
        <f>+(L95+L96+L97+L98)*E94</f>
        <v>0.18000000000000002</v>
      </c>
      <c r="M94" s="467">
        <f>+AVERAGE(M95:M98)</f>
        <v>0.18536666666666668</v>
      </c>
      <c r="N94" s="467">
        <f>+(N95+N96+N97+N98)*E94</f>
        <v>3.5682999999999999E-2</v>
      </c>
      <c r="O94" s="461"/>
      <c r="P94" s="455"/>
      <c r="Q94" s="437"/>
      <c r="R94" s="437"/>
      <c r="S94" s="437"/>
      <c r="T94" s="437"/>
      <c r="U94" s="437"/>
    </row>
    <row r="95" spans="1:21" ht="94.9" customHeight="1" thickBot="1" x14ac:dyDescent="0.35">
      <c r="A95" s="638"/>
      <c r="B95" s="472" t="s">
        <v>1031</v>
      </c>
      <c r="C95" s="472" t="s">
        <v>1230</v>
      </c>
      <c r="D95" s="640" t="s">
        <v>1017</v>
      </c>
      <c r="E95" s="578">
        <v>0.15</v>
      </c>
      <c r="F95" s="576">
        <v>50000</v>
      </c>
      <c r="G95" s="656">
        <v>5200</v>
      </c>
      <c r="H95" s="475">
        <f>+G95/F95</f>
        <v>0.104</v>
      </c>
      <c r="I95" s="475">
        <f>+(G95/F95)*E95</f>
        <v>1.5599999999999999E-2</v>
      </c>
      <c r="J95" s="468">
        <v>5305</v>
      </c>
      <c r="K95" s="475">
        <v>1</v>
      </c>
      <c r="L95" s="475">
        <f>+K95*E95</f>
        <v>0.15</v>
      </c>
      <c r="M95" s="475">
        <f>+J95/F95</f>
        <v>0.1061</v>
      </c>
      <c r="N95" s="475">
        <f>+M95*E95</f>
        <v>1.5914999999999999E-2</v>
      </c>
      <c r="O95" s="604" t="s">
        <v>1865</v>
      </c>
      <c r="P95" s="455"/>
      <c r="Q95" s="437"/>
      <c r="R95" s="437"/>
      <c r="S95" s="437"/>
      <c r="T95" s="437"/>
      <c r="U95" s="437"/>
    </row>
    <row r="96" spans="1:21" ht="84.6" customHeight="1" thickBot="1" x14ac:dyDescent="0.35">
      <c r="A96" s="638"/>
      <c r="B96" s="472" t="s">
        <v>1032</v>
      </c>
      <c r="C96" s="472" t="s">
        <v>1231</v>
      </c>
      <c r="D96" s="640" t="s">
        <v>1017</v>
      </c>
      <c r="E96" s="644">
        <v>0.25</v>
      </c>
      <c r="F96" s="576">
        <v>4</v>
      </c>
      <c r="G96" s="656">
        <v>1</v>
      </c>
      <c r="H96" s="475">
        <f>+G96/F96</f>
        <v>0.25</v>
      </c>
      <c r="I96" s="475">
        <f>+(G96/F96)*E96</f>
        <v>6.25E-2</v>
      </c>
      <c r="J96" s="468">
        <v>1</v>
      </c>
      <c r="K96" s="475">
        <f>+(J96/G96)</f>
        <v>1</v>
      </c>
      <c r="L96" s="475">
        <f>+K96*E96</f>
        <v>0.25</v>
      </c>
      <c r="M96" s="475">
        <f>+J96/F96</f>
        <v>0.25</v>
      </c>
      <c r="N96" s="475">
        <f>+M96*E96</f>
        <v>6.25E-2</v>
      </c>
      <c r="O96" s="461"/>
      <c r="P96" s="455"/>
      <c r="Q96" s="437"/>
      <c r="R96" s="437"/>
      <c r="S96" s="437"/>
      <c r="T96" s="437"/>
      <c r="U96" s="437"/>
    </row>
    <row r="97" spans="1:21" ht="103.9" customHeight="1" thickBot="1" x14ac:dyDescent="0.35">
      <c r="A97" s="638"/>
      <c r="B97" s="472" t="s">
        <v>1033</v>
      </c>
      <c r="C97" s="472" t="s">
        <v>1232</v>
      </c>
      <c r="D97" s="640" t="s">
        <v>1017</v>
      </c>
      <c r="E97" s="659">
        <v>0.5</v>
      </c>
      <c r="F97" s="576">
        <v>20</v>
      </c>
      <c r="G97" s="656">
        <v>4</v>
      </c>
      <c r="H97" s="475">
        <f>+G97/F97</f>
        <v>0.2</v>
      </c>
      <c r="I97" s="475">
        <f>+(G97/F97)*E97</f>
        <v>0.1</v>
      </c>
      <c r="J97" s="468">
        <v>4</v>
      </c>
      <c r="K97" s="475">
        <f>+(J97/G97)</f>
        <v>1</v>
      </c>
      <c r="L97" s="475">
        <f>+K97*E97</f>
        <v>0.5</v>
      </c>
      <c r="M97" s="475">
        <f>+J97/F97</f>
        <v>0.2</v>
      </c>
      <c r="N97" s="475">
        <f>+M97*E97</f>
        <v>0.1</v>
      </c>
      <c r="O97" s="604" t="s">
        <v>1865</v>
      </c>
      <c r="P97" s="455"/>
      <c r="Q97" s="437"/>
      <c r="R97" s="437"/>
      <c r="S97" s="437"/>
      <c r="T97" s="437"/>
      <c r="U97" s="437"/>
    </row>
    <row r="98" spans="1:21" ht="113.45" customHeight="1" thickBot="1" x14ac:dyDescent="0.35">
      <c r="A98" s="638"/>
      <c r="B98" s="472" t="s">
        <v>1034</v>
      </c>
      <c r="C98" s="472" t="s">
        <v>1233</v>
      </c>
      <c r="D98" s="640" t="s">
        <v>1017</v>
      </c>
      <c r="E98" s="575">
        <v>0.1</v>
      </c>
      <c r="F98" s="576">
        <v>1500</v>
      </c>
      <c r="G98" s="660">
        <v>0</v>
      </c>
      <c r="H98" s="475"/>
      <c r="I98" s="475"/>
      <c r="J98" s="468"/>
      <c r="K98" s="475"/>
      <c r="L98" s="475"/>
      <c r="M98" s="475"/>
      <c r="N98" s="475">
        <v>0</v>
      </c>
      <c r="O98" s="604" t="s">
        <v>1865</v>
      </c>
      <c r="P98" s="455"/>
      <c r="Q98" s="437"/>
      <c r="R98" s="437"/>
      <c r="S98" s="437"/>
      <c r="T98" s="437"/>
      <c r="U98" s="437"/>
    </row>
    <row r="99" spans="1:21" ht="67.150000000000006" customHeight="1" thickBot="1" x14ac:dyDescent="0.35">
      <c r="A99" s="638"/>
      <c r="B99" s="735" t="s">
        <v>1781</v>
      </c>
      <c r="C99" s="718"/>
      <c r="D99" s="640"/>
      <c r="E99" s="582">
        <v>0.1</v>
      </c>
      <c r="F99" s="562"/>
      <c r="G99" s="468"/>
      <c r="H99" s="467">
        <f>+AVERAGE(H100:H104)</f>
        <v>0.25</v>
      </c>
      <c r="I99" s="467">
        <f>+I100+I101+I102+I103+I104</f>
        <v>0.185</v>
      </c>
      <c r="J99" s="466"/>
      <c r="K99" s="499">
        <f>+AVERAGE(K100:K104)</f>
        <v>1</v>
      </c>
      <c r="L99" s="469">
        <f>+(L100+L101+L102+L103+L104)*E99</f>
        <v>7.3999999999999996E-2</v>
      </c>
      <c r="M99" s="467">
        <f>+AVERAGE(M100:M104)</f>
        <v>0.26166666666666666</v>
      </c>
      <c r="N99" s="467">
        <f>+(N100+N101+N102+N103+N104)*E99</f>
        <v>2.095E-2</v>
      </c>
      <c r="O99" s="461"/>
      <c r="P99" s="455"/>
      <c r="Q99" s="437"/>
      <c r="R99" s="437"/>
      <c r="S99" s="437"/>
      <c r="T99" s="437"/>
      <c r="U99" s="437"/>
    </row>
    <row r="100" spans="1:21" ht="67.150000000000006" customHeight="1" thickBot="1" x14ac:dyDescent="0.35">
      <c r="A100" s="638"/>
      <c r="B100" s="472" t="s">
        <v>1035</v>
      </c>
      <c r="C100" s="472" t="s">
        <v>1234</v>
      </c>
      <c r="D100" s="640" t="s">
        <v>62</v>
      </c>
      <c r="E100" s="578">
        <v>0.06</v>
      </c>
      <c r="F100" s="576">
        <v>1</v>
      </c>
      <c r="G100" s="468">
        <v>0</v>
      </c>
      <c r="H100" s="475"/>
      <c r="I100" s="475"/>
      <c r="J100" s="468"/>
      <c r="K100" s="475"/>
      <c r="L100" s="475"/>
      <c r="M100" s="475"/>
      <c r="N100" s="475"/>
      <c r="O100" s="604" t="s">
        <v>1865</v>
      </c>
      <c r="P100" s="455"/>
      <c r="Q100" s="437"/>
      <c r="R100" s="437"/>
      <c r="S100" s="437"/>
      <c r="T100" s="437"/>
      <c r="U100" s="437"/>
    </row>
    <row r="101" spans="1:21" ht="67.150000000000006" customHeight="1" thickBot="1" x14ac:dyDescent="0.35">
      <c r="A101" s="638"/>
      <c r="B101" s="472" t="s">
        <v>1036</v>
      </c>
      <c r="C101" s="472" t="s">
        <v>1235</v>
      </c>
      <c r="D101" s="640" t="s">
        <v>62</v>
      </c>
      <c r="E101" s="578">
        <v>0.2</v>
      </c>
      <c r="F101" s="576">
        <v>1</v>
      </c>
      <c r="G101" s="468">
        <v>0</v>
      </c>
      <c r="H101" s="475"/>
      <c r="I101" s="475"/>
      <c r="J101" s="468"/>
      <c r="K101" s="475"/>
      <c r="L101" s="475"/>
      <c r="M101" s="475"/>
      <c r="N101" s="475"/>
      <c r="O101" s="604" t="s">
        <v>1865</v>
      </c>
      <c r="P101" s="455"/>
      <c r="Q101" s="437"/>
      <c r="R101" s="437"/>
      <c r="S101" s="437"/>
      <c r="T101" s="437"/>
      <c r="U101" s="437"/>
    </row>
    <row r="102" spans="1:21" ht="67.150000000000006" customHeight="1" thickBot="1" x14ac:dyDescent="0.35">
      <c r="A102" s="638"/>
      <c r="B102" s="472" t="s">
        <v>1037</v>
      </c>
      <c r="C102" s="472" t="s">
        <v>1236</v>
      </c>
      <c r="D102" s="640" t="s">
        <v>62</v>
      </c>
      <c r="E102" s="578">
        <v>0.7</v>
      </c>
      <c r="F102" s="576">
        <v>8000</v>
      </c>
      <c r="G102" s="468">
        <v>2000</v>
      </c>
      <c r="H102" s="475">
        <f>+G102/F102</f>
        <v>0.25</v>
      </c>
      <c r="I102" s="475">
        <f>+(G102/F102)*E102</f>
        <v>0.17499999999999999</v>
      </c>
      <c r="J102" s="468">
        <v>2280</v>
      </c>
      <c r="K102" s="475">
        <v>1</v>
      </c>
      <c r="L102" s="475">
        <f>+K102*E102</f>
        <v>0.7</v>
      </c>
      <c r="M102" s="475">
        <f>+J102/F102</f>
        <v>0.28499999999999998</v>
      </c>
      <c r="N102" s="475">
        <f>+M102*E102</f>
        <v>0.19949999999999998</v>
      </c>
      <c r="O102" s="604" t="s">
        <v>1865</v>
      </c>
      <c r="P102" s="455"/>
      <c r="Q102" s="437"/>
      <c r="R102" s="437"/>
      <c r="S102" s="437"/>
      <c r="T102" s="437"/>
      <c r="U102" s="437"/>
    </row>
    <row r="103" spans="1:21" ht="67.150000000000006" customHeight="1" thickBot="1" x14ac:dyDescent="0.35">
      <c r="A103" s="638"/>
      <c r="B103" s="472" t="s">
        <v>1038</v>
      </c>
      <c r="C103" s="472" t="s">
        <v>1237</v>
      </c>
      <c r="D103" s="640" t="s">
        <v>62</v>
      </c>
      <c r="E103" s="578">
        <v>0.02</v>
      </c>
      <c r="F103" s="576">
        <v>4</v>
      </c>
      <c r="G103" s="468">
        <v>1</v>
      </c>
      <c r="H103" s="475">
        <f>+G103/F103</f>
        <v>0.25</v>
      </c>
      <c r="I103" s="475">
        <f>+(G103/F103)*E103</f>
        <v>5.0000000000000001E-3</v>
      </c>
      <c r="J103" s="468">
        <v>1</v>
      </c>
      <c r="K103" s="475">
        <f>+(J103/G103)</f>
        <v>1</v>
      </c>
      <c r="L103" s="475">
        <f>+K103*E103</f>
        <v>0.02</v>
      </c>
      <c r="M103" s="475">
        <f>+J103/F103</f>
        <v>0.25</v>
      </c>
      <c r="N103" s="475">
        <f>+M103*E103</f>
        <v>5.0000000000000001E-3</v>
      </c>
      <c r="O103" s="604" t="s">
        <v>1865</v>
      </c>
      <c r="P103" s="455"/>
      <c r="Q103" s="437"/>
      <c r="R103" s="437"/>
      <c r="S103" s="437"/>
      <c r="T103" s="437"/>
      <c r="U103" s="437"/>
    </row>
    <row r="104" spans="1:21" ht="67.150000000000006" customHeight="1" thickBot="1" x14ac:dyDescent="0.35">
      <c r="A104" s="638"/>
      <c r="B104" s="472" t="s">
        <v>1039</v>
      </c>
      <c r="C104" s="472" t="s">
        <v>1238</v>
      </c>
      <c r="D104" s="640" t="s">
        <v>62</v>
      </c>
      <c r="E104" s="644">
        <v>0.02</v>
      </c>
      <c r="F104" s="576">
        <v>4</v>
      </c>
      <c r="G104" s="468">
        <v>1</v>
      </c>
      <c r="H104" s="475">
        <f>+G104/F104</f>
        <v>0.25</v>
      </c>
      <c r="I104" s="475">
        <f>+(G104/F104)*E104</f>
        <v>5.0000000000000001E-3</v>
      </c>
      <c r="J104" s="468">
        <v>1</v>
      </c>
      <c r="K104" s="475">
        <f>+(J104/G104)</f>
        <v>1</v>
      </c>
      <c r="L104" s="475">
        <f>+K104*E104</f>
        <v>0.02</v>
      </c>
      <c r="M104" s="475">
        <f>+J104/F104</f>
        <v>0.25</v>
      </c>
      <c r="N104" s="475">
        <f>+M104*E104</f>
        <v>5.0000000000000001E-3</v>
      </c>
      <c r="O104" s="604" t="s">
        <v>1865</v>
      </c>
      <c r="P104" s="455"/>
      <c r="Q104" s="437"/>
      <c r="R104" s="437"/>
      <c r="S104" s="437"/>
      <c r="T104" s="437"/>
      <c r="U104" s="437"/>
    </row>
    <row r="105" spans="1:21" ht="67.150000000000006" customHeight="1" thickBot="1" x14ac:dyDescent="0.35">
      <c r="A105" s="638"/>
      <c r="B105" s="735" t="s">
        <v>1782</v>
      </c>
      <c r="C105" s="718"/>
      <c r="D105" s="640"/>
      <c r="E105" s="646">
        <v>0.2</v>
      </c>
      <c r="F105" s="576"/>
      <c r="G105" s="461"/>
      <c r="H105" s="467">
        <f>+AVERAGE(H106:H108)</f>
        <v>0.30555555555555552</v>
      </c>
      <c r="I105" s="467">
        <f>+I106+I107+I108</f>
        <v>0.34166666666666667</v>
      </c>
      <c r="J105" s="466"/>
      <c r="K105" s="469">
        <f>+AVERAGE(K106:K108)</f>
        <v>0.48266666666666663</v>
      </c>
      <c r="L105" s="469">
        <f>+(L106+L107+L108)*E105</f>
        <v>5.5840000000000001E-2</v>
      </c>
      <c r="M105" s="467">
        <f>+AVERAGE(M106:M108)</f>
        <v>0.10822222222222222</v>
      </c>
      <c r="N105" s="467">
        <f>+(N106+N107+N108)*E105</f>
        <v>1.0973333333333335E-2</v>
      </c>
      <c r="O105" s="461"/>
      <c r="P105" s="455"/>
      <c r="Q105" s="437"/>
      <c r="R105" s="437"/>
      <c r="S105" s="437"/>
      <c r="T105" s="437"/>
      <c r="U105" s="437"/>
    </row>
    <row r="106" spans="1:21" ht="90" customHeight="1" thickBot="1" x14ac:dyDescent="0.35">
      <c r="A106" s="638"/>
      <c r="B106" s="472" t="s">
        <v>1040</v>
      </c>
      <c r="C106" s="472" t="s">
        <v>1239</v>
      </c>
      <c r="D106" s="640" t="s">
        <v>62</v>
      </c>
      <c r="E106" s="578">
        <v>0.1</v>
      </c>
      <c r="F106" s="576">
        <v>1</v>
      </c>
      <c r="G106" s="468">
        <v>0.25</v>
      </c>
      <c r="H106" s="475">
        <f>+G106/F106</f>
        <v>0.25</v>
      </c>
      <c r="I106" s="475">
        <f>+(G106/F106)*E106</f>
        <v>2.5000000000000001E-2</v>
      </c>
      <c r="J106" s="468">
        <v>0.25</v>
      </c>
      <c r="K106" s="475">
        <f>+(J106/G106)</f>
        <v>1</v>
      </c>
      <c r="L106" s="475">
        <f>+K106*E106</f>
        <v>0.1</v>
      </c>
      <c r="M106" s="475">
        <f>+J106/F106</f>
        <v>0.25</v>
      </c>
      <c r="N106" s="475">
        <f>+M106*E106</f>
        <v>2.5000000000000001E-2</v>
      </c>
      <c r="O106" s="604" t="s">
        <v>1865</v>
      </c>
      <c r="P106" s="455"/>
      <c r="Q106" s="437"/>
      <c r="R106" s="437"/>
      <c r="S106" s="437"/>
      <c r="T106" s="437"/>
      <c r="U106" s="437"/>
    </row>
    <row r="107" spans="1:21" ht="94.15" customHeight="1" thickBot="1" x14ac:dyDescent="0.35">
      <c r="A107" s="638"/>
      <c r="B107" s="472" t="s">
        <v>1041</v>
      </c>
      <c r="C107" s="472" t="s">
        <v>1240</v>
      </c>
      <c r="D107" s="640" t="s">
        <v>62</v>
      </c>
      <c r="E107" s="578">
        <v>0.4</v>
      </c>
      <c r="F107" s="576">
        <v>3000</v>
      </c>
      <c r="G107" s="468">
        <v>500</v>
      </c>
      <c r="H107" s="475">
        <f>+G107/F107</f>
        <v>0.16666666666666666</v>
      </c>
      <c r="I107" s="475">
        <f>+(G107/F107)*E107</f>
        <v>6.6666666666666666E-2</v>
      </c>
      <c r="J107" s="468">
        <v>224</v>
      </c>
      <c r="K107" s="475">
        <f>+(J107/G107)</f>
        <v>0.44800000000000001</v>
      </c>
      <c r="L107" s="475">
        <f>+K107*E107</f>
        <v>0.17920000000000003</v>
      </c>
      <c r="M107" s="475">
        <f>+J107/F107</f>
        <v>7.4666666666666673E-2</v>
      </c>
      <c r="N107" s="475">
        <f>+M107*E107</f>
        <v>2.986666666666667E-2</v>
      </c>
      <c r="O107" s="604" t="s">
        <v>1865</v>
      </c>
      <c r="P107" s="455"/>
      <c r="Q107" s="437"/>
      <c r="R107" s="437"/>
      <c r="S107" s="437"/>
      <c r="T107" s="437"/>
      <c r="U107" s="437"/>
    </row>
    <row r="108" spans="1:21" ht="67.150000000000006" customHeight="1" thickBot="1" x14ac:dyDescent="0.35">
      <c r="A108" s="638"/>
      <c r="B108" s="472" t="s">
        <v>1042</v>
      </c>
      <c r="C108" s="472" t="s">
        <v>1241</v>
      </c>
      <c r="D108" s="640" t="s">
        <v>62</v>
      </c>
      <c r="E108" s="578">
        <v>0.5</v>
      </c>
      <c r="F108" s="576">
        <v>1</v>
      </c>
      <c r="G108" s="468">
        <v>0.5</v>
      </c>
      <c r="H108" s="475">
        <f>+G108/F108</f>
        <v>0.5</v>
      </c>
      <c r="I108" s="475">
        <f>+(G108/F108)*E108</f>
        <v>0.25</v>
      </c>
      <c r="J108" s="468">
        <v>0</v>
      </c>
      <c r="K108" s="475">
        <f>+(J108/G108)</f>
        <v>0</v>
      </c>
      <c r="L108" s="475">
        <f>+K108*E108</f>
        <v>0</v>
      </c>
      <c r="M108" s="475">
        <f>+J108/F108</f>
        <v>0</v>
      </c>
      <c r="N108" s="475">
        <f>+M108*E108</f>
        <v>0</v>
      </c>
      <c r="O108" s="604" t="s">
        <v>1865</v>
      </c>
      <c r="P108" s="455"/>
      <c r="Q108" s="437"/>
      <c r="R108" s="437"/>
      <c r="S108" s="437"/>
      <c r="T108" s="437"/>
      <c r="U108" s="437"/>
    </row>
    <row r="109" spans="1:21" ht="67.150000000000006" customHeight="1" thickBot="1" x14ac:dyDescent="0.35">
      <c r="A109" s="638"/>
      <c r="B109" s="730" t="s">
        <v>1842</v>
      </c>
      <c r="C109" s="718"/>
      <c r="D109" s="640"/>
      <c r="E109" s="584">
        <v>0.2</v>
      </c>
      <c r="F109" s="641">
        <f>E109*L109</f>
        <v>0.15047200000000005</v>
      </c>
      <c r="G109" s="461"/>
      <c r="H109" s="459">
        <f>+(H110+H116+H123+H131+H134+H139)/6</f>
        <v>0.24585946833930702</v>
      </c>
      <c r="I109" s="460">
        <f>+(I110+I116+I123+I131+I134+I139)/6</f>
        <v>0.2020855734767025</v>
      </c>
      <c r="J109" s="461"/>
      <c r="K109" s="459">
        <f>+(K110+K116+K123+K131+K134+K139)/6</f>
        <v>0.92183333333333339</v>
      </c>
      <c r="L109" s="460">
        <f>+L110+L116+L123+L131+L134+L139</f>
        <v>0.75236000000000014</v>
      </c>
      <c r="M109" s="459">
        <f>(M110+M116+M123+M131+M134+M139)/6</f>
        <v>0.20924477299880526</v>
      </c>
      <c r="N109" s="642">
        <f>(N110+N116+N123+N131+N134+N139)</f>
        <v>0.18580852150537633</v>
      </c>
      <c r="O109" s="461"/>
      <c r="P109" s="455"/>
      <c r="Q109" s="437"/>
      <c r="R109" s="437"/>
      <c r="S109" s="437"/>
      <c r="T109" s="437"/>
      <c r="U109" s="437"/>
    </row>
    <row r="110" spans="1:21" ht="67.150000000000006" customHeight="1" thickBot="1" x14ac:dyDescent="0.35">
      <c r="A110" s="638"/>
      <c r="B110" s="735" t="s">
        <v>1783</v>
      </c>
      <c r="C110" s="718"/>
      <c r="D110" s="640"/>
      <c r="E110" s="582">
        <v>0.2</v>
      </c>
      <c r="F110" s="562"/>
      <c r="G110" s="461"/>
      <c r="H110" s="467">
        <f>+AVERAGE(H111:H115)</f>
        <v>0.20833333333333331</v>
      </c>
      <c r="I110" s="467">
        <f>+I111+I112+I113+I114+I115</f>
        <v>0.10833333333333334</v>
      </c>
      <c r="J110" s="466"/>
      <c r="K110" s="469">
        <f>+AVERAGE(K111:K115)</f>
        <v>1</v>
      </c>
      <c r="L110" s="469">
        <f>+(L111+L112+L113+L114+L115)*E110</f>
        <v>0.11000000000000001</v>
      </c>
      <c r="M110" s="467">
        <f>+AVERAGE(M111:M115)</f>
        <v>0.18888888888888888</v>
      </c>
      <c r="N110" s="467">
        <f>+(N111+N113+N114+N115)*E110</f>
        <v>2.7666666666666669E-2</v>
      </c>
      <c r="O110" s="461"/>
      <c r="P110" s="455"/>
      <c r="Q110" s="437"/>
      <c r="R110" s="437"/>
      <c r="S110" s="437"/>
      <c r="T110" s="437"/>
      <c r="U110" s="437"/>
    </row>
    <row r="111" spans="1:21" ht="67.150000000000006" customHeight="1" thickBot="1" x14ac:dyDescent="0.35">
      <c r="A111" s="638"/>
      <c r="B111" s="481" t="s">
        <v>1043</v>
      </c>
      <c r="C111" s="472" t="s">
        <v>1242</v>
      </c>
      <c r="D111" s="640" t="s">
        <v>564</v>
      </c>
      <c r="E111" s="578">
        <v>0.2</v>
      </c>
      <c r="F111" s="576">
        <v>4</v>
      </c>
      <c r="G111" s="468">
        <v>0</v>
      </c>
      <c r="H111" s="475"/>
      <c r="I111" s="475">
        <v>0</v>
      </c>
      <c r="J111" s="587"/>
      <c r="K111" s="475"/>
      <c r="L111" s="475"/>
      <c r="M111" s="475"/>
      <c r="N111" s="475">
        <v>0</v>
      </c>
      <c r="O111" s="479" t="s">
        <v>1862</v>
      </c>
      <c r="P111" s="455"/>
      <c r="Q111" s="437"/>
      <c r="R111" s="437"/>
      <c r="S111" s="437"/>
      <c r="T111" s="437"/>
      <c r="U111" s="437"/>
    </row>
    <row r="112" spans="1:21" ht="67.150000000000006" customHeight="1" thickBot="1" x14ac:dyDescent="0.35">
      <c r="A112" s="638"/>
      <c r="B112" s="481" t="s">
        <v>1044</v>
      </c>
      <c r="C112" s="472" t="s">
        <v>1243</v>
      </c>
      <c r="D112" s="640" t="s">
        <v>564</v>
      </c>
      <c r="E112" s="578">
        <v>0.2</v>
      </c>
      <c r="F112" s="576">
        <v>6</v>
      </c>
      <c r="G112" s="468">
        <v>0</v>
      </c>
      <c r="H112" s="475"/>
      <c r="I112" s="475">
        <v>0</v>
      </c>
      <c r="J112" s="587"/>
      <c r="K112" s="475"/>
      <c r="L112" s="475"/>
      <c r="M112" s="475"/>
      <c r="N112" s="475">
        <v>0</v>
      </c>
      <c r="O112" s="479" t="s">
        <v>1862</v>
      </c>
      <c r="P112" s="455"/>
      <c r="Q112" s="437"/>
      <c r="R112" s="437"/>
      <c r="S112" s="437"/>
      <c r="T112" s="437"/>
      <c r="U112" s="437"/>
    </row>
    <row r="113" spans="1:21" ht="67.150000000000006" customHeight="1" thickBot="1" x14ac:dyDescent="0.35">
      <c r="A113" s="638"/>
      <c r="B113" s="481" t="s">
        <v>1045</v>
      </c>
      <c r="C113" s="472" t="s">
        <v>1244</v>
      </c>
      <c r="D113" s="640" t="s">
        <v>564</v>
      </c>
      <c r="E113" s="578">
        <v>0.35</v>
      </c>
      <c r="F113" s="576">
        <v>6</v>
      </c>
      <c r="G113" s="468">
        <v>1</v>
      </c>
      <c r="H113" s="475">
        <f>+G113/F113</f>
        <v>0.16666666666666666</v>
      </c>
      <c r="I113" s="475">
        <f>+(G113/F113)*E113</f>
        <v>5.8333333333333327E-2</v>
      </c>
      <c r="J113" s="587">
        <v>1</v>
      </c>
      <c r="K113" s="475">
        <v>1</v>
      </c>
      <c r="L113" s="475">
        <f>+K113*E113</f>
        <v>0.35</v>
      </c>
      <c r="M113" s="475">
        <f>+J113/F113</f>
        <v>0.16666666666666666</v>
      </c>
      <c r="N113" s="475">
        <f t="shared" ref="N113:N129" si="12">+M113*E113</f>
        <v>5.8333333333333327E-2</v>
      </c>
      <c r="O113" s="479" t="s">
        <v>1862</v>
      </c>
      <c r="P113" s="455"/>
      <c r="Q113" s="437"/>
      <c r="R113" s="437"/>
      <c r="S113" s="437"/>
      <c r="T113" s="437"/>
      <c r="U113" s="437"/>
    </row>
    <row r="114" spans="1:21" ht="67.150000000000006" customHeight="1" thickBot="1" x14ac:dyDescent="0.35">
      <c r="A114" s="638"/>
      <c r="B114" s="481" t="s">
        <v>1046</v>
      </c>
      <c r="C114" s="472" t="s">
        <v>1245</v>
      </c>
      <c r="D114" s="640" t="s">
        <v>564</v>
      </c>
      <c r="E114" s="578">
        <v>0.2</v>
      </c>
      <c r="F114" s="576">
        <v>40</v>
      </c>
      <c r="G114" s="468">
        <v>10</v>
      </c>
      <c r="H114" s="475">
        <f>+G114/F114</f>
        <v>0.25</v>
      </c>
      <c r="I114" s="475">
        <f>+(G114/F114)*E114</f>
        <v>0.05</v>
      </c>
      <c r="J114" s="587">
        <v>16</v>
      </c>
      <c r="K114" s="475">
        <v>1</v>
      </c>
      <c r="L114" s="475">
        <f>+K114*E114</f>
        <v>0.2</v>
      </c>
      <c r="M114" s="475">
        <f>+J114/F114</f>
        <v>0.4</v>
      </c>
      <c r="N114" s="475">
        <f t="shared" ref="N114" si="13">+M114*E114</f>
        <v>8.0000000000000016E-2</v>
      </c>
      <c r="O114" s="479" t="s">
        <v>1862</v>
      </c>
      <c r="P114" s="455"/>
      <c r="Q114" s="437"/>
      <c r="R114" s="437"/>
      <c r="S114" s="437"/>
      <c r="T114" s="437"/>
      <c r="U114" s="437"/>
    </row>
    <row r="115" spans="1:21" ht="67.150000000000006" customHeight="1" thickBot="1" x14ac:dyDescent="0.35">
      <c r="A115" s="638"/>
      <c r="B115" s="472" t="s">
        <v>1047</v>
      </c>
      <c r="C115" s="472" t="s">
        <v>1246</v>
      </c>
      <c r="D115" s="640" t="s">
        <v>564</v>
      </c>
      <c r="E115" s="578">
        <v>0.05</v>
      </c>
      <c r="F115" s="576">
        <v>1</v>
      </c>
      <c r="G115" s="468">
        <v>0</v>
      </c>
      <c r="H115" s="475"/>
      <c r="I115" s="475"/>
      <c r="J115" s="468"/>
      <c r="K115" s="475"/>
      <c r="L115" s="475"/>
      <c r="M115" s="661">
        <v>0</v>
      </c>
      <c r="N115" s="475">
        <v>0</v>
      </c>
      <c r="O115" s="479" t="s">
        <v>1862</v>
      </c>
      <c r="P115" s="455"/>
      <c r="Q115" s="437"/>
      <c r="R115" s="437"/>
      <c r="S115" s="437"/>
      <c r="T115" s="437"/>
      <c r="U115" s="437"/>
    </row>
    <row r="116" spans="1:21" ht="67.150000000000006" customHeight="1" thickBot="1" x14ac:dyDescent="0.35">
      <c r="A116" s="638"/>
      <c r="B116" s="735" t="s">
        <v>1784</v>
      </c>
      <c r="C116" s="718"/>
      <c r="D116" s="640"/>
      <c r="E116" s="582">
        <v>0.2</v>
      </c>
      <c r="F116" s="562"/>
      <c r="G116" s="461"/>
      <c r="H116" s="467">
        <f>+AVERAGE(H117:H122)</f>
        <v>0.19999999999999998</v>
      </c>
      <c r="I116" s="467">
        <f>+I117+I118+I119+I120+I121+I122</f>
        <v>0.17499999999999999</v>
      </c>
      <c r="J116" s="466"/>
      <c r="K116" s="469">
        <f>+AVERAGE(K117:K122)</f>
        <v>0.90600000000000003</v>
      </c>
      <c r="L116" s="469">
        <f>+(L117+L118+L119+L120+L121+L122)*E116</f>
        <v>0.18236000000000002</v>
      </c>
      <c r="M116" s="467">
        <f>+AVERAGE(M117:M122)</f>
        <v>0.18400000000000002</v>
      </c>
      <c r="N116" s="467">
        <f>+(N117+N118+N119+N120+N121+N122)*E116</f>
        <v>3.2840000000000001E-2</v>
      </c>
      <c r="O116" s="461"/>
      <c r="P116" s="455"/>
      <c r="Q116" s="437"/>
      <c r="R116" s="437"/>
      <c r="S116" s="437"/>
      <c r="T116" s="437"/>
      <c r="U116" s="437"/>
    </row>
    <row r="117" spans="1:21" ht="67.150000000000006" customHeight="1" thickBot="1" x14ac:dyDescent="0.35">
      <c r="A117" s="638"/>
      <c r="B117" s="481" t="s">
        <v>1048</v>
      </c>
      <c r="C117" s="472" t="s">
        <v>1247</v>
      </c>
      <c r="D117" s="640" t="s">
        <v>564</v>
      </c>
      <c r="E117" s="578">
        <v>0.05</v>
      </c>
      <c r="F117" s="576">
        <v>1</v>
      </c>
      <c r="G117" s="587">
        <v>0.25</v>
      </c>
      <c r="H117" s="475">
        <f t="shared" ref="H117:H122" si="14">+G117/F117</f>
        <v>0.25</v>
      </c>
      <c r="I117" s="475">
        <f t="shared" ref="I117:I122" si="15">+(G117/F117)*E117</f>
        <v>1.2500000000000001E-2</v>
      </c>
      <c r="J117" s="587">
        <v>0.19900000000000001</v>
      </c>
      <c r="K117" s="475">
        <f t="shared" ref="K117:K122" si="16">+(J117/G117)</f>
        <v>0.79600000000000004</v>
      </c>
      <c r="L117" s="475">
        <f t="shared" ref="L117:L122" si="17">+K117*E117</f>
        <v>3.9800000000000002E-2</v>
      </c>
      <c r="M117" s="475">
        <f t="shared" ref="M117:M122" si="18">+J117/F117</f>
        <v>0.19900000000000001</v>
      </c>
      <c r="N117" s="475">
        <f>+M117*E117</f>
        <v>9.9500000000000005E-3</v>
      </c>
      <c r="O117" s="479" t="s">
        <v>1862</v>
      </c>
      <c r="P117" s="455"/>
      <c r="Q117" s="437"/>
      <c r="R117" s="437"/>
      <c r="S117" s="437"/>
      <c r="T117" s="437"/>
      <c r="U117" s="437"/>
    </row>
    <row r="118" spans="1:21" ht="67.150000000000006" customHeight="1" thickBot="1" x14ac:dyDescent="0.35">
      <c r="A118" s="638"/>
      <c r="B118" s="481" t="s">
        <v>1049</v>
      </c>
      <c r="C118" s="472" t="s">
        <v>1248</v>
      </c>
      <c r="D118" s="640" t="s">
        <v>564</v>
      </c>
      <c r="E118" s="578">
        <v>0.25</v>
      </c>
      <c r="F118" s="576">
        <v>1</v>
      </c>
      <c r="G118" s="587">
        <v>0.1</v>
      </c>
      <c r="H118" s="597">
        <f t="shared" si="14"/>
        <v>0.1</v>
      </c>
      <c r="I118" s="597">
        <f t="shared" si="15"/>
        <v>2.5000000000000001E-2</v>
      </c>
      <c r="J118" s="596">
        <v>7.0000000000000007E-2</v>
      </c>
      <c r="K118" s="475">
        <f t="shared" si="16"/>
        <v>0.70000000000000007</v>
      </c>
      <c r="L118" s="475">
        <f t="shared" si="17"/>
        <v>0.17500000000000002</v>
      </c>
      <c r="M118" s="475">
        <f t="shared" si="18"/>
        <v>7.0000000000000007E-2</v>
      </c>
      <c r="N118" s="475">
        <f t="shared" si="12"/>
        <v>1.7500000000000002E-2</v>
      </c>
      <c r="O118" s="479" t="s">
        <v>1862</v>
      </c>
      <c r="P118" s="455"/>
      <c r="Q118" s="437"/>
      <c r="R118" s="437"/>
      <c r="S118" s="437"/>
      <c r="T118" s="437"/>
      <c r="U118" s="437"/>
    </row>
    <row r="119" spans="1:21" ht="67.150000000000006" customHeight="1" thickBot="1" x14ac:dyDescent="0.35">
      <c r="A119" s="638"/>
      <c r="B119" s="472" t="s">
        <v>1050</v>
      </c>
      <c r="C119" s="472" t="s">
        <v>1249</v>
      </c>
      <c r="D119" s="640" t="s">
        <v>564</v>
      </c>
      <c r="E119" s="578">
        <v>0.05</v>
      </c>
      <c r="F119" s="576">
        <v>4</v>
      </c>
      <c r="G119" s="468">
        <v>1</v>
      </c>
      <c r="H119" s="475">
        <f t="shared" si="14"/>
        <v>0.25</v>
      </c>
      <c r="I119" s="475">
        <f t="shared" si="15"/>
        <v>1.2500000000000001E-2</v>
      </c>
      <c r="J119" s="468">
        <v>0.94</v>
      </c>
      <c r="K119" s="475">
        <f t="shared" si="16"/>
        <v>0.94</v>
      </c>
      <c r="L119" s="475">
        <f t="shared" si="17"/>
        <v>4.7E-2</v>
      </c>
      <c r="M119" s="475">
        <f t="shared" si="18"/>
        <v>0.23499999999999999</v>
      </c>
      <c r="N119" s="475">
        <f t="shared" si="12"/>
        <v>1.175E-2</v>
      </c>
      <c r="O119" s="479" t="s">
        <v>1862</v>
      </c>
      <c r="P119" s="455"/>
      <c r="Q119" s="437"/>
      <c r="R119" s="437"/>
      <c r="S119" s="437"/>
      <c r="T119" s="437"/>
      <c r="U119" s="437"/>
    </row>
    <row r="120" spans="1:21" ht="67.150000000000006" customHeight="1" thickBot="1" x14ac:dyDescent="0.35">
      <c r="A120" s="638"/>
      <c r="B120" s="481" t="s">
        <v>1051</v>
      </c>
      <c r="C120" s="472" t="s">
        <v>1250</v>
      </c>
      <c r="D120" s="640" t="s">
        <v>564</v>
      </c>
      <c r="E120" s="578">
        <v>0.25</v>
      </c>
      <c r="F120" s="576">
        <v>1</v>
      </c>
      <c r="G120" s="468">
        <v>0.1</v>
      </c>
      <c r="H120" s="475">
        <f t="shared" si="14"/>
        <v>0.1</v>
      </c>
      <c r="I120" s="475">
        <f t="shared" si="15"/>
        <v>2.5000000000000001E-2</v>
      </c>
      <c r="J120" s="468">
        <v>0.1</v>
      </c>
      <c r="K120" s="475">
        <f t="shared" si="16"/>
        <v>1</v>
      </c>
      <c r="L120" s="475">
        <f t="shared" si="17"/>
        <v>0.25</v>
      </c>
      <c r="M120" s="475">
        <f t="shared" si="18"/>
        <v>0.1</v>
      </c>
      <c r="N120" s="475">
        <f t="shared" si="12"/>
        <v>2.5000000000000001E-2</v>
      </c>
      <c r="O120" s="479" t="s">
        <v>1862</v>
      </c>
      <c r="P120" s="455"/>
      <c r="Q120" s="437"/>
      <c r="R120" s="437"/>
      <c r="S120" s="437"/>
      <c r="T120" s="437"/>
      <c r="U120" s="437"/>
    </row>
    <row r="121" spans="1:21" ht="67.150000000000006" customHeight="1" thickBot="1" x14ac:dyDescent="0.35">
      <c r="A121" s="638"/>
      <c r="B121" s="481" t="s">
        <v>1052</v>
      </c>
      <c r="C121" s="472" t="s">
        <v>1251</v>
      </c>
      <c r="D121" s="640" t="s">
        <v>564</v>
      </c>
      <c r="E121" s="578">
        <v>0.05</v>
      </c>
      <c r="F121" s="576">
        <v>4</v>
      </c>
      <c r="G121" s="468">
        <v>1</v>
      </c>
      <c r="H121" s="475">
        <f t="shared" si="14"/>
        <v>0.25</v>
      </c>
      <c r="I121" s="475">
        <f t="shared" si="15"/>
        <v>1.2500000000000001E-2</v>
      </c>
      <c r="J121" s="468">
        <v>1</v>
      </c>
      <c r="K121" s="475">
        <f t="shared" si="16"/>
        <v>1</v>
      </c>
      <c r="L121" s="475">
        <f t="shared" si="17"/>
        <v>0.05</v>
      </c>
      <c r="M121" s="475">
        <f t="shared" si="18"/>
        <v>0.25</v>
      </c>
      <c r="N121" s="475">
        <f t="shared" si="12"/>
        <v>1.2500000000000001E-2</v>
      </c>
      <c r="O121" s="479" t="s">
        <v>1862</v>
      </c>
      <c r="P121" s="455"/>
      <c r="Q121" s="437"/>
      <c r="R121" s="437"/>
      <c r="S121" s="437"/>
      <c r="T121" s="437"/>
      <c r="U121" s="437"/>
    </row>
    <row r="122" spans="1:21" ht="67.150000000000006" customHeight="1" thickBot="1" x14ac:dyDescent="0.35">
      <c r="A122" s="638"/>
      <c r="B122" s="481" t="s">
        <v>1053</v>
      </c>
      <c r="C122" s="472" t="s">
        <v>1252</v>
      </c>
      <c r="D122" s="640" t="s">
        <v>564</v>
      </c>
      <c r="E122" s="578">
        <v>0.35</v>
      </c>
      <c r="F122" s="576">
        <v>44</v>
      </c>
      <c r="G122" s="468">
        <v>11</v>
      </c>
      <c r="H122" s="475">
        <f t="shared" si="14"/>
        <v>0.25</v>
      </c>
      <c r="I122" s="475">
        <f t="shared" si="15"/>
        <v>8.7499999999999994E-2</v>
      </c>
      <c r="J122" s="468">
        <v>11</v>
      </c>
      <c r="K122" s="475">
        <f t="shared" si="16"/>
        <v>1</v>
      </c>
      <c r="L122" s="475">
        <f t="shared" si="17"/>
        <v>0.35</v>
      </c>
      <c r="M122" s="475">
        <f t="shared" si="18"/>
        <v>0.25</v>
      </c>
      <c r="N122" s="475">
        <f t="shared" si="12"/>
        <v>8.7499999999999994E-2</v>
      </c>
      <c r="O122" s="479" t="s">
        <v>1862</v>
      </c>
      <c r="P122" s="455"/>
      <c r="Q122" s="437"/>
      <c r="R122" s="437"/>
      <c r="S122" s="437"/>
      <c r="T122" s="437"/>
      <c r="U122" s="437"/>
    </row>
    <row r="123" spans="1:21" ht="67.150000000000006" customHeight="1" thickBot="1" x14ac:dyDescent="0.35">
      <c r="A123" s="638"/>
      <c r="B123" s="735" t="s">
        <v>1785</v>
      </c>
      <c r="C123" s="718"/>
      <c r="D123" s="640"/>
      <c r="E123" s="582">
        <v>0.2</v>
      </c>
      <c r="F123" s="562"/>
      <c r="G123" s="461"/>
      <c r="H123" s="467">
        <f>+AVERAGE(H124:H130)</f>
        <v>0.24946236559139784</v>
      </c>
      <c r="I123" s="467">
        <f>I124+I125+I126+I127+I128+I129+I130</f>
        <v>0.19959677419354838</v>
      </c>
      <c r="J123" s="466"/>
      <c r="K123" s="469">
        <f>+AVERAGE(K124:K130)</f>
        <v>1</v>
      </c>
      <c r="L123" s="469">
        <f>+(L124+L125+L126+L127+L128+L129+L130)*E123</f>
        <v>0.16000000000000003</v>
      </c>
      <c r="M123" s="467">
        <f>+AVERAGE(M124:M130)</f>
        <v>0.25896863799283154</v>
      </c>
      <c r="N123" s="467">
        <f>+(N124+N125+N126+N127+N128+N129+N130)*E123</f>
        <v>4.8489354838709676E-2</v>
      </c>
      <c r="O123" s="461"/>
      <c r="P123" s="455"/>
      <c r="Q123" s="437"/>
      <c r="R123" s="437"/>
      <c r="S123" s="437"/>
      <c r="T123" s="437"/>
      <c r="U123" s="437"/>
    </row>
    <row r="124" spans="1:21" ht="67.150000000000006" customHeight="1" thickBot="1" x14ac:dyDescent="0.35">
      <c r="A124" s="638"/>
      <c r="B124" s="481" t="s">
        <v>1054</v>
      </c>
      <c r="C124" s="472" t="s">
        <v>1253</v>
      </c>
      <c r="D124" s="640" t="s">
        <v>564</v>
      </c>
      <c r="E124" s="578">
        <v>0.1</v>
      </c>
      <c r="F124" s="576">
        <v>16</v>
      </c>
      <c r="G124" s="468">
        <v>4</v>
      </c>
      <c r="H124" s="475">
        <f t="shared" ref="H124:H129" si="19">+G124/F124</f>
        <v>0.25</v>
      </c>
      <c r="I124" s="475">
        <f t="shared" ref="I124:I129" si="20">+(G124/F124)*E124</f>
        <v>2.5000000000000001E-2</v>
      </c>
      <c r="J124" s="587">
        <v>5</v>
      </c>
      <c r="K124" s="475">
        <v>1</v>
      </c>
      <c r="L124" s="475">
        <f t="shared" ref="L124:L129" si="21">+K124*E124</f>
        <v>0.1</v>
      </c>
      <c r="M124" s="475">
        <f t="shared" ref="M124:M129" si="22">+J124/F124</f>
        <v>0.3125</v>
      </c>
      <c r="N124" s="475">
        <f>+M124*E124</f>
        <v>3.125E-2</v>
      </c>
      <c r="O124" s="479" t="s">
        <v>1862</v>
      </c>
      <c r="P124" s="455"/>
      <c r="Q124" s="437"/>
      <c r="R124" s="437"/>
      <c r="S124" s="437"/>
      <c r="T124" s="437"/>
      <c r="U124" s="437"/>
    </row>
    <row r="125" spans="1:21" ht="67.150000000000006" customHeight="1" thickBot="1" x14ac:dyDescent="0.35">
      <c r="A125" s="638"/>
      <c r="B125" s="481" t="s">
        <v>1055</v>
      </c>
      <c r="C125" s="472" t="s">
        <v>1254</v>
      </c>
      <c r="D125" s="640" t="s">
        <v>564</v>
      </c>
      <c r="E125" s="578">
        <v>0.15</v>
      </c>
      <c r="F125" s="576">
        <v>93</v>
      </c>
      <c r="G125" s="468">
        <v>23</v>
      </c>
      <c r="H125" s="475">
        <f t="shared" si="19"/>
        <v>0.24731182795698925</v>
      </c>
      <c r="I125" s="475">
        <f t="shared" si="20"/>
        <v>3.7096774193548385E-2</v>
      </c>
      <c r="J125" s="587">
        <v>23</v>
      </c>
      <c r="K125" s="475">
        <f t="shared" ref="K125:K129" si="23">+(J125/G125)</f>
        <v>1</v>
      </c>
      <c r="L125" s="475">
        <f t="shared" si="21"/>
        <v>0.15</v>
      </c>
      <c r="M125" s="475">
        <f t="shared" si="22"/>
        <v>0.24731182795698925</v>
      </c>
      <c r="N125" s="475">
        <f t="shared" si="12"/>
        <v>3.7096774193548385E-2</v>
      </c>
      <c r="O125" s="479" t="s">
        <v>1862</v>
      </c>
      <c r="P125" s="455"/>
      <c r="Q125" s="437"/>
      <c r="R125" s="437"/>
      <c r="S125" s="437"/>
      <c r="T125" s="437"/>
      <c r="U125" s="437"/>
    </row>
    <row r="126" spans="1:21" ht="67.150000000000006" customHeight="1" thickBot="1" x14ac:dyDescent="0.35">
      <c r="A126" s="638"/>
      <c r="B126" s="481" t="s">
        <v>1056</v>
      </c>
      <c r="C126" s="472" t="s">
        <v>1255</v>
      </c>
      <c r="D126" s="640" t="s">
        <v>564</v>
      </c>
      <c r="E126" s="578">
        <v>0.15</v>
      </c>
      <c r="F126" s="576">
        <v>1500</v>
      </c>
      <c r="G126" s="468">
        <v>375</v>
      </c>
      <c r="H126" s="475">
        <f t="shared" si="19"/>
        <v>0.25</v>
      </c>
      <c r="I126" s="475">
        <f t="shared" si="20"/>
        <v>3.7499999999999999E-2</v>
      </c>
      <c r="J126" s="587">
        <v>741</v>
      </c>
      <c r="K126" s="475">
        <v>1</v>
      </c>
      <c r="L126" s="475">
        <f>+K126*E126</f>
        <v>0.15</v>
      </c>
      <c r="M126" s="475">
        <f>+J126/F126</f>
        <v>0.49399999999999999</v>
      </c>
      <c r="N126" s="475">
        <f>+M126*E126</f>
        <v>7.4099999999999999E-2</v>
      </c>
      <c r="O126" s="479" t="s">
        <v>1862</v>
      </c>
      <c r="P126" s="455"/>
      <c r="Q126" s="437"/>
      <c r="R126" s="437"/>
      <c r="S126" s="437"/>
      <c r="T126" s="437"/>
      <c r="U126" s="437"/>
    </row>
    <row r="127" spans="1:21" ht="67.150000000000006" customHeight="1" thickBot="1" x14ac:dyDescent="0.35">
      <c r="A127" s="638"/>
      <c r="B127" s="481" t="s">
        <v>1057</v>
      </c>
      <c r="C127" s="472" t="s">
        <v>1256</v>
      </c>
      <c r="D127" s="640" t="s">
        <v>564</v>
      </c>
      <c r="E127" s="578">
        <v>0.1</v>
      </c>
      <c r="F127" s="576">
        <v>12</v>
      </c>
      <c r="G127" s="468">
        <v>3</v>
      </c>
      <c r="H127" s="475">
        <f t="shared" si="19"/>
        <v>0.25</v>
      </c>
      <c r="I127" s="475">
        <f t="shared" si="20"/>
        <v>2.5000000000000001E-2</v>
      </c>
      <c r="J127" s="587">
        <v>3</v>
      </c>
      <c r="K127" s="475">
        <f t="shared" si="23"/>
        <v>1</v>
      </c>
      <c r="L127" s="475">
        <f t="shared" si="21"/>
        <v>0.1</v>
      </c>
      <c r="M127" s="475">
        <f t="shared" si="22"/>
        <v>0.25</v>
      </c>
      <c r="N127" s="475">
        <f t="shared" si="12"/>
        <v>2.5000000000000001E-2</v>
      </c>
      <c r="O127" s="479" t="s">
        <v>1862</v>
      </c>
      <c r="P127" s="455"/>
      <c r="Q127" s="437"/>
      <c r="R127" s="437"/>
      <c r="S127" s="437"/>
      <c r="T127" s="437"/>
      <c r="U127" s="437"/>
    </row>
    <row r="128" spans="1:21" ht="67.150000000000006" customHeight="1" thickBot="1" x14ac:dyDescent="0.35">
      <c r="A128" s="638"/>
      <c r="B128" s="481" t="s">
        <v>1058</v>
      </c>
      <c r="C128" s="472" t="s">
        <v>1257</v>
      </c>
      <c r="D128" s="640" t="s">
        <v>564</v>
      </c>
      <c r="E128" s="578">
        <v>0.1</v>
      </c>
      <c r="F128" s="576">
        <v>1</v>
      </c>
      <c r="G128" s="662">
        <v>0</v>
      </c>
      <c r="H128" s="475"/>
      <c r="I128" s="475"/>
      <c r="J128" s="662"/>
      <c r="K128" s="475"/>
      <c r="L128" s="475"/>
      <c r="M128" s="661">
        <v>0</v>
      </c>
      <c r="N128" s="475"/>
      <c r="O128" s="479" t="s">
        <v>1862</v>
      </c>
      <c r="P128" s="455"/>
      <c r="Q128" s="437"/>
      <c r="R128" s="437"/>
      <c r="S128" s="437"/>
      <c r="T128" s="437"/>
      <c r="U128" s="437"/>
    </row>
    <row r="129" spans="1:21" ht="67.150000000000006" customHeight="1" thickBot="1" x14ac:dyDescent="0.35">
      <c r="A129" s="638"/>
      <c r="B129" s="472" t="s">
        <v>1059</v>
      </c>
      <c r="C129" s="472" t="s">
        <v>1258</v>
      </c>
      <c r="D129" s="640" t="s">
        <v>564</v>
      </c>
      <c r="E129" s="578">
        <v>0.3</v>
      </c>
      <c r="F129" s="576">
        <f>21*4</f>
        <v>84</v>
      </c>
      <c r="G129" s="468">
        <v>21</v>
      </c>
      <c r="H129" s="475">
        <f t="shared" si="19"/>
        <v>0.25</v>
      </c>
      <c r="I129" s="475">
        <f t="shared" si="20"/>
        <v>7.4999999999999997E-2</v>
      </c>
      <c r="J129" s="468">
        <v>21</v>
      </c>
      <c r="K129" s="475">
        <f t="shared" si="23"/>
        <v>1</v>
      </c>
      <c r="L129" s="475">
        <f t="shared" si="21"/>
        <v>0.3</v>
      </c>
      <c r="M129" s="475">
        <f t="shared" si="22"/>
        <v>0.25</v>
      </c>
      <c r="N129" s="475">
        <f t="shared" si="12"/>
        <v>7.4999999999999997E-2</v>
      </c>
      <c r="O129" s="479" t="s">
        <v>1862</v>
      </c>
      <c r="P129" s="455"/>
      <c r="Q129" s="437"/>
      <c r="R129" s="437"/>
      <c r="S129" s="437"/>
      <c r="T129" s="437"/>
      <c r="U129" s="437"/>
    </row>
    <row r="130" spans="1:21" ht="67.150000000000006" customHeight="1" thickBot="1" x14ac:dyDescent="0.35">
      <c r="A130" s="638"/>
      <c r="B130" s="472" t="s">
        <v>1060</v>
      </c>
      <c r="C130" s="472" t="s">
        <v>1259</v>
      </c>
      <c r="D130" s="640" t="s">
        <v>564</v>
      </c>
      <c r="E130" s="578">
        <v>0.1</v>
      </c>
      <c r="F130" s="576">
        <v>7</v>
      </c>
      <c r="G130" s="468">
        <v>0</v>
      </c>
      <c r="H130" s="475"/>
      <c r="I130" s="475"/>
      <c r="J130" s="587"/>
      <c r="K130" s="475"/>
      <c r="L130" s="475"/>
      <c r="M130" s="475"/>
      <c r="N130" s="475"/>
      <c r="O130" s="479" t="s">
        <v>1862</v>
      </c>
      <c r="P130" s="455"/>
      <c r="Q130" s="437"/>
      <c r="R130" s="437"/>
      <c r="S130" s="437"/>
      <c r="T130" s="437"/>
      <c r="U130" s="437"/>
    </row>
    <row r="131" spans="1:21" ht="67.150000000000006" customHeight="1" thickBot="1" x14ac:dyDescent="0.35">
      <c r="A131" s="638"/>
      <c r="B131" s="735" t="s">
        <v>1786</v>
      </c>
      <c r="C131" s="718"/>
      <c r="D131" s="640"/>
      <c r="E131" s="582">
        <v>0.15</v>
      </c>
      <c r="F131" s="562"/>
      <c r="G131" s="461"/>
      <c r="H131" s="467">
        <f>+AVERAGE(H132:H133)</f>
        <v>0.41111111111111109</v>
      </c>
      <c r="I131" s="467">
        <f>+I132+I133</f>
        <v>0.37333333333333329</v>
      </c>
      <c r="J131" s="466"/>
      <c r="K131" s="469">
        <f>+AVERAGE(K132:K133)</f>
        <v>1</v>
      </c>
      <c r="L131" s="469">
        <f>+(L132+L133)*E131</f>
        <v>0.15</v>
      </c>
      <c r="M131" s="467">
        <f>+AVERAGE(M132:M133)</f>
        <v>0.31111111111111112</v>
      </c>
      <c r="N131" s="467">
        <f>+(N132+N133)*E131</f>
        <v>4.3999999999999997E-2</v>
      </c>
      <c r="O131" s="461"/>
      <c r="P131" s="455"/>
      <c r="Q131" s="437"/>
      <c r="R131" s="437"/>
      <c r="S131" s="437"/>
      <c r="T131" s="437"/>
      <c r="U131" s="437"/>
    </row>
    <row r="132" spans="1:21" ht="67.150000000000006" customHeight="1" thickBot="1" x14ac:dyDescent="0.35">
      <c r="A132" s="638"/>
      <c r="B132" s="481" t="s">
        <v>1061</v>
      </c>
      <c r="C132" s="472" t="s">
        <v>1260</v>
      </c>
      <c r="D132" s="640" t="s">
        <v>564</v>
      </c>
      <c r="E132" s="578">
        <v>0.6</v>
      </c>
      <c r="F132" s="576">
        <v>9</v>
      </c>
      <c r="G132" s="468">
        <v>2</v>
      </c>
      <c r="H132" s="475">
        <f>+G132/F132</f>
        <v>0.22222222222222221</v>
      </c>
      <c r="I132" s="475">
        <f>+(G132/F132)*E132</f>
        <v>0.13333333333333333</v>
      </c>
      <c r="J132" s="468">
        <v>2</v>
      </c>
      <c r="K132" s="475">
        <f>+(J132/G132)</f>
        <v>1</v>
      </c>
      <c r="L132" s="475">
        <f>+K132*E132</f>
        <v>0.6</v>
      </c>
      <c r="M132" s="475">
        <f>+J132/F132</f>
        <v>0.22222222222222221</v>
      </c>
      <c r="N132" s="475">
        <f>+M132*E132</f>
        <v>0.13333333333333333</v>
      </c>
      <c r="O132" s="479" t="s">
        <v>1862</v>
      </c>
      <c r="P132" s="455"/>
      <c r="Q132" s="437"/>
      <c r="R132" s="437"/>
      <c r="S132" s="437"/>
      <c r="T132" s="437"/>
      <c r="U132" s="437"/>
    </row>
    <row r="133" spans="1:21" ht="67.150000000000006" customHeight="1" thickBot="1" x14ac:dyDescent="0.35">
      <c r="A133" s="638"/>
      <c r="B133" s="481" t="s">
        <v>1062</v>
      </c>
      <c r="C133" s="472" t="s">
        <v>1261</v>
      </c>
      <c r="D133" s="640" t="s">
        <v>564</v>
      </c>
      <c r="E133" s="578">
        <v>0.4</v>
      </c>
      <c r="F133" s="576">
        <v>5</v>
      </c>
      <c r="G133" s="468">
        <v>3</v>
      </c>
      <c r="H133" s="475">
        <f>+G133/F133</f>
        <v>0.6</v>
      </c>
      <c r="I133" s="475">
        <f>+(G133/F133)*E133</f>
        <v>0.24</v>
      </c>
      <c r="J133" s="468">
        <v>2</v>
      </c>
      <c r="K133" s="475">
        <v>1</v>
      </c>
      <c r="L133" s="475">
        <f>+K133*E133</f>
        <v>0.4</v>
      </c>
      <c r="M133" s="475">
        <f>+J133/F133</f>
        <v>0.4</v>
      </c>
      <c r="N133" s="475">
        <f>+M133*E133</f>
        <v>0.16000000000000003</v>
      </c>
      <c r="O133" s="479" t="s">
        <v>1862</v>
      </c>
      <c r="P133" s="455"/>
      <c r="Q133" s="437"/>
      <c r="R133" s="437"/>
      <c r="S133" s="437"/>
      <c r="T133" s="437"/>
      <c r="U133" s="437"/>
    </row>
    <row r="134" spans="1:21" ht="67.150000000000006" customHeight="1" thickBot="1" x14ac:dyDescent="0.35">
      <c r="A134" s="638"/>
      <c r="B134" s="735" t="s">
        <v>1843</v>
      </c>
      <c r="C134" s="718"/>
      <c r="D134" s="640"/>
      <c r="E134" s="582">
        <v>0.2</v>
      </c>
      <c r="F134" s="562"/>
      <c r="G134" s="461"/>
      <c r="H134" s="467">
        <f>+AVERAGE(H135:H138)</f>
        <v>0.25</v>
      </c>
      <c r="I134" s="467">
        <f>+I135+I136+I137+I138</f>
        <v>0.2</v>
      </c>
      <c r="J134" s="466"/>
      <c r="K134" s="469">
        <f>+AVERAGE(K135:K138)</f>
        <v>0.625</v>
      </c>
      <c r="L134" s="469">
        <f>+(L135+L136+L137+L138)*E134</f>
        <v>0.1</v>
      </c>
      <c r="M134" s="467">
        <f>+AVERAGE(M135:M138)</f>
        <v>0.15625</v>
      </c>
      <c r="N134" s="467">
        <f>+(N135+N136+N137+N138)*E134</f>
        <v>2.5000000000000001E-2</v>
      </c>
      <c r="O134" s="461"/>
      <c r="P134" s="455"/>
      <c r="Q134" s="437"/>
      <c r="R134" s="437"/>
      <c r="S134" s="437"/>
      <c r="T134" s="437"/>
      <c r="U134" s="437"/>
    </row>
    <row r="135" spans="1:21" ht="67.150000000000006" customHeight="1" thickBot="1" x14ac:dyDescent="0.35">
      <c r="A135" s="638"/>
      <c r="B135" s="472" t="s">
        <v>1063</v>
      </c>
      <c r="C135" s="472" t="s">
        <v>1262</v>
      </c>
      <c r="D135" s="640" t="s">
        <v>1064</v>
      </c>
      <c r="E135" s="578">
        <v>0.15</v>
      </c>
      <c r="F135" s="576">
        <v>1</v>
      </c>
      <c r="G135" s="468">
        <v>0</v>
      </c>
      <c r="H135" s="475"/>
      <c r="I135" s="475"/>
      <c r="J135" s="468"/>
      <c r="K135" s="475"/>
      <c r="L135" s="475"/>
      <c r="M135" s="475"/>
      <c r="N135" s="475"/>
      <c r="O135" s="479" t="s">
        <v>1862</v>
      </c>
      <c r="P135" s="455"/>
      <c r="Q135" s="437"/>
      <c r="R135" s="437"/>
      <c r="S135" s="437"/>
      <c r="T135" s="437"/>
      <c r="U135" s="437"/>
    </row>
    <row r="136" spans="1:21" ht="67.150000000000006" customHeight="1" thickBot="1" x14ac:dyDescent="0.35">
      <c r="A136" s="638"/>
      <c r="B136" s="472" t="s">
        <v>1065</v>
      </c>
      <c r="C136" s="472" t="s">
        <v>1263</v>
      </c>
      <c r="D136" s="640" t="s">
        <v>564</v>
      </c>
      <c r="E136" s="578">
        <v>0.05</v>
      </c>
      <c r="F136" s="576">
        <v>1</v>
      </c>
      <c r="G136" s="468">
        <v>0</v>
      </c>
      <c r="H136" s="475"/>
      <c r="I136" s="475"/>
      <c r="J136" s="468"/>
      <c r="K136" s="475"/>
      <c r="L136" s="475"/>
      <c r="M136" s="475"/>
      <c r="N136" s="475"/>
      <c r="O136" s="479" t="s">
        <v>1862</v>
      </c>
      <c r="P136" s="455"/>
      <c r="Q136" s="437"/>
      <c r="R136" s="437"/>
      <c r="S136" s="437"/>
      <c r="T136" s="437"/>
      <c r="U136" s="437"/>
    </row>
    <row r="137" spans="1:21" ht="67.150000000000006" customHeight="1" thickBot="1" x14ac:dyDescent="0.35">
      <c r="A137" s="638"/>
      <c r="B137" s="481" t="s">
        <v>1066</v>
      </c>
      <c r="C137" s="472" t="s">
        <v>1264</v>
      </c>
      <c r="D137" s="640" t="s">
        <v>564</v>
      </c>
      <c r="E137" s="578">
        <v>0.4</v>
      </c>
      <c r="F137" s="576">
        <v>48</v>
      </c>
      <c r="G137" s="468">
        <v>12</v>
      </c>
      <c r="H137" s="475">
        <f>+G137/F137</f>
        <v>0.25</v>
      </c>
      <c r="I137" s="475">
        <f>+(G137/F137)*E137</f>
        <v>0.1</v>
      </c>
      <c r="J137" s="468">
        <v>11</v>
      </c>
      <c r="K137" s="475">
        <f>+(J137/G137)</f>
        <v>0.91666666666666663</v>
      </c>
      <c r="L137" s="475">
        <f>+K137*E137</f>
        <v>0.3666666666666667</v>
      </c>
      <c r="M137" s="475">
        <f>+J137/F137</f>
        <v>0.22916666666666666</v>
      </c>
      <c r="N137" s="475">
        <f>+M137*E137</f>
        <v>9.1666666666666674E-2</v>
      </c>
      <c r="O137" s="479" t="s">
        <v>1862</v>
      </c>
      <c r="P137" s="455"/>
      <c r="Q137" s="437"/>
      <c r="R137" s="437"/>
      <c r="S137" s="437"/>
      <c r="T137" s="437"/>
      <c r="U137" s="437"/>
    </row>
    <row r="138" spans="1:21" ht="67.150000000000006" customHeight="1" thickBot="1" x14ac:dyDescent="0.35">
      <c r="A138" s="638"/>
      <c r="B138" s="481" t="s">
        <v>1067</v>
      </c>
      <c r="C138" s="472" t="s">
        <v>1265</v>
      </c>
      <c r="D138" s="640" t="s">
        <v>564</v>
      </c>
      <c r="E138" s="578">
        <v>0.4</v>
      </c>
      <c r="F138" s="576">
        <v>12</v>
      </c>
      <c r="G138" s="468">
        <v>3</v>
      </c>
      <c r="H138" s="475">
        <f>+G138/F138</f>
        <v>0.25</v>
      </c>
      <c r="I138" s="475">
        <f>+(G138/F138)*E138</f>
        <v>0.1</v>
      </c>
      <c r="J138" s="468">
        <v>1</v>
      </c>
      <c r="K138" s="475">
        <f>+(J138/G138)</f>
        <v>0.33333333333333331</v>
      </c>
      <c r="L138" s="475">
        <f>+K138*E138</f>
        <v>0.13333333333333333</v>
      </c>
      <c r="M138" s="475">
        <f>+J138/F138</f>
        <v>8.3333333333333329E-2</v>
      </c>
      <c r="N138" s="475">
        <f>+M138*E138</f>
        <v>3.3333333333333333E-2</v>
      </c>
      <c r="O138" s="663" t="s">
        <v>1862</v>
      </c>
      <c r="P138" s="455"/>
      <c r="Q138" s="437"/>
      <c r="R138" s="437"/>
      <c r="S138" s="437"/>
      <c r="T138" s="437"/>
      <c r="U138" s="437"/>
    </row>
    <row r="139" spans="1:21" ht="67.150000000000006" customHeight="1" thickBot="1" x14ac:dyDescent="0.35">
      <c r="A139" s="638"/>
      <c r="B139" s="735" t="s">
        <v>1788</v>
      </c>
      <c r="C139" s="718"/>
      <c r="D139" s="640"/>
      <c r="E139" s="582">
        <v>0.05</v>
      </c>
      <c r="F139" s="562"/>
      <c r="G139" s="461"/>
      <c r="H139" s="467">
        <f>+AVERAGE(H140:H141)</f>
        <v>0.15625</v>
      </c>
      <c r="I139" s="467">
        <f>+I140+I141</f>
        <v>0.15625</v>
      </c>
      <c r="J139" s="466"/>
      <c r="K139" s="469">
        <f>+AVERAGE(K140:K141)</f>
        <v>1</v>
      </c>
      <c r="L139" s="469">
        <f>+(L140+L141)*E139</f>
        <v>0.05</v>
      </c>
      <c r="M139" s="467">
        <f>+AVERAGE(M140:M141)</f>
        <v>0.15625</v>
      </c>
      <c r="N139" s="571">
        <f>+(N140+N141)*E139</f>
        <v>7.8125E-3</v>
      </c>
      <c r="O139" s="461"/>
      <c r="P139" s="455"/>
      <c r="Q139" s="437"/>
      <c r="R139" s="437"/>
      <c r="S139" s="437"/>
      <c r="T139" s="437"/>
      <c r="U139" s="437"/>
    </row>
    <row r="140" spans="1:21" ht="67.150000000000006" customHeight="1" thickBot="1" x14ac:dyDescent="0.35">
      <c r="A140" s="638"/>
      <c r="B140" s="481" t="s">
        <v>1068</v>
      </c>
      <c r="C140" s="472" t="s">
        <v>1266</v>
      </c>
      <c r="D140" s="640" t="s">
        <v>1069</v>
      </c>
      <c r="E140" s="578">
        <v>0.5</v>
      </c>
      <c r="F140" s="576">
        <v>4</v>
      </c>
      <c r="G140" s="468">
        <v>0.25</v>
      </c>
      <c r="H140" s="475">
        <f>+G140/F140</f>
        <v>6.25E-2</v>
      </c>
      <c r="I140" s="475">
        <f>+(G140/F140)*E140</f>
        <v>3.125E-2</v>
      </c>
      <c r="J140" s="587">
        <v>0.25</v>
      </c>
      <c r="K140" s="475">
        <f>+(J140/G140)</f>
        <v>1</v>
      </c>
      <c r="L140" s="475">
        <f>+K140*E140</f>
        <v>0.5</v>
      </c>
      <c r="M140" s="475">
        <f>+J140/F140</f>
        <v>6.25E-2</v>
      </c>
      <c r="N140" s="475">
        <f>+M140*E140</f>
        <v>3.125E-2</v>
      </c>
      <c r="O140" s="664" t="s">
        <v>1882</v>
      </c>
      <c r="P140" s="455"/>
      <c r="Q140" s="437"/>
      <c r="R140" s="437"/>
      <c r="S140" s="437"/>
      <c r="T140" s="437"/>
      <c r="U140" s="437"/>
    </row>
    <row r="141" spans="1:21" ht="67.150000000000006" customHeight="1" thickBot="1" x14ac:dyDescent="0.35">
      <c r="A141" s="638"/>
      <c r="B141" s="481" t="s">
        <v>1070</v>
      </c>
      <c r="C141" s="472" t="s">
        <v>1267</v>
      </c>
      <c r="D141" s="640" t="s">
        <v>1069</v>
      </c>
      <c r="E141" s="644">
        <v>0.5</v>
      </c>
      <c r="F141" s="576">
        <v>1</v>
      </c>
      <c r="G141" s="468">
        <v>0.25</v>
      </c>
      <c r="H141" s="475">
        <f>+G141/F141</f>
        <v>0.25</v>
      </c>
      <c r="I141" s="475">
        <f>+(G141/F141)*E141</f>
        <v>0.125</v>
      </c>
      <c r="J141" s="587">
        <v>0.25</v>
      </c>
      <c r="K141" s="475">
        <f>+(J141/G141)</f>
        <v>1</v>
      </c>
      <c r="L141" s="475">
        <f>+K141*E141</f>
        <v>0.5</v>
      </c>
      <c r="M141" s="475">
        <f>+J141/F141</f>
        <v>0.25</v>
      </c>
      <c r="N141" s="475">
        <f>+M141*E141</f>
        <v>0.125</v>
      </c>
      <c r="O141" s="664" t="s">
        <v>1882</v>
      </c>
      <c r="P141" s="455"/>
      <c r="Q141" s="437"/>
      <c r="R141" s="437"/>
      <c r="S141" s="437"/>
      <c r="T141" s="437"/>
      <c r="U141" s="437"/>
    </row>
    <row r="142" spans="1:21" ht="67.150000000000006" customHeight="1" thickBot="1" x14ac:dyDescent="0.35">
      <c r="A142" s="437"/>
      <c r="B142" s="437"/>
      <c r="C142" s="437"/>
      <c r="D142" s="534"/>
      <c r="E142" s="534"/>
      <c r="F142" s="534"/>
      <c r="G142" s="534"/>
      <c r="H142" s="534"/>
      <c r="I142" s="534"/>
      <c r="J142" s="534"/>
      <c r="K142" s="534"/>
      <c r="L142" s="534"/>
      <c r="M142" s="534"/>
      <c r="N142" s="534"/>
      <c r="O142" s="534"/>
      <c r="P142" s="437"/>
      <c r="Q142" s="437"/>
      <c r="R142" s="437"/>
      <c r="S142" s="437"/>
      <c r="T142" s="437"/>
      <c r="U142" s="437"/>
    </row>
    <row r="143" spans="1:21" ht="67.150000000000006" customHeight="1" thickBot="1" x14ac:dyDescent="0.35">
      <c r="A143" s="437"/>
      <c r="B143" s="437"/>
      <c r="C143" s="437"/>
      <c r="D143" s="437"/>
      <c r="E143" s="437"/>
      <c r="F143" s="437"/>
      <c r="G143" s="437"/>
      <c r="H143" s="437"/>
      <c r="I143" s="437"/>
      <c r="J143" s="437"/>
      <c r="K143" s="437"/>
      <c r="L143" s="437"/>
      <c r="M143" s="437"/>
      <c r="N143" s="437"/>
      <c r="O143" s="437"/>
      <c r="P143" s="437"/>
      <c r="Q143" s="437"/>
      <c r="R143" s="437"/>
      <c r="S143" s="437"/>
      <c r="T143" s="437"/>
      <c r="U143" s="437"/>
    </row>
    <row r="144" spans="1:21" ht="67.150000000000006" customHeight="1" thickBot="1" x14ac:dyDescent="0.35">
      <c r="A144" s="437"/>
      <c r="B144" s="437"/>
      <c r="C144" s="437"/>
      <c r="D144" s="437"/>
      <c r="E144" s="437"/>
      <c r="F144" s="437"/>
      <c r="G144" s="437"/>
      <c r="H144" s="437"/>
      <c r="I144" s="437"/>
      <c r="J144" s="437"/>
      <c r="K144" s="437"/>
      <c r="L144" s="437"/>
      <c r="M144" s="437"/>
      <c r="N144" s="437"/>
      <c r="O144" s="437"/>
      <c r="P144" s="437"/>
      <c r="Q144" s="437"/>
      <c r="R144" s="437"/>
      <c r="S144" s="437"/>
      <c r="T144" s="437"/>
      <c r="U144" s="437"/>
    </row>
    <row r="145" spans="1:21" ht="67.150000000000006" customHeight="1" thickBot="1" x14ac:dyDescent="0.35">
      <c r="A145" s="437"/>
      <c r="B145" s="437"/>
      <c r="C145" s="437"/>
      <c r="D145" s="437"/>
      <c r="E145" s="437"/>
      <c r="F145" s="437"/>
      <c r="G145" s="437"/>
      <c r="H145" s="437"/>
      <c r="I145" s="437"/>
      <c r="J145" s="437"/>
      <c r="K145" s="437"/>
      <c r="L145" s="437"/>
      <c r="M145" s="437"/>
      <c r="N145" s="437"/>
      <c r="O145" s="437"/>
      <c r="P145" s="437"/>
      <c r="Q145" s="437"/>
      <c r="R145" s="437"/>
      <c r="S145" s="437"/>
      <c r="T145" s="437"/>
      <c r="U145" s="437"/>
    </row>
    <row r="146" spans="1:21" ht="67.150000000000006" customHeight="1" thickBot="1" x14ac:dyDescent="0.35">
      <c r="A146" s="437"/>
      <c r="B146" s="437"/>
      <c r="C146" s="437"/>
      <c r="D146" s="437"/>
      <c r="E146" s="437"/>
      <c r="F146" s="437"/>
      <c r="G146" s="437"/>
      <c r="H146" s="437"/>
      <c r="I146" s="437"/>
      <c r="J146" s="437"/>
      <c r="K146" s="437"/>
      <c r="L146" s="437"/>
      <c r="M146" s="437"/>
      <c r="N146" s="437"/>
      <c r="O146" s="437"/>
      <c r="P146" s="437"/>
      <c r="Q146" s="437"/>
      <c r="R146" s="437"/>
      <c r="S146" s="437"/>
      <c r="T146" s="437"/>
      <c r="U146" s="437"/>
    </row>
    <row r="147" spans="1:21" ht="67.150000000000006" customHeight="1" thickBot="1" x14ac:dyDescent="0.35">
      <c r="A147" s="437"/>
      <c r="B147" s="437"/>
      <c r="C147" s="437"/>
      <c r="D147" s="437"/>
      <c r="E147" s="437"/>
      <c r="F147" s="437"/>
      <c r="G147" s="437"/>
      <c r="H147" s="437"/>
      <c r="I147" s="437"/>
      <c r="J147" s="437"/>
      <c r="K147" s="437"/>
      <c r="L147" s="437"/>
      <c r="M147" s="437"/>
      <c r="N147" s="437"/>
      <c r="O147" s="437"/>
      <c r="P147" s="437"/>
      <c r="Q147" s="437"/>
      <c r="R147" s="437"/>
      <c r="S147" s="437"/>
      <c r="T147" s="437"/>
      <c r="U147" s="437"/>
    </row>
    <row r="148" spans="1:21" ht="67.150000000000006" customHeight="1" thickBot="1" x14ac:dyDescent="0.35">
      <c r="A148" s="437"/>
      <c r="B148" s="437"/>
      <c r="C148" s="437"/>
      <c r="D148" s="437"/>
      <c r="E148" s="437"/>
      <c r="F148" s="437"/>
      <c r="G148" s="437"/>
      <c r="H148" s="437"/>
      <c r="I148" s="437"/>
      <c r="J148" s="437"/>
      <c r="K148" s="437"/>
      <c r="L148" s="437"/>
      <c r="M148" s="437"/>
      <c r="N148" s="437"/>
      <c r="O148" s="437"/>
      <c r="P148" s="437"/>
      <c r="Q148" s="437"/>
      <c r="R148" s="437"/>
      <c r="S148" s="437"/>
      <c r="T148" s="437"/>
      <c r="U148" s="437"/>
    </row>
    <row r="149" spans="1:21" ht="67.150000000000006" customHeight="1" thickBot="1" x14ac:dyDescent="0.35">
      <c r="A149" s="437"/>
      <c r="B149" s="437"/>
      <c r="C149" s="437"/>
      <c r="D149" s="437"/>
      <c r="E149" s="437"/>
      <c r="F149" s="437"/>
      <c r="G149" s="437"/>
      <c r="H149" s="437"/>
      <c r="I149" s="437"/>
      <c r="J149" s="437"/>
      <c r="K149" s="437"/>
      <c r="L149" s="437"/>
      <c r="M149" s="437"/>
      <c r="N149" s="437"/>
      <c r="O149" s="437"/>
      <c r="P149" s="437"/>
      <c r="Q149" s="437"/>
      <c r="R149" s="437"/>
      <c r="S149" s="437"/>
      <c r="T149" s="437"/>
      <c r="U149" s="437"/>
    </row>
    <row r="150" spans="1:21" ht="67.150000000000006" customHeight="1" thickBot="1" x14ac:dyDescent="0.35">
      <c r="A150" s="437"/>
      <c r="B150" s="437"/>
      <c r="C150" s="437"/>
      <c r="D150" s="437"/>
      <c r="E150" s="437"/>
      <c r="F150" s="437"/>
      <c r="G150" s="437"/>
      <c r="H150" s="437"/>
      <c r="I150" s="437"/>
      <c r="J150" s="437"/>
      <c r="K150" s="437"/>
      <c r="L150" s="437"/>
      <c r="M150" s="437"/>
      <c r="N150" s="437"/>
      <c r="O150" s="437"/>
      <c r="P150" s="437"/>
      <c r="Q150" s="437"/>
      <c r="R150" s="437"/>
      <c r="S150" s="437"/>
      <c r="T150" s="437"/>
      <c r="U150" s="437"/>
    </row>
    <row r="151" spans="1:21" ht="67.150000000000006" customHeight="1" thickBot="1" x14ac:dyDescent="0.35">
      <c r="A151" s="437"/>
      <c r="B151" s="437"/>
      <c r="C151" s="437"/>
      <c r="D151" s="437"/>
      <c r="E151" s="437"/>
      <c r="F151" s="437"/>
      <c r="G151" s="437"/>
      <c r="H151" s="437"/>
      <c r="I151" s="437"/>
      <c r="J151" s="437"/>
      <c r="K151" s="437"/>
      <c r="L151" s="437"/>
      <c r="M151" s="437"/>
      <c r="N151" s="437"/>
      <c r="O151" s="437"/>
      <c r="P151" s="437"/>
      <c r="Q151" s="437"/>
      <c r="R151" s="437"/>
      <c r="S151" s="437"/>
      <c r="T151" s="437"/>
      <c r="U151" s="437"/>
    </row>
    <row r="152" spans="1:21" ht="67.150000000000006" customHeight="1" thickBot="1" x14ac:dyDescent="0.35">
      <c r="A152" s="437"/>
      <c r="B152" s="437"/>
      <c r="C152" s="437"/>
      <c r="D152" s="437"/>
      <c r="E152" s="437"/>
      <c r="F152" s="437"/>
      <c r="G152" s="437"/>
      <c r="H152" s="437"/>
      <c r="I152" s="437"/>
      <c r="J152" s="437"/>
      <c r="K152" s="437"/>
      <c r="L152" s="437"/>
      <c r="M152" s="437"/>
      <c r="N152" s="437"/>
      <c r="O152" s="437"/>
      <c r="P152" s="437"/>
      <c r="Q152" s="437"/>
      <c r="R152" s="437"/>
      <c r="S152" s="437"/>
      <c r="T152" s="437"/>
      <c r="U152" s="437"/>
    </row>
    <row r="153" spans="1:21" ht="67.150000000000006" customHeight="1" thickBot="1" x14ac:dyDescent="0.35">
      <c r="A153" s="437"/>
      <c r="B153" s="437"/>
      <c r="C153" s="437"/>
      <c r="D153" s="437"/>
      <c r="E153" s="437"/>
      <c r="F153" s="437"/>
      <c r="G153" s="437"/>
      <c r="H153" s="437"/>
      <c r="I153" s="437"/>
      <c r="J153" s="437"/>
      <c r="K153" s="437"/>
      <c r="L153" s="437"/>
      <c r="M153" s="437"/>
      <c r="N153" s="437"/>
      <c r="O153" s="437"/>
      <c r="P153" s="437"/>
      <c r="Q153" s="437"/>
      <c r="R153" s="437"/>
      <c r="S153" s="437"/>
      <c r="T153" s="437"/>
      <c r="U153" s="437"/>
    </row>
    <row r="154" spans="1:21" ht="67.150000000000006" customHeight="1" thickBot="1" x14ac:dyDescent="0.35">
      <c r="A154" s="437"/>
      <c r="B154" s="437"/>
      <c r="C154" s="437"/>
      <c r="D154" s="437"/>
      <c r="E154" s="437"/>
      <c r="F154" s="437"/>
      <c r="G154" s="437"/>
      <c r="H154" s="437"/>
      <c r="I154" s="437"/>
      <c r="J154" s="437"/>
      <c r="K154" s="437"/>
      <c r="L154" s="437"/>
      <c r="M154" s="437"/>
      <c r="N154" s="437"/>
      <c r="O154" s="437"/>
      <c r="P154" s="437"/>
      <c r="Q154" s="437"/>
      <c r="R154" s="437"/>
      <c r="S154" s="437"/>
      <c r="T154" s="437"/>
      <c r="U154" s="437"/>
    </row>
    <row r="155" spans="1:21" ht="67.150000000000006" customHeight="1" thickBot="1" x14ac:dyDescent="0.35">
      <c r="A155" s="437"/>
      <c r="B155" s="437"/>
      <c r="C155" s="437"/>
      <c r="D155" s="437"/>
      <c r="E155" s="437"/>
      <c r="F155" s="437"/>
      <c r="G155" s="437"/>
      <c r="H155" s="437"/>
      <c r="I155" s="437"/>
      <c r="J155" s="437"/>
      <c r="K155" s="437"/>
      <c r="L155" s="437"/>
      <c r="M155" s="437"/>
      <c r="N155" s="437"/>
      <c r="O155" s="437"/>
      <c r="P155" s="437"/>
      <c r="Q155" s="437"/>
      <c r="R155" s="437"/>
      <c r="S155" s="437"/>
      <c r="T155" s="437"/>
      <c r="U155" s="437"/>
    </row>
    <row r="156" spans="1:21" ht="67.150000000000006" customHeight="1" thickBot="1" x14ac:dyDescent="0.35">
      <c r="A156" s="437"/>
      <c r="B156" s="437"/>
      <c r="C156" s="437"/>
      <c r="D156" s="437"/>
      <c r="E156" s="437"/>
      <c r="F156" s="437"/>
      <c r="G156" s="437"/>
      <c r="H156" s="437"/>
      <c r="I156" s="437"/>
      <c r="J156" s="437"/>
      <c r="K156" s="437"/>
      <c r="L156" s="437"/>
      <c r="M156" s="437"/>
      <c r="N156" s="437"/>
      <c r="O156" s="437"/>
      <c r="P156" s="437"/>
      <c r="Q156" s="437"/>
      <c r="R156" s="437"/>
      <c r="S156" s="437"/>
      <c r="T156" s="437"/>
      <c r="U156" s="437"/>
    </row>
    <row r="157" spans="1:21" ht="67.150000000000006" customHeight="1" thickBot="1" x14ac:dyDescent="0.35">
      <c r="A157" s="437"/>
      <c r="B157" s="437"/>
      <c r="C157" s="437"/>
      <c r="D157" s="437"/>
      <c r="E157" s="437"/>
      <c r="F157" s="437"/>
      <c r="G157" s="437"/>
      <c r="H157" s="437"/>
      <c r="I157" s="437"/>
      <c r="J157" s="437"/>
      <c r="K157" s="437"/>
      <c r="L157" s="437"/>
      <c r="M157" s="437"/>
      <c r="N157" s="437"/>
      <c r="O157" s="437"/>
      <c r="P157" s="437"/>
      <c r="Q157" s="437"/>
      <c r="R157" s="437"/>
      <c r="S157" s="437"/>
      <c r="T157" s="437"/>
      <c r="U157" s="437"/>
    </row>
    <row r="158" spans="1:21" ht="67.150000000000006" customHeight="1" thickBot="1" x14ac:dyDescent="0.35">
      <c r="A158" s="437"/>
      <c r="B158" s="437"/>
      <c r="C158" s="437"/>
      <c r="D158" s="437"/>
      <c r="E158" s="437"/>
      <c r="F158" s="437"/>
      <c r="G158" s="437"/>
      <c r="H158" s="437"/>
      <c r="I158" s="437"/>
      <c r="J158" s="437"/>
      <c r="K158" s="437"/>
      <c r="L158" s="437"/>
      <c r="M158" s="437"/>
      <c r="N158" s="437"/>
      <c r="O158" s="437"/>
      <c r="P158" s="437"/>
      <c r="Q158" s="437"/>
      <c r="R158" s="437"/>
      <c r="S158" s="437"/>
      <c r="T158" s="437"/>
      <c r="U158" s="437"/>
    </row>
    <row r="159" spans="1:21" ht="67.150000000000006" customHeight="1" thickBot="1" x14ac:dyDescent="0.35">
      <c r="A159" s="437"/>
      <c r="B159" s="437"/>
      <c r="C159" s="437"/>
      <c r="D159" s="437"/>
      <c r="E159" s="437"/>
      <c r="F159" s="437"/>
      <c r="G159" s="437"/>
      <c r="H159" s="437"/>
      <c r="I159" s="437"/>
      <c r="J159" s="437"/>
      <c r="K159" s="437"/>
      <c r="L159" s="437"/>
      <c r="M159" s="437"/>
      <c r="N159" s="437"/>
      <c r="O159" s="437"/>
      <c r="P159" s="437"/>
      <c r="Q159" s="437"/>
      <c r="R159" s="437"/>
      <c r="S159" s="437"/>
      <c r="T159" s="437"/>
      <c r="U159" s="437"/>
    </row>
    <row r="160" spans="1:21" ht="67.150000000000006" customHeight="1" thickBot="1" x14ac:dyDescent="0.35">
      <c r="A160" s="437"/>
      <c r="B160" s="437"/>
      <c r="C160" s="437"/>
      <c r="D160" s="437"/>
      <c r="E160" s="437"/>
      <c r="F160" s="437"/>
      <c r="G160" s="437"/>
      <c r="H160" s="437"/>
      <c r="I160" s="437"/>
      <c r="J160" s="437"/>
      <c r="K160" s="437"/>
      <c r="L160" s="437"/>
      <c r="M160" s="437"/>
      <c r="N160" s="437"/>
      <c r="O160" s="437"/>
      <c r="P160" s="437"/>
      <c r="Q160" s="437"/>
      <c r="R160" s="437"/>
      <c r="S160" s="437"/>
      <c r="T160" s="437"/>
      <c r="U160" s="437"/>
    </row>
    <row r="161" spans="1:21" ht="67.150000000000006" customHeight="1" thickBot="1" x14ac:dyDescent="0.35">
      <c r="A161" s="437"/>
      <c r="B161" s="437"/>
      <c r="C161" s="437"/>
      <c r="D161" s="437"/>
      <c r="E161" s="437"/>
      <c r="F161" s="437"/>
      <c r="G161" s="437"/>
      <c r="H161" s="437"/>
      <c r="I161" s="437"/>
      <c r="J161" s="437"/>
      <c r="K161" s="437"/>
      <c r="L161" s="437"/>
      <c r="M161" s="437"/>
      <c r="N161" s="437"/>
      <c r="O161" s="437"/>
      <c r="P161" s="437"/>
      <c r="Q161" s="437"/>
      <c r="R161" s="437"/>
      <c r="S161" s="437"/>
      <c r="T161" s="437"/>
      <c r="U161" s="437"/>
    </row>
    <row r="162" spans="1:21" ht="67.150000000000006" customHeight="1" thickBot="1" x14ac:dyDescent="0.35">
      <c r="A162" s="437"/>
      <c r="B162" s="437"/>
      <c r="C162" s="437"/>
      <c r="D162" s="437"/>
      <c r="E162" s="437"/>
      <c r="F162" s="437"/>
      <c r="G162" s="437"/>
      <c r="H162" s="437"/>
      <c r="I162" s="437"/>
      <c r="J162" s="437"/>
      <c r="K162" s="437"/>
      <c r="L162" s="437"/>
      <c r="M162" s="437"/>
      <c r="N162" s="437"/>
      <c r="O162" s="437"/>
      <c r="P162" s="437"/>
      <c r="Q162" s="437"/>
      <c r="R162" s="437"/>
      <c r="S162" s="437"/>
      <c r="T162" s="437"/>
      <c r="U162" s="437"/>
    </row>
    <row r="163" spans="1:21" ht="67.150000000000006" customHeight="1" thickBot="1" x14ac:dyDescent="0.35">
      <c r="A163" s="437"/>
      <c r="B163" s="437"/>
      <c r="C163" s="437"/>
      <c r="D163" s="437"/>
      <c r="E163" s="437"/>
      <c r="F163" s="437"/>
      <c r="G163" s="437"/>
      <c r="H163" s="437"/>
      <c r="I163" s="437"/>
      <c r="J163" s="437"/>
      <c r="K163" s="437"/>
      <c r="L163" s="437"/>
      <c r="M163" s="437"/>
      <c r="N163" s="437"/>
      <c r="O163" s="437"/>
      <c r="P163" s="437"/>
      <c r="Q163" s="437"/>
      <c r="R163" s="437"/>
      <c r="S163" s="437"/>
      <c r="T163" s="437"/>
      <c r="U163" s="437"/>
    </row>
    <row r="164" spans="1:21" ht="67.150000000000006" customHeight="1" thickBot="1" x14ac:dyDescent="0.35">
      <c r="A164" s="437"/>
      <c r="B164" s="437"/>
      <c r="C164" s="437"/>
      <c r="D164" s="437"/>
      <c r="E164" s="437"/>
      <c r="F164" s="437"/>
      <c r="G164" s="437"/>
      <c r="H164" s="437"/>
      <c r="I164" s="437"/>
      <c r="J164" s="437"/>
      <c r="K164" s="437"/>
      <c r="L164" s="437"/>
      <c r="M164" s="437"/>
      <c r="N164" s="437"/>
      <c r="O164" s="437"/>
      <c r="P164" s="437"/>
      <c r="Q164" s="437"/>
      <c r="R164" s="437"/>
      <c r="S164" s="437"/>
      <c r="T164" s="437"/>
      <c r="U164" s="437"/>
    </row>
    <row r="165" spans="1:21" ht="67.150000000000006" customHeight="1" thickBot="1" x14ac:dyDescent="0.35">
      <c r="A165" s="437"/>
      <c r="B165" s="437"/>
      <c r="C165" s="437"/>
      <c r="D165" s="437"/>
      <c r="E165" s="437"/>
      <c r="F165" s="437"/>
      <c r="G165" s="437"/>
      <c r="H165" s="437"/>
      <c r="I165" s="437"/>
      <c r="J165" s="437"/>
      <c r="K165" s="437"/>
      <c r="L165" s="437"/>
      <c r="M165" s="437"/>
      <c r="N165" s="437"/>
      <c r="O165" s="437"/>
      <c r="P165" s="437"/>
      <c r="Q165" s="437"/>
      <c r="R165" s="437"/>
      <c r="S165" s="437"/>
      <c r="T165" s="437"/>
      <c r="U165" s="437"/>
    </row>
    <row r="166" spans="1:21" ht="67.150000000000006" customHeight="1" thickBot="1" x14ac:dyDescent="0.35">
      <c r="A166" s="437"/>
      <c r="B166" s="437"/>
      <c r="C166" s="437"/>
      <c r="D166" s="437"/>
      <c r="E166" s="437"/>
      <c r="F166" s="437"/>
      <c r="G166" s="437"/>
      <c r="H166" s="437"/>
      <c r="I166" s="437"/>
      <c r="J166" s="437"/>
      <c r="K166" s="437"/>
      <c r="L166" s="437"/>
      <c r="M166" s="437"/>
      <c r="N166" s="437"/>
      <c r="O166" s="437"/>
      <c r="P166" s="437"/>
      <c r="Q166" s="437"/>
      <c r="R166" s="437"/>
      <c r="S166" s="437"/>
      <c r="T166" s="437"/>
      <c r="U166" s="437"/>
    </row>
    <row r="167" spans="1:21" ht="67.150000000000006" customHeight="1" thickBot="1" x14ac:dyDescent="0.35">
      <c r="A167" s="437"/>
      <c r="B167" s="437"/>
      <c r="C167" s="437"/>
      <c r="D167" s="437"/>
      <c r="E167" s="437"/>
      <c r="F167" s="437"/>
      <c r="G167" s="437"/>
      <c r="H167" s="437"/>
      <c r="I167" s="437"/>
      <c r="J167" s="437"/>
      <c r="K167" s="437"/>
      <c r="L167" s="437"/>
      <c r="M167" s="437"/>
      <c r="N167" s="437"/>
      <c r="O167" s="437"/>
      <c r="P167" s="437"/>
      <c r="Q167" s="437"/>
      <c r="R167" s="437"/>
      <c r="S167" s="437"/>
      <c r="T167" s="437"/>
      <c r="U167" s="437"/>
    </row>
    <row r="168" spans="1:21" ht="67.150000000000006" customHeight="1" thickBot="1" x14ac:dyDescent="0.35">
      <c r="A168" s="437"/>
      <c r="B168" s="437"/>
      <c r="C168" s="437"/>
      <c r="D168" s="437"/>
      <c r="E168" s="437"/>
      <c r="F168" s="437"/>
      <c r="G168" s="437"/>
      <c r="H168" s="437"/>
      <c r="I168" s="437"/>
      <c r="J168" s="437"/>
      <c r="K168" s="437"/>
      <c r="L168" s="437"/>
      <c r="M168" s="437"/>
      <c r="N168" s="437"/>
      <c r="O168" s="437"/>
      <c r="P168" s="437"/>
      <c r="Q168" s="437"/>
      <c r="R168" s="437"/>
      <c r="S168" s="437"/>
      <c r="T168" s="437"/>
      <c r="U168" s="437"/>
    </row>
    <row r="169" spans="1:21" ht="67.150000000000006" customHeight="1" thickBot="1" x14ac:dyDescent="0.35">
      <c r="A169" s="437"/>
      <c r="B169" s="437"/>
      <c r="C169" s="437"/>
      <c r="D169" s="437"/>
      <c r="E169" s="437"/>
      <c r="F169" s="437"/>
      <c r="G169" s="437"/>
      <c r="H169" s="437"/>
      <c r="I169" s="437"/>
      <c r="J169" s="437"/>
      <c r="K169" s="437"/>
      <c r="L169" s="437"/>
      <c r="M169" s="437"/>
      <c r="N169" s="437"/>
      <c r="O169" s="437"/>
      <c r="P169" s="437"/>
      <c r="Q169" s="437"/>
      <c r="R169" s="437"/>
      <c r="S169" s="437"/>
      <c r="T169" s="437"/>
      <c r="U169" s="437"/>
    </row>
    <row r="170" spans="1:21" ht="67.150000000000006" customHeight="1" thickBot="1" x14ac:dyDescent="0.35">
      <c r="A170" s="437"/>
      <c r="B170" s="437"/>
      <c r="C170" s="437"/>
      <c r="D170" s="437"/>
      <c r="E170" s="437"/>
      <c r="F170" s="437"/>
      <c r="G170" s="437"/>
      <c r="H170" s="437"/>
      <c r="I170" s="437"/>
      <c r="J170" s="437"/>
      <c r="K170" s="437"/>
      <c r="L170" s="437"/>
      <c r="M170" s="437"/>
      <c r="N170" s="437"/>
      <c r="O170" s="437"/>
      <c r="P170" s="437"/>
      <c r="Q170" s="437"/>
      <c r="R170" s="437"/>
      <c r="S170" s="437"/>
      <c r="T170" s="437"/>
      <c r="U170" s="437"/>
    </row>
    <row r="171" spans="1:21" ht="67.150000000000006" customHeight="1" thickBot="1" x14ac:dyDescent="0.35">
      <c r="A171" s="437"/>
      <c r="B171" s="437"/>
      <c r="C171" s="437"/>
      <c r="D171" s="437"/>
      <c r="E171" s="437"/>
      <c r="F171" s="437"/>
      <c r="G171" s="437"/>
      <c r="H171" s="437"/>
      <c r="I171" s="437"/>
      <c r="J171" s="437"/>
      <c r="K171" s="437"/>
      <c r="L171" s="437"/>
      <c r="M171" s="437"/>
      <c r="N171" s="437"/>
      <c r="O171" s="437"/>
      <c r="P171" s="437"/>
      <c r="Q171" s="437"/>
      <c r="R171" s="437"/>
      <c r="S171" s="437"/>
      <c r="T171" s="437"/>
      <c r="U171" s="437"/>
    </row>
    <row r="172" spans="1:21" ht="67.150000000000006" customHeight="1" thickBot="1" x14ac:dyDescent="0.35">
      <c r="A172" s="437"/>
      <c r="B172" s="437"/>
      <c r="C172" s="437"/>
      <c r="D172" s="437"/>
      <c r="E172" s="437"/>
      <c r="F172" s="437"/>
      <c r="G172" s="437"/>
      <c r="H172" s="437"/>
      <c r="I172" s="437"/>
      <c r="J172" s="437"/>
      <c r="K172" s="437"/>
      <c r="L172" s="437"/>
      <c r="M172" s="437"/>
      <c r="N172" s="437"/>
      <c r="O172" s="437"/>
      <c r="P172" s="437"/>
      <c r="Q172" s="437"/>
      <c r="R172" s="437"/>
      <c r="S172" s="437"/>
      <c r="T172" s="437"/>
      <c r="U172" s="437"/>
    </row>
    <row r="173" spans="1:21" ht="67.150000000000006" customHeight="1" thickBot="1" x14ac:dyDescent="0.35">
      <c r="A173" s="437"/>
      <c r="B173" s="437"/>
      <c r="C173" s="437"/>
      <c r="D173" s="437"/>
      <c r="E173" s="437"/>
      <c r="F173" s="437"/>
      <c r="G173" s="437"/>
      <c r="H173" s="437"/>
      <c r="I173" s="437"/>
      <c r="J173" s="437"/>
      <c r="K173" s="437"/>
      <c r="L173" s="437"/>
      <c r="M173" s="437"/>
      <c r="N173" s="437"/>
      <c r="O173" s="437"/>
      <c r="P173" s="437"/>
      <c r="Q173" s="437"/>
      <c r="R173" s="437"/>
      <c r="S173" s="437"/>
      <c r="T173" s="437"/>
      <c r="U173" s="437"/>
    </row>
    <row r="174" spans="1:21" ht="67.150000000000006" customHeight="1" thickBot="1" x14ac:dyDescent="0.35">
      <c r="A174" s="437"/>
      <c r="B174" s="437"/>
      <c r="C174" s="437"/>
      <c r="D174" s="437"/>
      <c r="E174" s="437"/>
      <c r="F174" s="437"/>
      <c r="G174" s="437"/>
      <c r="H174" s="437"/>
      <c r="I174" s="437"/>
      <c r="J174" s="437"/>
      <c r="K174" s="437"/>
      <c r="L174" s="437"/>
      <c r="M174" s="437"/>
      <c r="N174" s="437"/>
      <c r="O174" s="437"/>
      <c r="P174" s="437"/>
      <c r="Q174" s="437"/>
      <c r="R174" s="437"/>
      <c r="S174" s="437"/>
      <c r="T174" s="437"/>
      <c r="U174" s="437"/>
    </row>
    <row r="175" spans="1:21" ht="67.150000000000006" customHeight="1" thickBot="1" x14ac:dyDescent="0.35">
      <c r="A175" s="437"/>
      <c r="B175" s="437"/>
      <c r="C175" s="437"/>
      <c r="D175" s="437"/>
      <c r="E175" s="437"/>
      <c r="F175" s="437"/>
      <c r="G175" s="437"/>
      <c r="H175" s="437"/>
      <c r="I175" s="437"/>
      <c r="J175" s="437"/>
      <c r="K175" s="437"/>
      <c r="L175" s="437"/>
      <c r="M175" s="437"/>
      <c r="N175" s="437"/>
      <c r="O175" s="437"/>
      <c r="P175" s="437"/>
      <c r="Q175" s="437"/>
      <c r="R175" s="437"/>
      <c r="S175" s="437"/>
      <c r="T175" s="437"/>
      <c r="U175" s="437"/>
    </row>
    <row r="176" spans="1:21" ht="67.150000000000006" customHeight="1" thickBot="1" x14ac:dyDescent="0.35">
      <c r="A176" s="437"/>
      <c r="B176" s="437"/>
      <c r="C176" s="437"/>
      <c r="D176" s="437"/>
      <c r="E176" s="437"/>
      <c r="F176" s="437"/>
      <c r="G176" s="437"/>
      <c r="H176" s="437"/>
      <c r="I176" s="437"/>
      <c r="J176" s="437"/>
      <c r="K176" s="437"/>
      <c r="L176" s="437"/>
      <c r="M176" s="437"/>
      <c r="N176" s="437"/>
      <c r="O176" s="437"/>
      <c r="P176" s="437"/>
      <c r="Q176" s="437"/>
      <c r="R176" s="437"/>
      <c r="S176" s="437"/>
      <c r="T176" s="437"/>
      <c r="U176" s="437"/>
    </row>
    <row r="177" spans="1:21" ht="67.150000000000006" customHeight="1" thickBot="1" x14ac:dyDescent="0.35">
      <c r="A177" s="437"/>
      <c r="B177" s="437"/>
      <c r="C177" s="437"/>
      <c r="D177" s="437"/>
      <c r="E177" s="437"/>
      <c r="F177" s="437"/>
      <c r="G177" s="437"/>
      <c r="H177" s="437"/>
      <c r="I177" s="437"/>
      <c r="J177" s="437"/>
      <c r="K177" s="437"/>
      <c r="L177" s="437"/>
      <c r="M177" s="437"/>
      <c r="N177" s="437"/>
      <c r="O177" s="437"/>
      <c r="P177" s="437"/>
      <c r="Q177" s="437"/>
      <c r="R177" s="437"/>
      <c r="S177" s="437"/>
      <c r="T177" s="437"/>
      <c r="U177" s="437"/>
    </row>
    <row r="178" spans="1:21" ht="67.150000000000006" customHeight="1" thickBot="1" x14ac:dyDescent="0.35">
      <c r="A178" s="437"/>
      <c r="B178" s="437"/>
      <c r="C178" s="437"/>
      <c r="D178" s="437"/>
      <c r="E178" s="437"/>
      <c r="F178" s="437"/>
      <c r="G178" s="437"/>
      <c r="H178" s="437"/>
      <c r="I178" s="437"/>
      <c r="J178" s="437"/>
      <c r="K178" s="437"/>
      <c r="L178" s="437"/>
      <c r="M178" s="437"/>
      <c r="N178" s="437"/>
      <c r="O178" s="437"/>
      <c r="P178" s="437"/>
      <c r="Q178" s="437"/>
      <c r="R178" s="437"/>
      <c r="S178" s="437"/>
      <c r="T178" s="437"/>
      <c r="U178" s="437"/>
    </row>
    <row r="179" spans="1:21" ht="67.150000000000006" customHeight="1" thickBot="1" x14ac:dyDescent="0.35">
      <c r="A179" s="437"/>
      <c r="B179" s="437"/>
      <c r="C179" s="437"/>
      <c r="D179" s="437"/>
      <c r="E179" s="437"/>
      <c r="F179" s="437"/>
      <c r="G179" s="437"/>
      <c r="H179" s="437"/>
      <c r="I179" s="437"/>
      <c r="J179" s="437"/>
      <c r="K179" s="437"/>
      <c r="L179" s="437"/>
      <c r="M179" s="437"/>
      <c r="N179" s="437"/>
      <c r="O179" s="437"/>
      <c r="P179" s="437"/>
      <c r="Q179" s="437"/>
      <c r="R179" s="437"/>
      <c r="S179" s="437"/>
      <c r="T179" s="437"/>
      <c r="U179" s="437"/>
    </row>
    <row r="180" spans="1:21" ht="67.150000000000006" customHeight="1" thickBot="1" x14ac:dyDescent="0.35">
      <c r="A180" s="437"/>
      <c r="B180" s="437"/>
      <c r="C180" s="437"/>
      <c r="D180" s="437"/>
      <c r="E180" s="437"/>
      <c r="F180" s="437"/>
      <c r="G180" s="437"/>
      <c r="H180" s="437"/>
      <c r="I180" s="437"/>
      <c r="J180" s="437"/>
      <c r="K180" s="437"/>
      <c r="L180" s="437"/>
      <c r="M180" s="437"/>
      <c r="N180" s="437"/>
      <c r="O180" s="437"/>
      <c r="P180" s="437"/>
      <c r="Q180" s="437"/>
      <c r="R180" s="437"/>
      <c r="S180" s="437"/>
      <c r="T180" s="437"/>
      <c r="U180" s="437"/>
    </row>
    <row r="181" spans="1:21" ht="67.150000000000006" customHeight="1" thickBot="1" x14ac:dyDescent="0.35">
      <c r="A181" s="437"/>
      <c r="B181" s="437"/>
      <c r="C181" s="437"/>
      <c r="D181" s="437"/>
      <c r="E181" s="437"/>
      <c r="F181" s="437"/>
      <c r="G181" s="437"/>
      <c r="H181" s="437"/>
      <c r="I181" s="437"/>
      <c r="J181" s="437"/>
      <c r="K181" s="437"/>
      <c r="L181" s="437"/>
      <c r="M181" s="437"/>
      <c r="N181" s="437"/>
      <c r="O181" s="437"/>
      <c r="P181" s="437"/>
      <c r="Q181" s="437"/>
      <c r="R181" s="437"/>
      <c r="S181" s="437"/>
      <c r="T181" s="437"/>
      <c r="U181" s="437"/>
    </row>
    <row r="182" spans="1:21" ht="67.150000000000006" customHeight="1" thickBot="1" x14ac:dyDescent="0.35">
      <c r="A182" s="437"/>
      <c r="B182" s="437"/>
      <c r="C182" s="437"/>
      <c r="D182" s="437"/>
      <c r="E182" s="437"/>
      <c r="F182" s="437"/>
      <c r="G182" s="437"/>
      <c r="H182" s="437"/>
      <c r="I182" s="437"/>
      <c r="J182" s="437"/>
      <c r="K182" s="437"/>
      <c r="L182" s="437"/>
      <c r="M182" s="437"/>
      <c r="N182" s="437"/>
      <c r="O182" s="437"/>
      <c r="P182" s="437"/>
      <c r="Q182" s="437"/>
      <c r="R182" s="437"/>
      <c r="S182" s="437"/>
      <c r="T182" s="437"/>
      <c r="U182" s="437"/>
    </row>
    <row r="183" spans="1:21" ht="67.150000000000006" customHeight="1" thickBot="1" x14ac:dyDescent="0.35">
      <c r="A183" s="437"/>
      <c r="B183" s="437"/>
      <c r="C183" s="437"/>
      <c r="D183" s="437"/>
      <c r="E183" s="437"/>
      <c r="F183" s="437"/>
      <c r="G183" s="437"/>
      <c r="H183" s="437"/>
      <c r="I183" s="437"/>
      <c r="J183" s="437"/>
      <c r="K183" s="437"/>
      <c r="L183" s="437"/>
      <c r="M183" s="437"/>
      <c r="N183" s="437"/>
      <c r="O183" s="437"/>
      <c r="P183" s="437"/>
      <c r="Q183" s="437"/>
      <c r="R183" s="437"/>
      <c r="S183" s="437"/>
      <c r="T183" s="437"/>
      <c r="U183" s="437"/>
    </row>
    <row r="184" spans="1:21" ht="67.150000000000006" customHeight="1" thickBot="1" x14ac:dyDescent="0.35">
      <c r="A184" s="437"/>
      <c r="B184" s="437"/>
      <c r="C184" s="437"/>
      <c r="D184" s="437"/>
      <c r="E184" s="437"/>
      <c r="F184" s="437"/>
      <c r="G184" s="437"/>
      <c r="H184" s="437"/>
      <c r="I184" s="437"/>
      <c r="J184" s="437"/>
      <c r="K184" s="437"/>
      <c r="L184" s="437"/>
      <c r="M184" s="437"/>
      <c r="N184" s="437"/>
      <c r="O184" s="437"/>
      <c r="P184" s="437"/>
      <c r="Q184" s="437"/>
      <c r="R184" s="437"/>
      <c r="S184" s="437"/>
      <c r="T184" s="437"/>
      <c r="U184" s="437"/>
    </row>
    <row r="185" spans="1:21" ht="67.150000000000006" customHeight="1" thickBot="1" x14ac:dyDescent="0.35">
      <c r="A185" s="437"/>
      <c r="B185" s="437"/>
      <c r="C185" s="437"/>
      <c r="D185" s="437"/>
      <c r="E185" s="437"/>
      <c r="F185" s="437"/>
      <c r="G185" s="437"/>
      <c r="H185" s="437"/>
      <c r="I185" s="437"/>
      <c r="J185" s="437"/>
      <c r="K185" s="437"/>
      <c r="L185" s="437"/>
      <c r="M185" s="437"/>
      <c r="N185" s="437"/>
      <c r="O185" s="437"/>
      <c r="P185" s="437"/>
      <c r="Q185" s="437"/>
      <c r="R185" s="437"/>
      <c r="S185" s="437"/>
      <c r="T185" s="437"/>
      <c r="U185" s="437"/>
    </row>
    <row r="186" spans="1:21" ht="67.150000000000006" customHeight="1" thickBot="1" x14ac:dyDescent="0.35">
      <c r="A186" s="437"/>
      <c r="B186" s="437"/>
      <c r="C186" s="437"/>
      <c r="D186" s="437"/>
      <c r="E186" s="437"/>
      <c r="F186" s="437"/>
      <c r="G186" s="437"/>
      <c r="H186" s="437"/>
      <c r="I186" s="437"/>
      <c r="J186" s="437"/>
      <c r="K186" s="437"/>
      <c r="L186" s="437"/>
      <c r="M186" s="437"/>
      <c r="N186" s="437"/>
      <c r="O186" s="437"/>
      <c r="P186" s="437"/>
      <c r="Q186" s="437"/>
      <c r="R186" s="437"/>
      <c r="S186" s="437"/>
      <c r="T186" s="437"/>
      <c r="U186" s="437"/>
    </row>
    <row r="187" spans="1:21" ht="67.150000000000006" customHeight="1" thickBot="1" x14ac:dyDescent="0.35">
      <c r="A187" s="437"/>
      <c r="B187" s="437"/>
      <c r="C187" s="437"/>
      <c r="D187" s="437"/>
      <c r="E187" s="437"/>
      <c r="F187" s="437"/>
      <c r="G187" s="437"/>
      <c r="H187" s="437"/>
      <c r="I187" s="437"/>
      <c r="J187" s="437"/>
      <c r="K187" s="437"/>
      <c r="L187" s="437"/>
      <c r="M187" s="437"/>
      <c r="N187" s="437"/>
      <c r="O187" s="437"/>
      <c r="P187" s="437"/>
      <c r="Q187" s="437"/>
      <c r="R187" s="437"/>
      <c r="S187" s="437"/>
      <c r="T187" s="437"/>
      <c r="U187" s="437"/>
    </row>
    <row r="188" spans="1:21" ht="67.150000000000006" customHeight="1" thickBot="1" x14ac:dyDescent="0.35">
      <c r="A188" s="437"/>
      <c r="B188" s="437"/>
      <c r="C188" s="437"/>
      <c r="D188" s="437"/>
      <c r="E188" s="437"/>
      <c r="F188" s="437"/>
      <c r="G188" s="437"/>
      <c r="H188" s="437"/>
      <c r="I188" s="437"/>
      <c r="J188" s="437"/>
      <c r="K188" s="437"/>
      <c r="L188" s="437"/>
      <c r="M188" s="437"/>
      <c r="N188" s="437"/>
      <c r="O188" s="437"/>
      <c r="P188" s="437"/>
      <c r="Q188" s="437"/>
      <c r="R188" s="437"/>
      <c r="S188" s="437"/>
      <c r="T188" s="437"/>
      <c r="U188" s="437"/>
    </row>
    <row r="189" spans="1:21" ht="67.150000000000006" customHeight="1" thickBot="1" x14ac:dyDescent="0.35">
      <c r="A189" s="437"/>
      <c r="B189" s="437"/>
      <c r="C189" s="437"/>
      <c r="D189" s="437"/>
      <c r="E189" s="437"/>
      <c r="F189" s="437"/>
      <c r="G189" s="437"/>
      <c r="H189" s="437"/>
      <c r="I189" s="437"/>
      <c r="J189" s="437"/>
      <c r="K189" s="437"/>
      <c r="L189" s="437"/>
      <c r="M189" s="437"/>
      <c r="N189" s="437"/>
      <c r="O189" s="437"/>
      <c r="P189" s="437"/>
      <c r="Q189" s="437"/>
      <c r="R189" s="437"/>
      <c r="S189" s="437"/>
      <c r="T189" s="437"/>
      <c r="U189" s="437"/>
    </row>
    <row r="190" spans="1:21" ht="67.150000000000006" customHeight="1" thickBot="1" x14ac:dyDescent="0.35">
      <c r="A190" s="437"/>
      <c r="B190" s="437"/>
      <c r="C190" s="437"/>
      <c r="D190" s="437"/>
      <c r="E190" s="437"/>
      <c r="F190" s="437"/>
      <c r="G190" s="437"/>
      <c r="H190" s="437"/>
      <c r="I190" s="437"/>
      <c r="J190" s="437"/>
      <c r="K190" s="437"/>
      <c r="L190" s="437"/>
      <c r="M190" s="437"/>
      <c r="N190" s="437"/>
      <c r="O190" s="437"/>
      <c r="P190" s="437"/>
      <c r="Q190" s="437"/>
      <c r="R190" s="437"/>
      <c r="S190" s="437"/>
      <c r="T190" s="437"/>
      <c r="U190" s="437"/>
    </row>
    <row r="191" spans="1:21" ht="67.150000000000006" customHeight="1" thickBot="1" x14ac:dyDescent="0.35">
      <c r="A191" s="437"/>
      <c r="B191" s="437"/>
      <c r="C191" s="437"/>
      <c r="D191" s="437"/>
      <c r="E191" s="437"/>
      <c r="F191" s="437"/>
      <c r="G191" s="437"/>
      <c r="H191" s="437"/>
      <c r="I191" s="437"/>
      <c r="J191" s="437"/>
      <c r="K191" s="437"/>
      <c r="L191" s="437"/>
      <c r="M191" s="437"/>
      <c r="N191" s="437"/>
      <c r="O191" s="437"/>
      <c r="P191" s="437"/>
      <c r="Q191" s="437"/>
      <c r="R191" s="437"/>
      <c r="S191" s="437"/>
      <c r="T191" s="437"/>
      <c r="U191" s="437"/>
    </row>
    <row r="192" spans="1:21" ht="67.150000000000006" customHeight="1" thickBot="1" x14ac:dyDescent="0.35">
      <c r="A192" s="437"/>
      <c r="B192" s="437"/>
      <c r="C192" s="437"/>
      <c r="D192" s="437"/>
      <c r="E192" s="437"/>
      <c r="F192" s="437"/>
      <c r="G192" s="437"/>
      <c r="H192" s="437"/>
      <c r="I192" s="437"/>
      <c r="J192" s="437"/>
      <c r="K192" s="437"/>
      <c r="L192" s="437"/>
      <c r="M192" s="437"/>
      <c r="N192" s="437"/>
      <c r="O192" s="437"/>
      <c r="P192" s="437"/>
      <c r="Q192" s="437"/>
      <c r="R192" s="437"/>
      <c r="S192" s="437"/>
      <c r="T192" s="437"/>
      <c r="U192" s="437"/>
    </row>
    <row r="193" spans="1:21" ht="67.150000000000006" customHeight="1" thickBot="1" x14ac:dyDescent="0.35">
      <c r="A193" s="437"/>
      <c r="B193" s="437"/>
      <c r="C193" s="437"/>
      <c r="D193" s="437"/>
      <c r="E193" s="437"/>
      <c r="F193" s="437"/>
      <c r="G193" s="437"/>
      <c r="H193" s="437"/>
      <c r="I193" s="437"/>
      <c r="J193" s="437"/>
      <c r="K193" s="437"/>
      <c r="L193" s="437"/>
      <c r="M193" s="437"/>
      <c r="N193" s="437"/>
      <c r="O193" s="437"/>
      <c r="P193" s="437"/>
      <c r="Q193" s="437"/>
      <c r="R193" s="437"/>
      <c r="S193" s="437"/>
      <c r="T193" s="437"/>
      <c r="U193" s="437"/>
    </row>
    <row r="194" spans="1:21" ht="67.150000000000006" customHeight="1" thickBot="1" x14ac:dyDescent="0.35">
      <c r="A194" s="437"/>
      <c r="B194" s="437"/>
      <c r="C194" s="437"/>
      <c r="D194" s="437"/>
      <c r="E194" s="437"/>
      <c r="F194" s="437"/>
      <c r="G194" s="437"/>
      <c r="H194" s="437"/>
      <c r="I194" s="437"/>
      <c r="J194" s="437"/>
      <c r="K194" s="437"/>
      <c r="L194" s="437"/>
      <c r="M194" s="437"/>
      <c r="N194" s="437"/>
      <c r="O194" s="437"/>
      <c r="P194" s="437"/>
      <c r="Q194" s="437"/>
      <c r="R194" s="437"/>
      <c r="S194" s="437"/>
      <c r="T194" s="437"/>
      <c r="U194" s="437"/>
    </row>
    <row r="195" spans="1:21" ht="67.150000000000006" customHeight="1" thickBot="1" x14ac:dyDescent="0.35">
      <c r="A195" s="437"/>
      <c r="B195" s="437"/>
      <c r="C195" s="437"/>
      <c r="D195" s="437"/>
      <c r="E195" s="437"/>
      <c r="F195" s="437"/>
      <c r="G195" s="437"/>
      <c r="H195" s="437"/>
      <c r="I195" s="437"/>
      <c r="J195" s="437"/>
      <c r="K195" s="437"/>
      <c r="L195" s="437"/>
      <c r="M195" s="437"/>
      <c r="N195" s="437"/>
      <c r="O195" s="437"/>
      <c r="P195" s="437"/>
      <c r="Q195" s="437"/>
      <c r="R195" s="437"/>
      <c r="S195" s="437"/>
      <c r="T195" s="437"/>
      <c r="U195" s="437"/>
    </row>
    <row r="196" spans="1:21" ht="67.150000000000006" customHeight="1" thickBot="1" x14ac:dyDescent="0.35">
      <c r="A196" s="437"/>
      <c r="B196" s="437"/>
      <c r="C196" s="437"/>
      <c r="D196" s="437"/>
      <c r="E196" s="437"/>
      <c r="F196" s="437"/>
      <c r="G196" s="437"/>
      <c r="H196" s="437"/>
      <c r="I196" s="437"/>
      <c r="J196" s="437"/>
      <c r="K196" s="437"/>
      <c r="L196" s="437"/>
      <c r="M196" s="437"/>
      <c r="N196" s="437"/>
      <c r="O196" s="437"/>
      <c r="P196" s="437"/>
      <c r="Q196" s="437"/>
      <c r="R196" s="437"/>
      <c r="S196" s="437"/>
      <c r="T196" s="437"/>
      <c r="U196" s="437"/>
    </row>
    <row r="197" spans="1:21" ht="67.150000000000006" customHeight="1" thickBot="1" x14ac:dyDescent="0.35">
      <c r="A197" s="437"/>
      <c r="B197" s="437"/>
      <c r="C197" s="437"/>
      <c r="D197" s="437"/>
      <c r="E197" s="437"/>
      <c r="F197" s="437"/>
      <c r="G197" s="437"/>
      <c r="H197" s="437"/>
      <c r="I197" s="437"/>
      <c r="J197" s="437"/>
      <c r="K197" s="437"/>
      <c r="L197" s="437"/>
      <c r="M197" s="437"/>
      <c r="N197" s="437"/>
      <c r="O197" s="437"/>
      <c r="P197" s="437"/>
      <c r="Q197" s="437"/>
      <c r="R197" s="437"/>
      <c r="S197" s="437"/>
      <c r="T197" s="437"/>
      <c r="U197" s="437"/>
    </row>
    <row r="198" spans="1:21" ht="67.150000000000006" customHeight="1" thickBot="1" x14ac:dyDescent="0.35">
      <c r="A198" s="437"/>
      <c r="B198" s="437"/>
      <c r="C198" s="437"/>
      <c r="D198" s="437"/>
      <c r="E198" s="437"/>
      <c r="F198" s="437"/>
      <c r="G198" s="437"/>
      <c r="H198" s="437"/>
      <c r="I198" s="437"/>
      <c r="J198" s="437"/>
      <c r="K198" s="437"/>
      <c r="L198" s="437"/>
      <c r="M198" s="437"/>
      <c r="N198" s="437"/>
      <c r="O198" s="437"/>
      <c r="P198" s="437"/>
      <c r="Q198" s="437"/>
      <c r="R198" s="437"/>
      <c r="S198" s="437"/>
      <c r="T198" s="437"/>
      <c r="U198" s="437"/>
    </row>
    <row r="199" spans="1:21" ht="67.150000000000006" customHeight="1" thickBot="1" x14ac:dyDescent="0.35">
      <c r="A199" s="437"/>
      <c r="B199" s="437"/>
      <c r="C199" s="437"/>
      <c r="D199" s="437"/>
      <c r="E199" s="437"/>
      <c r="F199" s="437"/>
      <c r="G199" s="437"/>
      <c r="H199" s="437"/>
      <c r="I199" s="437"/>
      <c r="J199" s="437"/>
      <c r="K199" s="437"/>
      <c r="L199" s="437"/>
      <c r="M199" s="437"/>
      <c r="N199" s="437"/>
      <c r="O199" s="437"/>
      <c r="P199" s="437"/>
      <c r="Q199" s="437"/>
      <c r="R199" s="437"/>
      <c r="S199" s="437"/>
      <c r="T199" s="437"/>
      <c r="U199" s="437"/>
    </row>
    <row r="200" spans="1:21" ht="67.150000000000006" customHeight="1" thickBot="1" x14ac:dyDescent="0.35">
      <c r="A200" s="437"/>
      <c r="B200" s="437"/>
      <c r="C200" s="437"/>
      <c r="D200" s="437"/>
      <c r="E200" s="437"/>
      <c r="F200" s="437"/>
      <c r="G200" s="437"/>
      <c r="H200" s="437"/>
      <c r="I200" s="437"/>
      <c r="J200" s="437"/>
      <c r="K200" s="437"/>
      <c r="L200" s="437"/>
      <c r="M200" s="437"/>
      <c r="N200" s="437"/>
      <c r="O200" s="437"/>
      <c r="P200" s="437"/>
      <c r="Q200" s="437"/>
      <c r="R200" s="437"/>
      <c r="S200" s="437"/>
      <c r="T200" s="437"/>
      <c r="U200" s="437"/>
    </row>
    <row r="201" spans="1:21" ht="67.150000000000006" customHeight="1" thickBot="1" x14ac:dyDescent="0.35">
      <c r="A201" s="437"/>
      <c r="B201" s="437"/>
      <c r="C201" s="437"/>
      <c r="D201" s="437"/>
      <c r="E201" s="437"/>
      <c r="F201" s="437"/>
      <c r="G201" s="437"/>
      <c r="H201" s="437"/>
      <c r="I201" s="437"/>
      <c r="J201" s="437"/>
      <c r="K201" s="437"/>
      <c r="L201" s="437"/>
      <c r="M201" s="437"/>
      <c r="N201" s="437"/>
      <c r="O201" s="437"/>
      <c r="P201" s="437"/>
      <c r="Q201" s="437"/>
      <c r="R201" s="437"/>
      <c r="S201" s="437"/>
      <c r="T201" s="437"/>
      <c r="U201" s="437"/>
    </row>
    <row r="202" spans="1:21" ht="67.150000000000006" customHeight="1" thickBot="1" x14ac:dyDescent="0.35">
      <c r="A202" s="437"/>
      <c r="B202" s="437"/>
      <c r="C202" s="437"/>
      <c r="D202" s="437"/>
      <c r="E202" s="437"/>
      <c r="F202" s="437"/>
      <c r="G202" s="437"/>
      <c r="H202" s="437"/>
      <c r="I202" s="437"/>
      <c r="J202" s="437"/>
      <c r="K202" s="437"/>
      <c r="L202" s="437"/>
      <c r="M202" s="437"/>
      <c r="N202" s="437"/>
      <c r="O202" s="437"/>
      <c r="P202" s="437"/>
      <c r="Q202" s="437"/>
      <c r="R202" s="437"/>
      <c r="S202" s="437"/>
      <c r="T202" s="437"/>
      <c r="U202" s="437"/>
    </row>
    <row r="203" spans="1:21" ht="67.150000000000006" customHeight="1" thickBot="1" x14ac:dyDescent="0.35">
      <c r="A203" s="437"/>
      <c r="B203" s="437"/>
      <c r="C203" s="437"/>
      <c r="D203" s="437"/>
      <c r="E203" s="437"/>
      <c r="F203" s="437"/>
      <c r="G203" s="437"/>
      <c r="H203" s="437"/>
      <c r="I203" s="437"/>
      <c r="J203" s="437"/>
      <c r="K203" s="437"/>
      <c r="L203" s="437"/>
      <c r="M203" s="437"/>
      <c r="N203" s="437"/>
      <c r="O203" s="437"/>
      <c r="P203" s="437"/>
      <c r="Q203" s="437"/>
      <c r="R203" s="437"/>
      <c r="S203" s="437"/>
      <c r="T203" s="437"/>
      <c r="U203" s="437"/>
    </row>
    <row r="204" spans="1:21" ht="67.150000000000006" customHeight="1" thickBot="1" x14ac:dyDescent="0.35">
      <c r="A204" s="437"/>
      <c r="B204" s="437"/>
      <c r="C204" s="437"/>
      <c r="D204" s="437"/>
      <c r="E204" s="437"/>
      <c r="F204" s="437"/>
      <c r="G204" s="437"/>
      <c r="H204" s="437"/>
      <c r="I204" s="437"/>
      <c r="J204" s="437"/>
      <c r="K204" s="437"/>
      <c r="L204" s="437"/>
      <c r="M204" s="437"/>
      <c r="N204" s="437"/>
      <c r="O204" s="437"/>
      <c r="P204" s="437"/>
      <c r="Q204" s="437"/>
      <c r="R204" s="437"/>
      <c r="S204" s="437"/>
      <c r="T204" s="437"/>
      <c r="U204" s="437"/>
    </row>
    <row r="205" spans="1:21" ht="67.150000000000006" customHeight="1" thickBot="1" x14ac:dyDescent="0.35">
      <c r="A205" s="437"/>
      <c r="B205" s="437"/>
      <c r="C205" s="437"/>
      <c r="D205" s="437"/>
      <c r="E205" s="437"/>
      <c r="F205" s="437"/>
      <c r="G205" s="437"/>
      <c r="H205" s="437"/>
      <c r="I205" s="437"/>
      <c r="J205" s="437"/>
      <c r="K205" s="437"/>
      <c r="L205" s="437"/>
      <c r="M205" s="437"/>
      <c r="N205" s="437"/>
      <c r="O205" s="437"/>
      <c r="P205" s="437"/>
      <c r="Q205" s="437"/>
      <c r="R205" s="437"/>
      <c r="S205" s="437"/>
      <c r="T205" s="437"/>
      <c r="U205" s="437"/>
    </row>
    <row r="206" spans="1:21" ht="67.150000000000006" customHeight="1" thickBot="1" x14ac:dyDescent="0.35">
      <c r="A206" s="437"/>
      <c r="B206" s="437"/>
      <c r="C206" s="437"/>
      <c r="D206" s="437"/>
      <c r="E206" s="437"/>
      <c r="F206" s="437"/>
      <c r="G206" s="437"/>
      <c r="H206" s="437"/>
      <c r="I206" s="437"/>
      <c r="J206" s="437"/>
      <c r="K206" s="437"/>
      <c r="L206" s="437"/>
      <c r="M206" s="437"/>
      <c r="N206" s="437"/>
      <c r="O206" s="437"/>
      <c r="P206" s="437"/>
      <c r="Q206" s="437"/>
      <c r="R206" s="437"/>
      <c r="S206" s="437"/>
      <c r="T206" s="437"/>
      <c r="U206" s="437"/>
    </row>
    <row r="207" spans="1:21" ht="67.150000000000006" customHeight="1" thickBot="1" x14ac:dyDescent="0.35">
      <c r="A207" s="437"/>
      <c r="B207" s="437"/>
      <c r="C207" s="437"/>
      <c r="D207" s="437"/>
      <c r="E207" s="437"/>
      <c r="F207" s="437"/>
      <c r="G207" s="437"/>
      <c r="H207" s="437"/>
      <c r="I207" s="437"/>
      <c r="J207" s="437"/>
      <c r="K207" s="437"/>
      <c r="L207" s="437"/>
      <c r="M207" s="437"/>
      <c r="N207" s="437"/>
      <c r="O207" s="437"/>
      <c r="P207" s="437"/>
      <c r="Q207" s="437"/>
      <c r="R207" s="437"/>
      <c r="S207" s="437"/>
      <c r="T207" s="437"/>
      <c r="U207" s="437"/>
    </row>
    <row r="208" spans="1:21" ht="67.150000000000006" customHeight="1" thickBot="1" x14ac:dyDescent="0.35">
      <c r="A208" s="437"/>
      <c r="B208" s="437"/>
      <c r="C208" s="437"/>
      <c r="D208" s="437"/>
      <c r="E208" s="437"/>
      <c r="F208" s="437"/>
      <c r="G208" s="437"/>
      <c r="H208" s="437"/>
      <c r="I208" s="437"/>
      <c r="J208" s="437"/>
      <c r="K208" s="437"/>
      <c r="L208" s="437"/>
      <c r="M208" s="437"/>
      <c r="N208" s="437"/>
      <c r="O208" s="437"/>
      <c r="P208" s="437"/>
      <c r="Q208" s="437"/>
      <c r="R208" s="437"/>
      <c r="S208" s="437"/>
      <c r="T208" s="437"/>
      <c r="U208" s="437"/>
    </row>
    <row r="209" spans="1:21" ht="67.150000000000006" customHeight="1" thickBot="1" x14ac:dyDescent="0.35">
      <c r="A209" s="437"/>
      <c r="B209" s="437"/>
      <c r="C209" s="437"/>
      <c r="D209" s="437"/>
      <c r="E209" s="437"/>
      <c r="F209" s="437"/>
      <c r="G209" s="437"/>
      <c r="H209" s="437"/>
      <c r="I209" s="437"/>
      <c r="J209" s="437"/>
      <c r="K209" s="437"/>
      <c r="L209" s="437"/>
      <c r="M209" s="437"/>
      <c r="N209" s="437"/>
      <c r="O209" s="437"/>
      <c r="P209" s="437"/>
      <c r="Q209" s="437"/>
      <c r="R209" s="437"/>
      <c r="S209" s="437"/>
      <c r="T209" s="437"/>
      <c r="U209" s="437"/>
    </row>
    <row r="210" spans="1:21" ht="67.150000000000006" customHeight="1" thickBot="1" x14ac:dyDescent="0.35">
      <c r="A210" s="437"/>
      <c r="B210" s="437"/>
      <c r="C210" s="437"/>
      <c r="D210" s="437"/>
      <c r="E210" s="437"/>
      <c r="F210" s="437"/>
      <c r="G210" s="437"/>
      <c r="H210" s="437"/>
      <c r="I210" s="437"/>
      <c r="J210" s="437"/>
      <c r="K210" s="437"/>
      <c r="L210" s="437"/>
      <c r="M210" s="437"/>
      <c r="N210" s="437"/>
      <c r="O210" s="437"/>
      <c r="P210" s="437"/>
      <c r="Q210" s="437"/>
      <c r="R210" s="437"/>
      <c r="S210" s="437"/>
      <c r="T210" s="437"/>
      <c r="U210" s="437"/>
    </row>
    <row r="211" spans="1:21" ht="67.150000000000006" customHeight="1" thickBot="1" x14ac:dyDescent="0.35">
      <c r="A211" s="437"/>
      <c r="B211" s="437"/>
      <c r="C211" s="437"/>
      <c r="D211" s="437"/>
      <c r="E211" s="437"/>
      <c r="F211" s="437"/>
      <c r="G211" s="437"/>
      <c r="H211" s="437"/>
      <c r="I211" s="437"/>
      <c r="J211" s="437"/>
      <c r="K211" s="437"/>
      <c r="L211" s="437"/>
      <c r="M211" s="437"/>
      <c r="N211" s="437"/>
      <c r="O211" s="437"/>
      <c r="P211" s="437"/>
      <c r="Q211" s="437"/>
      <c r="R211" s="437"/>
      <c r="S211" s="437"/>
      <c r="T211" s="437"/>
      <c r="U211" s="437"/>
    </row>
    <row r="212" spans="1:21" ht="67.150000000000006" customHeight="1" thickBot="1" x14ac:dyDescent="0.35">
      <c r="A212" s="437"/>
      <c r="B212" s="437"/>
      <c r="C212" s="437"/>
      <c r="D212" s="437"/>
      <c r="E212" s="437"/>
      <c r="F212" s="437"/>
      <c r="G212" s="437"/>
      <c r="H212" s="437"/>
      <c r="I212" s="437"/>
      <c r="J212" s="437"/>
      <c r="K212" s="437"/>
      <c r="L212" s="437"/>
      <c r="M212" s="437"/>
      <c r="N212" s="437"/>
      <c r="O212" s="437"/>
      <c r="P212" s="437"/>
      <c r="Q212" s="437"/>
      <c r="R212" s="437"/>
      <c r="S212" s="437"/>
      <c r="T212" s="437"/>
      <c r="U212" s="437"/>
    </row>
    <row r="213" spans="1:21" ht="67.150000000000006" customHeight="1" thickBot="1" x14ac:dyDescent="0.35">
      <c r="A213" s="437"/>
      <c r="B213" s="437"/>
      <c r="C213" s="437"/>
      <c r="D213" s="437"/>
      <c r="E213" s="437"/>
      <c r="F213" s="437"/>
      <c r="G213" s="437"/>
      <c r="H213" s="437"/>
      <c r="I213" s="437"/>
      <c r="J213" s="437"/>
      <c r="K213" s="437"/>
      <c r="L213" s="437"/>
      <c r="M213" s="437"/>
      <c r="N213" s="437"/>
      <c r="O213" s="437"/>
      <c r="P213" s="437"/>
      <c r="Q213" s="437"/>
      <c r="R213" s="437"/>
      <c r="S213" s="437"/>
      <c r="T213" s="437"/>
      <c r="U213" s="437"/>
    </row>
    <row r="214" spans="1:21" ht="67.150000000000006" customHeight="1" thickBot="1" x14ac:dyDescent="0.35">
      <c r="A214" s="437"/>
      <c r="B214" s="437"/>
      <c r="C214" s="437"/>
      <c r="D214" s="437"/>
      <c r="E214" s="437"/>
      <c r="F214" s="437"/>
      <c r="G214" s="437"/>
      <c r="H214" s="437"/>
      <c r="I214" s="437"/>
      <c r="J214" s="437"/>
      <c r="K214" s="437"/>
      <c r="L214" s="437"/>
      <c r="M214" s="437"/>
      <c r="N214" s="437"/>
      <c r="O214" s="437"/>
      <c r="P214" s="437"/>
      <c r="Q214" s="437"/>
      <c r="R214" s="437"/>
      <c r="S214" s="437"/>
      <c r="T214" s="437"/>
      <c r="U214" s="437"/>
    </row>
    <row r="215" spans="1:21" ht="67.150000000000006" customHeight="1" thickBot="1" x14ac:dyDescent="0.35">
      <c r="A215" s="437"/>
      <c r="B215" s="437"/>
      <c r="C215" s="437"/>
      <c r="D215" s="437"/>
      <c r="E215" s="437"/>
      <c r="F215" s="437"/>
      <c r="G215" s="437"/>
      <c r="H215" s="437"/>
      <c r="I215" s="437"/>
      <c r="J215" s="437"/>
      <c r="K215" s="437"/>
      <c r="L215" s="437"/>
      <c r="M215" s="437"/>
      <c r="N215" s="437"/>
      <c r="O215" s="437"/>
      <c r="P215" s="437"/>
      <c r="Q215" s="437"/>
      <c r="R215" s="437"/>
      <c r="S215" s="437"/>
      <c r="T215" s="437"/>
      <c r="U215" s="437"/>
    </row>
    <row r="216" spans="1:21" ht="67.150000000000006" customHeight="1" thickBot="1" x14ac:dyDescent="0.35">
      <c r="A216" s="437"/>
      <c r="B216" s="437"/>
      <c r="C216" s="437"/>
      <c r="D216" s="437"/>
      <c r="E216" s="437"/>
      <c r="F216" s="437"/>
      <c r="G216" s="437"/>
      <c r="H216" s="437"/>
      <c r="I216" s="437"/>
      <c r="J216" s="437"/>
      <c r="K216" s="437"/>
      <c r="L216" s="437"/>
      <c r="M216" s="437"/>
      <c r="N216" s="437"/>
      <c r="O216" s="437"/>
      <c r="P216" s="437"/>
      <c r="Q216" s="437"/>
      <c r="R216" s="437"/>
      <c r="S216" s="437"/>
      <c r="T216" s="437"/>
      <c r="U216" s="437"/>
    </row>
    <row r="217" spans="1:21" ht="67.150000000000006" customHeight="1" thickBot="1" x14ac:dyDescent="0.35">
      <c r="A217" s="437"/>
      <c r="B217" s="437"/>
      <c r="C217" s="437"/>
      <c r="D217" s="437"/>
      <c r="E217" s="437"/>
      <c r="F217" s="437"/>
      <c r="G217" s="437"/>
      <c r="H217" s="437"/>
      <c r="I217" s="437"/>
      <c r="J217" s="437"/>
      <c r="K217" s="437"/>
      <c r="L217" s="437"/>
      <c r="M217" s="437"/>
      <c r="N217" s="437"/>
      <c r="O217" s="437"/>
      <c r="P217" s="437"/>
      <c r="Q217" s="437"/>
      <c r="R217" s="437"/>
      <c r="S217" s="437"/>
      <c r="T217" s="437"/>
      <c r="U217" s="437"/>
    </row>
    <row r="218" spans="1:21" ht="67.150000000000006" customHeight="1" thickBot="1" x14ac:dyDescent="0.35">
      <c r="A218" s="437"/>
      <c r="B218" s="437"/>
      <c r="C218" s="437"/>
      <c r="D218" s="437"/>
      <c r="E218" s="437"/>
      <c r="F218" s="437"/>
      <c r="G218" s="437"/>
      <c r="H218" s="437"/>
      <c r="I218" s="437"/>
      <c r="J218" s="437"/>
      <c r="K218" s="437"/>
      <c r="L218" s="437"/>
      <c r="M218" s="437"/>
      <c r="N218" s="437"/>
      <c r="O218" s="437"/>
      <c r="P218" s="437"/>
      <c r="Q218" s="437"/>
      <c r="R218" s="437"/>
      <c r="S218" s="437"/>
      <c r="T218" s="437"/>
      <c r="U218" s="437"/>
    </row>
    <row r="219" spans="1:21" ht="67.150000000000006" customHeight="1" thickBot="1" x14ac:dyDescent="0.35">
      <c r="A219" s="437"/>
      <c r="B219" s="437"/>
      <c r="C219" s="437"/>
      <c r="D219" s="437"/>
      <c r="E219" s="437"/>
      <c r="F219" s="437"/>
      <c r="G219" s="437"/>
      <c r="H219" s="437"/>
      <c r="I219" s="437"/>
      <c r="J219" s="437"/>
      <c r="K219" s="437"/>
      <c r="L219" s="437"/>
      <c r="M219" s="437"/>
      <c r="N219" s="437"/>
      <c r="O219" s="437"/>
      <c r="P219" s="437"/>
      <c r="Q219" s="437"/>
      <c r="R219" s="437"/>
      <c r="S219" s="437"/>
      <c r="T219" s="437"/>
      <c r="U219" s="437"/>
    </row>
    <row r="220" spans="1:21" ht="67.150000000000006" customHeight="1" thickBot="1" x14ac:dyDescent="0.35">
      <c r="A220" s="437"/>
      <c r="B220" s="437"/>
      <c r="C220" s="437"/>
      <c r="D220" s="437"/>
      <c r="E220" s="437"/>
      <c r="F220" s="437"/>
      <c r="G220" s="437"/>
      <c r="H220" s="437"/>
      <c r="I220" s="437"/>
      <c r="J220" s="437"/>
      <c r="K220" s="437"/>
      <c r="L220" s="437"/>
      <c r="M220" s="437"/>
      <c r="N220" s="437"/>
      <c r="O220" s="437"/>
      <c r="P220" s="437"/>
      <c r="Q220" s="437"/>
      <c r="R220" s="437"/>
      <c r="S220" s="437"/>
      <c r="T220" s="437"/>
      <c r="U220" s="437"/>
    </row>
    <row r="221" spans="1:21" ht="67.150000000000006" customHeight="1" thickBot="1" x14ac:dyDescent="0.35">
      <c r="A221" s="437"/>
      <c r="B221" s="437"/>
      <c r="C221" s="437"/>
      <c r="D221" s="437"/>
      <c r="E221" s="437"/>
      <c r="F221" s="437"/>
      <c r="G221" s="437"/>
      <c r="H221" s="437"/>
      <c r="I221" s="437"/>
      <c r="J221" s="437"/>
      <c r="K221" s="437"/>
      <c r="L221" s="437"/>
      <c r="M221" s="437"/>
      <c r="N221" s="437"/>
      <c r="O221" s="437"/>
      <c r="P221" s="437"/>
      <c r="Q221" s="437"/>
      <c r="R221" s="437"/>
      <c r="S221" s="437"/>
      <c r="T221" s="437"/>
      <c r="U221" s="437"/>
    </row>
    <row r="222" spans="1:21" ht="67.150000000000006" customHeight="1" thickBot="1" x14ac:dyDescent="0.35">
      <c r="A222" s="437"/>
      <c r="B222" s="437"/>
      <c r="C222" s="437"/>
      <c r="D222" s="437"/>
      <c r="E222" s="437"/>
      <c r="F222" s="437"/>
      <c r="G222" s="437"/>
      <c r="H222" s="437"/>
      <c r="I222" s="437"/>
      <c r="J222" s="437"/>
      <c r="K222" s="437"/>
      <c r="L222" s="437"/>
      <c r="M222" s="437"/>
      <c r="N222" s="437"/>
      <c r="O222" s="437"/>
      <c r="P222" s="437"/>
      <c r="Q222" s="437"/>
      <c r="R222" s="437"/>
      <c r="S222" s="437"/>
      <c r="T222" s="437"/>
      <c r="U222" s="437"/>
    </row>
    <row r="223" spans="1:21" ht="67.150000000000006" customHeight="1" thickBot="1" x14ac:dyDescent="0.35">
      <c r="A223" s="437"/>
      <c r="B223" s="437"/>
      <c r="C223" s="437"/>
      <c r="D223" s="437"/>
      <c r="E223" s="437"/>
      <c r="F223" s="437"/>
      <c r="G223" s="437"/>
      <c r="H223" s="437"/>
      <c r="I223" s="437"/>
      <c r="J223" s="437"/>
      <c r="K223" s="437"/>
      <c r="L223" s="437"/>
      <c r="M223" s="437"/>
      <c r="N223" s="437"/>
      <c r="O223" s="437"/>
      <c r="P223" s="437"/>
      <c r="Q223" s="437"/>
      <c r="R223" s="437"/>
      <c r="S223" s="437"/>
      <c r="T223" s="437"/>
      <c r="U223" s="437"/>
    </row>
    <row r="224" spans="1:21" ht="67.150000000000006" customHeight="1" thickBot="1" x14ac:dyDescent="0.35">
      <c r="A224" s="437"/>
      <c r="B224" s="437"/>
      <c r="C224" s="437"/>
      <c r="D224" s="437"/>
      <c r="E224" s="437"/>
      <c r="F224" s="437"/>
      <c r="G224" s="437"/>
      <c r="H224" s="437"/>
      <c r="I224" s="437"/>
      <c r="J224" s="437"/>
      <c r="K224" s="437"/>
      <c r="L224" s="437"/>
      <c r="M224" s="437"/>
      <c r="N224" s="437"/>
      <c r="O224" s="437"/>
      <c r="P224" s="437"/>
      <c r="Q224" s="437"/>
      <c r="R224" s="437"/>
      <c r="S224" s="437"/>
      <c r="T224" s="437"/>
      <c r="U224" s="437"/>
    </row>
    <row r="225" spans="1:21" ht="67.150000000000006" customHeight="1" thickBot="1" x14ac:dyDescent="0.35">
      <c r="A225" s="437"/>
      <c r="B225" s="437"/>
      <c r="C225" s="437"/>
      <c r="D225" s="437"/>
      <c r="E225" s="437"/>
      <c r="F225" s="437"/>
      <c r="G225" s="437"/>
      <c r="H225" s="437"/>
      <c r="I225" s="437"/>
      <c r="J225" s="437"/>
      <c r="K225" s="437"/>
      <c r="L225" s="437"/>
      <c r="M225" s="437"/>
      <c r="N225" s="437"/>
      <c r="O225" s="437"/>
      <c r="P225" s="437"/>
      <c r="Q225" s="437"/>
      <c r="R225" s="437"/>
      <c r="S225" s="437"/>
      <c r="T225" s="437"/>
      <c r="U225" s="437"/>
    </row>
    <row r="226" spans="1:21" ht="67.150000000000006" customHeight="1" thickBot="1" x14ac:dyDescent="0.35">
      <c r="A226" s="437"/>
      <c r="B226" s="437"/>
      <c r="C226" s="437"/>
      <c r="D226" s="437"/>
      <c r="E226" s="437"/>
      <c r="F226" s="437"/>
      <c r="G226" s="437"/>
      <c r="H226" s="437"/>
      <c r="I226" s="437"/>
      <c r="J226" s="437"/>
      <c r="K226" s="437"/>
      <c r="L226" s="437"/>
      <c r="M226" s="437"/>
      <c r="N226" s="437"/>
      <c r="O226" s="437"/>
      <c r="P226" s="437"/>
      <c r="Q226" s="437"/>
      <c r="R226" s="437"/>
      <c r="S226" s="437"/>
      <c r="T226" s="437"/>
      <c r="U226" s="437"/>
    </row>
    <row r="227" spans="1:21" ht="67.150000000000006" customHeight="1" thickBot="1" x14ac:dyDescent="0.35">
      <c r="A227" s="437"/>
      <c r="B227" s="437"/>
      <c r="C227" s="437"/>
      <c r="D227" s="437"/>
      <c r="E227" s="437"/>
      <c r="F227" s="437"/>
      <c r="G227" s="437"/>
      <c r="H227" s="437"/>
      <c r="I227" s="437"/>
      <c r="J227" s="437"/>
      <c r="K227" s="437"/>
      <c r="L227" s="437"/>
      <c r="M227" s="437"/>
      <c r="N227" s="437"/>
      <c r="O227" s="437"/>
      <c r="P227" s="437"/>
      <c r="Q227" s="437"/>
      <c r="R227" s="437"/>
      <c r="S227" s="437"/>
      <c r="T227" s="437"/>
      <c r="U227" s="437"/>
    </row>
    <row r="228" spans="1:21" ht="67.150000000000006" customHeight="1" thickBot="1" x14ac:dyDescent="0.35">
      <c r="A228" s="437"/>
      <c r="B228" s="437"/>
      <c r="C228" s="437"/>
      <c r="D228" s="437"/>
      <c r="E228" s="437"/>
      <c r="F228" s="437"/>
      <c r="G228" s="437"/>
      <c r="H228" s="437"/>
      <c r="I228" s="437"/>
      <c r="J228" s="437"/>
      <c r="K228" s="437"/>
      <c r="L228" s="437"/>
      <c r="M228" s="437"/>
      <c r="N228" s="437"/>
      <c r="O228" s="437"/>
      <c r="P228" s="437"/>
      <c r="Q228" s="437"/>
      <c r="R228" s="437"/>
      <c r="S228" s="437"/>
      <c r="T228" s="437"/>
      <c r="U228" s="437"/>
    </row>
    <row r="229" spans="1:21" ht="67.150000000000006" customHeight="1" thickBot="1" x14ac:dyDescent="0.35">
      <c r="A229" s="437"/>
      <c r="B229" s="437"/>
      <c r="C229" s="437"/>
      <c r="D229" s="437"/>
      <c r="E229" s="437"/>
      <c r="F229" s="437"/>
      <c r="G229" s="437"/>
      <c r="H229" s="437"/>
      <c r="I229" s="437"/>
      <c r="J229" s="437"/>
      <c r="K229" s="437"/>
      <c r="L229" s="437"/>
      <c r="M229" s="437"/>
      <c r="N229" s="437"/>
      <c r="O229" s="437"/>
      <c r="P229" s="437"/>
      <c r="Q229" s="437"/>
      <c r="R229" s="437"/>
      <c r="S229" s="437"/>
      <c r="T229" s="437"/>
      <c r="U229" s="437"/>
    </row>
    <row r="230" spans="1:21" ht="67.150000000000006" customHeight="1" thickBot="1" x14ac:dyDescent="0.35">
      <c r="A230" s="437"/>
      <c r="B230" s="437"/>
      <c r="C230" s="437"/>
      <c r="D230" s="437"/>
      <c r="E230" s="437"/>
      <c r="F230" s="437"/>
      <c r="G230" s="437"/>
      <c r="H230" s="437"/>
      <c r="I230" s="437"/>
      <c r="J230" s="437"/>
      <c r="K230" s="437"/>
      <c r="L230" s="437"/>
      <c r="M230" s="437"/>
      <c r="N230" s="437"/>
      <c r="O230" s="437"/>
      <c r="P230" s="437"/>
      <c r="Q230" s="437"/>
      <c r="R230" s="437"/>
      <c r="S230" s="437"/>
      <c r="T230" s="437"/>
      <c r="U230" s="437"/>
    </row>
    <row r="231" spans="1:21" ht="67.150000000000006" customHeight="1" thickBot="1" x14ac:dyDescent="0.35">
      <c r="A231" s="437"/>
      <c r="B231" s="437"/>
      <c r="C231" s="437"/>
      <c r="D231" s="437"/>
      <c r="E231" s="437"/>
      <c r="F231" s="437"/>
      <c r="G231" s="437"/>
      <c r="H231" s="437"/>
      <c r="I231" s="437"/>
      <c r="J231" s="437"/>
      <c r="K231" s="437"/>
      <c r="L231" s="437"/>
      <c r="M231" s="437"/>
      <c r="N231" s="437"/>
      <c r="O231" s="437"/>
      <c r="P231" s="437"/>
      <c r="Q231" s="437"/>
      <c r="R231" s="437"/>
      <c r="S231" s="437"/>
      <c r="T231" s="437"/>
      <c r="U231" s="437"/>
    </row>
    <row r="232" spans="1:21" ht="67.150000000000006" customHeight="1" thickBot="1" x14ac:dyDescent="0.35">
      <c r="A232" s="437"/>
      <c r="B232" s="437"/>
      <c r="C232" s="437"/>
      <c r="D232" s="437"/>
      <c r="E232" s="437"/>
      <c r="F232" s="437"/>
      <c r="G232" s="437"/>
      <c r="H232" s="437"/>
      <c r="I232" s="437"/>
      <c r="J232" s="437"/>
      <c r="K232" s="437"/>
      <c r="L232" s="437"/>
      <c r="M232" s="437"/>
      <c r="N232" s="437"/>
      <c r="O232" s="437"/>
      <c r="P232" s="437"/>
      <c r="Q232" s="437"/>
      <c r="R232" s="437"/>
      <c r="S232" s="437"/>
      <c r="T232" s="437"/>
      <c r="U232" s="437"/>
    </row>
    <row r="233" spans="1:21" ht="67.150000000000006" customHeight="1" thickBot="1" x14ac:dyDescent="0.35">
      <c r="A233" s="437"/>
      <c r="B233" s="437"/>
      <c r="C233" s="437"/>
      <c r="D233" s="437"/>
      <c r="E233" s="437"/>
      <c r="F233" s="437"/>
      <c r="G233" s="437"/>
      <c r="H233" s="437"/>
      <c r="I233" s="437"/>
      <c r="J233" s="437"/>
      <c r="K233" s="437"/>
      <c r="L233" s="437"/>
      <c r="M233" s="437"/>
      <c r="N233" s="437"/>
      <c r="O233" s="437"/>
      <c r="P233" s="437"/>
      <c r="Q233" s="437"/>
      <c r="R233" s="437"/>
      <c r="S233" s="437"/>
      <c r="T233" s="437"/>
      <c r="U233" s="437"/>
    </row>
    <row r="234" spans="1:21" ht="67.150000000000006" customHeight="1" thickBot="1" x14ac:dyDescent="0.35">
      <c r="A234" s="437"/>
      <c r="B234" s="437"/>
      <c r="C234" s="437"/>
      <c r="D234" s="437"/>
      <c r="E234" s="437"/>
      <c r="F234" s="437"/>
      <c r="G234" s="437"/>
      <c r="H234" s="437"/>
      <c r="I234" s="437"/>
      <c r="J234" s="437"/>
      <c r="K234" s="437"/>
      <c r="L234" s="437"/>
      <c r="M234" s="437"/>
      <c r="N234" s="437"/>
      <c r="O234" s="437"/>
      <c r="P234" s="437"/>
      <c r="Q234" s="437"/>
      <c r="R234" s="437"/>
      <c r="S234" s="437"/>
      <c r="T234" s="437"/>
      <c r="U234" s="437"/>
    </row>
    <row r="235" spans="1:21" ht="67.150000000000006" customHeight="1" thickBot="1" x14ac:dyDescent="0.35">
      <c r="A235" s="437"/>
      <c r="B235" s="437"/>
      <c r="C235" s="437"/>
      <c r="D235" s="437"/>
      <c r="E235" s="437"/>
      <c r="F235" s="437"/>
      <c r="G235" s="437"/>
      <c r="H235" s="437"/>
      <c r="I235" s="437"/>
      <c r="J235" s="437"/>
      <c r="K235" s="437"/>
      <c r="L235" s="437"/>
      <c r="M235" s="437"/>
      <c r="N235" s="437"/>
      <c r="O235" s="437"/>
      <c r="P235" s="437"/>
      <c r="Q235" s="437"/>
      <c r="R235" s="437"/>
      <c r="S235" s="437"/>
      <c r="T235" s="437"/>
      <c r="U235" s="437"/>
    </row>
    <row r="236" spans="1:21" ht="67.150000000000006" customHeight="1" thickBot="1" x14ac:dyDescent="0.35">
      <c r="A236" s="437"/>
      <c r="B236" s="437"/>
      <c r="C236" s="437"/>
      <c r="D236" s="437"/>
      <c r="E236" s="437"/>
      <c r="F236" s="437"/>
      <c r="G236" s="437"/>
      <c r="H236" s="437"/>
      <c r="I236" s="437"/>
      <c r="J236" s="437"/>
      <c r="K236" s="437"/>
      <c r="L236" s="437"/>
      <c r="M236" s="437"/>
      <c r="N236" s="437"/>
      <c r="O236" s="437"/>
      <c r="P236" s="437"/>
      <c r="Q236" s="437"/>
      <c r="R236" s="437"/>
      <c r="S236" s="437"/>
      <c r="T236" s="437"/>
      <c r="U236" s="437"/>
    </row>
    <row r="237" spans="1:21" ht="67.150000000000006" customHeight="1" thickBot="1" x14ac:dyDescent="0.35">
      <c r="A237" s="437"/>
      <c r="B237" s="437"/>
      <c r="C237" s="437"/>
      <c r="D237" s="437"/>
      <c r="E237" s="437"/>
      <c r="F237" s="437"/>
      <c r="G237" s="437"/>
      <c r="H237" s="437"/>
      <c r="I237" s="437"/>
      <c r="J237" s="437"/>
      <c r="K237" s="437"/>
      <c r="L237" s="437"/>
      <c r="M237" s="437"/>
      <c r="N237" s="437"/>
      <c r="O237" s="437"/>
      <c r="P237" s="437"/>
      <c r="Q237" s="437"/>
      <c r="R237" s="437"/>
      <c r="S237" s="437"/>
      <c r="T237" s="437"/>
      <c r="U237" s="437"/>
    </row>
    <row r="238" spans="1:21" ht="67.150000000000006" customHeight="1" thickBot="1" x14ac:dyDescent="0.35">
      <c r="A238" s="437"/>
      <c r="B238" s="437"/>
      <c r="C238" s="437"/>
      <c r="D238" s="437"/>
      <c r="E238" s="437"/>
      <c r="F238" s="437"/>
      <c r="G238" s="437"/>
      <c r="H238" s="437"/>
      <c r="I238" s="437"/>
      <c r="J238" s="437"/>
      <c r="K238" s="437"/>
      <c r="L238" s="437"/>
      <c r="M238" s="437"/>
      <c r="N238" s="437"/>
      <c r="O238" s="437"/>
      <c r="P238" s="437"/>
      <c r="Q238" s="437"/>
      <c r="R238" s="437"/>
      <c r="S238" s="437"/>
      <c r="T238" s="437"/>
      <c r="U238" s="437"/>
    </row>
    <row r="239" spans="1:21" ht="67.150000000000006" customHeight="1" thickBot="1" x14ac:dyDescent="0.35">
      <c r="A239" s="437"/>
      <c r="B239" s="437"/>
      <c r="C239" s="437"/>
      <c r="D239" s="437"/>
      <c r="E239" s="437"/>
      <c r="F239" s="437"/>
      <c r="G239" s="437"/>
      <c r="H239" s="437"/>
      <c r="I239" s="437"/>
      <c r="J239" s="437"/>
      <c r="K239" s="437"/>
      <c r="L239" s="437"/>
      <c r="M239" s="437"/>
      <c r="N239" s="437"/>
      <c r="O239" s="437"/>
      <c r="P239" s="437"/>
      <c r="Q239" s="437"/>
      <c r="R239" s="437"/>
      <c r="S239" s="437"/>
      <c r="T239" s="437"/>
      <c r="U239" s="437"/>
    </row>
    <row r="240" spans="1:21" ht="67.150000000000006" customHeight="1" thickBot="1" x14ac:dyDescent="0.35">
      <c r="A240" s="437"/>
      <c r="B240" s="437"/>
      <c r="C240" s="437"/>
      <c r="D240" s="437"/>
      <c r="E240" s="437"/>
      <c r="F240" s="437"/>
      <c r="G240" s="437"/>
      <c r="H240" s="437"/>
      <c r="I240" s="437"/>
      <c r="J240" s="437"/>
      <c r="K240" s="437"/>
      <c r="L240" s="437"/>
      <c r="M240" s="437"/>
      <c r="N240" s="437"/>
      <c r="O240" s="437"/>
      <c r="P240" s="437"/>
      <c r="Q240" s="437"/>
      <c r="R240" s="437"/>
      <c r="S240" s="437"/>
      <c r="T240" s="437"/>
      <c r="U240" s="437"/>
    </row>
    <row r="241" spans="1:21" ht="67.150000000000006" customHeight="1" thickBot="1" x14ac:dyDescent="0.35">
      <c r="A241" s="437"/>
      <c r="B241" s="437"/>
      <c r="C241" s="437"/>
      <c r="D241" s="437"/>
      <c r="E241" s="437"/>
      <c r="F241" s="437"/>
      <c r="G241" s="437"/>
      <c r="H241" s="437"/>
      <c r="I241" s="437"/>
      <c r="J241" s="437"/>
      <c r="K241" s="437"/>
      <c r="L241" s="437"/>
      <c r="M241" s="437"/>
      <c r="N241" s="437"/>
      <c r="O241" s="437"/>
      <c r="P241" s="437"/>
      <c r="Q241" s="437"/>
      <c r="R241" s="437"/>
      <c r="S241" s="437"/>
      <c r="T241" s="437"/>
      <c r="U241" s="437"/>
    </row>
    <row r="242" spans="1:21" ht="67.150000000000006" customHeight="1" thickBot="1" x14ac:dyDescent="0.35">
      <c r="A242" s="437"/>
      <c r="B242" s="437"/>
      <c r="C242" s="437"/>
      <c r="D242" s="437"/>
      <c r="E242" s="437"/>
      <c r="F242" s="437"/>
      <c r="G242" s="437"/>
      <c r="H242" s="437"/>
      <c r="I242" s="437"/>
      <c r="J242" s="437"/>
      <c r="K242" s="437"/>
      <c r="L242" s="437"/>
      <c r="M242" s="437"/>
      <c r="N242" s="437"/>
      <c r="O242" s="437"/>
      <c r="P242" s="437"/>
      <c r="Q242" s="437"/>
      <c r="R242" s="437"/>
      <c r="S242" s="437"/>
      <c r="T242" s="437"/>
      <c r="U242" s="437"/>
    </row>
    <row r="243" spans="1:21" ht="67.150000000000006" customHeight="1" thickBot="1" x14ac:dyDescent="0.35">
      <c r="A243" s="437"/>
      <c r="B243" s="437"/>
      <c r="C243" s="437"/>
      <c r="D243" s="437"/>
      <c r="E243" s="437"/>
      <c r="F243" s="437"/>
      <c r="G243" s="437"/>
      <c r="H243" s="437"/>
      <c r="I243" s="437"/>
      <c r="J243" s="437"/>
      <c r="K243" s="437"/>
      <c r="L243" s="437"/>
      <c r="M243" s="437"/>
      <c r="N243" s="437"/>
      <c r="O243" s="437"/>
      <c r="P243" s="437"/>
      <c r="Q243" s="437"/>
      <c r="R243" s="437"/>
      <c r="S243" s="437"/>
      <c r="T243" s="437"/>
      <c r="U243" s="437"/>
    </row>
    <row r="244" spans="1:21" ht="67.150000000000006" customHeight="1" thickBot="1" x14ac:dyDescent="0.35">
      <c r="A244" s="437"/>
      <c r="B244" s="437"/>
      <c r="C244" s="437"/>
      <c r="D244" s="437"/>
      <c r="E244" s="437"/>
      <c r="F244" s="437"/>
      <c r="G244" s="437"/>
      <c r="H244" s="437"/>
      <c r="I244" s="437"/>
      <c r="J244" s="437"/>
      <c r="K244" s="437"/>
      <c r="L244" s="437"/>
      <c r="M244" s="437"/>
      <c r="N244" s="437"/>
      <c r="O244" s="437"/>
      <c r="P244" s="437"/>
      <c r="Q244" s="437"/>
      <c r="R244" s="437"/>
      <c r="S244" s="437"/>
      <c r="T244" s="437"/>
      <c r="U244" s="437"/>
    </row>
    <row r="245" spans="1:21" ht="67.150000000000006" customHeight="1" thickBot="1" x14ac:dyDescent="0.35">
      <c r="A245" s="437"/>
      <c r="B245" s="437"/>
      <c r="C245" s="437"/>
      <c r="D245" s="437"/>
      <c r="E245" s="437"/>
      <c r="F245" s="437"/>
      <c r="G245" s="437"/>
      <c r="H245" s="437"/>
      <c r="I245" s="437"/>
      <c r="J245" s="437"/>
      <c r="K245" s="437"/>
      <c r="L245" s="437"/>
      <c r="M245" s="437"/>
      <c r="N245" s="437"/>
      <c r="O245" s="437"/>
      <c r="P245" s="437"/>
      <c r="Q245" s="437"/>
      <c r="R245" s="437"/>
      <c r="S245" s="437"/>
      <c r="T245" s="437"/>
      <c r="U245" s="437"/>
    </row>
    <row r="246" spans="1:21" ht="67.150000000000006" customHeight="1" thickBot="1" x14ac:dyDescent="0.35">
      <c r="A246" s="437"/>
      <c r="B246" s="437"/>
      <c r="C246" s="437"/>
      <c r="D246" s="437"/>
      <c r="E246" s="437"/>
      <c r="F246" s="437"/>
      <c r="G246" s="437"/>
      <c r="H246" s="437"/>
      <c r="I246" s="437"/>
      <c r="J246" s="437"/>
      <c r="K246" s="437"/>
      <c r="L246" s="437"/>
      <c r="M246" s="437"/>
      <c r="N246" s="437"/>
      <c r="O246" s="437"/>
      <c r="P246" s="437"/>
      <c r="Q246" s="437"/>
      <c r="R246" s="437"/>
      <c r="S246" s="437"/>
      <c r="T246" s="437"/>
      <c r="U246" s="437"/>
    </row>
    <row r="247" spans="1:21" ht="67.150000000000006" customHeight="1" thickBot="1" x14ac:dyDescent="0.35">
      <c r="A247" s="437"/>
      <c r="B247" s="437"/>
      <c r="C247" s="437"/>
      <c r="D247" s="437"/>
      <c r="E247" s="437"/>
      <c r="F247" s="437"/>
      <c r="G247" s="437"/>
      <c r="H247" s="437"/>
      <c r="I247" s="437"/>
      <c r="J247" s="437"/>
      <c r="K247" s="437"/>
      <c r="L247" s="437"/>
      <c r="M247" s="437"/>
      <c r="N247" s="437"/>
      <c r="O247" s="437"/>
      <c r="P247" s="437"/>
      <c r="Q247" s="437"/>
      <c r="R247" s="437"/>
      <c r="S247" s="437"/>
      <c r="T247" s="437"/>
      <c r="U247" s="437"/>
    </row>
    <row r="248" spans="1:21" ht="67.150000000000006" customHeight="1" thickBot="1" x14ac:dyDescent="0.35">
      <c r="A248" s="437"/>
      <c r="B248" s="437"/>
      <c r="C248" s="437"/>
      <c r="D248" s="437"/>
      <c r="E248" s="437"/>
      <c r="F248" s="437"/>
      <c r="G248" s="437"/>
      <c r="H248" s="437"/>
      <c r="I248" s="437"/>
      <c r="J248" s="437"/>
      <c r="K248" s="437"/>
      <c r="L248" s="437"/>
      <c r="M248" s="437"/>
      <c r="N248" s="437"/>
      <c r="O248" s="437"/>
      <c r="P248" s="437"/>
      <c r="Q248" s="437"/>
      <c r="R248" s="437"/>
      <c r="S248" s="437"/>
      <c r="T248" s="437"/>
      <c r="U248" s="437"/>
    </row>
    <row r="249" spans="1:21" ht="67.150000000000006" customHeight="1" thickBot="1" x14ac:dyDescent="0.35">
      <c r="A249" s="437"/>
      <c r="B249" s="437"/>
      <c r="C249" s="437"/>
      <c r="D249" s="437"/>
      <c r="E249" s="437"/>
      <c r="F249" s="437"/>
      <c r="G249" s="437"/>
      <c r="H249" s="437"/>
      <c r="I249" s="437"/>
      <c r="J249" s="437"/>
      <c r="K249" s="437"/>
      <c r="L249" s="437"/>
      <c r="M249" s="437"/>
      <c r="N249" s="437"/>
      <c r="O249" s="437"/>
      <c r="P249" s="437"/>
      <c r="Q249" s="437"/>
      <c r="R249" s="437"/>
      <c r="S249" s="437"/>
      <c r="T249" s="437"/>
      <c r="U249" s="437"/>
    </row>
    <row r="250" spans="1:21" ht="67.150000000000006" customHeight="1" thickBot="1" x14ac:dyDescent="0.35">
      <c r="A250" s="437"/>
      <c r="B250" s="437"/>
      <c r="C250" s="437"/>
      <c r="D250" s="437"/>
      <c r="E250" s="437"/>
      <c r="F250" s="437"/>
      <c r="G250" s="437"/>
      <c r="H250" s="437"/>
      <c r="I250" s="437"/>
      <c r="J250" s="437"/>
      <c r="K250" s="437"/>
      <c r="L250" s="437"/>
      <c r="M250" s="437"/>
      <c r="N250" s="437"/>
      <c r="O250" s="437"/>
      <c r="P250" s="437"/>
      <c r="Q250" s="437"/>
      <c r="R250" s="437"/>
      <c r="S250" s="437"/>
      <c r="T250" s="437"/>
      <c r="U250" s="437"/>
    </row>
    <row r="251" spans="1:21" ht="67.150000000000006" customHeight="1" thickBot="1" x14ac:dyDescent="0.35">
      <c r="A251" s="437"/>
      <c r="B251" s="437"/>
      <c r="C251" s="437"/>
      <c r="D251" s="437"/>
      <c r="E251" s="437"/>
      <c r="F251" s="437"/>
      <c r="G251" s="437"/>
      <c r="H251" s="437"/>
      <c r="I251" s="437"/>
      <c r="J251" s="437"/>
      <c r="K251" s="437"/>
      <c r="L251" s="437"/>
      <c r="M251" s="437"/>
      <c r="N251" s="437"/>
      <c r="O251" s="437"/>
      <c r="P251" s="437"/>
      <c r="Q251" s="437"/>
      <c r="R251" s="437"/>
      <c r="S251" s="437"/>
      <c r="T251" s="437"/>
      <c r="U251" s="437"/>
    </row>
    <row r="252" spans="1:21" ht="67.150000000000006" customHeight="1" thickBot="1" x14ac:dyDescent="0.35">
      <c r="A252" s="437"/>
      <c r="B252" s="437"/>
      <c r="C252" s="437"/>
      <c r="D252" s="437"/>
      <c r="E252" s="437"/>
      <c r="F252" s="437"/>
      <c r="G252" s="437"/>
      <c r="H252" s="437"/>
      <c r="I252" s="437"/>
      <c r="J252" s="437"/>
      <c r="K252" s="437"/>
      <c r="L252" s="437"/>
      <c r="M252" s="437"/>
      <c r="N252" s="437"/>
      <c r="O252" s="437"/>
      <c r="P252" s="437"/>
      <c r="Q252" s="437"/>
      <c r="R252" s="437"/>
      <c r="S252" s="437"/>
      <c r="T252" s="437"/>
      <c r="U252" s="437"/>
    </row>
    <row r="253" spans="1:21" ht="67.150000000000006" customHeight="1" thickBot="1" x14ac:dyDescent="0.35">
      <c r="A253" s="437"/>
      <c r="B253" s="437"/>
      <c r="C253" s="437"/>
      <c r="D253" s="437"/>
      <c r="E253" s="437"/>
      <c r="F253" s="437"/>
      <c r="G253" s="437"/>
      <c r="H253" s="437"/>
      <c r="I253" s="437"/>
      <c r="J253" s="437"/>
      <c r="K253" s="437"/>
      <c r="L253" s="437"/>
      <c r="M253" s="437"/>
      <c r="N253" s="437"/>
      <c r="O253" s="437"/>
      <c r="P253" s="437"/>
      <c r="Q253" s="437"/>
      <c r="R253" s="437"/>
      <c r="S253" s="437"/>
      <c r="T253" s="437"/>
      <c r="U253" s="437"/>
    </row>
    <row r="254" spans="1:21" ht="67.150000000000006" customHeight="1" thickBot="1" x14ac:dyDescent="0.35">
      <c r="A254" s="437"/>
      <c r="B254" s="437"/>
      <c r="C254" s="437"/>
      <c r="D254" s="437"/>
      <c r="E254" s="437"/>
      <c r="F254" s="437"/>
      <c r="G254" s="437"/>
      <c r="H254" s="437"/>
      <c r="I254" s="437"/>
      <c r="J254" s="437"/>
      <c r="K254" s="437"/>
      <c r="L254" s="437"/>
      <c r="M254" s="437"/>
      <c r="N254" s="437"/>
      <c r="O254" s="437"/>
      <c r="P254" s="437"/>
      <c r="Q254" s="437"/>
      <c r="R254" s="437"/>
      <c r="S254" s="437"/>
      <c r="T254" s="437"/>
      <c r="U254" s="437"/>
    </row>
    <row r="255" spans="1:21" ht="67.150000000000006" customHeight="1" thickBot="1" x14ac:dyDescent="0.35">
      <c r="A255" s="437"/>
      <c r="B255" s="437"/>
      <c r="C255" s="437"/>
      <c r="D255" s="437"/>
      <c r="E255" s="437"/>
      <c r="F255" s="437"/>
      <c r="G255" s="437"/>
      <c r="H255" s="437"/>
      <c r="I255" s="437"/>
      <c r="J255" s="437"/>
      <c r="K255" s="437"/>
      <c r="L255" s="437"/>
      <c r="M255" s="437"/>
      <c r="N255" s="437"/>
      <c r="O255" s="437"/>
      <c r="P255" s="437"/>
      <c r="Q255" s="437"/>
      <c r="R255" s="437"/>
      <c r="S255" s="437"/>
      <c r="T255" s="437"/>
      <c r="U255" s="437"/>
    </row>
    <row r="256" spans="1:21" ht="67.150000000000006" customHeight="1" thickBot="1" x14ac:dyDescent="0.35">
      <c r="A256" s="437"/>
      <c r="B256" s="437"/>
      <c r="C256" s="437"/>
      <c r="D256" s="437"/>
      <c r="E256" s="437"/>
      <c r="F256" s="437"/>
      <c r="G256" s="437"/>
      <c r="H256" s="437"/>
      <c r="I256" s="437"/>
      <c r="J256" s="437"/>
      <c r="K256" s="437"/>
      <c r="L256" s="437"/>
      <c r="M256" s="437"/>
      <c r="N256" s="437"/>
      <c r="O256" s="437"/>
      <c r="P256" s="437"/>
      <c r="Q256" s="437"/>
      <c r="R256" s="437"/>
      <c r="S256" s="437"/>
      <c r="T256" s="437"/>
      <c r="U256" s="437"/>
    </row>
    <row r="257" spans="1:21" ht="67.150000000000006" customHeight="1" thickBot="1" x14ac:dyDescent="0.35">
      <c r="A257" s="437"/>
      <c r="B257" s="437"/>
      <c r="C257" s="437"/>
      <c r="D257" s="437"/>
      <c r="E257" s="437"/>
      <c r="F257" s="437"/>
      <c r="G257" s="437"/>
      <c r="H257" s="437"/>
      <c r="I257" s="437"/>
      <c r="J257" s="437"/>
      <c r="K257" s="437"/>
      <c r="L257" s="437"/>
      <c r="M257" s="437"/>
      <c r="N257" s="437"/>
      <c r="O257" s="437"/>
      <c r="P257" s="437"/>
      <c r="Q257" s="437"/>
      <c r="R257" s="437"/>
      <c r="S257" s="437"/>
      <c r="T257" s="437"/>
      <c r="U257" s="437"/>
    </row>
    <row r="258" spans="1:21" ht="67.150000000000006" customHeight="1" thickBot="1" x14ac:dyDescent="0.35">
      <c r="A258" s="437"/>
      <c r="B258" s="437"/>
      <c r="C258" s="437"/>
      <c r="D258" s="437"/>
      <c r="E258" s="437"/>
      <c r="F258" s="437"/>
      <c r="G258" s="437"/>
      <c r="H258" s="437"/>
      <c r="I258" s="437"/>
      <c r="J258" s="437"/>
      <c r="K258" s="437"/>
      <c r="L258" s="437"/>
      <c r="M258" s="437"/>
      <c r="N258" s="437"/>
      <c r="O258" s="437"/>
      <c r="P258" s="437"/>
      <c r="Q258" s="437"/>
      <c r="R258" s="437"/>
      <c r="S258" s="437"/>
      <c r="T258" s="437"/>
      <c r="U258" s="437"/>
    </row>
    <row r="259" spans="1:21" ht="67.150000000000006" customHeight="1" thickBot="1" x14ac:dyDescent="0.35">
      <c r="A259" s="437"/>
      <c r="B259" s="437"/>
      <c r="C259" s="437"/>
      <c r="D259" s="437"/>
      <c r="E259" s="437"/>
      <c r="F259" s="437"/>
      <c r="G259" s="437"/>
      <c r="H259" s="437"/>
      <c r="I259" s="437"/>
      <c r="J259" s="437"/>
      <c r="K259" s="437"/>
      <c r="L259" s="437"/>
      <c r="M259" s="437"/>
      <c r="N259" s="437"/>
      <c r="O259" s="437"/>
      <c r="P259" s="437"/>
      <c r="Q259" s="437"/>
      <c r="R259" s="437"/>
      <c r="S259" s="437"/>
      <c r="T259" s="437"/>
      <c r="U259" s="437"/>
    </row>
    <row r="260" spans="1:21" ht="67.150000000000006" customHeight="1" thickBot="1" x14ac:dyDescent="0.35">
      <c r="A260" s="437"/>
      <c r="B260" s="437"/>
      <c r="C260" s="437"/>
      <c r="D260" s="437"/>
      <c r="E260" s="437"/>
      <c r="F260" s="437"/>
      <c r="G260" s="437"/>
      <c r="H260" s="437"/>
      <c r="I260" s="437"/>
      <c r="J260" s="437"/>
      <c r="K260" s="437"/>
      <c r="L260" s="437"/>
      <c r="M260" s="437"/>
      <c r="N260" s="437"/>
      <c r="O260" s="437"/>
      <c r="P260" s="437"/>
      <c r="Q260" s="437"/>
      <c r="R260" s="437"/>
      <c r="S260" s="437"/>
      <c r="T260" s="437"/>
      <c r="U260" s="437"/>
    </row>
    <row r="261" spans="1:21" ht="67.150000000000006" customHeight="1" thickBot="1" x14ac:dyDescent="0.35">
      <c r="A261" s="437"/>
      <c r="B261" s="437"/>
      <c r="C261" s="437"/>
      <c r="D261" s="437"/>
      <c r="E261" s="437"/>
      <c r="F261" s="437"/>
      <c r="G261" s="437"/>
      <c r="H261" s="437"/>
      <c r="I261" s="437"/>
      <c r="J261" s="437"/>
      <c r="K261" s="437"/>
      <c r="L261" s="437"/>
      <c r="M261" s="437"/>
      <c r="N261" s="437"/>
      <c r="O261" s="437"/>
      <c r="P261" s="437"/>
      <c r="Q261" s="437"/>
      <c r="R261" s="437"/>
      <c r="S261" s="437"/>
      <c r="T261" s="437"/>
      <c r="U261" s="437"/>
    </row>
    <row r="262" spans="1:21" ht="67.150000000000006" customHeight="1" thickBot="1" x14ac:dyDescent="0.35">
      <c r="A262" s="437"/>
      <c r="B262" s="437"/>
      <c r="C262" s="437"/>
      <c r="D262" s="437"/>
      <c r="E262" s="437"/>
      <c r="F262" s="437"/>
      <c r="G262" s="437"/>
      <c r="H262" s="437"/>
      <c r="I262" s="437"/>
      <c r="J262" s="437"/>
      <c r="K262" s="437"/>
      <c r="L262" s="437"/>
      <c r="M262" s="437"/>
      <c r="N262" s="437"/>
      <c r="O262" s="437"/>
      <c r="P262" s="437"/>
      <c r="Q262" s="437"/>
      <c r="R262" s="437"/>
      <c r="S262" s="437"/>
      <c r="T262" s="437"/>
      <c r="U262" s="437"/>
    </row>
    <row r="263" spans="1:21" ht="67.150000000000006" customHeight="1" thickBot="1" x14ac:dyDescent="0.35">
      <c r="A263" s="437"/>
      <c r="B263" s="437"/>
      <c r="C263" s="437"/>
      <c r="D263" s="437"/>
      <c r="E263" s="437"/>
      <c r="F263" s="437"/>
      <c r="G263" s="437"/>
      <c r="H263" s="437"/>
      <c r="I263" s="437"/>
      <c r="J263" s="437"/>
      <c r="K263" s="437"/>
      <c r="L263" s="437"/>
      <c r="M263" s="437"/>
      <c r="N263" s="437"/>
      <c r="O263" s="437"/>
      <c r="P263" s="437"/>
      <c r="Q263" s="437"/>
      <c r="R263" s="437"/>
      <c r="S263" s="437"/>
      <c r="T263" s="437"/>
      <c r="U263" s="437"/>
    </row>
    <row r="264" spans="1:21" ht="67.150000000000006" customHeight="1" thickBot="1" x14ac:dyDescent="0.35">
      <c r="A264" s="437"/>
      <c r="B264" s="437"/>
      <c r="C264" s="437"/>
      <c r="D264" s="437"/>
      <c r="E264" s="437"/>
      <c r="F264" s="437"/>
      <c r="G264" s="437"/>
      <c r="H264" s="437"/>
      <c r="I264" s="437"/>
      <c r="J264" s="437"/>
      <c r="K264" s="437"/>
      <c r="L264" s="437"/>
      <c r="M264" s="437"/>
      <c r="N264" s="437"/>
      <c r="O264" s="437"/>
      <c r="P264" s="437"/>
      <c r="Q264" s="437"/>
      <c r="R264" s="437"/>
      <c r="S264" s="437"/>
      <c r="T264" s="437"/>
      <c r="U264" s="437"/>
    </row>
    <row r="265" spans="1:21" ht="67.150000000000006" customHeight="1" thickBot="1" x14ac:dyDescent="0.35">
      <c r="A265" s="437"/>
      <c r="B265" s="437"/>
      <c r="C265" s="437"/>
      <c r="D265" s="437"/>
      <c r="E265" s="437"/>
      <c r="F265" s="437"/>
      <c r="G265" s="437"/>
      <c r="H265" s="437"/>
      <c r="I265" s="437"/>
      <c r="J265" s="437"/>
      <c r="K265" s="437"/>
      <c r="L265" s="437"/>
      <c r="M265" s="437"/>
      <c r="N265" s="437"/>
      <c r="O265" s="437"/>
      <c r="P265" s="437"/>
      <c r="Q265" s="437"/>
      <c r="R265" s="437"/>
      <c r="S265" s="437"/>
      <c r="T265" s="437"/>
      <c r="U265" s="437"/>
    </row>
    <row r="266" spans="1:21" ht="67.150000000000006" customHeight="1" thickBot="1" x14ac:dyDescent="0.35">
      <c r="A266" s="437"/>
      <c r="B266" s="437"/>
      <c r="C266" s="437"/>
      <c r="D266" s="437"/>
      <c r="E266" s="437"/>
      <c r="F266" s="437"/>
      <c r="G266" s="437"/>
      <c r="H266" s="437"/>
      <c r="I266" s="437"/>
      <c r="J266" s="437"/>
      <c r="K266" s="437"/>
      <c r="L266" s="437"/>
      <c r="M266" s="437"/>
      <c r="N266" s="437"/>
      <c r="O266" s="437"/>
      <c r="P266" s="437"/>
      <c r="Q266" s="437"/>
      <c r="R266" s="437"/>
      <c r="S266" s="437"/>
      <c r="T266" s="437"/>
      <c r="U266" s="437"/>
    </row>
    <row r="267" spans="1:21" ht="67.150000000000006" customHeight="1" thickBot="1" x14ac:dyDescent="0.35">
      <c r="A267" s="437"/>
      <c r="B267" s="437"/>
      <c r="C267" s="437"/>
      <c r="D267" s="437"/>
      <c r="E267" s="437"/>
      <c r="F267" s="437"/>
      <c r="G267" s="437"/>
      <c r="H267" s="437"/>
      <c r="I267" s="437"/>
      <c r="J267" s="437"/>
      <c r="K267" s="437"/>
      <c r="L267" s="437"/>
      <c r="M267" s="437"/>
      <c r="N267" s="437"/>
      <c r="O267" s="437"/>
      <c r="P267" s="437"/>
      <c r="Q267" s="437"/>
      <c r="R267" s="437"/>
      <c r="S267" s="437"/>
      <c r="T267" s="437"/>
      <c r="U267" s="437"/>
    </row>
    <row r="268" spans="1:21" ht="67.150000000000006" customHeight="1" thickBot="1" x14ac:dyDescent="0.35">
      <c r="A268" s="437"/>
      <c r="B268" s="437"/>
      <c r="C268" s="437"/>
      <c r="D268" s="437"/>
      <c r="E268" s="437"/>
      <c r="F268" s="437"/>
      <c r="G268" s="437"/>
      <c r="H268" s="437"/>
      <c r="I268" s="437"/>
      <c r="J268" s="437"/>
      <c r="K268" s="437"/>
      <c r="L268" s="437"/>
      <c r="M268" s="437"/>
      <c r="N268" s="437"/>
      <c r="O268" s="437"/>
      <c r="P268" s="437"/>
      <c r="Q268" s="437"/>
      <c r="R268" s="437"/>
      <c r="S268" s="437"/>
      <c r="T268" s="437"/>
      <c r="U268" s="437"/>
    </row>
    <row r="269" spans="1:21" ht="67.150000000000006" customHeight="1" thickBot="1" x14ac:dyDescent="0.35">
      <c r="A269" s="437"/>
      <c r="B269" s="437"/>
      <c r="C269" s="437"/>
      <c r="D269" s="437"/>
      <c r="E269" s="437"/>
      <c r="F269" s="437"/>
      <c r="G269" s="437"/>
      <c r="H269" s="437"/>
      <c r="I269" s="437"/>
      <c r="J269" s="437"/>
      <c r="K269" s="437"/>
      <c r="L269" s="437"/>
      <c r="M269" s="437"/>
      <c r="N269" s="437"/>
      <c r="O269" s="437"/>
      <c r="P269" s="437"/>
      <c r="Q269" s="437"/>
      <c r="R269" s="437"/>
      <c r="S269" s="437"/>
      <c r="T269" s="437"/>
      <c r="U269" s="437"/>
    </row>
    <row r="270" spans="1:21" ht="67.150000000000006" customHeight="1" thickBot="1" x14ac:dyDescent="0.35">
      <c r="A270" s="437"/>
      <c r="B270" s="437"/>
      <c r="C270" s="437"/>
      <c r="D270" s="437"/>
      <c r="E270" s="437"/>
      <c r="F270" s="437"/>
      <c r="G270" s="437"/>
      <c r="H270" s="437"/>
      <c r="I270" s="437"/>
      <c r="J270" s="437"/>
      <c r="K270" s="437"/>
      <c r="L270" s="437"/>
      <c r="M270" s="437"/>
      <c r="N270" s="437"/>
      <c r="O270" s="437"/>
      <c r="P270" s="437"/>
      <c r="Q270" s="437"/>
      <c r="R270" s="437"/>
      <c r="S270" s="437"/>
      <c r="T270" s="437"/>
      <c r="U270" s="437"/>
    </row>
    <row r="271" spans="1:21" ht="67.150000000000006" customHeight="1" thickBot="1" x14ac:dyDescent="0.35">
      <c r="A271" s="437"/>
      <c r="B271" s="437"/>
      <c r="C271" s="437"/>
      <c r="D271" s="437"/>
      <c r="E271" s="437"/>
      <c r="F271" s="437"/>
      <c r="G271" s="437"/>
      <c r="H271" s="437"/>
      <c r="I271" s="437"/>
      <c r="J271" s="437"/>
      <c r="K271" s="437"/>
      <c r="L271" s="437"/>
      <c r="M271" s="437"/>
      <c r="N271" s="437"/>
      <c r="O271" s="437"/>
      <c r="P271" s="437"/>
      <c r="Q271" s="437"/>
      <c r="R271" s="437"/>
      <c r="S271" s="437"/>
      <c r="T271" s="437"/>
      <c r="U271" s="437"/>
    </row>
    <row r="272" spans="1:21" ht="67.150000000000006" customHeight="1" thickBot="1" x14ac:dyDescent="0.35">
      <c r="A272" s="437"/>
      <c r="B272" s="437"/>
      <c r="C272" s="437"/>
      <c r="D272" s="437"/>
      <c r="E272" s="437"/>
      <c r="F272" s="437"/>
      <c r="G272" s="437"/>
      <c r="H272" s="437"/>
      <c r="I272" s="437"/>
      <c r="J272" s="437"/>
      <c r="K272" s="437"/>
      <c r="L272" s="437"/>
      <c r="M272" s="437"/>
      <c r="N272" s="437"/>
      <c r="O272" s="437"/>
      <c r="P272" s="437"/>
      <c r="Q272" s="437"/>
      <c r="R272" s="437"/>
      <c r="S272" s="437"/>
      <c r="T272" s="437"/>
      <c r="U272" s="437"/>
    </row>
    <row r="273" spans="1:21" ht="67.150000000000006" customHeight="1" thickBot="1" x14ac:dyDescent="0.35">
      <c r="A273" s="437"/>
      <c r="B273" s="437"/>
      <c r="C273" s="437"/>
      <c r="D273" s="437"/>
      <c r="E273" s="437"/>
      <c r="F273" s="437"/>
      <c r="G273" s="437"/>
      <c r="H273" s="437"/>
      <c r="I273" s="437"/>
      <c r="J273" s="437"/>
      <c r="K273" s="437"/>
      <c r="L273" s="437"/>
      <c r="M273" s="437"/>
      <c r="N273" s="437"/>
      <c r="O273" s="437"/>
      <c r="P273" s="437"/>
      <c r="Q273" s="437"/>
      <c r="R273" s="437"/>
      <c r="S273" s="437"/>
      <c r="T273" s="437"/>
      <c r="U273" s="437"/>
    </row>
    <row r="274" spans="1:21" ht="67.150000000000006" customHeight="1" thickBot="1" x14ac:dyDescent="0.35">
      <c r="A274" s="437"/>
      <c r="B274" s="437"/>
      <c r="C274" s="437"/>
      <c r="D274" s="437"/>
      <c r="E274" s="437"/>
      <c r="F274" s="437"/>
      <c r="G274" s="437"/>
      <c r="H274" s="437"/>
      <c r="I274" s="437"/>
      <c r="J274" s="437"/>
      <c r="K274" s="437"/>
      <c r="L274" s="437"/>
      <c r="M274" s="437"/>
      <c r="N274" s="437"/>
      <c r="O274" s="437"/>
      <c r="P274" s="437"/>
      <c r="Q274" s="437"/>
      <c r="R274" s="437"/>
      <c r="S274" s="437"/>
      <c r="T274" s="437"/>
      <c r="U274" s="437"/>
    </row>
    <row r="275" spans="1:21" ht="67.150000000000006" customHeight="1" thickBot="1" x14ac:dyDescent="0.35">
      <c r="A275" s="437"/>
      <c r="B275" s="437"/>
      <c r="C275" s="437"/>
      <c r="D275" s="437"/>
      <c r="E275" s="437"/>
      <c r="F275" s="437"/>
      <c r="G275" s="437"/>
      <c r="H275" s="437"/>
      <c r="I275" s="437"/>
      <c r="J275" s="437"/>
      <c r="K275" s="437"/>
      <c r="L275" s="437"/>
      <c r="M275" s="437"/>
      <c r="N275" s="437"/>
      <c r="O275" s="437"/>
      <c r="P275" s="437"/>
      <c r="Q275" s="437"/>
      <c r="R275" s="437"/>
      <c r="S275" s="437"/>
      <c r="T275" s="437"/>
      <c r="U275" s="437"/>
    </row>
    <row r="276" spans="1:21" ht="67.150000000000006" customHeight="1" thickBot="1" x14ac:dyDescent="0.35">
      <c r="A276" s="437"/>
      <c r="B276" s="437"/>
      <c r="C276" s="437"/>
      <c r="D276" s="437"/>
      <c r="E276" s="437"/>
      <c r="F276" s="437"/>
      <c r="G276" s="437"/>
      <c r="H276" s="437"/>
      <c r="I276" s="437"/>
      <c r="J276" s="437"/>
      <c r="K276" s="437"/>
      <c r="L276" s="437"/>
      <c r="M276" s="437"/>
      <c r="N276" s="437"/>
      <c r="O276" s="437"/>
      <c r="P276" s="437"/>
      <c r="Q276" s="437"/>
      <c r="R276" s="437"/>
      <c r="S276" s="437"/>
      <c r="T276" s="437"/>
      <c r="U276" s="437"/>
    </row>
    <row r="277" spans="1:21" ht="67.150000000000006" customHeight="1" thickBot="1" x14ac:dyDescent="0.35">
      <c r="A277" s="437"/>
      <c r="B277" s="437"/>
      <c r="C277" s="437"/>
      <c r="D277" s="437"/>
      <c r="E277" s="437"/>
      <c r="F277" s="437"/>
      <c r="G277" s="437"/>
      <c r="H277" s="437"/>
      <c r="I277" s="437"/>
      <c r="J277" s="437"/>
      <c r="K277" s="437"/>
      <c r="L277" s="437"/>
      <c r="M277" s="437"/>
      <c r="N277" s="437"/>
      <c r="O277" s="437"/>
      <c r="P277" s="437"/>
      <c r="Q277" s="437"/>
      <c r="R277" s="437"/>
      <c r="S277" s="437"/>
      <c r="T277" s="437"/>
      <c r="U277" s="437"/>
    </row>
    <row r="278" spans="1:21" ht="67.150000000000006" customHeight="1" thickBot="1" x14ac:dyDescent="0.35">
      <c r="A278" s="437"/>
      <c r="B278" s="437"/>
      <c r="C278" s="437"/>
      <c r="D278" s="437"/>
      <c r="E278" s="437"/>
      <c r="F278" s="437"/>
      <c r="G278" s="437"/>
      <c r="H278" s="437"/>
      <c r="I278" s="437"/>
      <c r="J278" s="437"/>
      <c r="K278" s="437"/>
      <c r="L278" s="437"/>
      <c r="M278" s="437"/>
      <c r="N278" s="437"/>
      <c r="O278" s="437"/>
      <c r="P278" s="437"/>
      <c r="Q278" s="437"/>
      <c r="R278" s="437"/>
      <c r="S278" s="437"/>
      <c r="T278" s="437"/>
      <c r="U278" s="437"/>
    </row>
    <row r="279" spans="1:21" ht="67.150000000000006" customHeight="1" thickBot="1" x14ac:dyDescent="0.35">
      <c r="A279" s="437"/>
      <c r="B279" s="437"/>
      <c r="C279" s="437"/>
      <c r="D279" s="437"/>
      <c r="E279" s="437"/>
      <c r="F279" s="437"/>
      <c r="G279" s="437"/>
      <c r="H279" s="437"/>
      <c r="I279" s="437"/>
      <c r="J279" s="437"/>
      <c r="K279" s="437"/>
      <c r="L279" s="437"/>
      <c r="M279" s="437"/>
      <c r="N279" s="437"/>
      <c r="O279" s="437"/>
      <c r="P279" s="437"/>
      <c r="Q279" s="437"/>
      <c r="R279" s="437"/>
      <c r="S279" s="437"/>
      <c r="T279" s="437"/>
      <c r="U279" s="437"/>
    </row>
    <row r="280" spans="1:21" ht="67.150000000000006" customHeight="1" thickBot="1" x14ac:dyDescent="0.35">
      <c r="A280" s="437"/>
      <c r="B280" s="437"/>
      <c r="C280" s="437"/>
      <c r="D280" s="437"/>
      <c r="E280" s="437"/>
      <c r="F280" s="437"/>
      <c r="G280" s="437"/>
      <c r="H280" s="437"/>
      <c r="I280" s="437"/>
      <c r="J280" s="437"/>
      <c r="K280" s="437"/>
      <c r="L280" s="437"/>
      <c r="M280" s="437"/>
      <c r="N280" s="437"/>
      <c r="O280" s="437"/>
      <c r="P280" s="437"/>
      <c r="Q280" s="437"/>
      <c r="R280" s="437"/>
      <c r="S280" s="437"/>
      <c r="T280" s="437"/>
      <c r="U280" s="437"/>
    </row>
    <row r="281" spans="1:21" ht="67.150000000000006" customHeight="1" thickBot="1" x14ac:dyDescent="0.35">
      <c r="A281" s="437"/>
      <c r="B281" s="437"/>
      <c r="C281" s="437"/>
      <c r="D281" s="437"/>
      <c r="E281" s="437"/>
      <c r="F281" s="437"/>
      <c r="G281" s="437"/>
      <c r="H281" s="437"/>
      <c r="I281" s="437"/>
      <c r="J281" s="437"/>
      <c r="K281" s="437"/>
      <c r="L281" s="437"/>
      <c r="M281" s="437"/>
      <c r="N281" s="437"/>
      <c r="O281" s="437"/>
      <c r="P281" s="437"/>
      <c r="Q281" s="437"/>
      <c r="R281" s="437"/>
      <c r="S281" s="437"/>
      <c r="T281" s="437"/>
      <c r="U281" s="437"/>
    </row>
    <row r="282" spans="1:21" ht="67.150000000000006" customHeight="1" thickBot="1" x14ac:dyDescent="0.35">
      <c r="A282" s="437"/>
      <c r="B282" s="437"/>
      <c r="C282" s="437"/>
      <c r="D282" s="437"/>
      <c r="E282" s="437"/>
      <c r="F282" s="437"/>
      <c r="G282" s="437"/>
      <c r="H282" s="437"/>
      <c r="I282" s="437"/>
      <c r="J282" s="437"/>
      <c r="K282" s="437"/>
      <c r="L282" s="437"/>
      <c r="M282" s="437"/>
      <c r="N282" s="437"/>
      <c r="O282" s="437"/>
      <c r="P282" s="437"/>
      <c r="Q282" s="437"/>
      <c r="R282" s="437"/>
      <c r="S282" s="437"/>
      <c r="T282" s="437"/>
      <c r="U282" s="437"/>
    </row>
    <row r="283" spans="1:21" ht="67.150000000000006" customHeight="1" thickBot="1" x14ac:dyDescent="0.35">
      <c r="A283" s="437"/>
      <c r="B283" s="437"/>
      <c r="C283" s="437"/>
      <c r="D283" s="437"/>
      <c r="E283" s="437"/>
      <c r="F283" s="437"/>
      <c r="G283" s="437"/>
      <c r="H283" s="437"/>
      <c r="I283" s="437"/>
      <c r="J283" s="437"/>
      <c r="K283" s="437"/>
      <c r="L283" s="437"/>
      <c r="M283" s="437"/>
      <c r="N283" s="437"/>
      <c r="O283" s="437"/>
      <c r="P283" s="437"/>
      <c r="Q283" s="437"/>
      <c r="R283" s="437"/>
      <c r="S283" s="437"/>
      <c r="T283" s="437"/>
      <c r="U283" s="437"/>
    </row>
    <row r="284" spans="1:21" ht="67.150000000000006" customHeight="1" thickBot="1" x14ac:dyDescent="0.35">
      <c r="A284" s="437"/>
      <c r="B284" s="437"/>
      <c r="C284" s="437"/>
      <c r="D284" s="437"/>
      <c r="E284" s="437"/>
      <c r="F284" s="437"/>
      <c r="G284" s="437"/>
      <c r="H284" s="437"/>
      <c r="I284" s="437"/>
      <c r="J284" s="437"/>
      <c r="K284" s="437"/>
      <c r="L284" s="437"/>
      <c r="M284" s="437"/>
      <c r="N284" s="437"/>
      <c r="O284" s="437"/>
      <c r="P284" s="437"/>
      <c r="Q284" s="437"/>
      <c r="R284" s="437"/>
      <c r="S284" s="437"/>
      <c r="T284" s="437"/>
      <c r="U284" s="437"/>
    </row>
    <row r="285" spans="1:21" ht="67.150000000000006" customHeight="1" thickBot="1" x14ac:dyDescent="0.35">
      <c r="A285" s="437"/>
      <c r="B285" s="437"/>
      <c r="C285" s="437"/>
      <c r="D285" s="437"/>
      <c r="E285" s="437"/>
      <c r="F285" s="437"/>
      <c r="G285" s="437"/>
      <c r="H285" s="437"/>
      <c r="I285" s="437"/>
      <c r="J285" s="437"/>
      <c r="K285" s="437"/>
      <c r="L285" s="437"/>
      <c r="M285" s="437"/>
      <c r="N285" s="437"/>
      <c r="O285" s="437"/>
      <c r="P285" s="437"/>
      <c r="Q285" s="437"/>
      <c r="R285" s="437"/>
      <c r="S285" s="437"/>
      <c r="T285" s="437"/>
      <c r="U285" s="437"/>
    </row>
    <row r="286" spans="1:21" ht="67.150000000000006" customHeight="1" thickBot="1" x14ac:dyDescent="0.35">
      <c r="A286" s="437"/>
      <c r="B286" s="437"/>
      <c r="C286" s="437"/>
      <c r="D286" s="437"/>
      <c r="E286" s="437"/>
      <c r="F286" s="437"/>
      <c r="G286" s="437"/>
      <c r="H286" s="437"/>
      <c r="I286" s="437"/>
      <c r="J286" s="437"/>
      <c r="K286" s="437"/>
      <c r="L286" s="437"/>
      <c r="M286" s="437"/>
      <c r="N286" s="437"/>
      <c r="O286" s="437"/>
      <c r="P286" s="437"/>
      <c r="Q286" s="437"/>
      <c r="R286" s="437"/>
      <c r="S286" s="437"/>
      <c r="T286" s="437"/>
      <c r="U286" s="437"/>
    </row>
    <row r="287" spans="1:21" ht="67.150000000000006" customHeight="1" thickBot="1" x14ac:dyDescent="0.35">
      <c r="A287" s="437"/>
      <c r="B287" s="437"/>
      <c r="C287" s="437"/>
      <c r="D287" s="437"/>
      <c r="E287" s="437"/>
      <c r="F287" s="437"/>
      <c r="G287" s="437"/>
      <c r="H287" s="437"/>
      <c r="I287" s="437"/>
      <c r="J287" s="437"/>
      <c r="K287" s="437"/>
      <c r="L287" s="437"/>
      <c r="M287" s="437"/>
      <c r="N287" s="437"/>
      <c r="O287" s="437"/>
      <c r="P287" s="437"/>
      <c r="Q287" s="437"/>
      <c r="R287" s="437"/>
      <c r="S287" s="437"/>
      <c r="T287" s="437"/>
      <c r="U287" s="437"/>
    </row>
    <row r="288" spans="1:21" ht="67.150000000000006" customHeight="1" thickBot="1" x14ac:dyDescent="0.35">
      <c r="A288" s="437"/>
      <c r="B288" s="437"/>
      <c r="C288" s="437"/>
      <c r="D288" s="437"/>
      <c r="E288" s="437"/>
      <c r="F288" s="437"/>
      <c r="G288" s="437"/>
      <c r="H288" s="437"/>
      <c r="I288" s="437"/>
      <c r="J288" s="437"/>
      <c r="K288" s="437"/>
      <c r="L288" s="437"/>
      <c r="M288" s="437"/>
      <c r="N288" s="437"/>
      <c r="O288" s="437"/>
      <c r="P288" s="437"/>
      <c r="Q288" s="437"/>
      <c r="R288" s="437"/>
      <c r="S288" s="437"/>
      <c r="T288" s="437"/>
      <c r="U288" s="437"/>
    </row>
    <row r="289" spans="1:21" ht="67.150000000000006" customHeight="1" thickBot="1" x14ac:dyDescent="0.35">
      <c r="A289" s="437"/>
      <c r="B289" s="437"/>
      <c r="C289" s="437"/>
      <c r="D289" s="437"/>
      <c r="E289" s="437"/>
      <c r="F289" s="437"/>
      <c r="G289" s="437"/>
      <c r="H289" s="437"/>
      <c r="I289" s="437"/>
      <c r="J289" s="437"/>
      <c r="K289" s="437"/>
      <c r="L289" s="437"/>
      <c r="M289" s="437"/>
      <c r="N289" s="437"/>
      <c r="O289" s="437"/>
      <c r="P289" s="437"/>
      <c r="Q289" s="437"/>
      <c r="R289" s="437"/>
      <c r="S289" s="437"/>
      <c r="T289" s="437"/>
      <c r="U289" s="437"/>
    </row>
    <row r="290" spans="1:21" ht="67.150000000000006" customHeight="1" thickBot="1" x14ac:dyDescent="0.35">
      <c r="A290" s="437"/>
      <c r="B290" s="437"/>
      <c r="C290" s="437"/>
      <c r="D290" s="437"/>
      <c r="E290" s="437"/>
      <c r="F290" s="437"/>
      <c r="G290" s="437"/>
      <c r="H290" s="437"/>
      <c r="I290" s="437"/>
      <c r="J290" s="437"/>
      <c r="K290" s="437"/>
      <c r="L290" s="437"/>
      <c r="M290" s="437"/>
      <c r="N290" s="437"/>
      <c r="O290" s="437"/>
      <c r="P290" s="437"/>
      <c r="Q290" s="437"/>
      <c r="R290" s="437"/>
      <c r="S290" s="437"/>
      <c r="T290" s="437"/>
      <c r="U290" s="437"/>
    </row>
    <row r="291" spans="1:21" ht="67.150000000000006" customHeight="1" thickBot="1" x14ac:dyDescent="0.35">
      <c r="A291" s="437"/>
      <c r="B291" s="437"/>
      <c r="C291" s="437"/>
      <c r="D291" s="437"/>
      <c r="E291" s="437"/>
      <c r="F291" s="437"/>
      <c r="G291" s="437"/>
      <c r="H291" s="437"/>
      <c r="I291" s="437"/>
      <c r="J291" s="437"/>
      <c r="K291" s="437"/>
      <c r="L291" s="437"/>
      <c r="M291" s="437"/>
      <c r="N291" s="437"/>
      <c r="O291" s="437"/>
      <c r="P291" s="437"/>
      <c r="Q291" s="437"/>
      <c r="R291" s="437"/>
      <c r="S291" s="437"/>
      <c r="T291" s="437"/>
      <c r="U291" s="437"/>
    </row>
    <row r="292" spans="1:21" ht="67.150000000000006" customHeight="1" thickBot="1" x14ac:dyDescent="0.35">
      <c r="A292" s="437"/>
      <c r="B292" s="437"/>
      <c r="C292" s="437"/>
      <c r="D292" s="437"/>
      <c r="E292" s="437"/>
      <c r="F292" s="437"/>
      <c r="G292" s="437"/>
      <c r="H292" s="437"/>
      <c r="I292" s="437"/>
      <c r="J292" s="437"/>
      <c r="K292" s="437"/>
      <c r="L292" s="437"/>
      <c r="M292" s="437"/>
      <c r="N292" s="437"/>
      <c r="O292" s="437"/>
      <c r="P292" s="437"/>
      <c r="Q292" s="437"/>
      <c r="R292" s="437"/>
      <c r="S292" s="437"/>
      <c r="T292" s="437"/>
      <c r="U292" s="437"/>
    </row>
    <row r="293" spans="1:21" ht="67.150000000000006" customHeight="1" thickBot="1" x14ac:dyDescent="0.35">
      <c r="A293" s="437"/>
      <c r="B293" s="437"/>
      <c r="C293" s="437"/>
      <c r="D293" s="437"/>
      <c r="E293" s="437"/>
      <c r="F293" s="437"/>
      <c r="G293" s="437"/>
      <c r="H293" s="437"/>
      <c r="I293" s="437"/>
      <c r="J293" s="437"/>
      <c r="K293" s="437"/>
      <c r="L293" s="437"/>
      <c r="M293" s="437"/>
      <c r="N293" s="437"/>
      <c r="O293" s="437"/>
      <c r="P293" s="437"/>
      <c r="Q293" s="437"/>
      <c r="R293" s="437"/>
      <c r="S293" s="437"/>
      <c r="T293" s="437"/>
      <c r="U293" s="437"/>
    </row>
    <row r="294" spans="1:21" ht="67.150000000000006" customHeight="1" thickBot="1" x14ac:dyDescent="0.35">
      <c r="A294" s="437"/>
      <c r="B294" s="437"/>
      <c r="C294" s="437"/>
      <c r="D294" s="437"/>
      <c r="E294" s="437"/>
      <c r="F294" s="437"/>
      <c r="G294" s="437"/>
      <c r="H294" s="437"/>
      <c r="I294" s="437"/>
      <c r="J294" s="437"/>
      <c r="K294" s="437"/>
      <c r="L294" s="437"/>
      <c r="M294" s="437"/>
      <c r="N294" s="437"/>
      <c r="O294" s="437"/>
      <c r="P294" s="437"/>
      <c r="Q294" s="437"/>
      <c r="R294" s="437"/>
      <c r="S294" s="437"/>
      <c r="T294" s="437"/>
      <c r="U294" s="437"/>
    </row>
    <row r="295" spans="1:21" ht="67.150000000000006" customHeight="1" thickBot="1" x14ac:dyDescent="0.35">
      <c r="A295" s="437"/>
      <c r="B295" s="437"/>
      <c r="C295" s="437"/>
      <c r="D295" s="437"/>
      <c r="E295" s="437"/>
      <c r="F295" s="437"/>
      <c r="G295" s="437"/>
      <c r="H295" s="437"/>
      <c r="I295" s="437"/>
      <c r="J295" s="437"/>
      <c r="K295" s="437"/>
      <c r="L295" s="437"/>
      <c r="M295" s="437"/>
      <c r="N295" s="437"/>
      <c r="O295" s="437"/>
      <c r="P295" s="437"/>
      <c r="Q295" s="437"/>
      <c r="R295" s="437"/>
      <c r="S295" s="437"/>
      <c r="T295" s="437"/>
      <c r="U295" s="437"/>
    </row>
    <row r="296" spans="1:21" ht="67.150000000000006" customHeight="1" thickBot="1" x14ac:dyDescent="0.35">
      <c r="A296" s="437"/>
      <c r="B296" s="437"/>
      <c r="C296" s="437"/>
      <c r="D296" s="437"/>
      <c r="E296" s="437"/>
      <c r="F296" s="437"/>
      <c r="G296" s="437"/>
      <c r="H296" s="437"/>
      <c r="I296" s="437"/>
      <c r="J296" s="437"/>
      <c r="K296" s="437"/>
      <c r="L296" s="437"/>
      <c r="M296" s="437"/>
      <c r="N296" s="437"/>
      <c r="O296" s="437"/>
      <c r="P296" s="437"/>
      <c r="Q296" s="437"/>
      <c r="R296" s="437"/>
      <c r="S296" s="437"/>
      <c r="T296" s="437"/>
      <c r="U296" s="437"/>
    </row>
    <row r="297" spans="1:21" ht="67.150000000000006" customHeight="1" thickBot="1" x14ac:dyDescent="0.35">
      <c r="A297" s="437"/>
      <c r="B297" s="437"/>
      <c r="C297" s="437"/>
      <c r="D297" s="437"/>
      <c r="E297" s="437"/>
      <c r="F297" s="437"/>
      <c r="G297" s="437"/>
      <c r="H297" s="437"/>
      <c r="I297" s="437"/>
      <c r="J297" s="437"/>
      <c r="K297" s="437"/>
      <c r="L297" s="437"/>
      <c r="M297" s="437"/>
      <c r="N297" s="437"/>
      <c r="O297" s="437"/>
      <c r="P297" s="437"/>
      <c r="Q297" s="437"/>
      <c r="R297" s="437"/>
      <c r="S297" s="437"/>
      <c r="T297" s="437"/>
      <c r="U297" s="437"/>
    </row>
    <row r="298" spans="1:21" ht="67.150000000000006" customHeight="1" thickBot="1" x14ac:dyDescent="0.35">
      <c r="A298" s="437"/>
      <c r="B298" s="437"/>
      <c r="C298" s="437"/>
      <c r="D298" s="437"/>
      <c r="E298" s="437"/>
      <c r="F298" s="437"/>
      <c r="G298" s="437"/>
      <c r="H298" s="437"/>
      <c r="I298" s="437"/>
      <c r="J298" s="437"/>
      <c r="K298" s="437"/>
      <c r="L298" s="437"/>
      <c r="M298" s="437"/>
      <c r="N298" s="437"/>
      <c r="O298" s="437"/>
      <c r="P298" s="437"/>
      <c r="Q298" s="437"/>
      <c r="R298" s="437"/>
      <c r="S298" s="437"/>
      <c r="T298" s="437"/>
      <c r="U298" s="437"/>
    </row>
    <row r="299" spans="1:21" ht="67.150000000000006" customHeight="1" thickBot="1" x14ac:dyDescent="0.35">
      <c r="A299" s="437"/>
      <c r="B299" s="437"/>
      <c r="C299" s="437"/>
      <c r="D299" s="437"/>
      <c r="E299" s="437"/>
      <c r="F299" s="437"/>
      <c r="G299" s="437"/>
      <c r="H299" s="437"/>
      <c r="I299" s="437"/>
      <c r="J299" s="437"/>
      <c r="K299" s="437"/>
      <c r="L299" s="437"/>
      <c r="M299" s="437"/>
      <c r="N299" s="437"/>
      <c r="O299" s="437"/>
      <c r="P299" s="437"/>
      <c r="Q299" s="437"/>
      <c r="R299" s="437"/>
      <c r="S299" s="437"/>
      <c r="T299" s="437"/>
      <c r="U299" s="437"/>
    </row>
    <row r="300" spans="1:21" ht="67.150000000000006" customHeight="1" thickBot="1" x14ac:dyDescent="0.35">
      <c r="A300" s="437"/>
      <c r="B300" s="437"/>
      <c r="C300" s="437"/>
      <c r="D300" s="437"/>
      <c r="E300" s="437"/>
      <c r="F300" s="437"/>
      <c r="G300" s="437"/>
      <c r="H300" s="437"/>
      <c r="I300" s="437"/>
      <c r="J300" s="437"/>
      <c r="K300" s="437"/>
      <c r="L300" s="437"/>
      <c r="M300" s="437"/>
      <c r="N300" s="437"/>
      <c r="O300" s="437"/>
      <c r="P300" s="437"/>
      <c r="Q300" s="437"/>
      <c r="R300" s="437"/>
      <c r="S300" s="437"/>
      <c r="T300" s="437"/>
      <c r="U300" s="437"/>
    </row>
    <row r="301" spans="1:21" ht="67.150000000000006" customHeight="1" thickBot="1" x14ac:dyDescent="0.35">
      <c r="A301" s="437"/>
      <c r="B301" s="437"/>
      <c r="C301" s="437"/>
      <c r="D301" s="437"/>
      <c r="E301" s="437"/>
      <c r="F301" s="437"/>
      <c r="G301" s="437"/>
      <c r="H301" s="437"/>
      <c r="I301" s="437"/>
      <c r="J301" s="437"/>
      <c r="K301" s="437"/>
      <c r="L301" s="437"/>
      <c r="M301" s="437"/>
      <c r="N301" s="437"/>
      <c r="O301" s="437"/>
      <c r="P301" s="437"/>
      <c r="Q301" s="437"/>
      <c r="R301" s="437"/>
      <c r="S301" s="437"/>
      <c r="T301" s="437"/>
      <c r="U301" s="437"/>
    </row>
    <row r="302" spans="1:21" ht="67.150000000000006" customHeight="1" thickBot="1" x14ac:dyDescent="0.35">
      <c r="A302" s="437"/>
      <c r="B302" s="437"/>
      <c r="C302" s="437"/>
      <c r="D302" s="437"/>
      <c r="E302" s="437"/>
      <c r="F302" s="437"/>
      <c r="G302" s="437"/>
      <c r="H302" s="437"/>
      <c r="I302" s="437"/>
      <c r="J302" s="437"/>
      <c r="K302" s="437"/>
      <c r="L302" s="437"/>
      <c r="M302" s="437"/>
      <c r="N302" s="437"/>
      <c r="O302" s="437"/>
      <c r="P302" s="437"/>
      <c r="Q302" s="437"/>
      <c r="R302" s="437"/>
      <c r="S302" s="437"/>
      <c r="T302" s="437"/>
      <c r="U302" s="437"/>
    </row>
    <row r="303" spans="1:21" ht="67.150000000000006" customHeight="1" thickBot="1" x14ac:dyDescent="0.35">
      <c r="A303" s="437"/>
      <c r="B303" s="437"/>
      <c r="C303" s="437"/>
      <c r="D303" s="437"/>
      <c r="E303" s="437"/>
      <c r="F303" s="437"/>
      <c r="G303" s="437"/>
      <c r="H303" s="437"/>
      <c r="I303" s="437"/>
      <c r="J303" s="437"/>
      <c r="K303" s="437"/>
      <c r="L303" s="437"/>
      <c r="M303" s="437"/>
      <c r="N303" s="437"/>
      <c r="O303" s="437"/>
      <c r="P303" s="437"/>
      <c r="Q303" s="437"/>
      <c r="R303" s="437"/>
      <c r="S303" s="437"/>
      <c r="T303" s="437"/>
      <c r="U303" s="437"/>
    </row>
    <row r="304" spans="1:21" ht="67.150000000000006" customHeight="1" thickBot="1" x14ac:dyDescent="0.35">
      <c r="A304" s="437"/>
      <c r="B304" s="437"/>
      <c r="C304" s="437"/>
      <c r="D304" s="437"/>
      <c r="E304" s="437"/>
      <c r="F304" s="437"/>
      <c r="G304" s="437"/>
      <c r="H304" s="437"/>
      <c r="I304" s="437"/>
      <c r="J304" s="437"/>
      <c r="K304" s="437"/>
      <c r="L304" s="437"/>
      <c r="M304" s="437"/>
      <c r="N304" s="437"/>
      <c r="O304" s="437"/>
      <c r="P304" s="437"/>
      <c r="Q304" s="437"/>
      <c r="R304" s="437"/>
      <c r="S304" s="437"/>
      <c r="T304" s="437"/>
      <c r="U304" s="437"/>
    </row>
    <row r="305" spans="1:21" ht="67.150000000000006" customHeight="1" thickBot="1" x14ac:dyDescent="0.35">
      <c r="A305" s="437"/>
      <c r="B305" s="437"/>
      <c r="C305" s="437"/>
      <c r="D305" s="437"/>
      <c r="E305" s="437"/>
      <c r="F305" s="437"/>
      <c r="G305" s="437"/>
      <c r="H305" s="437"/>
      <c r="I305" s="437"/>
      <c r="J305" s="437"/>
      <c r="K305" s="437"/>
      <c r="L305" s="437"/>
      <c r="M305" s="437"/>
      <c r="N305" s="437"/>
      <c r="O305" s="437"/>
      <c r="P305" s="437"/>
      <c r="Q305" s="437"/>
      <c r="R305" s="437"/>
      <c r="S305" s="437"/>
      <c r="T305" s="437"/>
      <c r="U305" s="437"/>
    </row>
    <row r="306" spans="1:21" ht="67.150000000000006" customHeight="1" thickBot="1" x14ac:dyDescent="0.35">
      <c r="A306" s="437"/>
      <c r="B306" s="437"/>
      <c r="C306" s="437"/>
      <c r="D306" s="437"/>
      <c r="E306" s="437"/>
      <c r="F306" s="437"/>
      <c r="G306" s="437"/>
      <c r="H306" s="437"/>
      <c r="I306" s="437"/>
      <c r="J306" s="437"/>
      <c r="K306" s="437"/>
      <c r="L306" s="437"/>
      <c r="M306" s="437"/>
      <c r="N306" s="437"/>
      <c r="O306" s="437"/>
      <c r="P306" s="437"/>
      <c r="Q306" s="437"/>
      <c r="R306" s="437"/>
      <c r="S306" s="437"/>
      <c r="T306" s="437"/>
      <c r="U306" s="437"/>
    </row>
    <row r="307" spans="1:21" ht="67.150000000000006" customHeight="1" thickBot="1" x14ac:dyDescent="0.35">
      <c r="A307" s="437"/>
      <c r="B307" s="437"/>
      <c r="C307" s="437"/>
      <c r="D307" s="437"/>
      <c r="E307" s="437"/>
      <c r="F307" s="437"/>
      <c r="G307" s="437"/>
      <c r="H307" s="437"/>
      <c r="I307" s="437"/>
      <c r="J307" s="437"/>
      <c r="K307" s="437"/>
      <c r="L307" s="437"/>
      <c r="M307" s="437"/>
      <c r="N307" s="437"/>
      <c r="O307" s="437"/>
      <c r="P307" s="437"/>
      <c r="Q307" s="437"/>
      <c r="R307" s="437"/>
      <c r="S307" s="437"/>
      <c r="T307" s="437"/>
      <c r="U307" s="437"/>
    </row>
    <row r="308" spans="1:21" ht="67.150000000000006" customHeight="1" thickBot="1" x14ac:dyDescent="0.35">
      <c r="A308" s="437"/>
      <c r="B308" s="437"/>
      <c r="C308" s="437"/>
      <c r="D308" s="437"/>
      <c r="E308" s="437"/>
      <c r="F308" s="437"/>
      <c r="G308" s="437"/>
      <c r="H308" s="437"/>
      <c r="I308" s="437"/>
      <c r="J308" s="437"/>
      <c r="K308" s="437"/>
      <c r="L308" s="437"/>
      <c r="M308" s="437"/>
      <c r="N308" s="437"/>
      <c r="O308" s="437"/>
      <c r="P308" s="437"/>
      <c r="Q308" s="437"/>
      <c r="R308" s="437"/>
      <c r="S308" s="437"/>
      <c r="T308" s="437"/>
      <c r="U308" s="437"/>
    </row>
    <row r="309" spans="1:21" ht="67.150000000000006" customHeight="1" thickBot="1" x14ac:dyDescent="0.35">
      <c r="A309" s="437"/>
      <c r="B309" s="437"/>
      <c r="C309" s="437"/>
      <c r="D309" s="437"/>
      <c r="E309" s="437"/>
      <c r="F309" s="437"/>
      <c r="G309" s="437"/>
      <c r="H309" s="437"/>
      <c r="I309" s="437"/>
      <c r="J309" s="437"/>
      <c r="K309" s="437"/>
      <c r="L309" s="437"/>
      <c r="M309" s="437"/>
      <c r="N309" s="437"/>
      <c r="O309" s="437"/>
      <c r="P309" s="437"/>
      <c r="Q309" s="437"/>
      <c r="R309" s="437"/>
      <c r="S309" s="437"/>
      <c r="T309" s="437"/>
      <c r="U309" s="437"/>
    </row>
    <row r="310" spans="1:21" ht="67.150000000000006" customHeight="1" thickBot="1" x14ac:dyDescent="0.35">
      <c r="A310" s="437"/>
      <c r="B310" s="437"/>
      <c r="C310" s="437"/>
      <c r="D310" s="437"/>
      <c r="E310" s="437"/>
      <c r="F310" s="437"/>
      <c r="G310" s="437"/>
      <c r="H310" s="437"/>
      <c r="I310" s="437"/>
      <c r="J310" s="437"/>
      <c r="K310" s="437"/>
      <c r="L310" s="437"/>
      <c r="M310" s="437"/>
      <c r="N310" s="437"/>
      <c r="O310" s="437"/>
      <c r="P310" s="437"/>
      <c r="Q310" s="437"/>
      <c r="R310" s="437"/>
      <c r="S310" s="437"/>
      <c r="T310" s="437"/>
      <c r="U310" s="437"/>
    </row>
    <row r="311" spans="1:21" ht="67.150000000000006" customHeight="1" thickBot="1" x14ac:dyDescent="0.35">
      <c r="A311" s="437"/>
      <c r="B311" s="437"/>
      <c r="C311" s="437"/>
      <c r="D311" s="437"/>
      <c r="E311" s="437"/>
      <c r="F311" s="437"/>
      <c r="G311" s="437"/>
      <c r="H311" s="437"/>
      <c r="I311" s="437"/>
      <c r="J311" s="437"/>
      <c r="K311" s="437"/>
      <c r="L311" s="437"/>
      <c r="M311" s="437"/>
      <c r="N311" s="437"/>
      <c r="O311" s="437"/>
      <c r="P311" s="437"/>
      <c r="Q311" s="437"/>
      <c r="R311" s="437"/>
      <c r="S311" s="437"/>
      <c r="T311" s="437"/>
      <c r="U311" s="437"/>
    </row>
    <row r="312" spans="1:21" ht="67.150000000000006" customHeight="1" thickBot="1" x14ac:dyDescent="0.35">
      <c r="A312" s="437"/>
      <c r="B312" s="437"/>
      <c r="C312" s="437"/>
      <c r="D312" s="437"/>
      <c r="E312" s="437"/>
      <c r="F312" s="437"/>
      <c r="G312" s="437"/>
      <c r="H312" s="437"/>
      <c r="I312" s="437"/>
      <c r="J312" s="437"/>
      <c r="K312" s="437"/>
      <c r="L312" s="437"/>
      <c r="M312" s="437"/>
      <c r="N312" s="437"/>
      <c r="O312" s="437"/>
      <c r="P312" s="437"/>
      <c r="Q312" s="437"/>
      <c r="R312" s="437"/>
      <c r="S312" s="437"/>
      <c r="T312" s="437"/>
      <c r="U312" s="437"/>
    </row>
    <row r="313" spans="1:21" ht="67.150000000000006" customHeight="1" thickBot="1" x14ac:dyDescent="0.35">
      <c r="A313" s="437"/>
      <c r="B313" s="437"/>
      <c r="C313" s="437"/>
      <c r="D313" s="437"/>
      <c r="E313" s="437"/>
      <c r="F313" s="437"/>
      <c r="G313" s="437"/>
      <c r="H313" s="437"/>
      <c r="I313" s="437"/>
      <c r="J313" s="437"/>
      <c r="K313" s="437"/>
      <c r="L313" s="437"/>
      <c r="M313" s="437"/>
      <c r="N313" s="437"/>
      <c r="O313" s="437"/>
      <c r="P313" s="437"/>
      <c r="Q313" s="437"/>
      <c r="R313" s="437"/>
      <c r="S313" s="437"/>
      <c r="T313" s="437"/>
      <c r="U313" s="437"/>
    </row>
    <row r="314" spans="1:21" ht="67.150000000000006" customHeight="1" thickBot="1" x14ac:dyDescent="0.35">
      <c r="A314" s="437"/>
      <c r="B314" s="437"/>
      <c r="C314" s="437"/>
      <c r="D314" s="437"/>
      <c r="E314" s="437"/>
      <c r="F314" s="437"/>
      <c r="G314" s="437"/>
      <c r="H314" s="437"/>
      <c r="I314" s="437"/>
      <c r="J314" s="437"/>
      <c r="K314" s="437"/>
      <c r="L314" s="437"/>
      <c r="M314" s="437"/>
      <c r="N314" s="437"/>
      <c r="O314" s="437"/>
      <c r="P314" s="437"/>
      <c r="Q314" s="437"/>
      <c r="R314" s="437"/>
      <c r="S314" s="437"/>
      <c r="T314" s="437"/>
      <c r="U314" s="437"/>
    </row>
    <row r="315" spans="1:21" ht="67.150000000000006" customHeight="1" thickBot="1" x14ac:dyDescent="0.35">
      <c r="A315" s="437"/>
      <c r="B315" s="437"/>
      <c r="C315" s="437"/>
      <c r="D315" s="437"/>
      <c r="E315" s="437"/>
      <c r="F315" s="437"/>
      <c r="G315" s="437"/>
      <c r="H315" s="437"/>
      <c r="I315" s="437"/>
      <c r="J315" s="437"/>
      <c r="K315" s="437"/>
      <c r="L315" s="437"/>
      <c r="M315" s="437"/>
      <c r="N315" s="437"/>
      <c r="O315" s="437"/>
      <c r="P315" s="437"/>
      <c r="Q315" s="437"/>
      <c r="R315" s="437"/>
      <c r="S315" s="437"/>
      <c r="T315" s="437"/>
      <c r="U315" s="437"/>
    </row>
    <row r="316" spans="1:21" ht="67.150000000000006" customHeight="1" thickBot="1" x14ac:dyDescent="0.35">
      <c r="A316" s="437"/>
      <c r="B316" s="437"/>
      <c r="C316" s="437"/>
      <c r="D316" s="437"/>
      <c r="E316" s="437"/>
      <c r="F316" s="437"/>
      <c r="G316" s="437"/>
      <c r="H316" s="437"/>
      <c r="I316" s="437"/>
      <c r="J316" s="437"/>
      <c r="K316" s="437"/>
      <c r="L316" s="437"/>
      <c r="M316" s="437"/>
      <c r="N316" s="437"/>
      <c r="O316" s="437"/>
      <c r="P316" s="437"/>
      <c r="Q316" s="437"/>
      <c r="R316" s="437"/>
      <c r="S316" s="437"/>
      <c r="T316" s="437"/>
      <c r="U316" s="437"/>
    </row>
    <row r="317" spans="1:21" ht="67.150000000000006" customHeight="1" thickBot="1" x14ac:dyDescent="0.35">
      <c r="A317" s="437"/>
      <c r="B317" s="437"/>
      <c r="C317" s="437"/>
      <c r="D317" s="437"/>
      <c r="E317" s="437"/>
      <c r="F317" s="437"/>
      <c r="G317" s="437"/>
      <c r="H317" s="437"/>
      <c r="I317" s="437"/>
      <c r="J317" s="437"/>
      <c r="K317" s="437"/>
      <c r="L317" s="437"/>
      <c r="M317" s="437"/>
      <c r="N317" s="437"/>
      <c r="O317" s="437"/>
      <c r="P317" s="437"/>
      <c r="Q317" s="437"/>
      <c r="R317" s="437"/>
      <c r="S317" s="437"/>
      <c r="T317" s="437"/>
      <c r="U317" s="437"/>
    </row>
    <row r="318" spans="1:21" ht="67.150000000000006" customHeight="1" thickBot="1" x14ac:dyDescent="0.35">
      <c r="A318" s="437"/>
      <c r="B318" s="437"/>
      <c r="C318" s="437"/>
      <c r="D318" s="437"/>
      <c r="E318" s="437"/>
      <c r="F318" s="437"/>
      <c r="G318" s="437"/>
      <c r="H318" s="437"/>
      <c r="I318" s="437"/>
      <c r="J318" s="437"/>
      <c r="K318" s="437"/>
      <c r="L318" s="437"/>
      <c r="M318" s="437"/>
      <c r="N318" s="437"/>
      <c r="O318" s="437"/>
      <c r="P318" s="437"/>
      <c r="Q318" s="437"/>
      <c r="R318" s="437"/>
      <c r="S318" s="437"/>
      <c r="T318" s="437"/>
      <c r="U318" s="437"/>
    </row>
    <row r="319" spans="1:21" ht="67.150000000000006" customHeight="1" thickBot="1" x14ac:dyDescent="0.35">
      <c r="A319" s="437"/>
      <c r="B319" s="437"/>
      <c r="C319" s="437"/>
      <c r="D319" s="437"/>
      <c r="E319" s="437"/>
      <c r="F319" s="437"/>
      <c r="G319" s="437"/>
      <c r="H319" s="437"/>
      <c r="I319" s="437"/>
      <c r="J319" s="437"/>
      <c r="K319" s="437"/>
      <c r="L319" s="437"/>
      <c r="M319" s="437"/>
      <c r="N319" s="437"/>
      <c r="O319" s="437"/>
      <c r="P319" s="437"/>
      <c r="Q319" s="437"/>
      <c r="R319" s="437"/>
      <c r="S319" s="437"/>
      <c r="T319" s="437"/>
      <c r="U319" s="437"/>
    </row>
    <row r="320" spans="1:21" ht="67.150000000000006" customHeight="1" thickBot="1" x14ac:dyDescent="0.35">
      <c r="A320" s="437"/>
      <c r="B320" s="437"/>
      <c r="C320" s="437"/>
      <c r="D320" s="437"/>
      <c r="E320" s="437"/>
      <c r="F320" s="437"/>
      <c r="G320" s="437"/>
      <c r="H320" s="437"/>
      <c r="I320" s="437"/>
      <c r="J320" s="437"/>
      <c r="K320" s="437"/>
      <c r="L320" s="437"/>
      <c r="M320" s="437"/>
      <c r="N320" s="437"/>
      <c r="O320" s="437"/>
      <c r="P320" s="437"/>
      <c r="Q320" s="437"/>
      <c r="R320" s="437"/>
      <c r="S320" s="437"/>
      <c r="T320" s="437"/>
      <c r="U320" s="437"/>
    </row>
    <row r="321" spans="1:21" ht="67.150000000000006" customHeight="1" thickBot="1" x14ac:dyDescent="0.35">
      <c r="A321" s="437"/>
      <c r="B321" s="437"/>
      <c r="C321" s="437"/>
      <c r="D321" s="437"/>
      <c r="E321" s="437"/>
      <c r="F321" s="437"/>
      <c r="G321" s="437"/>
      <c r="H321" s="437"/>
      <c r="I321" s="437"/>
      <c r="J321" s="437"/>
      <c r="K321" s="437"/>
      <c r="L321" s="437"/>
      <c r="M321" s="437"/>
      <c r="N321" s="437"/>
      <c r="O321" s="437"/>
      <c r="P321" s="437"/>
      <c r="Q321" s="437"/>
      <c r="R321" s="437"/>
      <c r="S321" s="437"/>
      <c r="T321" s="437"/>
      <c r="U321" s="437"/>
    </row>
    <row r="322" spans="1:21" ht="67.150000000000006" customHeight="1" thickBot="1" x14ac:dyDescent="0.35">
      <c r="A322" s="437"/>
      <c r="B322" s="437"/>
      <c r="C322" s="437"/>
      <c r="D322" s="437"/>
      <c r="E322" s="437"/>
      <c r="F322" s="437"/>
      <c r="G322" s="437"/>
      <c r="H322" s="437"/>
      <c r="I322" s="437"/>
      <c r="J322" s="437"/>
      <c r="K322" s="437"/>
      <c r="L322" s="437"/>
      <c r="M322" s="437"/>
      <c r="N322" s="437"/>
      <c r="O322" s="437"/>
      <c r="P322" s="437"/>
      <c r="Q322" s="437"/>
      <c r="R322" s="437"/>
      <c r="S322" s="437"/>
      <c r="T322" s="437"/>
      <c r="U322" s="437"/>
    </row>
    <row r="323" spans="1:21" ht="67.150000000000006" customHeight="1" thickBot="1" x14ac:dyDescent="0.35">
      <c r="A323" s="437"/>
      <c r="B323" s="437"/>
      <c r="C323" s="437"/>
      <c r="D323" s="437"/>
      <c r="E323" s="437"/>
      <c r="F323" s="437"/>
      <c r="G323" s="437"/>
      <c r="H323" s="437"/>
      <c r="I323" s="437"/>
      <c r="J323" s="437"/>
      <c r="K323" s="437"/>
      <c r="L323" s="437"/>
      <c r="M323" s="437"/>
      <c r="N323" s="437"/>
      <c r="O323" s="437"/>
      <c r="P323" s="437"/>
      <c r="Q323" s="437"/>
      <c r="R323" s="437"/>
      <c r="S323" s="437"/>
      <c r="T323" s="437"/>
      <c r="U323" s="437"/>
    </row>
    <row r="324" spans="1:21" ht="67.150000000000006" customHeight="1" thickBot="1" x14ac:dyDescent="0.35">
      <c r="A324" s="437"/>
      <c r="B324" s="437"/>
      <c r="C324" s="437"/>
      <c r="D324" s="437"/>
      <c r="E324" s="437"/>
      <c r="F324" s="437"/>
      <c r="G324" s="437"/>
      <c r="H324" s="437"/>
      <c r="I324" s="437"/>
      <c r="J324" s="437"/>
      <c r="K324" s="437"/>
      <c r="L324" s="437"/>
      <c r="M324" s="437"/>
      <c r="N324" s="437"/>
      <c r="O324" s="437"/>
      <c r="P324" s="437"/>
      <c r="Q324" s="437"/>
      <c r="R324" s="437"/>
      <c r="S324" s="437"/>
      <c r="T324" s="437"/>
      <c r="U324" s="437"/>
    </row>
    <row r="325" spans="1:21" ht="67.150000000000006" customHeight="1" thickBot="1" x14ac:dyDescent="0.35">
      <c r="A325" s="437"/>
      <c r="B325" s="437"/>
      <c r="C325" s="437"/>
      <c r="D325" s="437"/>
      <c r="E325" s="437"/>
      <c r="F325" s="437"/>
      <c r="G325" s="437"/>
      <c r="H325" s="437"/>
      <c r="I325" s="437"/>
      <c r="J325" s="437"/>
      <c r="K325" s="437"/>
      <c r="L325" s="437"/>
      <c r="M325" s="437"/>
      <c r="N325" s="437"/>
      <c r="O325" s="437"/>
      <c r="P325" s="437"/>
      <c r="Q325" s="437"/>
      <c r="R325" s="437"/>
      <c r="S325" s="437"/>
      <c r="T325" s="437"/>
      <c r="U325" s="437"/>
    </row>
    <row r="326" spans="1:21" ht="67.150000000000006" customHeight="1" thickBot="1" x14ac:dyDescent="0.35">
      <c r="A326" s="437"/>
      <c r="B326" s="437"/>
      <c r="C326" s="437"/>
      <c r="D326" s="437"/>
      <c r="E326" s="437"/>
      <c r="F326" s="437"/>
      <c r="G326" s="437"/>
      <c r="H326" s="437"/>
      <c r="I326" s="437"/>
      <c r="J326" s="437"/>
      <c r="K326" s="437"/>
      <c r="L326" s="437"/>
      <c r="M326" s="437"/>
      <c r="N326" s="437"/>
      <c r="O326" s="437"/>
      <c r="P326" s="437"/>
      <c r="Q326" s="437"/>
      <c r="R326" s="437"/>
      <c r="S326" s="437"/>
      <c r="T326" s="437"/>
      <c r="U326" s="437"/>
    </row>
    <row r="327" spans="1:21" ht="67.150000000000006" customHeight="1" thickBot="1" x14ac:dyDescent="0.35">
      <c r="A327" s="437"/>
      <c r="B327" s="437"/>
      <c r="C327" s="437"/>
      <c r="D327" s="437"/>
      <c r="E327" s="437"/>
      <c r="F327" s="437"/>
      <c r="G327" s="437"/>
      <c r="H327" s="437"/>
      <c r="I327" s="437"/>
      <c r="J327" s="437"/>
      <c r="K327" s="437"/>
      <c r="L327" s="437"/>
      <c r="M327" s="437"/>
      <c r="N327" s="437"/>
      <c r="O327" s="437"/>
      <c r="P327" s="437"/>
      <c r="Q327" s="437"/>
      <c r="R327" s="437"/>
      <c r="S327" s="437"/>
      <c r="T327" s="437"/>
      <c r="U327" s="437"/>
    </row>
    <row r="328" spans="1:21" ht="67.150000000000006" customHeight="1" thickBot="1" x14ac:dyDescent="0.35">
      <c r="A328" s="437"/>
      <c r="B328" s="437"/>
      <c r="C328" s="437"/>
      <c r="D328" s="437"/>
      <c r="E328" s="437"/>
      <c r="F328" s="437"/>
      <c r="G328" s="437"/>
      <c r="H328" s="437"/>
      <c r="I328" s="437"/>
      <c r="J328" s="437"/>
      <c r="K328" s="437"/>
      <c r="L328" s="437"/>
      <c r="M328" s="437"/>
      <c r="N328" s="437"/>
      <c r="O328" s="437"/>
      <c r="P328" s="437"/>
      <c r="Q328" s="437"/>
      <c r="R328" s="437"/>
      <c r="S328" s="437"/>
      <c r="T328" s="437"/>
      <c r="U328" s="437"/>
    </row>
    <row r="329" spans="1:21" ht="67.150000000000006" customHeight="1" thickBot="1" x14ac:dyDescent="0.35">
      <c r="A329" s="437"/>
      <c r="B329" s="437"/>
      <c r="C329" s="437"/>
      <c r="D329" s="437"/>
      <c r="E329" s="437"/>
      <c r="F329" s="437"/>
      <c r="G329" s="437"/>
      <c r="H329" s="437"/>
      <c r="I329" s="437"/>
      <c r="J329" s="437"/>
      <c r="K329" s="437"/>
      <c r="L329" s="437"/>
      <c r="M329" s="437"/>
      <c r="N329" s="437"/>
      <c r="O329" s="437"/>
      <c r="P329" s="437"/>
      <c r="Q329" s="437"/>
      <c r="R329" s="437"/>
      <c r="S329" s="437"/>
      <c r="T329" s="437"/>
      <c r="U329" s="437"/>
    </row>
    <row r="330" spans="1:21" ht="67.150000000000006" customHeight="1" thickBot="1" x14ac:dyDescent="0.35">
      <c r="A330" s="437"/>
      <c r="B330" s="437"/>
      <c r="C330" s="437"/>
      <c r="D330" s="437"/>
      <c r="E330" s="437"/>
      <c r="F330" s="437"/>
      <c r="G330" s="437"/>
      <c r="H330" s="437"/>
      <c r="I330" s="437"/>
      <c r="J330" s="437"/>
      <c r="K330" s="437"/>
      <c r="L330" s="437"/>
      <c r="M330" s="437"/>
      <c r="N330" s="437"/>
      <c r="O330" s="437"/>
      <c r="P330" s="437"/>
      <c r="Q330" s="437"/>
      <c r="R330" s="437"/>
      <c r="S330" s="437"/>
      <c r="T330" s="437"/>
      <c r="U330" s="437"/>
    </row>
    <row r="331" spans="1:21" ht="67.150000000000006" customHeight="1" thickBot="1" x14ac:dyDescent="0.35">
      <c r="A331" s="437"/>
      <c r="B331" s="437"/>
      <c r="C331" s="437"/>
      <c r="D331" s="437"/>
      <c r="E331" s="437"/>
      <c r="F331" s="437"/>
      <c r="G331" s="437"/>
      <c r="H331" s="437"/>
      <c r="I331" s="437"/>
      <c r="J331" s="437"/>
      <c r="K331" s="437"/>
      <c r="L331" s="437"/>
      <c r="M331" s="437"/>
      <c r="N331" s="437"/>
      <c r="O331" s="437"/>
      <c r="P331" s="437"/>
      <c r="Q331" s="437"/>
      <c r="R331" s="437"/>
      <c r="S331" s="437"/>
      <c r="T331" s="437"/>
      <c r="U331" s="437"/>
    </row>
    <row r="332" spans="1:21" ht="67.150000000000006" customHeight="1" thickBot="1" x14ac:dyDescent="0.35">
      <c r="A332" s="437"/>
      <c r="B332" s="437"/>
      <c r="C332" s="437"/>
      <c r="D332" s="437"/>
      <c r="E332" s="437"/>
      <c r="F332" s="437"/>
      <c r="G332" s="437"/>
      <c r="H332" s="437"/>
      <c r="I332" s="437"/>
      <c r="J332" s="437"/>
      <c r="K332" s="437"/>
      <c r="L332" s="437"/>
      <c r="M332" s="437"/>
      <c r="N332" s="437"/>
      <c r="O332" s="437"/>
      <c r="P332" s="437"/>
      <c r="Q332" s="437"/>
      <c r="R332" s="437"/>
      <c r="S332" s="437"/>
      <c r="T332" s="437"/>
      <c r="U332" s="437"/>
    </row>
    <row r="333" spans="1:21" ht="67.150000000000006" customHeight="1" thickBot="1" x14ac:dyDescent="0.35">
      <c r="A333" s="437"/>
      <c r="B333" s="437"/>
      <c r="C333" s="437"/>
      <c r="D333" s="437"/>
      <c r="E333" s="437"/>
      <c r="F333" s="437"/>
      <c r="G333" s="437"/>
      <c r="H333" s="437"/>
      <c r="I333" s="437"/>
      <c r="J333" s="437"/>
      <c r="K333" s="437"/>
      <c r="L333" s="437"/>
      <c r="M333" s="437"/>
      <c r="N333" s="437"/>
      <c r="O333" s="437"/>
      <c r="P333" s="437"/>
      <c r="Q333" s="437"/>
      <c r="R333" s="437"/>
      <c r="S333" s="437"/>
      <c r="T333" s="437"/>
      <c r="U333" s="437"/>
    </row>
    <row r="334" spans="1:21" ht="67.150000000000006" customHeight="1" thickBot="1" x14ac:dyDescent="0.35">
      <c r="A334" s="437"/>
      <c r="B334" s="437"/>
      <c r="C334" s="437"/>
      <c r="D334" s="437"/>
      <c r="E334" s="437"/>
      <c r="F334" s="437"/>
      <c r="G334" s="437"/>
      <c r="H334" s="437"/>
      <c r="I334" s="437"/>
      <c r="J334" s="437"/>
      <c r="K334" s="437"/>
      <c r="L334" s="437"/>
      <c r="M334" s="437"/>
      <c r="N334" s="437"/>
      <c r="O334" s="437"/>
      <c r="P334" s="437"/>
      <c r="Q334" s="437"/>
      <c r="R334" s="437"/>
      <c r="S334" s="437"/>
      <c r="T334" s="437"/>
      <c r="U334" s="437"/>
    </row>
    <row r="335" spans="1:21" ht="67.150000000000006" customHeight="1" thickBot="1" x14ac:dyDescent="0.35">
      <c r="A335" s="437"/>
      <c r="B335" s="437"/>
      <c r="C335" s="437"/>
      <c r="D335" s="437"/>
      <c r="E335" s="437"/>
      <c r="F335" s="437"/>
      <c r="G335" s="437"/>
      <c r="H335" s="437"/>
      <c r="I335" s="437"/>
      <c r="J335" s="437"/>
      <c r="K335" s="437"/>
      <c r="L335" s="437"/>
      <c r="M335" s="437"/>
      <c r="N335" s="437"/>
      <c r="O335" s="437"/>
      <c r="P335" s="437"/>
      <c r="Q335" s="437"/>
      <c r="R335" s="437"/>
      <c r="S335" s="437"/>
      <c r="T335" s="437"/>
      <c r="U335" s="437"/>
    </row>
    <row r="336" spans="1:21" ht="67.150000000000006" customHeight="1" thickBot="1" x14ac:dyDescent="0.35">
      <c r="A336" s="437"/>
      <c r="B336" s="437"/>
      <c r="C336" s="437"/>
      <c r="D336" s="437"/>
      <c r="E336" s="437"/>
      <c r="F336" s="437"/>
      <c r="G336" s="437"/>
      <c r="H336" s="437"/>
      <c r="I336" s="437"/>
      <c r="J336" s="437"/>
      <c r="K336" s="437"/>
      <c r="L336" s="437"/>
      <c r="M336" s="437"/>
      <c r="N336" s="437"/>
      <c r="O336" s="437"/>
      <c r="P336" s="437"/>
      <c r="Q336" s="437"/>
      <c r="R336" s="437"/>
      <c r="S336" s="437"/>
      <c r="T336" s="437"/>
      <c r="U336" s="437"/>
    </row>
    <row r="337" spans="1:21" ht="67.150000000000006" customHeight="1" thickBot="1" x14ac:dyDescent="0.35">
      <c r="A337" s="437"/>
      <c r="B337" s="437"/>
      <c r="C337" s="437"/>
      <c r="D337" s="437"/>
      <c r="E337" s="437"/>
      <c r="F337" s="437"/>
      <c r="G337" s="437"/>
      <c r="H337" s="437"/>
      <c r="I337" s="437"/>
      <c r="J337" s="437"/>
      <c r="K337" s="437"/>
      <c r="L337" s="437"/>
      <c r="M337" s="437"/>
      <c r="N337" s="437"/>
      <c r="O337" s="437"/>
      <c r="P337" s="437"/>
      <c r="Q337" s="437"/>
      <c r="R337" s="437"/>
      <c r="S337" s="437"/>
      <c r="T337" s="437"/>
      <c r="U337" s="437"/>
    </row>
    <row r="338" spans="1:21" ht="67.150000000000006" customHeight="1" thickBot="1" x14ac:dyDescent="0.35">
      <c r="A338" s="437"/>
      <c r="B338" s="437"/>
      <c r="C338" s="437"/>
      <c r="D338" s="437"/>
      <c r="E338" s="437"/>
      <c r="F338" s="437"/>
      <c r="G338" s="437"/>
      <c r="H338" s="437"/>
      <c r="I338" s="437"/>
      <c r="J338" s="437"/>
      <c r="K338" s="437"/>
      <c r="L338" s="437"/>
      <c r="M338" s="437"/>
      <c r="N338" s="437"/>
      <c r="O338" s="437"/>
      <c r="P338" s="437"/>
      <c r="Q338" s="437"/>
      <c r="R338" s="437"/>
      <c r="S338" s="437"/>
      <c r="T338" s="437"/>
      <c r="U338" s="437"/>
    </row>
    <row r="339" spans="1:21" ht="67.150000000000006" customHeight="1" thickBot="1" x14ac:dyDescent="0.35">
      <c r="A339" s="437"/>
      <c r="B339" s="437"/>
      <c r="C339" s="437"/>
      <c r="D339" s="437"/>
      <c r="E339" s="437"/>
      <c r="F339" s="437"/>
      <c r="G339" s="437"/>
      <c r="H339" s="437"/>
      <c r="I339" s="437"/>
      <c r="J339" s="437"/>
      <c r="K339" s="437"/>
      <c r="L339" s="437"/>
      <c r="M339" s="437"/>
      <c r="N339" s="437"/>
      <c r="O339" s="437"/>
      <c r="P339" s="437"/>
      <c r="Q339" s="437"/>
      <c r="R339" s="437"/>
      <c r="S339" s="437"/>
      <c r="T339" s="437"/>
      <c r="U339" s="437"/>
    </row>
    <row r="340" spans="1:21" ht="67.150000000000006" customHeight="1" thickBot="1" x14ac:dyDescent="0.35">
      <c r="A340" s="437"/>
      <c r="B340" s="437"/>
      <c r="C340" s="437"/>
      <c r="D340" s="437"/>
      <c r="E340" s="437"/>
      <c r="F340" s="437"/>
      <c r="G340" s="437"/>
      <c r="H340" s="437"/>
      <c r="I340" s="437"/>
      <c r="J340" s="437"/>
      <c r="K340" s="437"/>
      <c r="L340" s="437"/>
      <c r="M340" s="437"/>
      <c r="N340" s="437"/>
      <c r="O340" s="437"/>
      <c r="P340" s="437"/>
      <c r="Q340" s="437"/>
      <c r="R340" s="437"/>
      <c r="S340" s="437"/>
      <c r="T340" s="437"/>
      <c r="U340" s="437"/>
    </row>
    <row r="341" spans="1:21" ht="67.150000000000006" customHeight="1" thickBot="1" x14ac:dyDescent="0.35">
      <c r="A341" s="437"/>
      <c r="B341" s="437"/>
      <c r="C341" s="437"/>
      <c r="D341" s="437"/>
      <c r="E341" s="437"/>
      <c r="F341" s="437"/>
      <c r="G341" s="437"/>
      <c r="H341" s="437"/>
      <c r="I341" s="437"/>
      <c r="J341" s="437"/>
      <c r="K341" s="437"/>
      <c r="L341" s="437"/>
      <c r="M341" s="437"/>
      <c r="N341" s="437"/>
      <c r="O341" s="437"/>
      <c r="P341" s="437"/>
      <c r="Q341" s="437"/>
      <c r="R341" s="437"/>
      <c r="S341" s="437"/>
      <c r="T341" s="437"/>
      <c r="U341" s="437"/>
    </row>
  </sheetData>
  <sheetProtection password="DEFC" sheet="1" objects="1" scenarios="1"/>
  <autoFilter ref="A2:V141">
    <sortState ref="A3:S141">
      <sortCondition sortBy="cellColor" ref="B2" dxfId="0"/>
    </sortState>
  </autoFilter>
  <mergeCells count="38">
    <mergeCell ref="B139:C139"/>
    <mergeCell ref="B109:C109"/>
    <mergeCell ref="B110:C110"/>
    <mergeCell ref="B116:C116"/>
    <mergeCell ref="B123:C123"/>
    <mergeCell ref="B131:C131"/>
    <mergeCell ref="B134:C134"/>
    <mergeCell ref="B105:C105"/>
    <mergeCell ref="B58:C58"/>
    <mergeCell ref="B61:C61"/>
    <mergeCell ref="B66:C66"/>
    <mergeCell ref="B68:C68"/>
    <mergeCell ref="B74:C74"/>
    <mergeCell ref="B77:C77"/>
    <mergeCell ref="B78:C78"/>
    <mergeCell ref="B85:C85"/>
    <mergeCell ref="B92:C92"/>
    <mergeCell ref="B94:C94"/>
    <mergeCell ref="B99:C99"/>
    <mergeCell ref="B57:C57"/>
    <mergeCell ref="B18:C18"/>
    <mergeCell ref="B23:C23"/>
    <mergeCell ref="B26:C26"/>
    <mergeCell ref="B30:C30"/>
    <mergeCell ref="B32:C32"/>
    <mergeCell ref="B36:C36"/>
    <mergeCell ref="B40:C40"/>
    <mergeCell ref="B43:C43"/>
    <mergeCell ref="B48:C48"/>
    <mergeCell ref="B49:C49"/>
    <mergeCell ref="B55:C55"/>
    <mergeCell ref="B17:C17"/>
    <mergeCell ref="B2:C2"/>
    <mergeCell ref="B3:C3"/>
    <mergeCell ref="B4:C4"/>
    <mergeCell ref="B5:C5"/>
    <mergeCell ref="B9:C9"/>
    <mergeCell ref="B12:C12"/>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zoomScale="30" zoomScaleNormal="30" workbookViewId="0">
      <pane ySplit="2" topLeftCell="A3" activePane="bottomLeft" state="frozen"/>
      <selection activeCell="K14" sqref="K14"/>
      <selection pane="bottomLeft" activeCell="N6" sqref="N6"/>
    </sheetView>
  </sheetViews>
  <sheetFormatPr baseColWidth="10" defaultColWidth="14.42578125" defaultRowHeight="15" customHeight="1" x14ac:dyDescent="0.35"/>
  <cols>
    <col min="1" max="1" width="7.85546875" style="134" customWidth="1"/>
    <col min="2" max="2" width="64.5703125" style="134" customWidth="1"/>
    <col min="3" max="3" width="82.7109375" style="134" customWidth="1"/>
    <col min="4" max="4" width="68.42578125" style="134" customWidth="1"/>
    <col min="5" max="5" width="34" style="134" customWidth="1"/>
    <col min="6" max="6" width="44.28515625" style="134" customWidth="1"/>
    <col min="7" max="7" width="36.7109375" style="134" customWidth="1"/>
    <col min="8" max="8" width="42.7109375" style="134" customWidth="1"/>
    <col min="9" max="9" width="44.42578125" style="134" customWidth="1"/>
    <col min="10" max="10" width="40.28515625" style="134" customWidth="1"/>
    <col min="11" max="11" width="42.140625" style="134" customWidth="1"/>
    <col min="12" max="12" width="51" style="134" customWidth="1"/>
    <col min="13" max="13" width="42.7109375" style="134" customWidth="1"/>
    <col min="14" max="14" width="50.140625" style="134" customWidth="1"/>
    <col min="15" max="15" width="44.5703125" style="237" customWidth="1"/>
    <col min="16" max="16" width="26" style="134" hidden="1" customWidth="1"/>
    <col min="17" max="19" width="29" style="134" hidden="1" customWidth="1"/>
    <col min="20" max="20" width="27.140625" style="134" hidden="1" customWidth="1"/>
    <col min="21" max="21" width="29" style="134" hidden="1" customWidth="1"/>
    <col min="22" max="27" width="10.7109375" style="134" customWidth="1"/>
    <col min="28" max="16384" width="14.42578125" style="134"/>
  </cols>
  <sheetData>
    <row r="1" spans="1:21" ht="21.75" thickBot="1" x14ac:dyDescent="0.4">
      <c r="A1" s="133"/>
      <c r="B1" s="126"/>
      <c r="C1" s="126"/>
      <c r="D1" s="126"/>
      <c r="E1" s="133"/>
      <c r="F1" s="133"/>
      <c r="G1" s="133"/>
      <c r="H1" s="133"/>
      <c r="I1" s="133"/>
      <c r="J1" s="133"/>
      <c r="K1" s="133"/>
      <c r="L1" s="133"/>
      <c r="M1" s="133"/>
      <c r="N1" s="133"/>
      <c r="O1" s="219"/>
      <c r="P1" s="133"/>
      <c r="Q1" s="133"/>
      <c r="R1" s="133"/>
      <c r="S1" s="133"/>
      <c r="T1" s="133"/>
      <c r="U1" s="133"/>
    </row>
    <row r="2" spans="1:21" ht="144.6" customHeight="1" thickBot="1" x14ac:dyDescent="0.4">
      <c r="A2" s="135"/>
      <c r="B2" s="690" t="s">
        <v>1071</v>
      </c>
      <c r="C2" s="691"/>
      <c r="D2" s="220" t="s">
        <v>1</v>
      </c>
      <c r="E2" s="98" t="s">
        <v>2</v>
      </c>
      <c r="F2" s="98" t="s">
        <v>3</v>
      </c>
      <c r="G2" s="98" t="s">
        <v>4</v>
      </c>
      <c r="H2" s="98" t="s">
        <v>5</v>
      </c>
      <c r="I2" s="137" t="s">
        <v>6</v>
      </c>
      <c r="J2" s="138" t="s">
        <v>1852</v>
      </c>
      <c r="K2" s="97" t="s">
        <v>8</v>
      </c>
      <c r="L2" s="139" t="s">
        <v>9</v>
      </c>
      <c r="M2" s="97" t="s">
        <v>1863</v>
      </c>
      <c r="N2" s="140" t="s">
        <v>1854</v>
      </c>
      <c r="O2" s="141" t="s">
        <v>1856</v>
      </c>
      <c r="P2" s="142" t="s">
        <v>7</v>
      </c>
      <c r="Q2" s="97" t="s">
        <v>8</v>
      </c>
      <c r="R2" s="139" t="s">
        <v>9</v>
      </c>
      <c r="S2" s="97" t="s">
        <v>10</v>
      </c>
      <c r="T2" s="143" t="s">
        <v>11</v>
      </c>
      <c r="U2" s="139" t="s">
        <v>12</v>
      </c>
    </row>
    <row r="3" spans="1:21" ht="93" customHeight="1" thickBot="1" x14ac:dyDescent="0.4">
      <c r="A3" s="135"/>
      <c r="B3" s="737" t="s">
        <v>1849</v>
      </c>
      <c r="C3" s="736"/>
      <c r="D3" s="202"/>
      <c r="E3" s="221">
        <v>0.02</v>
      </c>
      <c r="F3" s="222"/>
      <c r="G3" s="202"/>
      <c r="H3" s="223">
        <f>(H4+H30)/2</f>
        <v>0.25509259259259259</v>
      </c>
      <c r="I3" s="224">
        <f>(I4+I30)/2</f>
        <v>6.9222222222222241E-2</v>
      </c>
      <c r="J3" s="202"/>
      <c r="K3" s="223">
        <f>(K4+K30)/2</f>
        <v>0.40277777777777779</v>
      </c>
      <c r="L3" s="224">
        <f>+F4+F30</f>
        <v>0.13582500000000003</v>
      </c>
      <c r="M3" s="223">
        <f>(M4+M30)/2</f>
        <v>5.5588624338624326E-2</v>
      </c>
      <c r="N3" s="224">
        <f>(N4+N30)/2</f>
        <v>2.0212500000000001E-2</v>
      </c>
      <c r="O3" s="145"/>
      <c r="P3" s="201"/>
      <c r="Q3" s="133"/>
      <c r="R3" s="133"/>
      <c r="S3" s="133"/>
      <c r="T3" s="133"/>
      <c r="U3" s="133"/>
    </row>
    <row r="4" spans="1:21" ht="106.9" customHeight="1" thickBot="1" x14ac:dyDescent="0.4">
      <c r="A4" s="135"/>
      <c r="B4" s="738" t="s">
        <v>1844</v>
      </c>
      <c r="C4" s="736"/>
      <c r="D4" s="225"/>
      <c r="E4" s="226">
        <v>0.75</v>
      </c>
      <c r="F4" s="227">
        <f>+E4*L4</f>
        <v>0.12300000000000003</v>
      </c>
      <c r="G4" s="202"/>
      <c r="H4" s="204">
        <f>+(H5+H14+H22)/3</f>
        <v>0.28333333333333333</v>
      </c>
      <c r="I4" s="205">
        <f>+(I5+I14+I22)/3</f>
        <v>5.4833333333333345E-2</v>
      </c>
      <c r="J4" s="202"/>
      <c r="K4" s="204">
        <f>+(K5+K14+K22)/3</f>
        <v>0.58333333333333337</v>
      </c>
      <c r="L4" s="205">
        <f>+L5+L14+L22</f>
        <v>0.16400000000000003</v>
      </c>
      <c r="M4" s="204">
        <f>(M5+M14+M22)/3</f>
        <v>6.4880952380952372E-2</v>
      </c>
      <c r="N4" s="205">
        <f>(N5+N14+N22)</f>
        <v>3.0800000000000001E-2</v>
      </c>
      <c r="O4" s="194"/>
      <c r="P4" s="201"/>
      <c r="Q4" s="133"/>
      <c r="R4" s="133"/>
      <c r="S4" s="133"/>
      <c r="T4" s="133"/>
      <c r="U4" s="133"/>
    </row>
    <row r="5" spans="1:21" ht="98.45" customHeight="1" thickBot="1" x14ac:dyDescent="0.4">
      <c r="A5" s="135"/>
      <c r="B5" s="695" t="s">
        <v>1789</v>
      </c>
      <c r="C5" s="736"/>
      <c r="D5" s="225"/>
      <c r="E5" s="108">
        <v>0.4</v>
      </c>
      <c r="F5" s="206"/>
      <c r="G5" s="202"/>
      <c r="H5" s="207">
        <f>+AVERAGE(H6:H13)</f>
        <v>0.19999999999999998</v>
      </c>
      <c r="I5" s="207">
        <f>+I6+I7+I8+I9+I10+I11+I12+I13</f>
        <v>8.7000000000000008E-2</v>
      </c>
      <c r="J5" s="208"/>
      <c r="K5" s="209">
        <f>+AVERAGE(K6:K13)</f>
        <v>0.75</v>
      </c>
      <c r="L5" s="209">
        <f>+(L6+L7+L8+L9+L10+L11+L12+L13)*E5</f>
        <v>0.14400000000000002</v>
      </c>
      <c r="M5" s="207">
        <f>+AVERAGE(M6:M13)</f>
        <v>0.13749999999999998</v>
      </c>
      <c r="N5" s="207">
        <f>+(N6+N7+N8+N9+N10+N11+N12+N13)*E5</f>
        <v>2.2800000000000001E-2</v>
      </c>
      <c r="O5" s="160"/>
      <c r="P5" s="201"/>
      <c r="Q5" s="133"/>
      <c r="R5" s="133"/>
      <c r="S5" s="133"/>
      <c r="T5" s="133"/>
      <c r="U5" s="133"/>
    </row>
    <row r="6" spans="1:21" ht="148.9" customHeight="1" thickBot="1" x14ac:dyDescent="0.4">
      <c r="A6" s="135"/>
      <c r="B6" s="168" t="s">
        <v>1072</v>
      </c>
      <c r="C6" s="216" t="s">
        <v>1073</v>
      </c>
      <c r="D6" s="225" t="s">
        <v>1074</v>
      </c>
      <c r="E6" s="215">
        <v>0.2</v>
      </c>
      <c r="F6" s="210">
        <v>60</v>
      </c>
      <c r="G6" s="228">
        <v>0</v>
      </c>
      <c r="H6" s="211"/>
      <c r="I6" s="211"/>
      <c r="J6" s="228"/>
      <c r="K6" s="211"/>
      <c r="L6" s="211"/>
      <c r="M6" s="211"/>
      <c r="N6" s="211"/>
      <c r="O6" s="213" t="s">
        <v>1862</v>
      </c>
      <c r="P6" s="201"/>
      <c r="Q6" s="133"/>
      <c r="R6" s="133"/>
      <c r="S6" s="133"/>
      <c r="T6" s="133"/>
      <c r="U6" s="133"/>
    </row>
    <row r="7" spans="1:21" ht="142.15" customHeight="1" thickBot="1" x14ac:dyDescent="0.4">
      <c r="A7" s="135"/>
      <c r="B7" s="168" t="s">
        <v>1075</v>
      </c>
      <c r="C7" s="216" t="s">
        <v>1076</v>
      </c>
      <c r="D7" s="225" t="s">
        <v>1077</v>
      </c>
      <c r="E7" s="109">
        <v>0.2</v>
      </c>
      <c r="F7" s="210">
        <v>500</v>
      </c>
      <c r="G7" s="228">
        <v>50</v>
      </c>
      <c r="H7" s="211">
        <f t="shared" ref="H7:H13" si="0">+G7/F7</f>
        <v>0.1</v>
      </c>
      <c r="I7" s="211">
        <f t="shared" ref="I7:I13" si="1">+(G7/F7)*E7</f>
        <v>2.0000000000000004E-2</v>
      </c>
      <c r="J7" s="228">
        <v>50</v>
      </c>
      <c r="K7" s="211">
        <f>+(J7/G7)</f>
        <v>1</v>
      </c>
      <c r="L7" s="211">
        <f t="shared" ref="L7:L13" si="2">+K7*E7</f>
        <v>0.2</v>
      </c>
      <c r="M7" s="211">
        <f t="shared" ref="M7:M13" si="3">+J7/F7</f>
        <v>0.1</v>
      </c>
      <c r="N7" s="211">
        <f t="shared" ref="N7:N13" si="4">+M7*E7</f>
        <v>2.0000000000000004E-2</v>
      </c>
      <c r="O7" s="213" t="s">
        <v>1862</v>
      </c>
      <c r="P7" s="201"/>
      <c r="Q7" s="133"/>
      <c r="R7" s="133"/>
      <c r="S7" s="133"/>
      <c r="T7" s="133"/>
      <c r="U7" s="133"/>
    </row>
    <row r="8" spans="1:21" ht="134.44999999999999" customHeight="1" thickBot="1" x14ac:dyDescent="0.4">
      <c r="A8" s="135"/>
      <c r="B8" s="168" t="s">
        <v>1078</v>
      </c>
      <c r="C8" s="216" t="s">
        <v>1079</v>
      </c>
      <c r="D8" s="225" t="s">
        <v>1077</v>
      </c>
      <c r="E8" s="109">
        <v>0.1</v>
      </c>
      <c r="F8" s="210">
        <v>1</v>
      </c>
      <c r="G8" s="228">
        <v>0.25</v>
      </c>
      <c r="H8" s="211">
        <f t="shared" si="0"/>
        <v>0.25</v>
      </c>
      <c r="I8" s="211">
        <f t="shared" si="1"/>
        <v>2.5000000000000001E-2</v>
      </c>
      <c r="J8" s="228">
        <v>0.25</v>
      </c>
      <c r="K8" s="211">
        <f t="shared" ref="K8:K13" si="5">+(J8/G8)</f>
        <v>1</v>
      </c>
      <c r="L8" s="211">
        <f t="shared" si="2"/>
        <v>0.1</v>
      </c>
      <c r="M8" s="211">
        <f t="shared" si="3"/>
        <v>0.25</v>
      </c>
      <c r="N8" s="211">
        <f>+M8*E8</f>
        <v>2.5000000000000001E-2</v>
      </c>
      <c r="O8" s="213" t="s">
        <v>1862</v>
      </c>
      <c r="P8" s="201"/>
      <c r="Q8" s="133"/>
      <c r="R8" s="133"/>
      <c r="S8" s="133"/>
      <c r="T8" s="133"/>
      <c r="U8" s="133"/>
    </row>
    <row r="9" spans="1:21" ht="131.44999999999999" customHeight="1" thickBot="1" x14ac:dyDescent="0.4">
      <c r="A9" s="135"/>
      <c r="B9" s="168" t="s">
        <v>1080</v>
      </c>
      <c r="C9" s="216" t="s">
        <v>1081</v>
      </c>
      <c r="D9" s="225" t="s">
        <v>1077</v>
      </c>
      <c r="E9" s="109">
        <v>0.1</v>
      </c>
      <c r="F9" s="210">
        <v>1</v>
      </c>
      <c r="G9" s="228">
        <v>0</v>
      </c>
      <c r="H9" s="211"/>
      <c r="I9" s="211"/>
      <c r="J9" s="228"/>
      <c r="K9" s="211"/>
      <c r="L9" s="211"/>
      <c r="M9" s="211"/>
      <c r="N9" s="211"/>
      <c r="O9" s="213" t="s">
        <v>1862</v>
      </c>
      <c r="P9" s="201"/>
      <c r="Q9" s="133"/>
      <c r="R9" s="133"/>
      <c r="S9" s="133"/>
      <c r="T9" s="133"/>
      <c r="U9" s="133"/>
    </row>
    <row r="10" spans="1:21" ht="99.6" customHeight="1" thickBot="1" x14ac:dyDescent="0.4">
      <c r="A10" s="135"/>
      <c r="B10" s="168" t="s">
        <v>1082</v>
      </c>
      <c r="C10" s="216" t="s">
        <v>1083</v>
      </c>
      <c r="D10" s="225" t="s">
        <v>1077</v>
      </c>
      <c r="E10" s="109">
        <v>0.1</v>
      </c>
      <c r="F10" s="210">
        <v>1</v>
      </c>
      <c r="G10" s="228">
        <v>0</v>
      </c>
      <c r="H10" s="211"/>
      <c r="I10" s="211"/>
      <c r="J10" s="228"/>
      <c r="K10" s="211"/>
      <c r="L10" s="211"/>
      <c r="M10" s="211"/>
      <c r="N10" s="211"/>
      <c r="O10" s="213" t="s">
        <v>1862</v>
      </c>
      <c r="P10" s="201"/>
      <c r="Q10" s="133"/>
      <c r="R10" s="133"/>
      <c r="S10" s="133"/>
      <c r="T10" s="133"/>
      <c r="U10" s="133"/>
    </row>
    <row r="11" spans="1:21" ht="81.599999999999994" customHeight="1" thickBot="1" x14ac:dyDescent="0.4">
      <c r="A11" s="135"/>
      <c r="B11" s="168" t="s">
        <v>1084</v>
      </c>
      <c r="C11" s="216" t="s">
        <v>1085</v>
      </c>
      <c r="D11" s="225" t="s">
        <v>1077</v>
      </c>
      <c r="E11" s="109">
        <v>0.12</v>
      </c>
      <c r="F11" s="210">
        <v>4</v>
      </c>
      <c r="G11" s="228">
        <v>1</v>
      </c>
      <c r="H11" s="211">
        <f t="shared" si="0"/>
        <v>0.25</v>
      </c>
      <c r="I11" s="211">
        <f t="shared" si="1"/>
        <v>0.03</v>
      </c>
      <c r="J11" s="228">
        <v>0</v>
      </c>
      <c r="K11" s="211">
        <f t="shared" si="5"/>
        <v>0</v>
      </c>
      <c r="L11" s="211">
        <f t="shared" si="2"/>
        <v>0</v>
      </c>
      <c r="M11" s="211">
        <f t="shared" si="3"/>
        <v>0</v>
      </c>
      <c r="N11" s="211">
        <f t="shared" si="4"/>
        <v>0</v>
      </c>
      <c r="O11" s="213" t="s">
        <v>1862</v>
      </c>
      <c r="P11" s="201"/>
      <c r="Q11" s="133"/>
      <c r="R11" s="133"/>
      <c r="S11" s="133"/>
      <c r="T11" s="133"/>
      <c r="U11" s="133"/>
    </row>
    <row r="12" spans="1:21" ht="93.6" customHeight="1" thickBot="1" x14ac:dyDescent="0.4">
      <c r="A12" s="135"/>
      <c r="B12" s="168" t="s">
        <v>1086</v>
      </c>
      <c r="C12" s="216" t="s">
        <v>1087</v>
      </c>
      <c r="D12" s="225" t="s">
        <v>1077</v>
      </c>
      <c r="E12" s="109">
        <v>0.12</v>
      </c>
      <c r="F12" s="210">
        <v>6</v>
      </c>
      <c r="G12" s="228">
        <v>0</v>
      </c>
      <c r="H12" s="211"/>
      <c r="I12" s="211"/>
      <c r="J12" s="228"/>
      <c r="K12" s="211"/>
      <c r="L12" s="211"/>
      <c r="M12" s="211"/>
      <c r="N12" s="211"/>
      <c r="O12" s="213" t="s">
        <v>1862</v>
      </c>
      <c r="P12" s="201"/>
      <c r="Q12" s="133"/>
      <c r="R12" s="133"/>
      <c r="S12" s="133"/>
      <c r="T12" s="133"/>
      <c r="U12" s="133"/>
    </row>
    <row r="13" spans="1:21" ht="139.15" customHeight="1" thickBot="1" x14ac:dyDescent="0.4">
      <c r="A13" s="135"/>
      <c r="B13" s="168" t="s">
        <v>1088</v>
      </c>
      <c r="C13" s="216" t="s">
        <v>1089</v>
      </c>
      <c r="D13" s="225" t="s">
        <v>1077</v>
      </c>
      <c r="E13" s="109">
        <v>0.06</v>
      </c>
      <c r="F13" s="210">
        <v>33</v>
      </c>
      <c r="G13" s="228">
        <v>6.6</v>
      </c>
      <c r="H13" s="211">
        <f t="shared" si="0"/>
        <v>0.19999999999999998</v>
      </c>
      <c r="I13" s="211">
        <f t="shared" si="1"/>
        <v>1.1999999999999999E-2</v>
      </c>
      <c r="J13" s="228">
        <v>6.6</v>
      </c>
      <c r="K13" s="211">
        <f t="shared" si="5"/>
        <v>1</v>
      </c>
      <c r="L13" s="211">
        <f t="shared" si="2"/>
        <v>0.06</v>
      </c>
      <c r="M13" s="211">
        <f t="shared" si="3"/>
        <v>0.19999999999999998</v>
      </c>
      <c r="N13" s="211">
        <f t="shared" si="4"/>
        <v>1.1999999999999999E-2</v>
      </c>
      <c r="O13" s="213" t="s">
        <v>1862</v>
      </c>
      <c r="P13" s="201"/>
      <c r="Q13" s="133"/>
      <c r="R13" s="133"/>
      <c r="S13" s="133"/>
      <c r="T13" s="133"/>
      <c r="U13" s="133"/>
    </row>
    <row r="14" spans="1:21" ht="84" customHeight="1" thickBot="1" x14ac:dyDescent="0.4">
      <c r="A14" s="135"/>
      <c r="B14" s="695" t="s">
        <v>1790</v>
      </c>
      <c r="C14" s="736"/>
      <c r="D14" s="225"/>
      <c r="E14" s="108">
        <v>0.4</v>
      </c>
      <c r="F14" s="210"/>
      <c r="G14" s="228"/>
      <c r="H14" s="207">
        <f>+AVERAGE(H15:H21)</f>
        <v>0.25</v>
      </c>
      <c r="I14" s="207">
        <f>+I15+I16+I17+I18+I19+I20+I21</f>
        <v>3.7500000000000006E-2</v>
      </c>
      <c r="J14" s="208"/>
      <c r="K14" s="209">
        <f>+AVERAGE(K15:K21)</f>
        <v>0</v>
      </c>
      <c r="L14" s="209">
        <f>+(L15+L16+L17+L18+L19+L20+L21)*E14</f>
        <v>0</v>
      </c>
      <c r="M14" s="207">
        <f>+AVERAGE(M15:M21)</f>
        <v>0</v>
      </c>
      <c r="N14" s="207">
        <f>+(N15+N16+N17+N18+N19+N20+N21)*E14</f>
        <v>0</v>
      </c>
      <c r="O14" s="160"/>
      <c r="P14" s="201"/>
      <c r="Q14" s="133"/>
      <c r="R14" s="133"/>
      <c r="S14" s="133"/>
      <c r="T14" s="133"/>
      <c r="U14" s="133"/>
    </row>
    <row r="15" spans="1:21" ht="116.45" customHeight="1" thickBot="1" x14ac:dyDescent="0.4">
      <c r="A15" s="135"/>
      <c r="B15" s="171" t="s">
        <v>1090</v>
      </c>
      <c r="C15" s="217" t="s">
        <v>1091</v>
      </c>
      <c r="D15" s="229" t="s">
        <v>166</v>
      </c>
      <c r="E15" s="218">
        <v>0.05</v>
      </c>
      <c r="F15" s="210">
        <v>4</v>
      </c>
      <c r="G15" s="228">
        <v>0</v>
      </c>
      <c r="H15" s="211"/>
      <c r="I15" s="211"/>
      <c r="J15" s="228"/>
      <c r="K15" s="211"/>
      <c r="L15" s="211"/>
      <c r="M15" s="211"/>
      <c r="N15" s="211"/>
      <c r="O15" s="197" t="s">
        <v>1876</v>
      </c>
      <c r="P15" s="201"/>
      <c r="Q15" s="133"/>
      <c r="R15" s="133"/>
      <c r="S15" s="133"/>
      <c r="T15" s="133"/>
      <c r="U15" s="133"/>
    </row>
    <row r="16" spans="1:21" ht="133.15" customHeight="1" thickBot="1" x14ac:dyDescent="0.4">
      <c r="A16" s="135"/>
      <c r="B16" s="171" t="s">
        <v>1092</v>
      </c>
      <c r="C16" s="217" t="s">
        <v>1093</v>
      </c>
      <c r="D16" s="229" t="s">
        <v>166</v>
      </c>
      <c r="E16" s="218">
        <v>0.05</v>
      </c>
      <c r="F16" s="210">
        <v>1</v>
      </c>
      <c r="G16" s="228">
        <v>0</v>
      </c>
      <c r="H16" s="211"/>
      <c r="I16" s="211"/>
      <c r="J16" s="228"/>
      <c r="K16" s="211"/>
      <c r="L16" s="211"/>
      <c r="M16" s="211"/>
      <c r="N16" s="211"/>
      <c r="O16" s="197" t="s">
        <v>1876</v>
      </c>
      <c r="P16" s="201"/>
      <c r="Q16" s="133"/>
      <c r="R16" s="133"/>
      <c r="S16" s="133"/>
      <c r="T16" s="133"/>
      <c r="U16" s="133"/>
    </row>
    <row r="17" spans="1:21" ht="74.25" customHeight="1" thickBot="1" x14ac:dyDescent="0.4">
      <c r="A17" s="135"/>
      <c r="B17" s="168" t="s">
        <v>1094</v>
      </c>
      <c r="C17" s="216" t="s">
        <v>1095</v>
      </c>
      <c r="D17" s="225" t="s">
        <v>624</v>
      </c>
      <c r="E17" s="109">
        <v>0.05</v>
      </c>
      <c r="F17" s="210">
        <v>4</v>
      </c>
      <c r="G17" s="228">
        <v>1</v>
      </c>
      <c r="H17" s="211">
        <f>+G17/F17</f>
        <v>0.25</v>
      </c>
      <c r="I17" s="211">
        <f>+(G17/F17)*E17</f>
        <v>1.2500000000000001E-2</v>
      </c>
      <c r="J17" s="228">
        <v>0</v>
      </c>
      <c r="K17" s="211">
        <f>+(J17/G17)</f>
        <v>0</v>
      </c>
      <c r="L17" s="211">
        <f>+K17*E17</f>
        <v>0</v>
      </c>
      <c r="M17" s="211">
        <f>+J17/F17</f>
        <v>0</v>
      </c>
      <c r="N17" s="211">
        <f>+M17*E17</f>
        <v>0</v>
      </c>
      <c r="O17" s="213" t="s">
        <v>1862</v>
      </c>
      <c r="P17" s="201"/>
      <c r="Q17" s="133"/>
      <c r="R17" s="133"/>
      <c r="S17" s="133"/>
      <c r="T17" s="133"/>
      <c r="U17" s="133"/>
    </row>
    <row r="18" spans="1:21" ht="86.25" customHeight="1" thickBot="1" x14ac:dyDescent="0.4">
      <c r="A18" s="135"/>
      <c r="B18" s="168" t="s">
        <v>1096</v>
      </c>
      <c r="C18" s="216" t="s">
        <v>1097</v>
      </c>
      <c r="D18" s="225" t="s">
        <v>624</v>
      </c>
      <c r="E18" s="109">
        <v>0.1</v>
      </c>
      <c r="F18" s="210">
        <v>4</v>
      </c>
      <c r="G18" s="228">
        <v>1</v>
      </c>
      <c r="H18" s="211">
        <f>+G18/F18</f>
        <v>0.25</v>
      </c>
      <c r="I18" s="211">
        <f>+(G18/F18)*E18</f>
        <v>2.5000000000000001E-2</v>
      </c>
      <c r="J18" s="228">
        <v>0</v>
      </c>
      <c r="K18" s="211">
        <f>+(J18/G18)</f>
        <v>0</v>
      </c>
      <c r="L18" s="211">
        <f>+K18*E18</f>
        <v>0</v>
      </c>
      <c r="M18" s="211">
        <f>+J18/F18</f>
        <v>0</v>
      </c>
      <c r="N18" s="211">
        <f>+M18*E18</f>
        <v>0</v>
      </c>
      <c r="O18" s="213" t="s">
        <v>1862</v>
      </c>
      <c r="P18" s="201"/>
      <c r="Q18" s="133"/>
      <c r="R18" s="133"/>
      <c r="S18" s="133"/>
      <c r="T18" s="133"/>
      <c r="U18" s="133"/>
    </row>
    <row r="19" spans="1:21" ht="122.45" customHeight="1" thickBot="1" x14ac:dyDescent="0.4">
      <c r="A19" s="135"/>
      <c r="B19" s="168" t="s">
        <v>1098</v>
      </c>
      <c r="C19" s="216" t="s">
        <v>1099</v>
      </c>
      <c r="D19" s="225" t="s">
        <v>711</v>
      </c>
      <c r="E19" s="109">
        <v>0.05</v>
      </c>
      <c r="F19" s="210">
        <v>1</v>
      </c>
      <c r="G19" s="228">
        <v>0</v>
      </c>
      <c r="H19" s="211"/>
      <c r="I19" s="211"/>
      <c r="J19" s="228"/>
      <c r="K19" s="211"/>
      <c r="L19" s="211"/>
      <c r="M19" s="211"/>
      <c r="N19" s="211"/>
      <c r="O19" s="213" t="s">
        <v>1862</v>
      </c>
      <c r="P19" s="201"/>
      <c r="Q19" s="133"/>
      <c r="R19" s="133"/>
      <c r="S19" s="133"/>
      <c r="T19" s="133"/>
      <c r="U19" s="133"/>
    </row>
    <row r="20" spans="1:21" ht="89.45" customHeight="1" thickBot="1" x14ac:dyDescent="0.4">
      <c r="A20" s="135"/>
      <c r="B20" s="168" t="s">
        <v>1100</v>
      </c>
      <c r="C20" s="216" t="s">
        <v>1101</v>
      </c>
      <c r="D20" s="225" t="s">
        <v>711</v>
      </c>
      <c r="E20" s="109">
        <v>0.3</v>
      </c>
      <c r="F20" s="210">
        <v>396</v>
      </c>
      <c r="G20" s="228">
        <v>0</v>
      </c>
      <c r="H20" s="211"/>
      <c r="I20" s="211"/>
      <c r="J20" s="228"/>
      <c r="K20" s="211"/>
      <c r="L20" s="211"/>
      <c r="M20" s="211"/>
      <c r="N20" s="211"/>
      <c r="O20" s="213" t="s">
        <v>1862</v>
      </c>
      <c r="P20" s="201"/>
      <c r="Q20" s="133"/>
      <c r="R20" s="133"/>
      <c r="S20" s="133"/>
      <c r="T20" s="133"/>
      <c r="U20" s="133"/>
    </row>
    <row r="21" spans="1:21" ht="82.5" customHeight="1" thickBot="1" x14ac:dyDescent="0.4">
      <c r="A21" s="135"/>
      <c r="B21" s="161" t="s">
        <v>1102</v>
      </c>
      <c r="C21" s="230" t="s">
        <v>1103</v>
      </c>
      <c r="D21" s="225" t="s">
        <v>555</v>
      </c>
      <c r="E21" s="109">
        <v>0.4</v>
      </c>
      <c r="F21" s="210">
        <v>450</v>
      </c>
      <c r="G21" s="228">
        <v>0</v>
      </c>
      <c r="H21" s="211"/>
      <c r="I21" s="211"/>
      <c r="J21" s="228"/>
      <c r="K21" s="211"/>
      <c r="L21" s="211"/>
      <c r="M21" s="211"/>
      <c r="N21" s="211"/>
      <c r="O21" s="191" t="s">
        <v>1588</v>
      </c>
      <c r="P21" s="201"/>
      <c r="Q21" s="133"/>
      <c r="R21" s="133"/>
      <c r="S21" s="133"/>
      <c r="T21" s="133"/>
      <c r="U21" s="133"/>
    </row>
    <row r="22" spans="1:21" ht="75" customHeight="1" thickBot="1" x14ac:dyDescent="0.4">
      <c r="A22" s="135"/>
      <c r="B22" s="695" t="s">
        <v>1791</v>
      </c>
      <c r="C22" s="736"/>
      <c r="D22" s="225"/>
      <c r="E22" s="108">
        <v>0.2</v>
      </c>
      <c r="F22" s="210"/>
      <c r="G22" s="228"/>
      <c r="H22" s="207">
        <f>+AVERAGE(H23:H29)</f>
        <v>0.4</v>
      </c>
      <c r="I22" s="207">
        <f>+I23+I24+I25+I26+I27+I28+I29</f>
        <v>4.0000000000000008E-2</v>
      </c>
      <c r="J22" s="208"/>
      <c r="K22" s="209">
        <f>+AVERAGE(K23:K29)</f>
        <v>1</v>
      </c>
      <c r="L22" s="209">
        <f>+(L23+L24+L25+L26+L27+L28+L29)*E22</f>
        <v>2.0000000000000004E-2</v>
      </c>
      <c r="M22" s="207">
        <f>+AVERAGE(M23:M29)*(1/7)</f>
        <v>5.7142857142857141E-2</v>
      </c>
      <c r="N22" s="207">
        <f>+(N23+N24+N25+N26+N27+N28+N29)*E22</f>
        <v>8.0000000000000019E-3</v>
      </c>
      <c r="O22" s="160"/>
      <c r="P22" s="201"/>
      <c r="Q22" s="133"/>
      <c r="R22" s="133"/>
      <c r="S22" s="133"/>
      <c r="T22" s="133"/>
      <c r="U22" s="133"/>
    </row>
    <row r="23" spans="1:21" ht="139.9" customHeight="1" thickBot="1" x14ac:dyDescent="0.4">
      <c r="A23" s="135"/>
      <c r="B23" s="161" t="s">
        <v>1104</v>
      </c>
      <c r="C23" s="230" t="s">
        <v>1105</v>
      </c>
      <c r="D23" s="225" t="s">
        <v>564</v>
      </c>
      <c r="E23" s="109">
        <v>0.1</v>
      </c>
      <c r="F23" s="210">
        <v>5</v>
      </c>
      <c r="G23" s="228">
        <v>2</v>
      </c>
      <c r="H23" s="211">
        <f>+G23/F23</f>
        <v>0.4</v>
      </c>
      <c r="I23" s="211">
        <f>+(G23/F23)*E23</f>
        <v>4.0000000000000008E-2</v>
      </c>
      <c r="J23" s="228">
        <v>2</v>
      </c>
      <c r="K23" s="211">
        <f>+(J23/G23)</f>
        <v>1</v>
      </c>
      <c r="L23" s="211">
        <f>+K23*E23</f>
        <v>0.1</v>
      </c>
      <c r="M23" s="211">
        <f>+J23/F23</f>
        <v>0.4</v>
      </c>
      <c r="N23" s="211">
        <f>+M23*E23</f>
        <v>4.0000000000000008E-2</v>
      </c>
      <c r="O23" s="213" t="s">
        <v>1862</v>
      </c>
      <c r="P23" s="201"/>
      <c r="Q23" s="133"/>
      <c r="R23" s="133"/>
      <c r="S23" s="133"/>
      <c r="T23" s="133"/>
      <c r="U23" s="133"/>
    </row>
    <row r="24" spans="1:21" ht="139.9" customHeight="1" thickBot="1" x14ac:dyDescent="0.4">
      <c r="A24" s="135"/>
      <c r="B24" s="161" t="s">
        <v>1106</v>
      </c>
      <c r="C24" s="230" t="s">
        <v>1107</v>
      </c>
      <c r="D24" s="225" t="s">
        <v>795</v>
      </c>
      <c r="E24" s="109">
        <v>0.15</v>
      </c>
      <c r="F24" s="210">
        <v>1</v>
      </c>
      <c r="G24" s="228">
        <v>0</v>
      </c>
      <c r="H24" s="211"/>
      <c r="I24" s="211"/>
      <c r="J24" s="228"/>
      <c r="K24" s="211"/>
      <c r="L24" s="211"/>
      <c r="M24" s="211"/>
      <c r="N24" s="211"/>
      <c r="O24" s="191" t="s">
        <v>1582</v>
      </c>
      <c r="P24" s="201"/>
      <c r="Q24" s="133"/>
      <c r="R24" s="133"/>
      <c r="S24" s="133"/>
      <c r="T24" s="133"/>
      <c r="U24" s="133"/>
    </row>
    <row r="25" spans="1:21" ht="139.9" customHeight="1" thickBot="1" x14ac:dyDescent="0.4">
      <c r="A25" s="135"/>
      <c r="B25" s="168" t="s">
        <v>1108</v>
      </c>
      <c r="C25" s="216" t="s">
        <v>1109</v>
      </c>
      <c r="D25" s="225" t="s">
        <v>569</v>
      </c>
      <c r="E25" s="109">
        <v>0.2</v>
      </c>
      <c r="F25" s="210">
        <v>1</v>
      </c>
      <c r="G25" s="228">
        <v>0</v>
      </c>
      <c r="H25" s="211"/>
      <c r="I25" s="211"/>
      <c r="J25" s="228"/>
      <c r="K25" s="211"/>
      <c r="L25" s="211"/>
      <c r="M25" s="211"/>
      <c r="N25" s="211"/>
      <c r="O25" s="213" t="s">
        <v>1862</v>
      </c>
      <c r="P25" s="201"/>
      <c r="Q25" s="133"/>
      <c r="R25" s="133"/>
      <c r="S25" s="133"/>
      <c r="T25" s="133"/>
      <c r="U25" s="133"/>
    </row>
    <row r="26" spans="1:21" ht="139.9" customHeight="1" thickBot="1" x14ac:dyDescent="0.4">
      <c r="A26" s="135"/>
      <c r="B26" s="168" t="s">
        <v>1110</v>
      </c>
      <c r="C26" s="216" t="s">
        <v>1111</v>
      </c>
      <c r="D26" s="225" t="s">
        <v>912</v>
      </c>
      <c r="E26" s="109">
        <v>0.1</v>
      </c>
      <c r="F26" s="210">
        <v>1</v>
      </c>
      <c r="G26" s="228">
        <v>0</v>
      </c>
      <c r="H26" s="211"/>
      <c r="I26" s="211"/>
      <c r="J26" s="228"/>
      <c r="K26" s="211"/>
      <c r="L26" s="211"/>
      <c r="M26" s="211"/>
      <c r="N26" s="211"/>
      <c r="O26" s="191" t="s">
        <v>1589</v>
      </c>
      <c r="P26" s="201"/>
      <c r="Q26" s="133"/>
      <c r="R26" s="133"/>
      <c r="S26" s="133"/>
      <c r="T26" s="133"/>
      <c r="U26" s="133"/>
    </row>
    <row r="27" spans="1:21" ht="139.9" customHeight="1" thickBot="1" x14ac:dyDescent="0.4">
      <c r="A27" s="135"/>
      <c r="B27" s="168" t="s">
        <v>1112</v>
      </c>
      <c r="C27" s="216" t="s">
        <v>1113</v>
      </c>
      <c r="D27" s="231" t="s">
        <v>1114</v>
      </c>
      <c r="E27" s="109">
        <v>0.2</v>
      </c>
      <c r="F27" s="210">
        <v>1</v>
      </c>
      <c r="G27" s="228">
        <v>0</v>
      </c>
      <c r="H27" s="211"/>
      <c r="I27" s="211"/>
      <c r="J27" s="228"/>
      <c r="K27" s="211"/>
      <c r="L27" s="211"/>
      <c r="M27" s="211"/>
      <c r="N27" s="211"/>
      <c r="O27" s="191" t="s">
        <v>1590</v>
      </c>
      <c r="P27" s="201"/>
      <c r="Q27" s="133"/>
      <c r="R27" s="133"/>
      <c r="S27" s="133"/>
      <c r="T27" s="133"/>
      <c r="U27" s="133"/>
    </row>
    <row r="28" spans="1:21" ht="139.9" customHeight="1" thickBot="1" x14ac:dyDescent="0.4">
      <c r="A28" s="135"/>
      <c r="B28" s="161" t="s">
        <v>1115</v>
      </c>
      <c r="C28" s="230" t="s">
        <v>1116</v>
      </c>
      <c r="D28" s="232" t="s">
        <v>1117</v>
      </c>
      <c r="E28" s="109">
        <v>0.2</v>
      </c>
      <c r="F28" s="210">
        <v>1</v>
      </c>
      <c r="G28" s="228">
        <v>0</v>
      </c>
      <c r="H28" s="211"/>
      <c r="I28" s="211"/>
      <c r="J28" s="228"/>
      <c r="K28" s="211"/>
      <c r="L28" s="211"/>
      <c r="M28" s="211"/>
      <c r="N28" s="211"/>
      <c r="O28" s="191" t="s">
        <v>1587</v>
      </c>
      <c r="P28" s="201"/>
      <c r="Q28" s="133"/>
      <c r="R28" s="133"/>
      <c r="S28" s="133"/>
      <c r="T28" s="133"/>
      <c r="U28" s="133"/>
    </row>
    <row r="29" spans="1:21" ht="139.9" customHeight="1" thickBot="1" x14ac:dyDescent="0.4">
      <c r="A29" s="135"/>
      <c r="B29" s="161" t="s">
        <v>1118</v>
      </c>
      <c r="C29" s="230" t="s">
        <v>1119</v>
      </c>
      <c r="D29" s="233" t="s">
        <v>564</v>
      </c>
      <c r="E29" s="109">
        <v>0.05</v>
      </c>
      <c r="F29" s="210">
        <v>16</v>
      </c>
      <c r="G29" s="228">
        <v>0</v>
      </c>
      <c r="H29" s="211"/>
      <c r="I29" s="211"/>
      <c r="J29" s="228"/>
      <c r="K29" s="211"/>
      <c r="L29" s="211"/>
      <c r="M29" s="211"/>
      <c r="N29" s="211"/>
      <c r="O29" s="213" t="s">
        <v>1862</v>
      </c>
      <c r="P29" s="201"/>
      <c r="Q29" s="133"/>
      <c r="R29" s="133"/>
      <c r="S29" s="133"/>
      <c r="T29" s="133"/>
      <c r="U29" s="133"/>
    </row>
    <row r="30" spans="1:21" ht="71.25" customHeight="1" thickBot="1" x14ac:dyDescent="0.4">
      <c r="A30" s="135"/>
      <c r="B30" s="738" t="s">
        <v>1845</v>
      </c>
      <c r="C30" s="736"/>
      <c r="D30" s="225"/>
      <c r="E30" s="203">
        <v>0.25</v>
      </c>
      <c r="F30" s="227">
        <f>+E30*L30</f>
        <v>1.2824999999999998E-2</v>
      </c>
      <c r="G30" s="202"/>
      <c r="H30" s="204">
        <f>+(H31+H40+H47)/3</f>
        <v>0.22685185185185186</v>
      </c>
      <c r="I30" s="205">
        <f>+(I31+I40+I47)/3</f>
        <v>8.3611111111111122E-2</v>
      </c>
      <c r="J30" s="202"/>
      <c r="K30" s="204">
        <f>+(K31+K40+K47)/3</f>
        <v>0.22222222222222221</v>
      </c>
      <c r="L30" s="205">
        <f>+L31+L40+L47</f>
        <v>5.1299999999999991E-2</v>
      </c>
      <c r="M30" s="204">
        <f>(M31+M40+M47)/3</f>
        <v>4.6296296296296287E-2</v>
      </c>
      <c r="N30" s="205">
        <f>(N31+N40+N47)</f>
        <v>9.6249999999999999E-3</v>
      </c>
      <c r="O30" s="194"/>
      <c r="P30" s="201"/>
      <c r="Q30" s="133"/>
      <c r="R30" s="133"/>
      <c r="S30" s="133"/>
      <c r="T30" s="133"/>
      <c r="U30" s="133"/>
    </row>
    <row r="31" spans="1:21" ht="43.15" customHeight="1" thickBot="1" x14ac:dyDescent="0.4">
      <c r="A31" s="135"/>
      <c r="B31" s="695" t="s">
        <v>1846</v>
      </c>
      <c r="C31" s="736"/>
      <c r="D31" s="225"/>
      <c r="E31" s="108">
        <v>0.3</v>
      </c>
      <c r="F31" s="210"/>
      <c r="G31" s="202"/>
      <c r="H31" s="207">
        <f>+AVERAGE(H32:H39)</f>
        <v>0.30555555555555552</v>
      </c>
      <c r="I31" s="207">
        <f>+I32+I33+I34+I35+I36+I37+I38+I39</f>
        <v>0.18208333333333335</v>
      </c>
      <c r="J31" s="208"/>
      <c r="K31" s="209">
        <f>+AVERAGE(K32:K39)</f>
        <v>0.66666666666666663</v>
      </c>
      <c r="L31" s="209">
        <f>+(L32+L33+L34+L35+L36+L37+L38+L39)*E31</f>
        <v>5.1299999999999991E-2</v>
      </c>
      <c r="M31" s="207">
        <f>+AVERAGE(M32:M39)</f>
        <v>0.13888888888888887</v>
      </c>
      <c r="N31" s="207">
        <f>+(N32+N33+N34+N35+N36+N37+N38+N39)*E31</f>
        <v>9.6249999999999999E-3</v>
      </c>
      <c r="O31" s="160"/>
      <c r="P31" s="201"/>
      <c r="Q31" s="133"/>
      <c r="R31" s="133"/>
      <c r="S31" s="133"/>
      <c r="T31" s="133"/>
      <c r="U31" s="133"/>
    </row>
    <row r="32" spans="1:21" ht="133.9" customHeight="1" thickBot="1" x14ac:dyDescent="0.4">
      <c r="A32" s="135"/>
      <c r="B32" s="168" t="s">
        <v>1120</v>
      </c>
      <c r="C32" s="216" t="s">
        <v>1121</v>
      </c>
      <c r="D32" s="234" t="s">
        <v>16</v>
      </c>
      <c r="E32" s="109">
        <v>0.15</v>
      </c>
      <c r="F32" s="210">
        <v>5</v>
      </c>
      <c r="G32" s="228">
        <v>0</v>
      </c>
      <c r="H32" s="211"/>
      <c r="I32" s="211"/>
      <c r="J32" s="228"/>
      <c r="K32" s="211"/>
      <c r="L32" s="211"/>
      <c r="M32" s="211"/>
      <c r="N32" s="211"/>
      <c r="O32" s="213" t="s">
        <v>1862</v>
      </c>
      <c r="P32" s="201"/>
      <c r="Q32" s="133"/>
      <c r="R32" s="133"/>
      <c r="S32" s="133"/>
      <c r="T32" s="133"/>
      <c r="U32" s="133"/>
    </row>
    <row r="33" spans="1:21" ht="72" customHeight="1" thickBot="1" x14ac:dyDescent="0.4">
      <c r="A33" s="135"/>
      <c r="B33" s="168" t="s">
        <v>1122</v>
      </c>
      <c r="C33" s="216" t="s">
        <v>1123</v>
      </c>
      <c r="D33" s="234" t="s">
        <v>16</v>
      </c>
      <c r="E33" s="109">
        <v>0.3</v>
      </c>
      <c r="F33" s="210">
        <v>1</v>
      </c>
      <c r="G33" s="228">
        <v>0.5</v>
      </c>
      <c r="H33" s="211">
        <f t="shared" ref="H33:H39" si="6">+G33/F33</f>
        <v>0.5</v>
      </c>
      <c r="I33" s="211">
        <f t="shared" ref="I33:I39" si="7">+(G33/F33)*E33</f>
        <v>0.15</v>
      </c>
      <c r="J33" s="228">
        <v>0</v>
      </c>
      <c r="K33" s="211">
        <f t="shared" ref="K33:K39" si="8">+(J33/G33)</f>
        <v>0</v>
      </c>
      <c r="L33" s="211">
        <f t="shared" ref="L33:L39" si="9">+K33*E33</f>
        <v>0</v>
      </c>
      <c r="M33" s="211">
        <f t="shared" ref="M33:M39" si="10">+J33/F33</f>
        <v>0</v>
      </c>
      <c r="N33" s="211">
        <f t="shared" ref="N33:N39" si="11">+M33*E33</f>
        <v>0</v>
      </c>
      <c r="O33" s="213" t="s">
        <v>1862</v>
      </c>
      <c r="P33" s="201"/>
      <c r="Q33" s="133"/>
      <c r="R33" s="133"/>
      <c r="S33" s="133"/>
      <c r="T33" s="133"/>
      <c r="U33" s="133"/>
    </row>
    <row r="34" spans="1:21" ht="88.9" customHeight="1" thickBot="1" x14ac:dyDescent="0.4">
      <c r="A34" s="135"/>
      <c r="B34" s="168" t="s">
        <v>1124</v>
      </c>
      <c r="C34" s="216" t="s">
        <v>1125</v>
      </c>
      <c r="D34" s="225" t="s">
        <v>555</v>
      </c>
      <c r="E34" s="109">
        <v>0.15</v>
      </c>
      <c r="F34" s="210">
        <v>450</v>
      </c>
      <c r="G34" s="228">
        <v>0</v>
      </c>
      <c r="H34" s="211"/>
      <c r="I34" s="211"/>
      <c r="J34" s="228"/>
      <c r="K34" s="211"/>
      <c r="L34" s="211"/>
      <c r="M34" s="211"/>
      <c r="N34" s="211"/>
      <c r="O34" s="191" t="s">
        <v>1591</v>
      </c>
      <c r="P34" s="201"/>
      <c r="Q34" s="133"/>
      <c r="R34" s="133"/>
      <c r="S34" s="133"/>
      <c r="T34" s="133"/>
      <c r="U34" s="133"/>
    </row>
    <row r="35" spans="1:21" ht="81" customHeight="1" thickBot="1" x14ac:dyDescent="0.4">
      <c r="A35" s="135"/>
      <c r="B35" s="168" t="s">
        <v>1126</v>
      </c>
      <c r="C35" s="216" t="s">
        <v>1127</v>
      </c>
      <c r="D35" s="234" t="s">
        <v>16</v>
      </c>
      <c r="E35" s="109">
        <v>0.128</v>
      </c>
      <c r="F35" s="210">
        <v>6</v>
      </c>
      <c r="G35" s="228">
        <v>1</v>
      </c>
      <c r="H35" s="211">
        <f t="shared" si="6"/>
        <v>0.16666666666666666</v>
      </c>
      <c r="I35" s="211">
        <f t="shared" si="7"/>
        <v>2.1333333333333333E-2</v>
      </c>
      <c r="J35" s="228">
        <v>1</v>
      </c>
      <c r="K35" s="211">
        <f t="shared" si="8"/>
        <v>1</v>
      </c>
      <c r="L35" s="211">
        <f t="shared" si="9"/>
        <v>0.128</v>
      </c>
      <c r="M35" s="211">
        <f t="shared" si="10"/>
        <v>0.16666666666666666</v>
      </c>
      <c r="N35" s="211">
        <f t="shared" si="11"/>
        <v>2.1333333333333333E-2</v>
      </c>
      <c r="O35" s="213" t="s">
        <v>1862</v>
      </c>
      <c r="P35" s="201"/>
      <c r="Q35" s="133"/>
      <c r="R35" s="133"/>
      <c r="S35" s="133"/>
      <c r="T35" s="133"/>
      <c r="U35" s="133"/>
    </row>
    <row r="36" spans="1:21" ht="107.45" customHeight="1" thickBot="1" x14ac:dyDescent="0.4">
      <c r="A36" s="135"/>
      <c r="B36" s="168" t="s">
        <v>1128</v>
      </c>
      <c r="C36" s="216" t="s">
        <v>1129</v>
      </c>
      <c r="D36" s="234" t="s">
        <v>16</v>
      </c>
      <c r="E36" s="109">
        <v>8.500000000000002E-2</v>
      </c>
      <c r="F36" s="210">
        <v>5</v>
      </c>
      <c r="G36" s="228">
        <v>0</v>
      </c>
      <c r="H36" s="211"/>
      <c r="I36" s="211"/>
      <c r="J36" s="228"/>
      <c r="K36" s="211"/>
      <c r="L36" s="211"/>
      <c r="M36" s="211"/>
      <c r="N36" s="211"/>
      <c r="O36" s="213" t="s">
        <v>1862</v>
      </c>
      <c r="P36" s="201"/>
      <c r="Q36" s="133"/>
      <c r="R36" s="133"/>
      <c r="S36" s="133"/>
      <c r="T36" s="133"/>
      <c r="U36" s="133"/>
    </row>
    <row r="37" spans="1:21" ht="123.6" customHeight="1" thickBot="1" x14ac:dyDescent="0.4">
      <c r="A37" s="135"/>
      <c r="B37" s="168" t="s">
        <v>1130</v>
      </c>
      <c r="C37" s="216" t="s">
        <v>1131</v>
      </c>
      <c r="D37" s="234" t="s">
        <v>16</v>
      </c>
      <c r="E37" s="109">
        <v>0.1</v>
      </c>
      <c r="F37" s="210">
        <v>6</v>
      </c>
      <c r="G37" s="228">
        <v>0</v>
      </c>
      <c r="H37" s="211"/>
      <c r="I37" s="211"/>
      <c r="J37" s="228"/>
      <c r="K37" s="211"/>
      <c r="L37" s="211"/>
      <c r="M37" s="211"/>
      <c r="N37" s="211"/>
      <c r="O37" s="213" t="s">
        <v>1862</v>
      </c>
      <c r="P37" s="201"/>
      <c r="Q37" s="133"/>
      <c r="R37" s="133"/>
      <c r="S37" s="133"/>
      <c r="T37" s="133"/>
      <c r="U37" s="133"/>
    </row>
    <row r="38" spans="1:21" ht="118.9" customHeight="1" thickBot="1" x14ac:dyDescent="0.4">
      <c r="A38" s="135"/>
      <c r="B38" s="168" t="s">
        <v>1132</v>
      </c>
      <c r="C38" s="216" t="s">
        <v>1133</v>
      </c>
      <c r="D38" s="234" t="s">
        <v>16</v>
      </c>
      <c r="E38" s="109">
        <v>4.250000000000001E-2</v>
      </c>
      <c r="F38" s="210">
        <v>1</v>
      </c>
      <c r="G38" s="228">
        <v>0</v>
      </c>
      <c r="H38" s="211"/>
      <c r="I38" s="211"/>
      <c r="J38" s="228"/>
      <c r="K38" s="211"/>
      <c r="L38" s="211"/>
      <c r="M38" s="211"/>
      <c r="N38" s="211"/>
      <c r="O38" s="213" t="s">
        <v>1862</v>
      </c>
      <c r="P38" s="201"/>
      <c r="Q38" s="133"/>
      <c r="R38" s="133"/>
      <c r="S38" s="133"/>
      <c r="T38" s="133"/>
      <c r="U38" s="133"/>
    </row>
    <row r="39" spans="1:21" ht="120.6" customHeight="1" thickBot="1" x14ac:dyDescent="0.4">
      <c r="A39" s="135"/>
      <c r="B39" s="168" t="s">
        <v>1134</v>
      </c>
      <c r="C39" s="216" t="s">
        <v>1135</v>
      </c>
      <c r="D39" s="234" t="s">
        <v>16</v>
      </c>
      <c r="E39" s="109">
        <v>4.2999999999999997E-2</v>
      </c>
      <c r="F39" s="210">
        <v>6</v>
      </c>
      <c r="G39" s="228">
        <v>1.5</v>
      </c>
      <c r="H39" s="211">
        <f t="shared" si="6"/>
        <v>0.25</v>
      </c>
      <c r="I39" s="211">
        <f t="shared" si="7"/>
        <v>1.0749999999999999E-2</v>
      </c>
      <c r="J39" s="228">
        <v>1.5</v>
      </c>
      <c r="K39" s="211">
        <f t="shared" si="8"/>
        <v>1</v>
      </c>
      <c r="L39" s="211">
        <f t="shared" si="9"/>
        <v>4.2999999999999997E-2</v>
      </c>
      <c r="M39" s="211">
        <f t="shared" si="10"/>
        <v>0.25</v>
      </c>
      <c r="N39" s="211">
        <f t="shared" si="11"/>
        <v>1.0749999999999999E-2</v>
      </c>
      <c r="O39" s="213" t="s">
        <v>1862</v>
      </c>
      <c r="P39" s="201"/>
      <c r="Q39" s="133"/>
      <c r="R39" s="133"/>
      <c r="S39" s="133"/>
      <c r="T39" s="133"/>
      <c r="U39" s="133"/>
    </row>
    <row r="40" spans="1:21" ht="57" customHeight="1" thickBot="1" x14ac:dyDescent="0.4">
      <c r="A40" s="135"/>
      <c r="B40" s="695" t="s">
        <v>1847</v>
      </c>
      <c r="C40" s="736"/>
      <c r="D40" s="225"/>
      <c r="E40" s="108">
        <v>0.3</v>
      </c>
      <c r="F40" s="210"/>
      <c r="G40" s="228"/>
      <c r="H40" s="207">
        <f>+AVERAGE(H41:H46)</f>
        <v>0.25</v>
      </c>
      <c r="I40" s="207">
        <f>+I41+I42+I43+I44+I45+I46</f>
        <v>3.7499999999999999E-2</v>
      </c>
      <c r="J40" s="208"/>
      <c r="K40" s="209">
        <f>+AVERAGE(K41:K46)</f>
        <v>0</v>
      </c>
      <c r="L40" s="209">
        <f>+(L41+L42+L43+L44+L45+L46)*E40</f>
        <v>0</v>
      </c>
      <c r="M40" s="207">
        <f>+AVERAGE(M41:M46)</f>
        <v>0</v>
      </c>
      <c r="N40" s="207">
        <f>+(N41+N42+N43+N44+N45+N46)*E40</f>
        <v>0</v>
      </c>
      <c r="O40" s="160"/>
      <c r="P40" s="201"/>
      <c r="Q40" s="133"/>
      <c r="R40" s="133"/>
      <c r="S40" s="133"/>
      <c r="T40" s="133"/>
      <c r="U40" s="133"/>
    </row>
    <row r="41" spans="1:21" ht="93" customHeight="1" thickBot="1" x14ac:dyDescent="0.4">
      <c r="A41" s="135"/>
      <c r="B41" s="171" t="s">
        <v>1136</v>
      </c>
      <c r="C41" s="217" t="s">
        <v>1137</v>
      </c>
      <c r="D41" s="225" t="s">
        <v>166</v>
      </c>
      <c r="E41" s="109">
        <v>0.1</v>
      </c>
      <c r="F41" s="210">
        <v>6</v>
      </c>
      <c r="G41" s="228">
        <v>0</v>
      </c>
      <c r="H41" s="211"/>
      <c r="I41" s="211"/>
      <c r="J41" s="228"/>
      <c r="K41" s="211"/>
      <c r="L41" s="211"/>
      <c r="M41" s="211"/>
      <c r="N41" s="211"/>
      <c r="O41" s="191" t="s">
        <v>1566</v>
      </c>
      <c r="P41" s="201"/>
      <c r="Q41" s="133"/>
      <c r="R41" s="133"/>
      <c r="S41" s="133"/>
      <c r="T41" s="133"/>
      <c r="U41" s="133"/>
    </row>
    <row r="42" spans="1:21" ht="93" customHeight="1" thickBot="1" x14ac:dyDescent="0.4">
      <c r="A42" s="135"/>
      <c r="B42" s="171" t="s">
        <v>1138</v>
      </c>
      <c r="C42" s="217" t="s">
        <v>1139</v>
      </c>
      <c r="D42" s="225" t="s">
        <v>166</v>
      </c>
      <c r="E42" s="109">
        <v>0.1</v>
      </c>
      <c r="F42" s="210">
        <v>4</v>
      </c>
      <c r="G42" s="228">
        <v>0</v>
      </c>
      <c r="H42" s="211"/>
      <c r="I42" s="211"/>
      <c r="J42" s="228"/>
      <c r="K42" s="211"/>
      <c r="L42" s="211"/>
      <c r="M42" s="211"/>
      <c r="N42" s="211"/>
      <c r="O42" s="191" t="s">
        <v>1572</v>
      </c>
      <c r="P42" s="201"/>
      <c r="Q42" s="133"/>
      <c r="R42" s="133"/>
      <c r="S42" s="133"/>
      <c r="T42" s="133"/>
      <c r="U42" s="133"/>
    </row>
    <row r="43" spans="1:21" ht="93" customHeight="1" thickBot="1" x14ac:dyDescent="0.4">
      <c r="A43" s="135"/>
      <c r="B43" s="168" t="s">
        <v>1140</v>
      </c>
      <c r="C43" s="216" t="s">
        <v>1141</v>
      </c>
      <c r="D43" s="225" t="s">
        <v>62</v>
      </c>
      <c r="E43" s="109">
        <v>0.35</v>
      </c>
      <c r="F43" s="210">
        <v>500</v>
      </c>
      <c r="G43" s="228">
        <v>0</v>
      </c>
      <c r="H43" s="211"/>
      <c r="I43" s="211"/>
      <c r="J43" s="228"/>
      <c r="K43" s="211"/>
      <c r="L43" s="211"/>
      <c r="M43" s="211"/>
      <c r="N43" s="211"/>
      <c r="O43" s="213" t="s">
        <v>1862</v>
      </c>
      <c r="P43" s="201"/>
      <c r="Q43" s="133"/>
      <c r="R43" s="133"/>
      <c r="S43" s="133"/>
      <c r="T43" s="133"/>
      <c r="U43" s="133"/>
    </row>
    <row r="44" spans="1:21" ht="93" customHeight="1" thickBot="1" x14ac:dyDescent="0.4">
      <c r="A44" s="135"/>
      <c r="B44" s="168" t="s">
        <v>1142</v>
      </c>
      <c r="C44" s="216" t="s">
        <v>1143</v>
      </c>
      <c r="D44" s="225" t="s">
        <v>624</v>
      </c>
      <c r="E44" s="109">
        <v>0.15</v>
      </c>
      <c r="F44" s="210">
        <v>4</v>
      </c>
      <c r="G44" s="228">
        <v>1</v>
      </c>
      <c r="H44" s="211">
        <f>+G44/F44</f>
        <v>0.25</v>
      </c>
      <c r="I44" s="211">
        <f>+(G44/F44)*E44</f>
        <v>3.7499999999999999E-2</v>
      </c>
      <c r="J44" s="228">
        <v>0</v>
      </c>
      <c r="K44" s="211">
        <f>+(J44/G44)</f>
        <v>0</v>
      </c>
      <c r="L44" s="211">
        <f>+K44*E44</f>
        <v>0</v>
      </c>
      <c r="M44" s="211">
        <f>+J44/F44</f>
        <v>0</v>
      </c>
      <c r="N44" s="211">
        <f>+M44*E44</f>
        <v>0</v>
      </c>
      <c r="O44" s="213" t="s">
        <v>1862</v>
      </c>
      <c r="P44" s="201"/>
      <c r="Q44" s="133"/>
      <c r="R44" s="133"/>
      <c r="S44" s="133"/>
      <c r="T44" s="133"/>
      <c r="U44" s="133"/>
    </row>
    <row r="45" spans="1:21" ht="93" customHeight="1" thickBot="1" x14ac:dyDescent="0.4">
      <c r="A45" s="135"/>
      <c r="B45" s="168" t="s">
        <v>1144</v>
      </c>
      <c r="C45" s="216" t="s">
        <v>1145</v>
      </c>
      <c r="D45" s="225" t="s">
        <v>569</v>
      </c>
      <c r="E45" s="109">
        <v>0.1</v>
      </c>
      <c r="F45" s="210">
        <v>1</v>
      </c>
      <c r="G45" s="228">
        <v>0</v>
      </c>
      <c r="H45" s="211"/>
      <c r="I45" s="211"/>
      <c r="J45" s="228"/>
      <c r="K45" s="211"/>
      <c r="L45" s="211"/>
      <c r="M45" s="211"/>
      <c r="N45" s="211"/>
      <c r="O45" s="213" t="s">
        <v>1862</v>
      </c>
      <c r="P45" s="201"/>
      <c r="Q45" s="133"/>
      <c r="R45" s="133"/>
      <c r="S45" s="133"/>
      <c r="T45" s="133"/>
      <c r="U45" s="133"/>
    </row>
    <row r="46" spans="1:21" ht="93" customHeight="1" thickBot="1" x14ac:dyDescent="0.4">
      <c r="A46" s="135"/>
      <c r="B46" s="168" t="s">
        <v>1146</v>
      </c>
      <c r="C46" s="216" t="s">
        <v>1147</v>
      </c>
      <c r="D46" s="235" t="s">
        <v>711</v>
      </c>
      <c r="E46" s="109">
        <v>0.2</v>
      </c>
      <c r="F46" s="210">
        <v>60</v>
      </c>
      <c r="G46" s="228">
        <v>0</v>
      </c>
      <c r="H46" s="211"/>
      <c r="I46" s="211"/>
      <c r="J46" s="228"/>
      <c r="K46" s="211"/>
      <c r="L46" s="211"/>
      <c r="M46" s="211"/>
      <c r="N46" s="211"/>
      <c r="O46" s="213" t="s">
        <v>1862</v>
      </c>
      <c r="P46" s="201"/>
      <c r="Q46" s="133"/>
      <c r="R46" s="133"/>
      <c r="S46" s="133"/>
      <c r="T46" s="133"/>
      <c r="U46" s="133"/>
    </row>
    <row r="47" spans="1:21" ht="57" customHeight="1" thickBot="1" x14ac:dyDescent="0.4">
      <c r="A47" s="135"/>
      <c r="B47" s="695" t="s">
        <v>1848</v>
      </c>
      <c r="C47" s="736"/>
      <c r="D47" s="225"/>
      <c r="E47" s="108">
        <v>0.4</v>
      </c>
      <c r="F47" s="210"/>
      <c r="G47" s="228"/>
      <c r="H47" s="207">
        <f>+AVERAGE(H48:H52)</f>
        <v>0.125</v>
      </c>
      <c r="I47" s="207">
        <f>+I48+I49+I50+I51+I52</f>
        <v>3.125E-2</v>
      </c>
      <c r="J47" s="208"/>
      <c r="K47" s="209">
        <f>+AVERAGE(K48:K52)</f>
        <v>0</v>
      </c>
      <c r="L47" s="209">
        <f>+(L48+L49+L50+L51+L52)*E47</f>
        <v>0</v>
      </c>
      <c r="M47" s="207">
        <f>+AVERAGE(M48:M52)</f>
        <v>0</v>
      </c>
      <c r="N47" s="207">
        <f>+(N48+N49+N50+N51+N52)*E47</f>
        <v>0</v>
      </c>
      <c r="O47" s="160"/>
      <c r="P47" s="201"/>
      <c r="Q47" s="133"/>
      <c r="R47" s="133"/>
      <c r="S47" s="133"/>
      <c r="T47" s="133"/>
      <c r="U47" s="133"/>
    </row>
    <row r="48" spans="1:21" ht="108.6" customHeight="1" thickBot="1" x14ac:dyDescent="0.4">
      <c r="A48" s="135"/>
      <c r="B48" s="168" t="s">
        <v>1148</v>
      </c>
      <c r="C48" s="216" t="s">
        <v>1149</v>
      </c>
      <c r="D48" s="225" t="s">
        <v>62</v>
      </c>
      <c r="E48" s="109">
        <v>0.2</v>
      </c>
      <c r="F48" s="210">
        <v>60</v>
      </c>
      <c r="G48" s="228">
        <v>0</v>
      </c>
      <c r="H48" s="211"/>
      <c r="I48" s="211"/>
      <c r="J48" s="228"/>
      <c r="K48" s="211"/>
      <c r="L48" s="211"/>
      <c r="M48" s="211"/>
      <c r="N48" s="211"/>
      <c r="O48" s="213" t="s">
        <v>1862</v>
      </c>
      <c r="P48" s="201"/>
      <c r="Q48" s="133"/>
      <c r="R48" s="133"/>
      <c r="S48" s="133"/>
      <c r="T48" s="133"/>
      <c r="U48" s="133"/>
    </row>
    <row r="49" spans="1:21" ht="72.599999999999994" customHeight="1" thickBot="1" x14ac:dyDescent="0.4">
      <c r="A49" s="135"/>
      <c r="B49" s="168" t="s">
        <v>1150</v>
      </c>
      <c r="C49" s="216" t="s">
        <v>1151</v>
      </c>
      <c r="D49" s="231" t="s">
        <v>1152</v>
      </c>
      <c r="E49" s="109">
        <v>0.25</v>
      </c>
      <c r="F49" s="210">
        <v>200</v>
      </c>
      <c r="G49" s="228">
        <v>25</v>
      </c>
      <c r="H49" s="211">
        <f>+G49/F49</f>
        <v>0.125</v>
      </c>
      <c r="I49" s="211">
        <f>+(G49/F49)*E49</f>
        <v>3.125E-2</v>
      </c>
      <c r="J49" s="228">
        <v>0</v>
      </c>
      <c r="K49" s="211">
        <f>+(J49/G49)</f>
        <v>0</v>
      </c>
      <c r="L49" s="211">
        <f>+K49*E49</f>
        <v>0</v>
      </c>
      <c r="M49" s="211">
        <f>+J49/F49</f>
        <v>0</v>
      </c>
      <c r="N49" s="211">
        <f>+M49*E49</f>
        <v>0</v>
      </c>
      <c r="O49" s="213" t="s">
        <v>1862</v>
      </c>
      <c r="P49" s="201"/>
      <c r="Q49" s="133"/>
      <c r="R49" s="133"/>
      <c r="S49" s="133"/>
      <c r="T49" s="133"/>
      <c r="U49" s="133"/>
    </row>
    <row r="50" spans="1:21" ht="99" customHeight="1" thickBot="1" x14ac:dyDescent="0.4">
      <c r="A50" s="135"/>
      <c r="B50" s="161" t="s">
        <v>1153</v>
      </c>
      <c r="C50" s="230" t="s">
        <v>1154</v>
      </c>
      <c r="D50" s="232" t="s">
        <v>520</v>
      </c>
      <c r="E50" s="109">
        <v>0.1</v>
      </c>
      <c r="F50" s="210">
        <v>8</v>
      </c>
      <c r="G50" s="228">
        <v>0</v>
      </c>
      <c r="H50" s="211"/>
      <c r="I50" s="211"/>
      <c r="J50" s="228"/>
      <c r="K50" s="211"/>
      <c r="L50" s="211"/>
      <c r="M50" s="211"/>
      <c r="N50" s="211"/>
      <c r="O50" s="191" t="s">
        <v>1587</v>
      </c>
      <c r="P50" s="201"/>
      <c r="Q50" s="133"/>
      <c r="R50" s="133"/>
      <c r="S50" s="133"/>
      <c r="T50" s="133"/>
      <c r="U50" s="133"/>
    </row>
    <row r="51" spans="1:21" ht="97.9" customHeight="1" thickBot="1" x14ac:dyDescent="0.4">
      <c r="A51" s="135"/>
      <c r="B51" s="161" t="s">
        <v>1155</v>
      </c>
      <c r="C51" s="230" t="s">
        <v>1156</v>
      </c>
      <c r="D51" s="233" t="s">
        <v>1157</v>
      </c>
      <c r="E51" s="109">
        <v>0.25</v>
      </c>
      <c r="F51" s="210">
        <v>100</v>
      </c>
      <c r="G51" s="228"/>
      <c r="H51" s="211"/>
      <c r="I51" s="211"/>
      <c r="J51" s="228"/>
      <c r="K51" s="211"/>
      <c r="L51" s="211"/>
      <c r="M51" s="211"/>
      <c r="N51" s="211"/>
      <c r="O51" s="213" t="s">
        <v>1862</v>
      </c>
      <c r="Q51" s="133"/>
      <c r="R51" s="133"/>
      <c r="S51" s="133"/>
      <c r="T51" s="133"/>
      <c r="U51" s="133"/>
    </row>
    <row r="52" spans="1:21" ht="60" customHeight="1" thickBot="1" x14ac:dyDescent="0.4">
      <c r="A52" s="135"/>
      <c r="B52" s="161" t="s">
        <v>1158</v>
      </c>
      <c r="C52" s="230" t="s">
        <v>1159</v>
      </c>
      <c r="D52" s="225" t="s">
        <v>1157</v>
      </c>
      <c r="E52" s="109">
        <v>0.2</v>
      </c>
      <c r="F52" s="210">
        <v>100</v>
      </c>
      <c r="G52" s="228"/>
      <c r="H52" s="211"/>
      <c r="I52" s="211"/>
      <c r="J52" s="228"/>
      <c r="K52" s="211"/>
      <c r="L52" s="211"/>
      <c r="M52" s="212"/>
      <c r="N52" s="212"/>
      <c r="O52" s="213" t="s">
        <v>1862</v>
      </c>
      <c r="P52" s="201"/>
      <c r="Q52" s="133"/>
      <c r="R52" s="133"/>
      <c r="S52" s="133"/>
      <c r="T52" s="133"/>
      <c r="U52" s="133"/>
    </row>
    <row r="53" spans="1:21" ht="15.75" customHeight="1" thickBot="1" x14ac:dyDescent="0.4">
      <c r="A53" s="133"/>
      <c r="B53" s="133"/>
      <c r="C53" s="133"/>
      <c r="D53" s="214"/>
      <c r="E53" s="214"/>
      <c r="F53" s="214"/>
      <c r="G53" s="214"/>
      <c r="H53" s="214"/>
      <c r="I53" s="214"/>
      <c r="J53" s="214"/>
      <c r="K53" s="214"/>
      <c r="L53" s="214"/>
      <c r="M53" s="214"/>
      <c r="N53" s="214">
        <f>+M53*E53</f>
        <v>0</v>
      </c>
      <c r="O53" s="236"/>
      <c r="P53" s="133"/>
      <c r="Q53" s="133"/>
      <c r="R53" s="133"/>
      <c r="S53" s="133"/>
      <c r="T53" s="133"/>
      <c r="U53" s="133"/>
    </row>
    <row r="54" spans="1:21" ht="15.75" customHeight="1" thickBot="1" x14ac:dyDescent="0.4">
      <c r="A54" s="133"/>
      <c r="B54" s="133"/>
      <c r="C54" s="133"/>
      <c r="D54" s="133"/>
      <c r="E54" s="133"/>
      <c r="F54" s="133"/>
      <c r="G54" s="133"/>
      <c r="H54" s="133"/>
      <c r="I54" s="133"/>
      <c r="J54" s="133"/>
      <c r="K54" s="133"/>
      <c r="L54" s="133"/>
      <c r="M54" s="133"/>
      <c r="N54" s="133"/>
      <c r="O54" s="219"/>
      <c r="P54" s="133"/>
      <c r="Q54" s="133"/>
      <c r="R54" s="133"/>
      <c r="S54" s="133"/>
      <c r="T54" s="133"/>
      <c r="U54" s="133"/>
    </row>
    <row r="55" spans="1:21" ht="15.75" customHeight="1" thickBot="1" x14ac:dyDescent="0.4">
      <c r="A55" s="133"/>
      <c r="B55" s="133"/>
      <c r="C55" s="133"/>
      <c r="D55" s="133"/>
      <c r="E55" s="133"/>
      <c r="F55" s="133"/>
      <c r="G55" s="133"/>
      <c r="H55" s="133"/>
      <c r="I55" s="133"/>
      <c r="J55" s="133"/>
      <c r="K55" s="133"/>
      <c r="L55" s="133"/>
      <c r="M55" s="133"/>
      <c r="N55" s="133"/>
      <c r="O55" s="219"/>
      <c r="P55" s="133"/>
      <c r="Q55" s="133"/>
      <c r="R55" s="133"/>
      <c r="S55" s="133"/>
      <c r="T55" s="133"/>
      <c r="U55" s="133"/>
    </row>
    <row r="56" spans="1:21" ht="15.75" customHeight="1" x14ac:dyDescent="0.35">
      <c r="A56" s="133"/>
      <c r="B56" s="133"/>
      <c r="C56" s="133"/>
      <c r="D56" s="133"/>
      <c r="E56" s="133"/>
      <c r="F56" s="133"/>
      <c r="G56" s="133"/>
      <c r="H56" s="133"/>
      <c r="I56" s="133"/>
      <c r="J56" s="133"/>
      <c r="K56" s="133"/>
      <c r="L56" s="133"/>
      <c r="M56" s="133"/>
      <c r="N56" s="133"/>
      <c r="O56" s="219"/>
      <c r="P56" s="133"/>
      <c r="Q56" s="133"/>
      <c r="R56" s="133"/>
      <c r="S56" s="133"/>
      <c r="T56" s="133"/>
      <c r="U56" s="133"/>
    </row>
    <row r="57" spans="1:21" ht="15.75" customHeight="1" x14ac:dyDescent="0.35">
      <c r="A57" s="133"/>
      <c r="B57" s="133"/>
      <c r="C57" s="133"/>
      <c r="D57" s="133"/>
      <c r="E57" s="133"/>
      <c r="F57" s="133"/>
      <c r="G57" s="133"/>
      <c r="H57" s="133"/>
      <c r="I57" s="133"/>
      <c r="J57" s="133"/>
      <c r="K57" s="133"/>
      <c r="L57" s="133"/>
      <c r="M57" s="133"/>
      <c r="N57" s="133"/>
      <c r="O57" s="219"/>
      <c r="P57" s="133"/>
      <c r="Q57" s="133"/>
      <c r="R57" s="133"/>
      <c r="S57" s="133"/>
      <c r="T57" s="133"/>
      <c r="U57" s="133"/>
    </row>
    <row r="58" spans="1:21" ht="15.75" customHeight="1" x14ac:dyDescent="0.35">
      <c r="A58" s="133"/>
      <c r="B58" s="133"/>
      <c r="C58" s="133"/>
      <c r="D58" s="133"/>
      <c r="E58" s="133"/>
      <c r="F58" s="133"/>
      <c r="G58" s="133"/>
      <c r="H58" s="133"/>
      <c r="I58" s="133"/>
      <c r="J58" s="133"/>
      <c r="K58" s="133"/>
      <c r="L58" s="133"/>
      <c r="M58" s="133"/>
      <c r="N58" s="133"/>
      <c r="O58" s="219"/>
      <c r="P58" s="133"/>
      <c r="Q58" s="133"/>
      <c r="R58" s="133"/>
      <c r="S58" s="133"/>
      <c r="T58" s="133"/>
      <c r="U58" s="133"/>
    </row>
    <row r="59" spans="1:21" ht="15.75" customHeight="1" x14ac:dyDescent="0.35">
      <c r="A59" s="133"/>
      <c r="B59" s="133"/>
      <c r="C59" s="133"/>
      <c r="D59" s="133"/>
      <c r="E59" s="133"/>
      <c r="F59" s="133"/>
      <c r="G59" s="133"/>
      <c r="H59" s="133"/>
      <c r="I59" s="133"/>
      <c r="J59" s="133"/>
      <c r="K59" s="133"/>
      <c r="L59" s="133"/>
      <c r="M59" s="133"/>
      <c r="N59" s="133"/>
      <c r="O59" s="219"/>
      <c r="P59" s="133"/>
      <c r="Q59" s="133"/>
      <c r="R59" s="133"/>
      <c r="S59" s="133"/>
      <c r="T59" s="133"/>
      <c r="U59" s="133"/>
    </row>
    <row r="60" spans="1:21" ht="15.75" customHeight="1" x14ac:dyDescent="0.35">
      <c r="A60" s="133"/>
      <c r="B60" s="133"/>
      <c r="C60" s="133"/>
      <c r="D60" s="133"/>
      <c r="E60" s="133"/>
      <c r="F60" s="133"/>
      <c r="G60" s="133"/>
      <c r="H60" s="133"/>
      <c r="I60" s="133"/>
      <c r="J60" s="133"/>
      <c r="K60" s="133"/>
      <c r="L60" s="133"/>
      <c r="M60" s="133"/>
      <c r="N60" s="133"/>
      <c r="O60" s="219"/>
      <c r="P60" s="133"/>
      <c r="Q60" s="133"/>
      <c r="R60" s="133"/>
      <c r="S60" s="133"/>
      <c r="T60" s="133"/>
      <c r="U60" s="133"/>
    </row>
    <row r="61" spans="1:21" ht="15.75" customHeight="1" x14ac:dyDescent="0.35">
      <c r="A61" s="133"/>
      <c r="B61" s="133"/>
      <c r="C61" s="133"/>
      <c r="D61" s="133"/>
      <c r="E61" s="133"/>
      <c r="F61" s="133"/>
      <c r="G61" s="133"/>
      <c r="H61" s="133"/>
      <c r="I61" s="133"/>
      <c r="J61" s="133"/>
      <c r="K61" s="133"/>
      <c r="L61" s="133"/>
      <c r="M61" s="133"/>
      <c r="N61" s="133"/>
      <c r="O61" s="219"/>
      <c r="P61" s="133"/>
      <c r="Q61" s="133"/>
      <c r="R61" s="133"/>
      <c r="S61" s="133"/>
      <c r="T61" s="133"/>
      <c r="U61" s="133"/>
    </row>
    <row r="62" spans="1:21" ht="15.75" customHeight="1" x14ac:dyDescent="0.35">
      <c r="A62" s="133"/>
      <c r="B62" s="133"/>
      <c r="C62" s="133"/>
      <c r="D62" s="133"/>
      <c r="E62" s="133"/>
      <c r="F62" s="133"/>
      <c r="G62" s="133"/>
      <c r="H62" s="133"/>
      <c r="I62" s="133"/>
      <c r="J62" s="133"/>
      <c r="K62" s="133"/>
      <c r="L62" s="133"/>
      <c r="M62" s="133"/>
      <c r="N62" s="133"/>
      <c r="O62" s="219"/>
      <c r="P62" s="133"/>
      <c r="Q62" s="133"/>
      <c r="R62" s="133"/>
      <c r="S62" s="133"/>
      <c r="T62" s="133"/>
      <c r="U62" s="133"/>
    </row>
    <row r="63" spans="1:21" ht="15.75" customHeight="1" x14ac:dyDescent="0.35">
      <c r="A63" s="133"/>
      <c r="B63" s="133"/>
      <c r="C63" s="133"/>
      <c r="D63" s="133"/>
      <c r="E63" s="133"/>
      <c r="F63" s="133"/>
      <c r="G63" s="133"/>
      <c r="H63" s="133"/>
      <c r="I63" s="133"/>
      <c r="J63" s="133"/>
      <c r="K63" s="133"/>
      <c r="L63" s="133"/>
      <c r="M63" s="133"/>
      <c r="N63" s="133"/>
      <c r="O63" s="219"/>
      <c r="P63" s="133"/>
      <c r="Q63" s="133"/>
      <c r="R63" s="133"/>
      <c r="S63" s="133"/>
      <c r="T63" s="133"/>
      <c r="U63" s="133"/>
    </row>
    <row r="64" spans="1:21" ht="15.75" customHeight="1" x14ac:dyDescent="0.35">
      <c r="A64" s="133"/>
      <c r="B64" s="133"/>
      <c r="C64" s="133"/>
      <c r="D64" s="133"/>
      <c r="E64" s="133"/>
      <c r="F64" s="133"/>
      <c r="G64" s="133"/>
      <c r="H64" s="133"/>
      <c r="I64" s="133"/>
      <c r="J64" s="133"/>
      <c r="K64" s="133"/>
      <c r="L64" s="133"/>
      <c r="M64" s="133"/>
      <c r="N64" s="133"/>
      <c r="O64" s="219"/>
      <c r="P64" s="133"/>
      <c r="Q64" s="133"/>
      <c r="R64" s="133"/>
      <c r="S64" s="133"/>
      <c r="T64" s="133"/>
      <c r="U64" s="133"/>
    </row>
    <row r="65" spans="1:21" ht="15.75" customHeight="1" x14ac:dyDescent="0.35">
      <c r="A65" s="133"/>
      <c r="B65" s="133"/>
      <c r="C65" s="133"/>
      <c r="D65" s="133"/>
      <c r="E65" s="133"/>
      <c r="F65" s="133"/>
      <c r="G65" s="133"/>
      <c r="H65" s="133"/>
      <c r="I65" s="133"/>
      <c r="J65" s="133"/>
      <c r="K65" s="133"/>
      <c r="L65" s="133"/>
      <c r="M65" s="133"/>
      <c r="N65" s="133"/>
      <c r="O65" s="219"/>
      <c r="P65" s="133"/>
      <c r="Q65" s="133"/>
      <c r="R65" s="133"/>
      <c r="S65" s="133"/>
      <c r="T65" s="133"/>
      <c r="U65" s="133"/>
    </row>
    <row r="66" spans="1:21" ht="15.75" customHeight="1" x14ac:dyDescent="0.35">
      <c r="A66" s="133"/>
      <c r="B66" s="133"/>
      <c r="C66" s="133"/>
      <c r="D66" s="133"/>
      <c r="E66" s="133"/>
      <c r="F66" s="133"/>
      <c r="G66" s="133"/>
      <c r="H66" s="133"/>
      <c r="I66" s="133"/>
      <c r="J66" s="133"/>
      <c r="K66" s="133"/>
      <c r="L66" s="133"/>
      <c r="M66" s="133"/>
      <c r="N66" s="133"/>
      <c r="O66" s="219"/>
      <c r="P66" s="133"/>
      <c r="Q66" s="133"/>
      <c r="R66" s="133"/>
      <c r="S66" s="133"/>
      <c r="T66" s="133"/>
      <c r="U66" s="133"/>
    </row>
    <row r="67" spans="1:21" ht="15.75" customHeight="1" x14ac:dyDescent="0.35">
      <c r="A67" s="133"/>
      <c r="B67" s="133"/>
      <c r="C67" s="133"/>
      <c r="D67" s="133"/>
      <c r="E67" s="133"/>
      <c r="F67" s="133"/>
      <c r="G67" s="133"/>
      <c r="H67" s="133"/>
      <c r="I67" s="133"/>
      <c r="J67" s="133"/>
      <c r="K67" s="133"/>
      <c r="L67" s="133"/>
      <c r="M67" s="133"/>
      <c r="N67" s="133"/>
      <c r="O67" s="219"/>
      <c r="P67" s="133"/>
      <c r="Q67" s="133"/>
      <c r="R67" s="133"/>
      <c r="S67" s="133"/>
      <c r="T67" s="133"/>
      <c r="U67" s="133"/>
    </row>
    <row r="68" spans="1:21" ht="15.75" customHeight="1" x14ac:dyDescent="0.35">
      <c r="A68" s="133"/>
      <c r="B68" s="133"/>
      <c r="C68" s="133"/>
      <c r="D68" s="133"/>
      <c r="E68" s="133"/>
      <c r="F68" s="133"/>
      <c r="G68" s="133"/>
      <c r="H68" s="133"/>
      <c r="I68" s="133"/>
      <c r="J68" s="133"/>
      <c r="K68" s="133"/>
      <c r="L68" s="133"/>
      <c r="M68" s="133"/>
      <c r="N68" s="133"/>
      <c r="O68" s="219"/>
      <c r="P68" s="133"/>
      <c r="Q68" s="133"/>
      <c r="R68" s="133"/>
      <c r="S68" s="133"/>
      <c r="T68" s="133"/>
      <c r="U68" s="133"/>
    </row>
    <row r="69" spans="1:21" ht="15.75" customHeight="1" x14ac:dyDescent="0.35">
      <c r="A69" s="133"/>
      <c r="B69" s="133"/>
      <c r="C69" s="133"/>
      <c r="D69" s="133"/>
      <c r="E69" s="133"/>
      <c r="F69" s="133"/>
      <c r="G69" s="133"/>
      <c r="H69" s="133"/>
      <c r="I69" s="133"/>
      <c r="J69" s="133"/>
      <c r="K69" s="133"/>
      <c r="L69" s="133"/>
      <c r="M69" s="133"/>
      <c r="N69" s="133"/>
      <c r="O69" s="219"/>
      <c r="P69" s="133"/>
      <c r="Q69" s="133"/>
      <c r="R69" s="133"/>
      <c r="S69" s="133"/>
      <c r="T69" s="133"/>
      <c r="U69" s="133"/>
    </row>
    <row r="70" spans="1:21" ht="15.75" customHeight="1" x14ac:dyDescent="0.35">
      <c r="A70" s="133"/>
      <c r="B70" s="133"/>
      <c r="C70" s="133"/>
      <c r="D70" s="133"/>
      <c r="E70" s="133"/>
      <c r="F70" s="133"/>
      <c r="G70" s="133"/>
      <c r="H70" s="133"/>
      <c r="I70" s="133"/>
      <c r="J70" s="133"/>
      <c r="K70" s="133"/>
      <c r="L70" s="133"/>
      <c r="M70" s="133"/>
      <c r="N70" s="133"/>
      <c r="O70" s="219"/>
      <c r="P70" s="133"/>
      <c r="Q70" s="133"/>
      <c r="R70" s="133"/>
      <c r="S70" s="133"/>
      <c r="T70" s="133"/>
      <c r="U70" s="133"/>
    </row>
    <row r="71" spans="1:21" ht="15.75" customHeight="1" x14ac:dyDescent="0.35">
      <c r="A71" s="133"/>
      <c r="B71" s="133"/>
      <c r="C71" s="133"/>
      <c r="D71" s="133"/>
      <c r="E71" s="133"/>
      <c r="F71" s="133"/>
      <c r="G71" s="133"/>
      <c r="H71" s="133"/>
      <c r="I71" s="133"/>
      <c r="J71" s="133"/>
      <c r="K71" s="133"/>
      <c r="L71" s="133"/>
      <c r="M71" s="133"/>
      <c r="N71" s="133"/>
      <c r="O71" s="219"/>
      <c r="P71" s="133"/>
      <c r="Q71" s="133"/>
      <c r="R71" s="133"/>
      <c r="S71" s="133"/>
      <c r="T71" s="133"/>
      <c r="U71" s="133"/>
    </row>
    <row r="72" spans="1:21" ht="15.75" customHeight="1" x14ac:dyDescent="0.35">
      <c r="A72" s="133"/>
      <c r="B72" s="133"/>
      <c r="C72" s="133"/>
      <c r="D72" s="133"/>
      <c r="E72" s="133"/>
      <c r="F72" s="133"/>
      <c r="G72" s="133"/>
      <c r="H72" s="133"/>
      <c r="I72" s="133"/>
      <c r="J72" s="133"/>
      <c r="K72" s="133"/>
      <c r="L72" s="133"/>
      <c r="M72" s="133"/>
      <c r="N72" s="133"/>
      <c r="O72" s="219"/>
      <c r="P72" s="133"/>
      <c r="Q72" s="133"/>
      <c r="R72" s="133"/>
      <c r="S72" s="133"/>
      <c r="T72" s="133"/>
      <c r="U72" s="133"/>
    </row>
    <row r="73" spans="1:21" ht="15.75" customHeight="1" x14ac:dyDescent="0.35">
      <c r="A73" s="133"/>
      <c r="B73" s="133"/>
      <c r="C73" s="133"/>
      <c r="D73" s="133"/>
      <c r="E73" s="133"/>
      <c r="F73" s="133"/>
      <c r="G73" s="133"/>
      <c r="H73" s="133"/>
      <c r="I73" s="133"/>
      <c r="J73" s="133"/>
      <c r="K73" s="133"/>
      <c r="L73" s="133"/>
      <c r="M73" s="133"/>
      <c r="N73" s="133"/>
      <c r="O73" s="219"/>
      <c r="P73" s="133"/>
      <c r="Q73" s="133"/>
      <c r="R73" s="133"/>
      <c r="S73" s="133"/>
      <c r="T73" s="133"/>
      <c r="U73" s="133"/>
    </row>
    <row r="74" spans="1:21" ht="15.75" customHeight="1" x14ac:dyDescent="0.35">
      <c r="A74" s="133"/>
      <c r="B74" s="133"/>
      <c r="C74" s="133"/>
      <c r="D74" s="133"/>
      <c r="E74" s="133"/>
      <c r="F74" s="133"/>
      <c r="G74" s="133"/>
      <c r="H74" s="133"/>
      <c r="I74" s="133"/>
      <c r="J74" s="133"/>
      <c r="K74" s="133"/>
      <c r="L74" s="133"/>
      <c r="M74" s="133"/>
      <c r="N74" s="133"/>
      <c r="O74" s="219"/>
      <c r="P74" s="133"/>
      <c r="Q74" s="133"/>
      <c r="R74" s="133"/>
      <c r="S74" s="133"/>
      <c r="T74" s="133"/>
      <c r="U74" s="133"/>
    </row>
    <row r="75" spans="1:21" ht="15.75" customHeight="1" x14ac:dyDescent="0.35">
      <c r="A75" s="133"/>
      <c r="B75" s="133"/>
      <c r="C75" s="133"/>
      <c r="D75" s="133"/>
      <c r="E75" s="133"/>
      <c r="F75" s="133"/>
      <c r="G75" s="133"/>
      <c r="H75" s="133"/>
      <c r="I75" s="133"/>
      <c r="J75" s="133"/>
      <c r="K75" s="133"/>
      <c r="L75" s="133"/>
      <c r="M75" s="133"/>
      <c r="N75" s="133"/>
      <c r="O75" s="219"/>
      <c r="P75" s="133"/>
      <c r="Q75" s="133"/>
      <c r="R75" s="133"/>
      <c r="S75" s="133"/>
      <c r="T75" s="133"/>
      <c r="U75" s="133"/>
    </row>
    <row r="76" spans="1:21" ht="15.75" customHeight="1" x14ac:dyDescent="0.35">
      <c r="A76" s="133"/>
      <c r="B76" s="133"/>
      <c r="C76" s="133"/>
      <c r="D76" s="133"/>
      <c r="E76" s="133"/>
      <c r="F76" s="133"/>
      <c r="G76" s="133"/>
      <c r="H76" s="133"/>
      <c r="I76" s="133"/>
      <c r="J76" s="133"/>
      <c r="K76" s="133"/>
      <c r="L76" s="133"/>
      <c r="M76" s="133"/>
      <c r="N76" s="133"/>
      <c r="O76" s="219"/>
      <c r="P76" s="133"/>
      <c r="Q76" s="133"/>
      <c r="R76" s="133"/>
      <c r="S76" s="133"/>
      <c r="T76" s="133"/>
      <c r="U76" s="133"/>
    </row>
    <row r="77" spans="1:21" ht="15.75" customHeight="1" x14ac:dyDescent="0.35">
      <c r="A77" s="133"/>
      <c r="B77" s="133"/>
      <c r="C77" s="133"/>
      <c r="D77" s="133"/>
      <c r="E77" s="133"/>
      <c r="F77" s="133"/>
      <c r="G77" s="133"/>
      <c r="H77" s="133"/>
      <c r="I77" s="133"/>
      <c r="J77" s="133"/>
      <c r="K77" s="133"/>
      <c r="L77" s="133"/>
      <c r="M77" s="133"/>
      <c r="N77" s="133"/>
      <c r="O77" s="219"/>
      <c r="P77" s="133"/>
      <c r="Q77" s="133"/>
      <c r="R77" s="133"/>
      <c r="S77" s="133"/>
      <c r="T77" s="133"/>
      <c r="U77" s="133"/>
    </row>
    <row r="78" spans="1:21" ht="15.75" customHeight="1" x14ac:dyDescent="0.35">
      <c r="A78" s="133"/>
      <c r="B78" s="133"/>
      <c r="C78" s="133"/>
      <c r="D78" s="133"/>
      <c r="E78" s="133"/>
      <c r="F78" s="133"/>
      <c r="G78" s="133"/>
      <c r="H78" s="133"/>
      <c r="I78" s="133"/>
      <c r="J78" s="133"/>
      <c r="K78" s="133"/>
      <c r="L78" s="133"/>
      <c r="M78" s="133"/>
      <c r="N78" s="133"/>
      <c r="O78" s="219"/>
      <c r="P78" s="133"/>
      <c r="Q78" s="133"/>
      <c r="R78" s="133"/>
      <c r="S78" s="133"/>
      <c r="T78" s="133"/>
      <c r="U78" s="133"/>
    </row>
    <row r="79" spans="1:21" ht="15.75" customHeight="1" x14ac:dyDescent="0.35">
      <c r="A79" s="133"/>
      <c r="B79" s="133"/>
      <c r="C79" s="133"/>
      <c r="D79" s="133"/>
      <c r="E79" s="133"/>
      <c r="F79" s="133"/>
      <c r="G79" s="133"/>
      <c r="H79" s="133"/>
      <c r="I79" s="133"/>
      <c r="J79" s="133"/>
      <c r="K79" s="133"/>
      <c r="L79" s="133"/>
      <c r="M79" s="133"/>
      <c r="N79" s="133"/>
      <c r="O79" s="219"/>
      <c r="P79" s="133"/>
      <c r="Q79" s="133"/>
      <c r="R79" s="133"/>
      <c r="S79" s="133"/>
      <c r="T79" s="133"/>
      <c r="U79" s="133"/>
    </row>
    <row r="80" spans="1:21" ht="15.75" customHeight="1" x14ac:dyDescent="0.35">
      <c r="A80" s="133"/>
      <c r="B80" s="133"/>
      <c r="C80" s="133"/>
      <c r="D80" s="133"/>
      <c r="E80" s="133"/>
      <c r="F80" s="133"/>
      <c r="G80" s="133"/>
      <c r="H80" s="133"/>
      <c r="I80" s="133"/>
      <c r="J80" s="133"/>
      <c r="K80" s="133"/>
      <c r="L80" s="133"/>
      <c r="M80" s="133"/>
      <c r="N80" s="133"/>
      <c r="O80" s="219"/>
      <c r="P80" s="133"/>
      <c r="Q80" s="133"/>
      <c r="R80" s="133"/>
      <c r="S80" s="133"/>
      <c r="T80" s="133"/>
      <c r="U80" s="133"/>
    </row>
    <row r="81" spans="1:21" ht="15.75" customHeight="1" x14ac:dyDescent="0.35">
      <c r="A81" s="133"/>
      <c r="B81" s="133"/>
      <c r="C81" s="133"/>
      <c r="D81" s="133"/>
      <c r="E81" s="133"/>
      <c r="F81" s="133"/>
      <c r="G81" s="133"/>
      <c r="H81" s="133"/>
      <c r="I81" s="133"/>
      <c r="J81" s="133"/>
      <c r="K81" s="133"/>
      <c r="L81" s="133"/>
      <c r="M81" s="133"/>
      <c r="N81" s="133"/>
      <c r="O81" s="219"/>
      <c r="P81" s="133"/>
      <c r="Q81" s="133"/>
      <c r="R81" s="133"/>
      <c r="S81" s="133"/>
      <c r="T81" s="133"/>
      <c r="U81" s="133"/>
    </row>
    <row r="82" spans="1:21" ht="15.75" customHeight="1" x14ac:dyDescent="0.35">
      <c r="A82" s="133"/>
      <c r="B82" s="133"/>
      <c r="C82" s="133"/>
      <c r="D82" s="133"/>
      <c r="E82" s="133"/>
      <c r="F82" s="133"/>
      <c r="G82" s="133"/>
      <c r="H82" s="133"/>
      <c r="I82" s="133"/>
      <c r="J82" s="133"/>
      <c r="K82" s="133"/>
      <c r="L82" s="133"/>
      <c r="M82" s="133"/>
      <c r="N82" s="133"/>
      <c r="O82" s="219"/>
      <c r="P82" s="133"/>
      <c r="Q82" s="133"/>
      <c r="R82" s="133"/>
      <c r="S82" s="133"/>
      <c r="T82" s="133"/>
      <c r="U82" s="133"/>
    </row>
    <row r="83" spans="1:21" ht="15.75" customHeight="1" x14ac:dyDescent="0.35">
      <c r="A83" s="133"/>
      <c r="B83" s="133"/>
      <c r="C83" s="133"/>
      <c r="D83" s="133"/>
      <c r="E83" s="133"/>
      <c r="F83" s="133"/>
      <c r="G83" s="133"/>
      <c r="H83" s="133"/>
      <c r="I83" s="133"/>
      <c r="J83" s="133"/>
      <c r="K83" s="133"/>
      <c r="L83" s="133"/>
      <c r="M83" s="133"/>
      <c r="N83" s="133"/>
      <c r="O83" s="219"/>
      <c r="P83" s="133"/>
      <c r="Q83" s="133"/>
      <c r="R83" s="133"/>
      <c r="S83" s="133"/>
      <c r="T83" s="133"/>
      <c r="U83" s="133"/>
    </row>
    <row r="84" spans="1:21" ht="15.75" customHeight="1" x14ac:dyDescent="0.35">
      <c r="A84" s="133"/>
      <c r="B84" s="133"/>
      <c r="C84" s="133"/>
      <c r="D84" s="133"/>
      <c r="E84" s="133"/>
      <c r="F84" s="133"/>
      <c r="G84" s="133"/>
      <c r="H84" s="133"/>
      <c r="I84" s="133"/>
      <c r="J84" s="133"/>
      <c r="K84" s="133"/>
      <c r="L84" s="133"/>
      <c r="M84" s="133"/>
      <c r="N84" s="133"/>
      <c r="O84" s="219"/>
      <c r="P84" s="133"/>
      <c r="Q84" s="133"/>
      <c r="R84" s="133"/>
      <c r="S84" s="133"/>
      <c r="T84" s="133"/>
      <c r="U84" s="133"/>
    </row>
    <row r="85" spans="1:21" ht="15.75" customHeight="1" x14ac:dyDescent="0.35">
      <c r="A85" s="133"/>
      <c r="B85" s="133"/>
      <c r="C85" s="133"/>
      <c r="D85" s="133"/>
      <c r="E85" s="133"/>
      <c r="F85" s="133"/>
      <c r="G85" s="133"/>
      <c r="H85" s="133"/>
      <c r="I85" s="133"/>
      <c r="J85" s="133"/>
      <c r="K85" s="133"/>
      <c r="L85" s="133"/>
      <c r="M85" s="133"/>
      <c r="N85" s="133"/>
      <c r="O85" s="219"/>
      <c r="P85" s="133"/>
      <c r="Q85" s="133"/>
      <c r="R85" s="133"/>
      <c r="S85" s="133"/>
      <c r="T85" s="133"/>
      <c r="U85" s="133"/>
    </row>
    <row r="86" spans="1:21" ht="15.75" customHeight="1" x14ac:dyDescent="0.35">
      <c r="A86" s="133"/>
      <c r="B86" s="133"/>
      <c r="C86" s="133"/>
      <c r="D86" s="133"/>
      <c r="E86" s="133"/>
      <c r="F86" s="133"/>
      <c r="G86" s="133"/>
      <c r="H86" s="133"/>
      <c r="I86" s="133"/>
      <c r="J86" s="133"/>
      <c r="K86" s="133"/>
      <c r="L86" s="133"/>
      <c r="M86" s="133"/>
      <c r="N86" s="133"/>
      <c r="O86" s="219"/>
      <c r="P86" s="133"/>
      <c r="Q86" s="133"/>
      <c r="R86" s="133"/>
      <c r="S86" s="133"/>
      <c r="T86" s="133"/>
      <c r="U86" s="133"/>
    </row>
    <row r="87" spans="1:21" ht="15.75" customHeight="1" x14ac:dyDescent="0.35">
      <c r="A87" s="133"/>
      <c r="B87" s="133"/>
      <c r="C87" s="133"/>
      <c r="D87" s="133"/>
      <c r="E87" s="133"/>
      <c r="F87" s="133"/>
      <c r="G87" s="133"/>
      <c r="H87" s="133"/>
      <c r="I87" s="133"/>
      <c r="J87" s="133"/>
      <c r="K87" s="133"/>
      <c r="L87" s="133"/>
      <c r="M87" s="133"/>
      <c r="N87" s="133"/>
      <c r="O87" s="219"/>
      <c r="P87" s="133"/>
      <c r="Q87" s="133"/>
      <c r="R87" s="133"/>
      <c r="S87" s="133"/>
      <c r="T87" s="133"/>
      <c r="U87" s="133"/>
    </row>
    <row r="88" spans="1:21" ht="15.75" customHeight="1" x14ac:dyDescent="0.35">
      <c r="A88" s="133"/>
      <c r="B88" s="133"/>
      <c r="C88" s="133"/>
      <c r="D88" s="133"/>
      <c r="E88" s="133"/>
      <c r="F88" s="133"/>
      <c r="G88" s="133"/>
      <c r="H88" s="133"/>
      <c r="I88" s="133"/>
      <c r="J88" s="133"/>
      <c r="K88" s="133"/>
      <c r="L88" s="133"/>
      <c r="M88" s="133"/>
      <c r="N88" s="133"/>
      <c r="O88" s="219"/>
      <c r="P88" s="133"/>
      <c r="Q88" s="133"/>
      <c r="R88" s="133"/>
      <c r="S88" s="133"/>
      <c r="T88" s="133"/>
      <c r="U88" s="133"/>
    </row>
    <row r="89" spans="1:21" ht="15.75" customHeight="1" x14ac:dyDescent="0.35">
      <c r="A89" s="133"/>
      <c r="B89" s="133"/>
      <c r="C89" s="133"/>
      <c r="D89" s="133"/>
      <c r="E89" s="133"/>
      <c r="F89" s="133"/>
      <c r="G89" s="133"/>
      <c r="H89" s="133"/>
      <c r="I89" s="133"/>
      <c r="J89" s="133"/>
      <c r="K89" s="133"/>
      <c r="L89" s="133"/>
      <c r="M89" s="133"/>
      <c r="N89" s="133"/>
      <c r="O89" s="219"/>
      <c r="P89" s="133"/>
      <c r="Q89" s="133"/>
      <c r="R89" s="133"/>
      <c r="S89" s="133"/>
      <c r="T89" s="133"/>
      <c r="U89" s="133"/>
    </row>
    <row r="90" spans="1:21" ht="15.75" customHeight="1" x14ac:dyDescent="0.35">
      <c r="A90" s="133"/>
      <c r="B90" s="133"/>
      <c r="C90" s="133"/>
      <c r="D90" s="133"/>
      <c r="E90" s="133"/>
      <c r="F90" s="133"/>
      <c r="G90" s="133"/>
      <c r="H90" s="133"/>
      <c r="I90" s="133"/>
      <c r="J90" s="133"/>
      <c r="K90" s="133"/>
      <c r="L90" s="133"/>
      <c r="M90" s="133"/>
      <c r="N90" s="133"/>
      <c r="O90" s="219"/>
      <c r="P90" s="133"/>
      <c r="Q90" s="133"/>
      <c r="R90" s="133"/>
      <c r="S90" s="133"/>
      <c r="T90" s="133"/>
      <c r="U90" s="133"/>
    </row>
    <row r="91" spans="1:21" ht="15.75" customHeight="1" x14ac:dyDescent="0.35">
      <c r="A91" s="133"/>
      <c r="B91" s="133"/>
      <c r="C91" s="133"/>
      <c r="D91" s="133"/>
      <c r="E91" s="133"/>
      <c r="F91" s="133"/>
      <c r="G91" s="133"/>
      <c r="H91" s="133"/>
      <c r="I91" s="133"/>
      <c r="J91" s="133"/>
      <c r="K91" s="133"/>
      <c r="L91" s="133"/>
      <c r="M91" s="133"/>
      <c r="N91" s="133"/>
      <c r="O91" s="219"/>
      <c r="P91" s="133"/>
      <c r="Q91" s="133"/>
      <c r="R91" s="133"/>
      <c r="S91" s="133"/>
      <c r="T91" s="133"/>
      <c r="U91" s="133"/>
    </row>
    <row r="92" spans="1:21" ht="15.75" customHeight="1" x14ac:dyDescent="0.35">
      <c r="A92" s="133"/>
      <c r="B92" s="133"/>
      <c r="C92" s="133"/>
      <c r="D92" s="133"/>
      <c r="E92" s="133"/>
      <c r="F92" s="133"/>
      <c r="G92" s="133"/>
      <c r="H92" s="133"/>
      <c r="I92" s="133"/>
      <c r="J92" s="133"/>
      <c r="K92" s="133"/>
      <c r="L92" s="133"/>
      <c r="M92" s="133"/>
      <c r="N92" s="133"/>
      <c r="O92" s="219"/>
      <c r="P92" s="133"/>
      <c r="Q92" s="133"/>
      <c r="R92" s="133"/>
      <c r="S92" s="133"/>
      <c r="T92" s="133"/>
      <c r="U92" s="133"/>
    </row>
    <row r="93" spans="1:21" ht="15.75" customHeight="1" x14ac:dyDescent="0.35">
      <c r="A93" s="133"/>
      <c r="B93" s="133"/>
      <c r="C93" s="133"/>
      <c r="D93" s="133"/>
      <c r="E93" s="133"/>
      <c r="F93" s="133"/>
      <c r="G93" s="133"/>
      <c r="H93" s="133"/>
      <c r="I93" s="133"/>
      <c r="J93" s="133"/>
      <c r="K93" s="133"/>
      <c r="L93" s="133"/>
      <c r="M93" s="133"/>
      <c r="N93" s="133"/>
      <c r="O93" s="219"/>
      <c r="P93" s="133"/>
      <c r="Q93" s="133"/>
      <c r="R93" s="133"/>
      <c r="S93" s="133"/>
      <c r="T93" s="133"/>
      <c r="U93" s="133"/>
    </row>
    <row r="94" spans="1:21" ht="15.75" customHeight="1" x14ac:dyDescent="0.35">
      <c r="A94" s="133"/>
      <c r="B94" s="133"/>
      <c r="C94" s="133"/>
      <c r="D94" s="133"/>
      <c r="E94" s="133"/>
      <c r="F94" s="133"/>
      <c r="G94" s="133"/>
      <c r="H94" s="133"/>
      <c r="I94" s="133"/>
      <c r="J94" s="133"/>
      <c r="K94" s="133"/>
      <c r="L94" s="133"/>
      <c r="M94" s="133"/>
      <c r="N94" s="133"/>
      <c r="O94" s="219"/>
      <c r="P94" s="133"/>
      <c r="Q94" s="133"/>
      <c r="R94" s="133"/>
      <c r="S94" s="133"/>
      <c r="T94" s="133"/>
      <c r="U94" s="133"/>
    </row>
    <row r="95" spans="1:21" ht="15.75" customHeight="1" x14ac:dyDescent="0.35">
      <c r="A95" s="133"/>
      <c r="B95" s="133"/>
      <c r="C95" s="133"/>
      <c r="D95" s="133"/>
      <c r="E95" s="133"/>
      <c r="F95" s="133"/>
      <c r="G95" s="133"/>
      <c r="H95" s="133"/>
      <c r="I95" s="133"/>
      <c r="J95" s="133"/>
      <c r="K95" s="133"/>
      <c r="L95" s="133"/>
      <c r="M95" s="133"/>
      <c r="N95" s="133"/>
      <c r="O95" s="219"/>
      <c r="P95" s="133"/>
      <c r="Q95" s="133"/>
      <c r="R95" s="133"/>
      <c r="S95" s="133"/>
      <c r="T95" s="133"/>
      <c r="U95" s="133"/>
    </row>
    <row r="96" spans="1:21" ht="15.75" customHeight="1" x14ac:dyDescent="0.35">
      <c r="A96" s="133"/>
      <c r="B96" s="133"/>
      <c r="C96" s="133"/>
      <c r="D96" s="133"/>
      <c r="E96" s="133"/>
      <c r="F96" s="133"/>
      <c r="G96" s="133"/>
      <c r="H96" s="133"/>
      <c r="I96" s="133"/>
      <c r="J96" s="133"/>
      <c r="K96" s="133"/>
      <c r="L96" s="133"/>
      <c r="M96" s="133"/>
      <c r="N96" s="133"/>
      <c r="O96" s="219"/>
      <c r="P96" s="133"/>
      <c r="Q96" s="133"/>
      <c r="R96" s="133"/>
      <c r="S96" s="133"/>
      <c r="T96" s="133"/>
      <c r="U96" s="133"/>
    </row>
    <row r="97" spans="1:21" ht="15.75" customHeight="1" x14ac:dyDescent="0.35">
      <c r="A97" s="133"/>
      <c r="B97" s="133"/>
      <c r="C97" s="133"/>
      <c r="D97" s="133"/>
      <c r="E97" s="133"/>
      <c r="F97" s="133"/>
      <c r="G97" s="133"/>
      <c r="H97" s="133"/>
      <c r="I97" s="133"/>
      <c r="J97" s="133"/>
      <c r="K97" s="133"/>
      <c r="L97" s="133"/>
      <c r="M97" s="133"/>
      <c r="N97" s="133"/>
      <c r="O97" s="219"/>
      <c r="P97" s="133"/>
      <c r="Q97" s="133"/>
      <c r="R97" s="133"/>
      <c r="S97" s="133"/>
      <c r="T97" s="133"/>
      <c r="U97" s="133"/>
    </row>
    <row r="98" spans="1:21" ht="15.75" customHeight="1" x14ac:dyDescent="0.35">
      <c r="A98" s="133"/>
      <c r="B98" s="133"/>
      <c r="C98" s="133"/>
      <c r="D98" s="133"/>
      <c r="E98" s="133"/>
      <c r="F98" s="133"/>
      <c r="G98" s="133"/>
      <c r="H98" s="133"/>
      <c r="I98" s="133"/>
      <c r="J98" s="133"/>
      <c r="K98" s="133"/>
      <c r="L98" s="133"/>
      <c r="M98" s="133"/>
      <c r="N98" s="133"/>
      <c r="O98" s="219"/>
      <c r="P98" s="133"/>
      <c r="Q98" s="133"/>
      <c r="R98" s="133"/>
      <c r="S98" s="133"/>
      <c r="T98" s="133"/>
      <c r="U98" s="133"/>
    </row>
    <row r="99" spans="1:21" ht="15.75" customHeight="1" x14ac:dyDescent="0.35">
      <c r="A99" s="133"/>
      <c r="B99" s="133"/>
      <c r="C99" s="133"/>
      <c r="D99" s="133"/>
      <c r="E99" s="133"/>
      <c r="F99" s="133"/>
      <c r="G99" s="133"/>
      <c r="H99" s="133"/>
      <c r="I99" s="133"/>
      <c r="J99" s="133"/>
      <c r="K99" s="133"/>
      <c r="L99" s="133"/>
      <c r="M99" s="133"/>
      <c r="N99" s="133"/>
      <c r="O99" s="219"/>
      <c r="P99" s="133"/>
      <c r="Q99" s="133"/>
      <c r="R99" s="133"/>
      <c r="S99" s="133"/>
      <c r="T99" s="133"/>
      <c r="U99" s="133"/>
    </row>
    <row r="100" spans="1:21" ht="15.75" customHeight="1" x14ac:dyDescent="0.35">
      <c r="A100" s="133"/>
      <c r="B100" s="133"/>
      <c r="C100" s="133"/>
      <c r="D100" s="133"/>
      <c r="E100" s="133"/>
      <c r="F100" s="133"/>
      <c r="G100" s="133"/>
      <c r="H100" s="133"/>
      <c r="I100" s="133"/>
      <c r="J100" s="133"/>
      <c r="K100" s="133"/>
      <c r="L100" s="133"/>
      <c r="M100" s="133"/>
      <c r="N100" s="133"/>
      <c r="O100" s="219"/>
      <c r="P100" s="133"/>
      <c r="Q100" s="133"/>
      <c r="R100" s="133"/>
      <c r="S100" s="133"/>
      <c r="T100" s="133"/>
      <c r="U100" s="133"/>
    </row>
    <row r="101" spans="1:21" ht="15.75" customHeight="1" x14ac:dyDescent="0.35">
      <c r="A101" s="133"/>
      <c r="B101" s="133"/>
      <c r="C101" s="133"/>
      <c r="D101" s="133"/>
      <c r="E101" s="133"/>
      <c r="F101" s="133"/>
      <c r="G101" s="133"/>
      <c r="H101" s="133"/>
      <c r="I101" s="133"/>
      <c r="J101" s="133"/>
      <c r="K101" s="133"/>
      <c r="L101" s="133"/>
      <c r="M101" s="133"/>
      <c r="N101" s="133"/>
      <c r="O101" s="219"/>
      <c r="P101" s="133"/>
      <c r="Q101" s="133"/>
      <c r="R101" s="133"/>
      <c r="S101" s="133"/>
      <c r="T101" s="133"/>
      <c r="U101" s="133"/>
    </row>
    <row r="102" spans="1:21" ht="15.75" customHeight="1" x14ac:dyDescent="0.35">
      <c r="A102" s="133"/>
      <c r="B102" s="133"/>
      <c r="C102" s="133"/>
      <c r="D102" s="133"/>
      <c r="E102" s="133"/>
      <c r="F102" s="133"/>
      <c r="G102" s="133"/>
      <c r="H102" s="133"/>
      <c r="I102" s="133"/>
      <c r="J102" s="133"/>
      <c r="K102" s="133"/>
      <c r="L102" s="133"/>
      <c r="M102" s="133"/>
      <c r="N102" s="133"/>
      <c r="O102" s="219"/>
      <c r="P102" s="133"/>
      <c r="Q102" s="133"/>
      <c r="R102" s="133"/>
      <c r="S102" s="133"/>
      <c r="T102" s="133"/>
      <c r="U102" s="133"/>
    </row>
    <row r="103" spans="1:21" ht="15.75" customHeight="1" x14ac:dyDescent="0.35">
      <c r="A103" s="133"/>
      <c r="B103" s="133"/>
      <c r="C103" s="133"/>
      <c r="D103" s="133"/>
      <c r="E103" s="133"/>
      <c r="F103" s="133"/>
      <c r="G103" s="133"/>
      <c r="H103" s="133"/>
      <c r="I103" s="133"/>
      <c r="J103" s="133"/>
      <c r="K103" s="133"/>
      <c r="L103" s="133"/>
      <c r="M103" s="133"/>
      <c r="N103" s="133"/>
      <c r="O103" s="219"/>
      <c r="P103" s="133"/>
      <c r="Q103" s="133"/>
      <c r="R103" s="133"/>
      <c r="S103" s="133"/>
      <c r="T103" s="133"/>
      <c r="U103" s="133"/>
    </row>
    <row r="104" spans="1:21" ht="15.75" customHeight="1" x14ac:dyDescent="0.35">
      <c r="A104" s="133"/>
      <c r="B104" s="133"/>
      <c r="C104" s="133"/>
      <c r="D104" s="133"/>
      <c r="E104" s="133"/>
      <c r="F104" s="133"/>
      <c r="G104" s="133"/>
      <c r="H104" s="133"/>
      <c r="I104" s="133"/>
      <c r="J104" s="133"/>
      <c r="K104" s="133"/>
      <c r="L104" s="133"/>
      <c r="M104" s="133"/>
      <c r="N104" s="133"/>
      <c r="O104" s="219"/>
      <c r="P104" s="133"/>
      <c r="Q104" s="133"/>
      <c r="R104" s="133"/>
      <c r="S104" s="133"/>
      <c r="T104" s="133"/>
      <c r="U104" s="133"/>
    </row>
    <row r="105" spans="1:21" ht="15.75" customHeight="1" x14ac:dyDescent="0.35">
      <c r="A105" s="133"/>
      <c r="B105" s="133"/>
      <c r="C105" s="133"/>
      <c r="D105" s="133"/>
      <c r="E105" s="133"/>
      <c r="F105" s="133"/>
      <c r="G105" s="133"/>
      <c r="H105" s="133"/>
      <c r="I105" s="133"/>
      <c r="J105" s="133"/>
      <c r="K105" s="133"/>
      <c r="L105" s="133"/>
      <c r="M105" s="133"/>
      <c r="N105" s="133"/>
      <c r="O105" s="219"/>
      <c r="P105" s="133"/>
      <c r="Q105" s="133"/>
      <c r="R105" s="133"/>
      <c r="S105" s="133"/>
      <c r="T105" s="133"/>
      <c r="U105" s="133"/>
    </row>
    <row r="106" spans="1:21" ht="15.75" customHeight="1" x14ac:dyDescent="0.35">
      <c r="A106" s="133"/>
      <c r="B106" s="133"/>
      <c r="C106" s="133"/>
      <c r="D106" s="133"/>
      <c r="E106" s="133"/>
      <c r="F106" s="133"/>
      <c r="G106" s="133"/>
      <c r="H106" s="133"/>
      <c r="I106" s="133"/>
      <c r="J106" s="133"/>
      <c r="K106" s="133"/>
      <c r="L106" s="133"/>
      <c r="M106" s="133"/>
      <c r="N106" s="133"/>
      <c r="O106" s="219"/>
      <c r="P106" s="133"/>
      <c r="Q106" s="133"/>
      <c r="R106" s="133"/>
      <c r="S106" s="133"/>
      <c r="T106" s="133"/>
      <c r="U106" s="133"/>
    </row>
    <row r="107" spans="1:21" ht="15.75" customHeight="1" x14ac:dyDescent="0.35">
      <c r="A107" s="133"/>
      <c r="B107" s="133"/>
      <c r="C107" s="133"/>
      <c r="D107" s="133"/>
      <c r="E107" s="133"/>
      <c r="F107" s="133"/>
      <c r="G107" s="133"/>
      <c r="H107" s="133"/>
      <c r="I107" s="133"/>
      <c r="J107" s="133"/>
      <c r="K107" s="133"/>
      <c r="L107" s="133"/>
      <c r="M107" s="133"/>
      <c r="N107" s="133"/>
      <c r="O107" s="219"/>
      <c r="P107" s="133"/>
      <c r="Q107" s="133"/>
      <c r="R107" s="133"/>
      <c r="S107" s="133"/>
      <c r="T107" s="133"/>
      <c r="U107" s="133"/>
    </row>
    <row r="108" spans="1:21" ht="15.75" customHeight="1" x14ac:dyDescent="0.35">
      <c r="A108" s="133"/>
      <c r="B108" s="133"/>
      <c r="C108" s="133"/>
      <c r="D108" s="133"/>
      <c r="E108" s="133"/>
      <c r="F108" s="133"/>
      <c r="G108" s="133"/>
      <c r="H108" s="133"/>
      <c r="I108" s="133"/>
      <c r="J108" s="133"/>
      <c r="K108" s="133"/>
      <c r="L108" s="133"/>
      <c r="M108" s="133"/>
      <c r="N108" s="133"/>
      <c r="O108" s="219"/>
      <c r="P108" s="133"/>
      <c r="Q108" s="133"/>
      <c r="R108" s="133"/>
      <c r="S108" s="133"/>
      <c r="T108" s="133"/>
      <c r="U108" s="133"/>
    </row>
    <row r="109" spans="1:21" ht="15.75" customHeight="1" x14ac:dyDescent="0.35">
      <c r="A109" s="133"/>
      <c r="B109" s="133"/>
      <c r="C109" s="133"/>
      <c r="D109" s="133"/>
      <c r="E109" s="133"/>
      <c r="F109" s="133"/>
      <c r="G109" s="133"/>
      <c r="H109" s="133"/>
      <c r="I109" s="133"/>
      <c r="J109" s="133"/>
      <c r="K109" s="133"/>
      <c r="L109" s="133"/>
      <c r="M109" s="133"/>
      <c r="N109" s="133"/>
      <c r="O109" s="219"/>
      <c r="P109" s="133"/>
      <c r="Q109" s="133"/>
      <c r="R109" s="133"/>
      <c r="S109" s="133"/>
      <c r="T109" s="133"/>
      <c r="U109" s="133"/>
    </row>
    <row r="110" spans="1:21" ht="15.75" customHeight="1" x14ac:dyDescent="0.35">
      <c r="A110" s="133"/>
      <c r="B110" s="133"/>
      <c r="C110" s="133"/>
      <c r="D110" s="133"/>
      <c r="E110" s="133"/>
      <c r="F110" s="133"/>
      <c r="G110" s="133"/>
      <c r="H110" s="133"/>
      <c r="I110" s="133"/>
      <c r="J110" s="133"/>
      <c r="K110" s="133"/>
      <c r="L110" s="133"/>
      <c r="M110" s="133"/>
      <c r="N110" s="133"/>
      <c r="O110" s="219"/>
      <c r="P110" s="133"/>
      <c r="Q110" s="133"/>
      <c r="R110" s="133"/>
      <c r="S110" s="133"/>
      <c r="T110" s="133"/>
      <c r="U110" s="133"/>
    </row>
    <row r="111" spans="1:21" ht="15.75" customHeight="1" x14ac:dyDescent="0.35">
      <c r="A111" s="133"/>
      <c r="B111" s="133"/>
      <c r="C111" s="133"/>
      <c r="D111" s="133"/>
      <c r="E111" s="133"/>
      <c r="F111" s="133"/>
      <c r="G111" s="133"/>
      <c r="H111" s="133"/>
      <c r="I111" s="133"/>
      <c r="J111" s="133"/>
      <c r="K111" s="133"/>
      <c r="L111" s="133"/>
      <c r="M111" s="133"/>
      <c r="N111" s="133"/>
      <c r="O111" s="219"/>
      <c r="P111" s="133"/>
      <c r="Q111" s="133"/>
      <c r="R111" s="133"/>
      <c r="S111" s="133"/>
      <c r="T111" s="133"/>
      <c r="U111" s="133"/>
    </row>
    <row r="112" spans="1:21" ht="15.75" customHeight="1" x14ac:dyDescent="0.35">
      <c r="A112" s="133"/>
      <c r="B112" s="133"/>
      <c r="C112" s="133"/>
      <c r="D112" s="133"/>
      <c r="E112" s="133"/>
      <c r="F112" s="133"/>
      <c r="G112" s="133"/>
      <c r="H112" s="133"/>
      <c r="I112" s="133"/>
      <c r="J112" s="133"/>
      <c r="K112" s="133"/>
      <c r="L112" s="133"/>
      <c r="M112" s="133"/>
      <c r="N112" s="133"/>
      <c r="O112" s="219"/>
      <c r="P112" s="133"/>
      <c r="Q112" s="133"/>
      <c r="R112" s="133"/>
      <c r="S112" s="133"/>
      <c r="T112" s="133"/>
      <c r="U112" s="133"/>
    </row>
    <row r="113" spans="1:21" ht="15.75" customHeight="1" x14ac:dyDescent="0.35">
      <c r="A113" s="133"/>
      <c r="B113" s="133"/>
      <c r="C113" s="133"/>
      <c r="D113" s="133"/>
      <c r="E113" s="133"/>
      <c r="F113" s="133"/>
      <c r="G113" s="133"/>
      <c r="H113" s="133"/>
      <c r="I113" s="133"/>
      <c r="J113" s="133"/>
      <c r="K113" s="133"/>
      <c r="L113" s="133"/>
      <c r="M113" s="133"/>
      <c r="N113" s="133"/>
      <c r="O113" s="219"/>
      <c r="P113" s="133"/>
      <c r="Q113" s="133"/>
      <c r="R113" s="133"/>
      <c r="S113" s="133"/>
      <c r="T113" s="133"/>
      <c r="U113" s="133"/>
    </row>
    <row r="114" spans="1:21" ht="15.75" customHeight="1" x14ac:dyDescent="0.35">
      <c r="A114" s="133"/>
      <c r="B114" s="133"/>
      <c r="C114" s="133"/>
      <c r="D114" s="133"/>
      <c r="E114" s="133"/>
      <c r="F114" s="133"/>
      <c r="G114" s="133"/>
      <c r="H114" s="133"/>
      <c r="I114" s="133"/>
      <c r="J114" s="133"/>
      <c r="K114" s="133"/>
      <c r="L114" s="133"/>
      <c r="M114" s="133"/>
      <c r="N114" s="133"/>
      <c r="O114" s="219"/>
      <c r="P114" s="133"/>
      <c r="Q114" s="133"/>
      <c r="R114" s="133"/>
      <c r="S114" s="133"/>
      <c r="T114" s="133"/>
      <c r="U114" s="133"/>
    </row>
    <row r="115" spans="1:21" ht="15.75" customHeight="1" x14ac:dyDescent="0.35">
      <c r="A115" s="133"/>
      <c r="B115" s="133"/>
      <c r="C115" s="133"/>
      <c r="D115" s="133"/>
      <c r="E115" s="133"/>
      <c r="F115" s="133"/>
      <c r="G115" s="133"/>
      <c r="H115" s="133"/>
      <c r="I115" s="133"/>
      <c r="J115" s="133"/>
      <c r="K115" s="133"/>
      <c r="L115" s="133"/>
      <c r="M115" s="133"/>
      <c r="N115" s="133"/>
      <c r="O115" s="219"/>
      <c r="P115" s="133"/>
      <c r="Q115" s="133"/>
      <c r="R115" s="133"/>
      <c r="S115" s="133"/>
      <c r="T115" s="133"/>
      <c r="U115" s="133"/>
    </row>
    <row r="116" spans="1:21" ht="15.75" customHeight="1" x14ac:dyDescent="0.35">
      <c r="A116" s="133"/>
      <c r="B116" s="133"/>
      <c r="C116" s="133"/>
      <c r="D116" s="133"/>
      <c r="E116" s="133"/>
      <c r="F116" s="133"/>
      <c r="G116" s="133"/>
      <c r="H116" s="133"/>
      <c r="I116" s="133"/>
      <c r="J116" s="133"/>
      <c r="K116" s="133"/>
      <c r="L116" s="133"/>
      <c r="M116" s="133"/>
      <c r="N116" s="133"/>
      <c r="O116" s="219"/>
      <c r="P116" s="133"/>
      <c r="Q116" s="133"/>
      <c r="R116" s="133"/>
      <c r="S116" s="133"/>
      <c r="T116" s="133"/>
      <c r="U116" s="133"/>
    </row>
    <row r="117" spans="1:21" ht="15.75" customHeight="1" x14ac:dyDescent="0.35">
      <c r="A117" s="133"/>
      <c r="B117" s="133"/>
      <c r="C117" s="133"/>
      <c r="D117" s="133"/>
      <c r="E117" s="133"/>
      <c r="F117" s="133"/>
      <c r="G117" s="133"/>
      <c r="H117" s="133"/>
      <c r="I117" s="133"/>
      <c r="J117" s="133"/>
      <c r="K117" s="133"/>
      <c r="L117" s="133"/>
      <c r="M117" s="133"/>
      <c r="N117" s="133"/>
      <c r="O117" s="219"/>
      <c r="P117" s="133"/>
      <c r="Q117" s="133"/>
      <c r="R117" s="133"/>
      <c r="S117" s="133"/>
      <c r="T117" s="133"/>
      <c r="U117" s="133"/>
    </row>
    <row r="118" spans="1:21" ht="15.75" customHeight="1" x14ac:dyDescent="0.35">
      <c r="A118" s="133"/>
      <c r="B118" s="133"/>
      <c r="C118" s="133"/>
      <c r="D118" s="133"/>
      <c r="E118" s="133"/>
      <c r="F118" s="133"/>
      <c r="G118" s="133"/>
      <c r="H118" s="133"/>
      <c r="I118" s="133"/>
      <c r="J118" s="133"/>
      <c r="K118" s="133"/>
      <c r="L118" s="133"/>
      <c r="M118" s="133"/>
      <c r="N118" s="133"/>
      <c r="O118" s="219"/>
      <c r="P118" s="133"/>
      <c r="Q118" s="133"/>
      <c r="R118" s="133"/>
      <c r="S118" s="133"/>
      <c r="T118" s="133"/>
      <c r="U118" s="133"/>
    </row>
    <row r="119" spans="1:21" ht="15.75" customHeight="1" x14ac:dyDescent="0.35">
      <c r="A119" s="133"/>
      <c r="B119" s="133"/>
      <c r="C119" s="133"/>
      <c r="D119" s="133"/>
      <c r="E119" s="133"/>
      <c r="F119" s="133"/>
      <c r="G119" s="133"/>
      <c r="H119" s="133"/>
      <c r="I119" s="133"/>
      <c r="J119" s="133"/>
      <c r="K119" s="133"/>
      <c r="L119" s="133"/>
      <c r="M119" s="133"/>
      <c r="N119" s="133"/>
      <c r="O119" s="219"/>
      <c r="P119" s="133"/>
      <c r="Q119" s="133"/>
      <c r="R119" s="133"/>
      <c r="S119" s="133"/>
      <c r="T119" s="133"/>
      <c r="U119" s="133"/>
    </row>
    <row r="120" spans="1:21" ht="15.75" customHeight="1" x14ac:dyDescent="0.35">
      <c r="A120" s="133"/>
      <c r="B120" s="133"/>
      <c r="C120" s="133"/>
      <c r="D120" s="133"/>
      <c r="E120" s="133"/>
      <c r="F120" s="133"/>
      <c r="G120" s="133"/>
      <c r="H120" s="133"/>
      <c r="I120" s="133"/>
      <c r="J120" s="133"/>
      <c r="K120" s="133"/>
      <c r="L120" s="133"/>
      <c r="M120" s="133"/>
      <c r="N120" s="133"/>
      <c r="O120" s="219"/>
      <c r="P120" s="133"/>
      <c r="Q120" s="133"/>
      <c r="R120" s="133"/>
      <c r="S120" s="133"/>
      <c r="T120" s="133"/>
      <c r="U120" s="133"/>
    </row>
    <row r="121" spans="1:21" ht="15.75" customHeight="1" x14ac:dyDescent="0.35">
      <c r="A121" s="133"/>
      <c r="B121" s="133"/>
      <c r="C121" s="133"/>
      <c r="D121" s="133"/>
      <c r="E121" s="133"/>
      <c r="F121" s="133"/>
      <c r="G121" s="133"/>
      <c r="H121" s="133"/>
      <c r="I121" s="133"/>
      <c r="J121" s="133"/>
      <c r="K121" s="133"/>
      <c r="L121" s="133"/>
      <c r="M121" s="133"/>
      <c r="N121" s="133"/>
      <c r="O121" s="219"/>
      <c r="P121" s="133"/>
      <c r="Q121" s="133"/>
      <c r="R121" s="133"/>
      <c r="S121" s="133"/>
      <c r="T121" s="133"/>
      <c r="U121" s="133"/>
    </row>
    <row r="122" spans="1:21" ht="15.75" customHeight="1" x14ac:dyDescent="0.35">
      <c r="A122" s="133"/>
      <c r="B122" s="133"/>
      <c r="C122" s="133"/>
      <c r="D122" s="133"/>
      <c r="E122" s="133"/>
      <c r="F122" s="133"/>
      <c r="G122" s="133"/>
      <c r="H122" s="133"/>
      <c r="I122" s="133"/>
      <c r="J122" s="133"/>
      <c r="K122" s="133"/>
      <c r="L122" s="133"/>
      <c r="M122" s="133"/>
      <c r="N122" s="133"/>
      <c r="O122" s="219"/>
      <c r="P122" s="133"/>
      <c r="Q122" s="133"/>
      <c r="R122" s="133"/>
      <c r="S122" s="133"/>
      <c r="T122" s="133"/>
      <c r="U122" s="133"/>
    </row>
    <row r="123" spans="1:21" ht="15.75" customHeight="1" x14ac:dyDescent="0.35">
      <c r="A123" s="133"/>
      <c r="B123" s="133"/>
      <c r="C123" s="133"/>
      <c r="D123" s="133"/>
      <c r="E123" s="133"/>
      <c r="F123" s="133"/>
      <c r="G123" s="133"/>
      <c r="H123" s="133"/>
      <c r="I123" s="133"/>
      <c r="J123" s="133"/>
      <c r="K123" s="133"/>
      <c r="L123" s="133"/>
      <c r="M123" s="133"/>
      <c r="N123" s="133"/>
      <c r="O123" s="219"/>
      <c r="P123" s="133"/>
      <c r="Q123" s="133"/>
      <c r="R123" s="133"/>
      <c r="S123" s="133"/>
      <c r="T123" s="133"/>
      <c r="U123" s="133"/>
    </row>
    <row r="124" spans="1:21" ht="15.75" customHeight="1" x14ac:dyDescent="0.35">
      <c r="A124" s="133"/>
      <c r="B124" s="133"/>
      <c r="C124" s="133"/>
      <c r="D124" s="133"/>
      <c r="E124" s="133"/>
      <c r="F124" s="133"/>
      <c r="G124" s="133"/>
      <c r="H124" s="133"/>
      <c r="I124" s="133"/>
      <c r="J124" s="133"/>
      <c r="K124" s="133"/>
      <c r="L124" s="133"/>
      <c r="M124" s="133"/>
      <c r="N124" s="133"/>
      <c r="O124" s="219"/>
      <c r="P124" s="133"/>
      <c r="Q124" s="133"/>
      <c r="R124" s="133"/>
      <c r="S124" s="133"/>
      <c r="T124" s="133"/>
      <c r="U124" s="133"/>
    </row>
    <row r="125" spans="1:21" ht="15.75" customHeight="1" x14ac:dyDescent="0.35">
      <c r="A125" s="133"/>
      <c r="B125" s="133"/>
      <c r="C125" s="133"/>
      <c r="D125" s="133"/>
      <c r="E125" s="133"/>
      <c r="F125" s="133"/>
      <c r="G125" s="133"/>
      <c r="H125" s="133"/>
      <c r="I125" s="133"/>
      <c r="J125" s="133"/>
      <c r="K125" s="133"/>
      <c r="L125" s="133"/>
      <c r="M125" s="133"/>
      <c r="N125" s="133"/>
      <c r="O125" s="219"/>
      <c r="P125" s="133"/>
      <c r="Q125" s="133"/>
      <c r="R125" s="133"/>
      <c r="S125" s="133"/>
      <c r="T125" s="133"/>
      <c r="U125" s="133"/>
    </row>
    <row r="126" spans="1:21" ht="15.75" customHeight="1" x14ac:dyDescent="0.35">
      <c r="A126" s="133"/>
      <c r="B126" s="133"/>
      <c r="C126" s="133"/>
      <c r="D126" s="133"/>
      <c r="E126" s="133"/>
      <c r="F126" s="133"/>
      <c r="G126" s="133"/>
      <c r="H126" s="133"/>
      <c r="I126" s="133"/>
      <c r="J126" s="133"/>
      <c r="K126" s="133"/>
      <c r="L126" s="133"/>
      <c r="M126" s="133"/>
      <c r="N126" s="133"/>
      <c r="O126" s="219"/>
      <c r="P126" s="133"/>
      <c r="Q126" s="133"/>
      <c r="R126" s="133"/>
      <c r="S126" s="133"/>
      <c r="T126" s="133"/>
      <c r="U126" s="133"/>
    </row>
    <row r="127" spans="1:21" ht="15.75" customHeight="1" x14ac:dyDescent="0.35">
      <c r="A127" s="133"/>
      <c r="B127" s="133"/>
      <c r="C127" s="133"/>
      <c r="D127" s="133"/>
      <c r="E127" s="133"/>
      <c r="F127" s="133"/>
      <c r="G127" s="133"/>
      <c r="H127" s="133"/>
      <c r="I127" s="133"/>
      <c r="J127" s="133"/>
      <c r="K127" s="133"/>
      <c r="L127" s="133"/>
      <c r="M127" s="133"/>
      <c r="N127" s="133"/>
      <c r="O127" s="219"/>
      <c r="P127" s="133"/>
      <c r="Q127" s="133"/>
      <c r="R127" s="133"/>
      <c r="S127" s="133"/>
      <c r="T127" s="133"/>
      <c r="U127" s="133"/>
    </row>
    <row r="128" spans="1:21" ht="15.75" customHeight="1" x14ac:dyDescent="0.35">
      <c r="A128" s="133"/>
      <c r="B128" s="133"/>
      <c r="C128" s="133"/>
      <c r="D128" s="133"/>
      <c r="E128" s="133"/>
      <c r="F128" s="133"/>
      <c r="G128" s="133"/>
      <c r="H128" s="133"/>
      <c r="I128" s="133"/>
      <c r="J128" s="133"/>
      <c r="K128" s="133"/>
      <c r="L128" s="133"/>
      <c r="M128" s="133"/>
      <c r="N128" s="133"/>
      <c r="O128" s="219"/>
      <c r="P128" s="133"/>
      <c r="Q128" s="133"/>
      <c r="R128" s="133"/>
      <c r="S128" s="133"/>
      <c r="T128" s="133"/>
      <c r="U128" s="133"/>
    </row>
    <row r="129" spans="1:21" ht="15.75" customHeight="1" x14ac:dyDescent="0.35">
      <c r="A129" s="133"/>
      <c r="B129" s="133"/>
      <c r="C129" s="133"/>
      <c r="D129" s="133"/>
      <c r="E129" s="133"/>
      <c r="F129" s="133"/>
      <c r="G129" s="133"/>
      <c r="H129" s="133"/>
      <c r="I129" s="133"/>
      <c r="J129" s="133"/>
      <c r="K129" s="133"/>
      <c r="L129" s="133"/>
      <c r="M129" s="133"/>
      <c r="N129" s="133"/>
      <c r="O129" s="219"/>
      <c r="P129" s="133"/>
      <c r="Q129" s="133"/>
      <c r="R129" s="133"/>
      <c r="S129" s="133"/>
      <c r="T129" s="133"/>
      <c r="U129" s="133"/>
    </row>
    <row r="130" spans="1:21" ht="15.75" customHeight="1" x14ac:dyDescent="0.35">
      <c r="A130" s="133"/>
      <c r="B130" s="133"/>
      <c r="C130" s="133"/>
      <c r="D130" s="133"/>
      <c r="E130" s="133"/>
      <c r="F130" s="133"/>
      <c r="G130" s="133"/>
      <c r="H130" s="133"/>
      <c r="I130" s="133"/>
      <c r="J130" s="133"/>
      <c r="K130" s="133"/>
      <c r="L130" s="133"/>
      <c r="M130" s="133"/>
      <c r="N130" s="133"/>
      <c r="O130" s="219"/>
      <c r="P130" s="133"/>
      <c r="Q130" s="133"/>
      <c r="R130" s="133"/>
      <c r="S130" s="133"/>
      <c r="T130" s="133"/>
      <c r="U130" s="133"/>
    </row>
    <row r="131" spans="1:21" ht="15.75" customHeight="1" x14ac:dyDescent="0.35">
      <c r="A131" s="133"/>
      <c r="B131" s="133"/>
      <c r="C131" s="133"/>
      <c r="D131" s="133"/>
      <c r="E131" s="133"/>
      <c r="F131" s="133"/>
      <c r="G131" s="133"/>
      <c r="H131" s="133"/>
      <c r="I131" s="133"/>
      <c r="J131" s="133"/>
      <c r="K131" s="133"/>
      <c r="L131" s="133"/>
      <c r="M131" s="133"/>
      <c r="N131" s="133"/>
      <c r="O131" s="219"/>
      <c r="P131" s="133"/>
      <c r="Q131" s="133"/>
      <c r="R131" s="133"/>
      <c r="S131" s="133"/>
      <c r="T131" s="133"/>
      <c r="U131" s="133"/>
    </row>
    <row r="132" spans="1:21" ht="15.75" customHeight="1" x14ac:dyDescent="0.35">
      <c r="A132" s="133"/>
      <c r="B132" s="133"/>
      <c r="C132" s="133"/>
      <c r="D132" s="133"/>
      <c r="E132" s="133"/>
      <c r="F132" s="133"/>
      <c r="G132" s="133"/>
      <c r="H132" s="133"/>
      <c r="I132" s="133"/>
      <c r="J132" s="133"/>
      <c r="K132" s="133"/>
      <c r="L132" s="133"/>
      <c r="M132" s="133"/>
      <c r="N132" s="133"/>
      <c r="O132" s="219"/>
      <c r="P132" s="133"/>
      <c r="Q132" s="133"/>
      <c r="R132" s="133"/>
      <c r="S132" s="133"/>
      <c r="T132" s="133"/>
      <c r="U132" s="133"/>
    </row>
    <row r="133" spans="1:21" ht="15.75" customHeight="1" x14ac:dyDescent="0.35">
      <c r="A133" s="133"/>
      <c r="B133" s="133"/>
      <c r="C133" s="133"/>
      <c r="D133" s="133"/>
      <c r="E133" s="133"/>
      <c r="F133" s="133"/>
      <c r="G133" s="133"/>
      <c r="H133" s="133"/>
      <c r="I133" s="133"/>
      <c r="J133" s="133"/>
      <c r="K133" s="133"/>
      <c r="L133" s="133"/>
      <c r="M133" s="133"/>
      <c r="N133" s="133"/>
      <c r="O133" s="219"/>
      <c r="P133" s="133"/>
      <c r="Q133" s="133"/>
      <c r="R133" s="133"/>
      <c r="S133" s="133"/>
      <c r="T133" s="133"/>
      <c r="U133" s="133"/>
    </row>
    <row r="134" spans="1:21" ht="15.75" customHeight="1" x14ac:dyDescent="0.35">
      <c r="A134" s="133"/>
      <c r="B134" s="133"/>
      <c r="C134" s="133"/>
      <c r="D134" s="133"/>
      <c r="E134" s="133"/>
      <c r="F134" s="133"/>
      <c r="G134" s="133"/>
      <c r="H134" s="133"/>
      <c r="I134" s="133"/>
      <c r="J134" s="133"/>
      <c r="K134" s="133"/>
      <c r="L134" s="133"/>
      <c r="M134" s="133"/>
      <c r="N134" s="133"/>
      <c r="O134" s="219"/>
      <c r="P134" s="133"/>
      <c r="Q134" s="133"/>
      <c r="R134" s="133"/>
      <c r="S134" s="133"/>
      <c r="T134" s="133"/>
      <c r="U134" s="133"/>
    </row>
    <row r="135" spans="1:21" ht="15.75" customHeight="1" x14ac:dyDescent="0.35">
      <c r="A135" s="133"/>
      <c r="B135" s="133"/>
      <c r="C135" s="133"/>
      <c r="D135" s="133"/>
      <c r="E135" s="133"/>
      <c r="F135" s="133"/>
      <c r="G135" s="133"/>
      <c r="H135" s="133"/>
      <c r="I135" s="133"/>
      <c r="J135" s="133"/>
      <c r="K135" s="133"/>
      <c r="L135" s="133"/>
      <c r="M135" s="133"/>
      <c r="N135" s="133"/>
      <c r="O135" s="219"/>
      <c r="P135" s="133"/>
      <c r="Q135" s="133"/>
      <c r="R135" s="133"/>
      <c r="S135" s="133"/>
      <c r="T135" s="133"/>
      <c r="U135" s="133"/>
    </row>
    <row r="136" spans="1:21" ht="15.75" customHeight="1" x14ac:dyDescent="0.35">
      <c r="A136" s="133"/>
      <c r="B136" s="133"/>
      <c r="C136" s="133"/>
      <c r="D136" s="133"/>
      <c r="E136" s="133"/>
      <c r="F136" s="133"/>
      <c r="G136" s="133"/>
      <c r="H136" s="133"/>
      <c r="I136" s="133"/>
      <c r="J136" s="133"/>
      <c r="K136" s="133"/>
      <c r="L136" s="133"/>
      <c r="M136" s="133"/>
      <c r="N136" s="133"/>
      <c r="O136" s="219"/>
      <c r="P136" s="133"/>
      <c r="Q136" s="133"/>
      <c r="R136" s="133"/>
      <c r="S136" s="133"/>
      <c r="T136" s="133"/>
      <c r="U136" s="133"/>
    </row>
    <row r="137" spans="1:21" ht="15.75" customHeight="1" x14ac:dyDescent="0.35">
      <c r="A137" s="133"/>
      <c r="B137" s="133"/>
      <c r="C137" s="133"/>
      <c r="D137" s="133"/>
      <c r="E137" s="133"/>
      <c r="F137" s="133"/>
      <c r="G137" s="133"/>
      <c r="H137" s="133"/>
      <c r="I137" s="133"/>
      <c r="J137" s="133"/>
      <c r="K137" s="133"/>
      <c r="L137" s="133"/>
      <c r="M137" s="133"/>
      <c r="N137" s="133"/>
      <c r="O137" s="219"/>
      <c r="P137" s="133"/>
      <c r="Q137" s="133"/>
      <c r="R137" s="133"/>
      <c r="S137" s="133"/>
      <c r="T137" s="133"/>
      <c r="U137" s="133"/>
    </row>
    <row r="138" spans="1:21" ht="15.75" customHeight="1" x14ac:dyDescent="0.35">
      <c r="A138" s="133"/>
      <c r="B138" s="133"/>
      <c r="C138" s="133"/>
      <c r="D138" s="133"/>
      <c r="E138" s="133"/>
      <c r="F138" s="133"/>
      <c r="G138" s="133"/>
      <c r="H138" s="133"/>
      <c r="I138" s="133"/>
      <c r="J138" s="133"/>
      <c r="K138" s="133"/>
      <c r="L138" s="133"/>
      <c r="M138" s="133"/>
      <c r="N138" s="133"/>
      <c r="O138" s="219"/>
      <c r="P138" s="133"/>
      <c r="Q138" s="133"/>
      <c r="R138" s="133"/>
      <c r="S138" s="133"/>
      <c r="T138" s="133"/>
      <c r="U138" s="133"/>
    </row>
    <row r="139" spans="1:21" ht="15.75" customHeight="1" x14ac:dyDescent="0.35">
      <c r="A139" s="133"/>
      <c r="B139" s="133"/>
      <c r="C139" s="133"/>
      <c r="D139" s="133"/>
      <c r="E139" s="133"/>
      <c r="F139" s="133"/>
      <c r="G139" s="133"/>
      <c r="H139" s="133"/>
      <c r="I139" s="133"/>
      <c r="J139" s="133"/>
      <c r="K139" s="133"/>
      <c r="L139" s="133"/>
      <c r="M139" s="133"/>
      <c r="N139" s="133"/>
      <c r="O139" s="219"/>
      <c r="P139" s="133"/>
      <c r="Q139" s="133"/>
      <c r="R139" s="133"/>
      <c r="S139" s="133"/>
      <c r="T139" s="133"/>
      <c r="U139" s="133"/>
    </row>
    <row r="140" spans="1:21" ht="15.75" customHeight="1" x14ac:dyDescent="0.35">
      <c r="A140" s="133"/>
      <c r="B140" s="133"/>
      <c r="C140" s="133"/>
      <c r="D140" s="133"/>
      <c r="E140" s="133"/>
      <c r="F140" s="133"/>
      <c r="G140" s="133"/>
      <c r="H140" s="133"/>
      <c r="I140" s="133"/>
      <c r="J140" s="133"/>
      <c r="K140" s="133"/>
      <c r="L140" s="133"/>
      <c r="M140" s="133"/>
      <c r="N140" s="133"/>
      <c r="O140" s="219"/>
      <c r="P140" s="133"/>
      <c r="Q140" s="133"/>
      <c r="R140" s="133"/>
      <c r="S140" s="133"/>
      <c r="T140" s="133"/>
      <c r="U140" s="133"/>
    </row>
    <row r="141" spans="1:21" ht="15.75" customHeight="1" x14ac:dyDescent="0.35">
      <c r="A141" s="133"/>
      <c r="B141" s="133"/>
      <c r="C141" s="133"/>
      <c r="D141" s="133"/>
      <c r="E141" s="133"/>
      <c r="F141" s="133"/>
      <c r="G141" s="133"/>
      <c r="H141" s="133"/>
      <c r="I141" s="133"/>
      <c r="J141" s="133"/>
      <c r="K141" s="133"/>
      <c r="L141" s="133"/>
      <c r="M141" s="133"/>
      <c r="N141" s="133"/>
      <c r="O141" s="219"/>
      <c r="P141" s="133"/>
      <c r="Q141" s="133"/>
      <c r="R141" s="133"/>
      <c r="S141" s="133"/>
      <c r="T141" s="133"/>
      <c r="U141" s="133"/>
    </row>
    <row r="142" spans="1:21" ht="15.75" customHeight="1" x14ac:dyDescent="0.35">
      <c r="A142" s="133"/>
      <c r="B142" s="133"/>
      <c r="C142" s="133"/>
      <c r="D142" s="133"/>
      <c r="E142" s="133"/>
      <c r="F142" s="133"/>
      <c r="G142" s="133"/>
      <c r="H142" s="133"/>
      <c r="I142" s="133"/>
      <c r="J142" s="133"/>
      <c r="K142" s="133"/>
      <c r="L142" s="133"/>
      <c r="M142" s="133"/>
      <c r="N142" s="133"/>
      <c r="O142" s="219"/>
      <c r="P142" s="133"/>
      <c r="Q142" s="133"/>
      <c r="R142" s="133"/>
      <c r="S142" s="133"/>
      <c r="T142" s="133"/>
      <c r="U142" s="133"/>
    </row>
    <row r="143" spans="1:21" ht="15.75" customHeight="1" x14ac:dyDescent="0.35">
      <c r="A143" s="133"/>
      <c r="B143" s="133"/>
      <c r="C143" s="133"/>
      <c r="D143" s="133"/>
      <c r="E143" s="133"/>
      <c r="F143" s="133"/>
      <c r="G143" s="133"/>
      <c r="H143" s="133"/>
      <c r="I143" s="133"/>
      <c r="J143" s="133"/>
      <c r="K143" s="133"/>
      <c r="L143" s="133"/>
      <c r="M143" s="133"/>
      <c r="N143" s="133"/>
      <c r="O143" s="219"/>
      <c r="P143" s="133"/>
      <c r="Q143" s="133"/>
      <c r="R143" s="133"/>
      <c r="S143" s="133"/>
      <c r="T143" s="133"/>
      <c r="U143" s="133"/>
    </row>
    <row r="144" spans="1:21" ht="15.75" customHeight="1" x14ac:dyDescent="0.35">
      <c r="A144" s="133"/>
      <c r="B144" s="133"/>
      <c r="C144" s="133"/>
      <c r="D144" s="133"/>
      <c r="E144" s="133"/>
      <c r="F144" s="133"/>
      <c r="G144" s="133"/>
      <c r="H144" s="133"/>
      <c r="I144" s="133"/>
      <c r="J144" s="133"/>
      <c r="K144" s="133"/>
      <c r="L144" s="133"/>
      <c r="M144" s="133"/>
      <c r="N144" s="133"/>
      <c r="O144" s="219"/>
      <c r="P144" s="133"/>
      <c r="Q144" s="133"/>
      <c r="R144" s="133"/>
      <c r="S144" s="133"/>
      <c r="T144" s="133"/>
      <c r="U144" s="133"/>
    </row>
    <row r="145" spans="1:21" ht="15.75" customHeight="1" x14ac:dyDescent="0.35">
      <c r="A145" s="133"/>
      <c r="B145" s="133"/>
      <c r="C145" s="133"/>
      <c r="D145" s="133"/>
      <c r="E145" s="133"/>
      <c r="F145" s="133"/>
      <c r="G145" s="133"/>
      <c r="H145" s="133"/>
      <c r="I145" s="133"/>
      <c r="J145" s="133"/>
      <c r="K145" s="133"/>
      <c r="L145" s="133"/>
      <c r="M145" s="133"/>
      <c r="N145" s="133"/>
      <c r="O145" s="219"/>
      <c r="P145" s="133"/>
      <c r="Q145" s="133"/>
      <c r="R145" s="133"/>
      <c r="S145" s="133"/>
      <c r="T145" s="133"/>
      <c r="U145" s="133"/>
    </row>
    <row r="146" spans="1:21" ht="15.75" customHeight="1" x14ac:dyDescent="0.35">
      <c r="A146" s="133"/>
      <c r="B146" s="133"/>
      <c r="C146" s="133"/>
      <c r="D146" s="133"/>
      <c r="E146" s="133"/>
      <c r="F146" s="133"/>
      <c r="G146" s="133"/>
      <c r="H146" s="133"/>
      <c r="I146" s="133"/>
      <c r="J146" s="133"/>
      <c r="K146" s="133"/>
      <c r="L146" s="133"/>
      <c r="M146" s="133"/>
      <c r="N146" s="133"/>
      <c r="O146" s="219"/>
      <c r="P146" s="133"/>
      <c r="Q146" s="133"/>
      <c r="R146" s="133"/>
      <c r="S146" s="133"/>
      <c r="T146" s="133"/>
      <c r="U146" s="133"/>
    </row>
    <row r="147" spans="1:21" ht="15.75" customHeight="1" x14ac:dyDescent="0.35">
      <c r="A147" s="133"/>
      <c r="B147" s="133"/>
      <c r="C147" s="133"/>
      <c r="D147" s="133"/>
      <c r="E147" s="133"/>
      <c r="F147" s="133"/>
      <c r="G147" s="133"/>
      <c r="H147" s="133"/>
      <c r="I147" s="133"/>
      <c r="J147" s="133"/>
      <c r="K147" s="133"/>
      <c r="L147" s="133"/>
      <c r="M147" s="133"/>
      <c r="N147" s="133"/>
      <c r="O147" s="219"/>
      <c r="P147" s="133"/>
      <c r="Q147" s="133"/>
      <c r="R147" s="133"/>
      <c r="S147" s="133"/>
      <c r="T147" s="133"/>
      <c r="U147" s="133"/>
    </row>
    <row r="148" spans="1:21" ht="15.75" customHeight="1" x14ac:dyDescent="0.35">
      <c r="A148" s="133"/>
      <c r="B148" s="133"/>
      <c r="C148" s="133"/>
      <c r="D148" s="133"/>
      <c r="E148" s="133"/>
      <c r="F148" s="133"/>
      <c r="G148" s="133"/>
      <c r="H148" s="133"/>
      <c r="I148" s="133"/>
      <c r="J148" s="133"/>
      <c r="K148" s="133"/>
      <c r="L148" s="133"/>
      <c r="M148" s="133"/>
      <c r="N148" s="133"/>
      <c r="O148" s="219"/>
      <c r="P148" s="133"/>
      <c r="Q148" s="133"/>
      <c r="R148" s="133"/>
      <c r="S148" s="133"/>
      <c r="T148" s="133"/>
      <c r="U148" s="133"/>
    </row>
    <row r="149" spans="1:21" ht="15.75" customHeight="1" x14ac:dyDescent="0.35">
      <c r="A149" s="133"/>
      <c r="B149" s="133"/>
      <c r="C149" s="133"/>
      <c r="D149" s="133"/>
      <c r="E149" s="133"/>
      <c r="F149" s="133"/>
      <c r="G149" s="133"/>
      <c r="H149" s="133"/>
      <c r="I149" s="133"/>
      <c r="J149" s="133"/>
      <c r="K149" s="133"/>
      <c r="L149" s="133"/>
      <c r="M149" s="133"/>
      <c r="N149" s="133"/>
      <c r="O149" s="219"/>
      <c r="P149" s="133"/>
      <c r="Q149" s="133"/>
      <c r="R149" s="133"/>
      <c r="S149" s="133"/>
      <c r="T149" s="133"/>
      <c r="U149" s="133"/>
    </row>
    <row r="150" spans="1:21" ht="15.75" customHeight="1" x14ac:dyDescent="0.35">
      <c r="A150" s="133"/>
      <c r="B150" s="133"/>
      <c r="C150" s="133"/>
      <c r="D150" s="133"/>
      <c r="E150" s="133"/>
      <c r="F150" s="133"/>
      <c r="G150" s="133"/>
      <c r="H150" s="133"/>
      <c r="I150" s="133"/>
      <c r="J150" s="133"/>
      <c r="K150" s="133"/>
      <c r="L150" s="133"/>
      <c r="M150" s="133"/>
      <c r="N150" s="133"/>
      <c r="O150" s="219"/>
      <c r="P150" s="133"/>
      <c r="Q150" s="133"/>
      <c r="R150" s="133"/>
      <c r="S150" s="133"/>
      <c r="T150" s="133"/>
      <c r="U150" s="133"/>
    </row>
    <row r="151" spans="1:21" ht="15.75" customHeight="1" x14ac:dyDescent="0.35">
      <c r="A151" s="133"/>
      <c r="B151" s="133"/>
      <c r="C151" s="133"/>
      <c r="D151" s="133"/>
      <c r="E151" s="133"/>
      <c r="F151" s="133"/>
      <c r="G151" s="133"/>
      <c r="H151" s="133"/>
      <c r="I151" s="133"/>
      <c r="J151" s="133"/>
      <c r="K151" s="133"/>
      <c r="L151" s="133"/>
      <c r="M151" s="133"/>
      <c r="N151" s="133"/>
      <c r="O151" s="219"/>
      <c r="P151" s="133"/>
      <c r="Q151" s="133"/>
      <c r="R151" s="133"/>
      <c r="S151" s="133"/>
      <c r="T151" s="133"/>
      <c r="U151" s="133"/>
    </row>
    <row r="152" spans="1:21" ht="15.75" customHeight="1" x14ac:dyDescent="0.35">
      <c r="A152" s="133"/>
      <c r="B152" s="133"/>
      <c r="C152" s="133"/>
      <c r="D152" s="133"/>
      <c r="E152" s="133"/>
      <c r="F152" s="133"/>
      <c r="G152" s="133"/>
      <c r="H152" s="133"/>
      <c r="I152" s="133"/>
      <c r="J152" s="133"/>
      <c r="K152" s="133"/>
      <c r="L152" s="133"/>
      <c r="M152" s="133"/>
      <c r="N152" s="133"/>
      <c r="O152" s="219"/>
      <c r="P152" s="133"/>
      <c r="Q152" s="133"/>
      <c r="R152" s="133"/>
      <c r="S152" s="133"/>
      <c r="T152" s="133"/>
      <c r="U152" s="133"/>
    </row>
    <row r="153" spans="1:21" ht="15.75" customHeight="1" x14ac:dyDescent="0.35">
      <c r="A153" s="133"/>
      <c r="B153" s="133"/>
      <c r="C153" s="133"/>
      <c r="D153" s="133"/>
      <c r="E153" s="133"/>
      <c r="F153" s="133"/>
      <c r="G153" s="133"/>
      <c r="H153" s="133"/>
      <c r="I153" s="133"/>
      <c r="J153" s="133"/>
      <c r="K153" s="133"/>
      <c r="L153" s="133"/>
      <c r="M153" s="133"/>
      <c r="N153" s="133"/>
      <c r="O153" s="219"/>
      <c r="P153" s="133"/>
      <c r="Q153" s="133"/>
      <c r="R153" s="133"/>
      <c r="S153" s="133"/>
      <c r="T153" s="133"/>
      <c r="U153" s="133"/>
    </row>
    <row r="154" spans="1:21" ht="15.75" customHeight="1" x14ac:dyDescent="0.35">
      <c r="A154" s="133"/>
      <c r="B154" s="133"/>
      <c r="C154" s="133"/>
      <c r="D154" s="133"/>
      <c r="E154" s="133"/>
      <c r="F154" s="133"/>
      <c r="G154" s="133"/>
      <c r="H154" s="133"/>
      <c r="I154" s="133"/>
      <c r="J154" s="133"/>
      <c r="K154" s="133"/>
      <c r="L154" s="133"/>
      <c r="M154" s="133"/>
      <c r="N154" s="133"/>
      <c r="O154" s="219"/>
      <c r="P154" s="133"/>
      <c r="Q154" s="133"/>
      <c r="R154" s="133"/>
      <c r="S154" s="133"/>
      <c r="T154" s="133"/>
      <c r="U154" s="133"/>
    </row>
    <row r="155" spans="1:21" ht="15.75" customHeight="1" x14ac:dyDescent="0.35">
      <c r="A155" s="133"/>
      <c r="B155" s="133"/>
      <c r="C155" s="133"/>
      <c r="D155" s="133"/>
      <c r="E155" s="133"/>
      <c r="F155" s="133"/>
      <c r="G155" s="133"/>
      <c r="H155" s="133"/>
      <c r="I155" s="133"/>
      <c r="J155" s="133"/>
      <c r="K155" s="133"/>
      <c r="L155" s="133"/>
      <c r="M155" s="133"/>
      <c r="N155" s="133"/>
      <c r="O155" s="219"/>
      <c r="P155" s="133"/>
      <c r="Q155" s="133"/>
      <c r="R155" s="133"/>
      <c r="S155" s="133"/>
      <c r="T155" s="133"/>
      <c r="U155" s="133"/>
    </row>
    <row r="156" spans="1:21" ht="15.75" customHeight="1" x14ac:dyDescent="0.35">
      <c r="A156" s="133"/>
      <c r="B156" s="133"/>
      <c r="C156" s="133"/>
      <c r="D156" s="133"/>
      <c r="E156" s="133"/>
      <c r="F156" s="133"/>
      <c r="G156" s="133"/>
      <c r="H156" s="133"/>
      <c r="I156" s="133"/>
      <c r="J156" s="133"/>
      <c r="K156" s="133"/>
      <c r="L156" s="133"/>
      <c r="M156" s="133"/>
      <c r="N156" s="133"/>
      <c r="O156" s="219"/>
      <c r="P156" s="133"/>
      <c r="Q156" s="133"/>
      <c r="R156" s="133"/>
      <c r="S156" s="133"/>
      <c r="T156" s="133"/>
      <c r="U156" s="133"/>
    </row>
    <row r="157" spans="1:21" ht="15.75" customHeight="1" x14ac:dyDescent="0.35">
      <c r="A157" s="133"/>
      <c r="B157" s="133"/>
      <c r="C157" s="133"/>
      <c r="D157" s="133"/>
      <c r="E157" s="133"/>
      <c r="F157" s="133"/>
      <c r="G157" s="133"/>
      <c r="H157" s="133"/>
      <c r="I157" s="133"/>
      <c r="J157" s="133"/>
      <c r="K157" s="133"/>
      <c r="L157" s="133"/>
      <c r="M157" s="133"/>
      <c r="N157" s="133"/>
      <c r="O157" s="219"/>
      <c r="P157" s="133"/>
      <c r="Q157" s="133"/>
      <c r="R157" s="133"/>
      <c r="S157" s="133"/>
      <c r="T157" s="133"/>
      <c r="U157" s="133"/>
    </row>
    <row r="158" spans="1:21" ht="15.75" customHeight="1" x14ac:dyDescent="0.35">
      <c r="A158" s="133"/>
      <c r="B158" s="133"/>
      <c r="C158" s="133"/>
      <c r="D158" s="133"/>
      <c r="E158" s="133"/>
      <c r="F158" s="133"/>
      <c r="G158" s="133"/>
      <c r="H158" s="133"/>
      <c r="I158" s="133"/>
      <c r="J158" s="133"/>
      <c r="K158" s="133"/>
      <c r="L158" s="133"/>
      <c r="M158" s="133"/>
      <c r="N158" s="133"/>
      <c r="O158" s="219"/>
      <c r="P158" s="133"/>
      <c r="Q158" s="133"/>
      <c r="R158" s="133"/>
      <c r="S158" s="133"/>
      <c r="T158" s="133"/>
      <c r="U158" s="133"/>
    </row>
    <row r="159" spans="1:21" ht="15.75" customHeight="1" x14ac:dyDescent="0.35">
      <c r="A159" s="133"/>
      <c r="B159" s="133"/>
      <c r="C159" s="133"/>
      <c r="D159" s="133"/>
      <c r="E159" s="133"/>
      <c r="F159" s="133"/>
      <c r="G159" s="133"/>
      <c r="H159" s="133"/>
      <c r="I159" s="133"/>
      <c r="J159" s="133"/>
      <c r="K159" s="133"/>
      <c r="L159" s="133"/>
      <c r="M159" s="133"/>
      <c r="N159" s="133"/>
      <c r="O159" s="219"/>
      <c r="P159" s="133"/>
      <c r="Q159" s="133"/>
      <c r="R159" s="133"/>
      <c r="S159" s="133"/>
      <c r="T159" s="133"/>
      <c r="U159" s="133"/>
    </row>
    <row r="160" spans="1:21" ht="15.75" customHeight="1" x14ac:dyDescent="0.35">
      <c r="A160" s="133"/>
      <c r="B160" s="133"/>
      <c r="C160" s="133"/>
      <c r="D160" s="133"/>
      <c r="E160" s="133"/>
      <c r="F160" s="133"/>
      <c r="G160" s="133"/>
      <c r="H160" s="133"/>
      <c r="I160" s="133"/>
      <c r="J160" s="133"/>
      <c r="K160" s="133"/>
      <c r="L160" s="133"/>
      <c r="M160" s="133"/>
      <c r="N160" s="133"/>
      <c r="O160" s="219"/>
      <c r="P160" s="133"/>
      <c r="Q160" s="133"/>
      <c r="R160" s="133"/>
      <c r="S160" s="133"/>
      <c r="T160" s="133"/>
      <c r="U160" s="133"/>
    </row>
    <row r="161" spans="1:21" ht="15.75" customHeight="1" x14ac:dyDescent="0.35">
      <c r="A161" s="133"/>
      <c r="B161" s="133"/>
      <c r="C161" s="133"/>
      <c r="D161" s="133"/>
      <c r="E161" s="133"/>
      <c r="F161" s="133"/>
      <c r="G161" s="133"/>
      <c r="H161" s="133"/>
      <c r="I161" s="133"/>
      <c r="J161" s="133"/>
      <c r="K161" s="133"/>
      <c r="L161" s="133"/>
      <c r="M161" s="133"/>
      <c r="N161" s="133"/>
      <c r="O161" s="219"/>
      <c r="P161" s="133"/>
      <c r="Q161" s="133"/>
      <c r="R161" s="133"/>
      <c r="S161" s="133"/>
      <c r="T161" s="133"/>
      <c r="U161" s="133"/>
    </row>
    <row r="162" spans="1:21" ht="15.75" customHeight="1" x14ac:dyDescent="0.35">
      <c r="A162" s="133"/>
      <c r="B162" s="133"/>
      <c r="C162" s="133"/>
      <c r="D162" s="133"/>
      <c r="E162" s="133"/>
      <c r="F162" s="133"/>
      <c r="G162" s="133"/>
      <c r="H162" s="133"/>
      <c r="I162" s="133"/>
      <c r="J162" s="133"/>
      <c r="K162" s="133"/>
      <c r="L162" s="133"/>
      <c r="M162" s="133"/>
      <c r="N162" s="133"/>
      <c r="O162" s="219"/>
      <c r="P162" s="133"/>
      <c r="Q162" s="133"/>
      <c r="R162" s="133"/>
      <c r="S162" s="133"/>
      <c r="T162" s="133"/>
      <c r="U162" s="133"/>
    </row>
    <row r="163" spans="1:21" ht="15.75" customHeight="1" x14ac:dyDescent="0.35">
      <c r="A163" s="133"/>
      <c r="B163" s="133"/>
      <c r="C163" s="133"/>
      <c r="D163" s="133"/>
      <c r="E163" s="133"/>
      <c r="F163" s="133"/>
      <c r="G163" s="133"/>
      <c r="H163" s="133"/>
      <c r="I163" s="133"/>
      <c r="J163" s="133"/>
      <c r="K163" s="133"/>
      <c r="L163" s="133"/>
      <c r="M163" s="133"/>
      <c r="N163" s="133"/>
      <c r="O163" s="219"/>
      <c r="P163" s="133"/>
      <c r="Q163" s="133"/>
      <c r="R163" s="133"/>
      <c r="S163" s="133"/>
      <c r="T163" s="133"/>
      <c r="U163" s="133"/>
    </row>
    <row r="164" spans="1:21" ht="15.75" customHeight="1" x14ac:dyDescent="0.35">
      <c r="A164" s="133"/>
      <c r="B164" s="133"/>
      <c r="C164" s="133"/>
      <c r="D164" s="133"/>
      <c r="E164" s="133"/>
      <c r="F164" s="133"/>
      <c r="G164" s="133"/>
      <c r="H164" s="133"/>
      <c r="I164" s="133"/>
      <c r="J164" s="133"/>
      <c r="K164" s="133"/>
      <c r="L164" s="133"/>
      <c r="M164" s="133"/>
      <c r="N164" s="133"/>
      <c r="O164" s="219"/>
      <c r="P164" s="133"/>
      <c r="Q164" s="133"/>
      <c r="R164" s="133"/>
      <c r="S164" s="133"/>
      <c r="T164" s="133"/>
      <c r="U164" s="133"/>
    </row>
    <row r="165" spans="1:21" ht="15.75" customHeight="1" x14ac:dyDescent="0.35">
      <c r="A165" s="133"/>
      <c r="B165" s="133"/>
      <c r="C165" s="133"/>
      <c r="D165" s="133"/>
      <c r="E165" s="133"/>
      <c r="F165" s="133"/>
      <c r="G165" s="133"/>
      <c r="H165" s="133"/>
      <c r="I165" s="133"/>
      <c r="J165" s="133"/>
      <c r="K165" s="133"/>
      <c r="L165" s="133"/>
      <c r="M165" s="133"/>
      <c r="N165" s="133"/>
      <c r="O165" s="219"/>
      <c r="P165" s="133"/>
      <c r="Q165" s="133"/>
      <c r="R165" s="133"/>
      <c r="S165" s="133"/>
      <c r="T165" s="133"/>
      <c r="U165" s="133"/>
    </row>
    <row r="166" spans="1:21" ht="15.75" customHeight="1" x14ac:dyDescent="0.35">
      <c r="A166" s="133"/>
      <c r="B166" s="133"/>
      <c r="C166" s="133"/>
      <c r="D166" s="133"/>
      <c r="E166" s="133"/>
      <c r="F166" s="133"/>
      <c r="G166" s="133"/>
      <c r="H166" s="133"/>
      <c r="I166" s="133"/>
      <c r="J166" s="133"/>
      <c r="K166" s="133"/>
      <c r="L166" s="133"/>
      <c r="M166" s="133"/>
      <c r="N166" s="133"/>
      <c r="O166" s="219"/>
      <c r="P166" s="133"/>
      <c r="Q166" s="133"/>
      <c r="R166" s="133"/>
      <c r="S166" s="133"/>
      <c r="T166" s="133"/>
      <c r="U166" s="133"/>
    </row>
    <row r="167" spans="1:21" ht="15.75" customHeight="1" x14ac:dyDescent="0.35">
      <c r="A167" s="133"/>
      <c r="B167" s="133"/>
      <c r="C167" s="133"/>
      <c r="D167" s="133"/>
      <c r="E167" s="133"/>
      <c r="F167" s="133"/>
      <c r="G167" s="133"/>
      <c r="H167" s="133"/>
      <c r="I167" s="133"/>
      <c r="J167" s="133"/>
      <c r="K167" s="133"/>
      <c r="L167" s="133"/>
      <c r="M167" s="133"/>
      <c r="N167" s="133"/>
      <c r="O167" s="219"/>
      <c r="P167" s="133"/>
      <c r="Q167" s="133"/>
      <c r="R167" s="133"/>
      <c r="S167" s="133"/>
      <c r="T167" s="133"/>
      <c r="U167" s="133"/>
    </row>
    <row r="168" spans="1:21" ht="15.75" customHeight="1" x14ac:dyDescent="0.35">
      <c r="A168" s="133"/>
      <c r="B168" s="133"/>
      <c r="C168" s="133"/>
      <c r="D168" s="133"/>
      <c r="E168" s="133"/>
      <c r="F168" s="133"/>
      <c r="G168" s="133"/>
      <c r="H168" s="133"/>
      <c r="I168" s="133"/>
      <c r="J168" s="133"/>
      <c r="K168" s="133"/>
      <c r="L168" s="133"/>
      <c r="M168" s="133"/>
      <c r="N168" s="133"/>
      <c r="O168" s="219"/>
      <c r="P168" s="133"/>
      <c r="Q168" s="133"/>
      <c r="R168" s="133"/>
      <c r="S168" s="133"/>
      <c r="T168" s="133"/>
      <c r="U168" s="133"/>
    </row>
    <row r="169" spans="1:21" ht="15.75" customHeight="1" x14ac:dyDescent="0.35">
      <c r="A169" s="133"/>
      <c r="B169" s="133"/>
      <c r="C169" s="133"/>
      <c r="D169" s="133"/>
      <c r="E169" s="133"/>
      <c r="F169" s="133"/>
      <c r="G169" s="133"/>
      <c r="H169" s="133"/>
      <c r="I169" s="133"/>
      <c r="J169" s="133"/>
      <c r="K169" s="133"/>
      <c r="L169" s="133"/>
      <c r="M169" s="133"/>
      <c r="N169" s="133"/>
      <c r="O169" s="219"/>
      <c r="P169" s="133"/>
      <c r="Q169" s="133"/>
      <c r="R169" s="133"/>
      <c r="S169" s="133"/>
      <c r="T169" s="133"/>
      <c r="U169" s="133"/>
    </row>
    <row r="170" spans="1:21" ht="15.75" customHeight="1" x14ac:dyDescent="0.35">
      <c r="A170" s="133"/>
      <c r="B170" s="133"/>
      <c r="C170" s="133"/>
      <c r="D170" s="133"/>
      <c r="E170" s="133"/>
      <c r="F170" s="133"/>
      <c r="G170" s="133"/>
      <c r="H170" s="133"/>
      <c r="I170" s="133"/>
      <c r="J170" s="133"/>
      <c r="K170" s="133"/>
      <c r="L170" s="133"/>
      <c r="M170" s="133"/>
      <c r="N170" s="133"/>
      <c r="O170" s="219"/>
      <c r="P170" s="133"/>
      <c r="Q170" s="133"/>
      <c r="R170" s="133"/>
      <c r="S170" s="133"/>
      <c r="T170" s="133"/>
      <c r="U170" s="133"/>
    </row>
    <row r="171" spans="1:21" ht="15.75" customHeight="1" x14ac:dyDescent="0.35">
      <c r="A171" s="133"/>
      <c r="B171" s="133"/>
      <c r="C171" s="133"/>
      <c r="D171" s="133"/>
      <c r="E171" s="133"/>
      <c r="F171" s="133"/>
      <c r="G171" s="133"/>
      <c r="H171" s="133"/>
      <c r="I171" s="133"/>
      <c r="J171" s="133"/>
      <c r="K171" s="133"/>
      <c r="L171" s="133"/>
      <c r="M171" s="133"/>
      <c r="N171" s="133"/>
      <c r="O171" s="219"/>
      <c r="P171" s="133"/>
      <c r="Q171" s="133"/>
      <c r="R171" s="133"/>
      <c r="S171" s="133"/>
      <c r="T171" s="133"/>
      <c r="U171" s="133"/>
    </row>
    <row r="172" spans="1:21" ht="15.75" customHeight="1" x14ac:dyDescent="0.35">
      <c r="A172" s="133"/>
      <c r="B172" s="133"/>
      <c r="C172" s="133"/>
      <c r="D172" s="133"/>
      <c r="E172" s="133"/>
      <c r="F172" s="133"/>
      <c r="G172" s="133"/>
      <c r="H172" s="133"/>
      <c r="I172" s="133"/>
      <c r="J172" s="133"/>
      <c r="K172" s="133"/>
      <c r="L172" s="133"/>
      <c r="M172" s="133"/>
      <c r="N172" s="133"/>
      <c r="O172" s="219"/>
      <c r="P172" s="133"/>
      <c r="Q172" s="133"/>
      <c r="R172" s="133"/>
      <c r="S172" s="133"/>
      <c r="T172" s="133"/>
      <c r="U172" s="133"/>
    </row>
    <row r="173" spans="1:21" ht="15.75" customHeight="1" x14ac:dyDescent="0.35">
      <c r="A173" s="133"/>
      <c r="B173" s="133"/>
      <c r="C173" s="133"/>
      <c r="D173" s="133"/>
      <c r="E173" s="133"/>
      <c r="F173" s="133"/>
      <c r="G173" s="133"/>
      <c r="H173" s="133"/>
      <c r="I173" s="133"/>
      <c r="J173" s="133"/>
      <c r="K173" s="133"/>
      <c r="L173" s="133"/>
      <c r="M173" s="133"/>
      <c r="N173" s="133"/>
      <c r="O173" s="219"/>
      <c r="P173" s="133"/>
      <c r="Q173" s="133"/>
      <c r="R173" s="133"/>
      <c r="S173" s="133"/>
      <c r="T173" s="133"/>
      <c r="U173" s="133"/>
    </row>
    <row r="174" spans="1:21" ht="15.75" customHeight="1" x14ac:dyDescent="0.35">
      <c r="A174" s="133"/>
      <c r="B174" s="133"/>
      <c r="C174" s="133"/>
      <c r="D174" s="133"/>
      <c r="E174" s="133"/>
      <c r="F174" s="133"/>
      <c r="G174" s="133"/>
      <c r="H174" s="133"/>
      <c r="I174" s="133"/>
      <c r="J174" s="133"/>
      <c r="K174" s="133"/>
      <c r="L174" s="133"/>
      <c r="M174" s="133"/>
      <c r="N174" s="133"/>
      <c r="O174" s="219"/>
      <c r="P174" s="133"/>
      <c r="Q174" s="133"/>
      <c r="R174" s="133"/>
      <c r="S174" s="133"/>
      <c r="T174" s="133"/>
      <c r="U174" s="133"/>
    </row>
    <row r="175" spans="1:21" ht="15.75" customHeight="1" x14ac:dyDescent="0.35">
      <c r="A175" s="133"/>
      <c r="B175" s="133"/>
      <c r="C175" s="133"/>
      <c r="D175" s="133"/>
      <c r="E175" s="133"/>
      <c r="F175" s="133"/>
      <c r="G175" s="133"/>
      <c r="H175" s="133"/>
      <c r="I175" s="133"/>
      <c r="J175" s="133"/>
      <c r="K175" s="133"/>
      <c r="L175" s="133"/>
      <c r="M175" s="133"/>
      <c r="N175" s="133"/>
      <c r="O175" s="219"/>
      <c r="P175" s="133"/>
      <c r="Q175" s="133"/>
      <c r="R175" s="133"/>
      <c r="S175" s="133"/>
      <c r="T175" s="133"/>
      <c r="U175" s="133"/>
    </row>
    <row r="176" spans="1:21" ht="15.75" customHeight="1" x14ac:dyDescent="0.35">
      <c r="A176" s="133"/>
      <c r="B176" s="133"/>
      <c r="C176" s="133"/>
      <c r="D176" s="133"/>
      <c r="E176" s="133"/>
      <c r="F176" s="133"/>
      <c r="G176" s="133"/>
      <c r="H176" s="133"/>
      <c r="I176" s="133"/>
      <c r="J176" s="133"/>
      <c r="K176" s="133"/>
      <c r="L176" s="133"/>
      <c r="M176" s="133"/>
      <c r="N176" s="133"/>
      <c r="O176" s="219"/>
      <c r="P176" s="133"/>
      <c r="Q176" s="133"/>
      <c r="R176" s="133"/>
      <c r="S176" s="133"/>
      <c r="T176" s="133"/>
      <c r="U176" s="133"/>
    </row>
    <row r="177" spans="1:21" ht="15.75" customHeight="1" x14ac:dyDescent="0.35">
      <c r="A177" s="133"/>
      <c r="B177" s="133"/>
      <c r="C177" s="133"/>
      <c r="D177" s="133"/>
      <c r="E177" s="133"/>
      <c r="F177" s="133"/>
      <c r="G177" s="133"/>
      <c r="H177" s="133"/>
      <c r="I177" s="133"/>
      <c r="J177" s="133"/>
      <c r="K177" s="133"/>
      <c r="L177" s="133"/>
      <c r="M177" s="133"/>
      <c r="N177" s="133"/>
      <c r="O177" s="219"/>
      <c r="P177" s="133"/>
      <c r="Q177" s="133"/>
      <c r="R177" s="133"/>
      <c r="S177" s="133"/>
      <c r="T177" s="133"/>
      <c r="U177" s="133"/>
    </row>
    <row r="178" spans="1:21" ht="15.75" customHeight="1" x14ac:dyDescent="0.35">
      <c r="A178" s="133"/>
      <c r="B178" s="133"/>
      <c r="C178" s="133"/>
      <c r="D178" s="133"/>
      <c r="E178" s="133"/>
      <c r="F178" s="133"/>
      <c r="G178" s="133"/>
      <c r="H178" s="133"/>
      <c r="I178" s="133"/>
      <c r="J178" s="133"/>
      <c r="K178" s="133"/>
      <c r="L178" s="133"/>
      <c r="M178" s="133"/>
      <c r="N178" s="133"/>
      <c r="O178" s="219"/>
      <c r="P178" s="133"/>
      <c r="Q178" s="133"/>
      <c r="R178" s="133"/>
      <c r="S178" s="133"/>
      <c r="T178" s="133"/>
      <c r="U178" s="133"/>
    </row>
    <row r="179" spans="1:21" ht="15.75" customHeight="1" x14ac:dyDescent="0.35">
      <c r="A179" s="133"/>
      <c r="B179" s="133"/>
      <c r="C179" s="133"/>
      <c r="D179" s="133"/>
      <c r="E179" s="133"/>
      <c r="F179" s="133"/>
      <c r="G179" s="133"/>
      <c r="H179" s="133"/>
      <c r="I179" s="133"/>
      <c r="J179" s="133"/>
      <c r="K179" s="133"/>
      <c r="L179" s="133"/>
      <c r="M179" s="133"/>
      <c r="N179" s="133"/>
      <c r="O179" s="219"/>
      <c r="P179" s="133"/>
      <c r="Q179" s="133"/>
      <c r="R179" s="133"/>
      <c r="S179" s="133"/>
      <c r="T179" s="133"/>
      <c r="U179" s="133"/>
    </row>
    <row r="180" spans="1:21" ht="15.75" customHeight="1" x14ac:dyDescent="0.35">
      <c r="A180" s="133"/>
      <c r="B180" s="133"/>
      <c r="C180" s="133"/>
      <c r="D180" s="133"/>
      <c r="E180" s="133"/>
      <c r="F180" s="133"/>
      <c r="G180" s="133"/>
      <c r="H180" s="133"/>
      <c r="I180" s="133"/>
      <c r="J180" s="133"/>
      <c r="K180" s="133"/>
      <c r="L180" s="133"/>
      <c r="M180" s="133"/>
      <c r="N180" s="133"/>
      <c r="O180" s="219"/>
      <c r="P180" s="133"/>
      <c r="Q180" s="133"/>
      <c r="R180" s="133"/>
      <c r="S180" s="133"/>
      <c r="T180" s="133"/>
      <c r="U180" s="133"/>
    </row>
    <row r="181" spans="1:21" ht="15.75" customHeight="1" x14ac:dyDescent="0.35">
      <c r="A181" s="133"/>
      <c r="B181" s="133"/>
      <c r="C181" s="133"/>
      <c r="D181" s="133"/>
      <c r="E181" s="133"/>
      <c r="F181" s="133"/>
      <c r="G181" s="133"/>
      <c r="H181" s="133"/>
      <c r="I181" s="133"/>
      <c r="J181" s="133"/>
      <c r="K181" s="133"/>
      <c r="L181" s="133"/>
      <c r="M181" s="133"/>
      <c r="N181" s="133"/>
      <c r="O181" s="219"/>
      <c r="P181" s="133"/>
      <c r="Q181" s="133"/>
      <c r="R181" s="133"/>
      <c r="S181" s="133"/>
      <c r="T181" s="133"/>
      <c r="U181" s="133"/>
    </row>
    <row r="182" spans="1:21" ht="15.75" customHeight="1" x14ac:dyDescent="0.35">
      <c r="A182" s="133"/>
      <c r="B182" s="133"/>
      <c r="C182" s="133"/>
      <c r="D182" s="133"/>
      <c r="E182" s="133"/>
      <c r="F182" s="133"/>
      <c r="G182" s="133"/>
      <c r="H182" s="133"/>
      <c r="I182" s="133"/>
      <c r="J182" s="133"/>
      <c r="K182" s="133"/>
      <c r="L182" s="133"/>
      <c r="M182" s="133"/>
      <c r="N182" s="133"/>
      <c r="O182" s="219"/>
      <c r="P182" s="133"/>
      <c r="Q182" s="133"/>
      <c r="R182" s="133"/>
      <c r="S182" s="133"/>
      <c r="T182" s="133"/>
      <c r="U182" s="133"/>
    </row>
    <row r="183" spans="1:21" ht="15.75" customHeight="1" x14ac:dyDescent="0.35">
      <c r="A183" s="133"/>
      <c r="B183" s="133"/>
      <c r="C183" s="133"/>
      <c r="D183" s="133"/>
      <c r="E183" s="133"/>
      <c r="F183" s="133"/>
      <c r="G183" s="133"/>
      <c r="H183" s="133"/>
      <c r="I183" s="133"/>
      <c r="J183" s="133"/>
      <c r="K183" s="133"/>
      <c r="L183" s="133"/>
      <c r="M183" s="133"/>
      <c r="N183" s="133"/>
      <c r="O183" s="219"/>
      <c r="P183" s="133"/>
      <c r="Q183" s="133"/>
      <c r="R183" s="133"/>
      <c r="S183" s="133"/>
      <c r="T183" s="133"/>
      <c r="U183" s="133"/>
    </row>
    <row r="184" spans="1:21" ht="15.75" customHeight="1" x14ac:dyDescent="0.35">
      <c r="A184" s="133"/>
      <c r="B184" s="133"/>
      <c r="C184" s="133"/>
      <c r="D184" s="133"/>
      <c r="E184" s="133"/>
      <c r="F184" s="133"/>
      <c r="G184" s="133"/>
      <c r="H184" s="133"/>
      <c r="I184" s="133"/>
      <c r="J184" s="133"/>
      <c r="K184" s="133"/>
      <c r="L184" s="133"/>
      <c r="M184" s="133"/>
      <c r="N184" s="133"/>
      <c r="O184" s="219"/>
      <c r="P184" s="133"/>
      <c r="Q184" s="133"/>
      <c r="R184" s="133"/>
      <c r="S184" s="133"/>
      <c r="T184" s="133"/>
      <c r="U184" s="133"/>
    </row>
    <row r="185" spans="1:21" ht="15.75" customHeight="1" x14ac:dyDescent="0.35">
      <c r="A185" s="133"/>
      <c r="B185" s="133"/>
      <c r="C185" s="133"/>
      <c r="D185" s="133"/>
      <c r="E185" s="133"/>
      <c r="F185" s="133"/>
      <c r="G185" s="133"/>
      <c r="H185" s="133"/>
      <c r="I185" s="133"/>
      <c r="J185" s="133"/>
      <c r="K185" s="133"/>
      <c r="L185" s="133"/>
      <c r="M185" s="133"/>
      <c r="N185" s="133"/>
      <c r="O185" s="219"/>
      <c r="P185" s="133"/>
      <c r="Q185" s="133"/>
      <c r="R185" s="133"/>
      <c r="S185" s="133"/>
      <c r="T185" s="133"/>
      <c r="U185" s="133"/>
    </row>
    <row r="186" spans="1:21" ht="15.75" customHeight="1" x14ac:dyDescent="0.35">
      <c r="A186" s="133"/>
      <c r="B186" s="133"/>
      <c r="C186" s="133"/>
      <c r="D186" s="133"/>
      <c r="E186" s="133"/>
      <c r="F186" s="133"/>
      <c r="G186" s="133"/>
      <c r="H186" s="133"/>
      <c r="I186" s="133"/>
      <c r="J186" s="133"/>
      <c r="K186" s="133"/>
      <c r="L186" s="133"/>
      <c r="M186" s="133"/>
      <c r="N186" s="133"/>
      <c r="O186" s="219"/>
      <c r="P186" s="133"/>
      <c r="Q186" s="133"/>
      <c r="R186" s="133"/>
      <c r="S186" s="133"/>
      <c r="T186" s="133"/>
      <c r="U186" s="133"/>
    </row>
    <row r="187" spans="1:21" ht="15.75" customHeight="1" x14ac:dyDescent="0.35">
      <c r="A187" s="133"/>
      <c r="B187" s="133"/>
      <c r="C187" s="133"/>
      <c r="D187" s="133"/>
      <c r="E187" s="133"/>
      <c r="F187" s="133"/>
      <c r="G187" s="133"/>
      <c r="H187" s="133"/>
      <c r="I187" s="133"/>
      <c r="J187" s="133"/>
      <c r="K187" s="133"/>
      <c r="L187" s="133"/>
      <c r="M187" s="133"/>
      <c r="N187" s="133"/>
      <c r="O187" s="219"/>
      <c r="P187" s="133"/>
      <c r="Q187" s="133"/>
      <c r="R187" s="133"/>
      <c r="S187" s="133"/>
      <c r="T187" s="133"/>
      <c r="U187" s="133"/>
    </row>
    <row r="188" spans="1:21" ht="15.75" customHeight="1" x14ac:dyDescent="0.35">
      <c r="A188" s="133"/>
      <c r="B188" s="133"/>
      <c r="C188" s="133"/>
      <c r="D188" s="133"/>
      <c r="E188" s="133"/>
      <c r="F188" s="133"/>
      <c r="G188" s="133"/>
      <c r="H188" s="133"/>
      <c r="I188" s="133"/>
      <c r="J188" s="133"/>
      <c r="K188" s="133"/>
      <c r="L188" s="133"/>
      <c r="M188" s="133"/>
      <c r="N188" s="133"/>
      <c r="O188" s="219"/>
      <c r="P188" s="133"/>
      <c r="Q188" s="133"/>
      <c r="R188" s="133"/>
      <c r="S188" s="133"/>
      <c r="T188" s="133"/>
      <c r="U188" s="133"/>
    </row>
    <row r="189" spans="1:21" ht="15.75" customHeight="1" x14ac:dyDescent="0.35">
      <c r="A189" s="133"/>
      <c r="B189" s="133"/>
      <c r="C189" s="133"/>
      <c r="D189" s="133"/>
      <c r="E189" s="133"/>
      <c r="F189" s="133"/>
      <c r="G189" s="133"/>
      <c r="H189" s="133"/>
      <c r="I189" s="133"/>
      <c r="J189" s="133"/>
      <c r="K189" s="133"/>
      <c r="L189" s="133"/>
      <c r="M189" s="133"/>
      <c r="N189" s="133"/>
      <c r="O189" s="219"/>
      <c r="P189" s="133"/>
      <c r="Q189" s="133"/>
      <c r="R189" s="133"/>
      <c r="S189" s="133"/>
      <c r="T189" s="133"/>
      <c r="U189" s="133"/>
    </row>
    <row r="190" spans="1:21" ht="15.75" customHeight="1" x14ac:dyDescent="0.35">
      <c r="A190" s="133"/>
      <c r="B190" s="133"/>
      <c r="C190" s="133"/>
      <c r="D190" s="133"/>
      <c r="E190" s="133"/>
      <c r="F190" s="133"/>
      <c r="G190" s="133"/>
      <c r="H190" s="133"/>
      <c r="I190" s="133"/>
      <c r="J190" s="133"/>
      <c r="K190" s="133"/>
      <c r="L190" s="133"/>
      <c r="M190" s="133"/>
      <c r="N190" s="133"/>
      <c r="O190" s="219"/>
      <c r="P190" s="133"/>
      <c r="Q190" s="133"/>
      <c r="R190" s="133"/>
      <c r="S190" s="133"/>
      <c r="T190" s="133"/>
      <c r="U190" s="133"/>
    </row>
    <row r="191" spans="1:21" ht="15.75" customHeight="1" x14ac:dyDescent="0.35">
      <c r="A191" s="133"/>
      <c r="B191" s="133"/>
      <c r="C191" s="133"/>
      <c r="D191" s="133"/>
      <c r="E191" s="133"/>
      <c r="F191" s="133"/>
      <c r="G191" s="133"/>
      <c r="H191" s="133"/>
      <c r="I191" s="133"/>
      <c r="J191" s="133"/>
      <c r="K191" s="133"/>
      <c r="L191" s="133"/>
      <c r="M191" s="133"/>
      <c r="N191" s="133"/>
      <c r="O191" s="219"/>
      <c r="P191" s="133"/>
      <c r="Q191" s="133"/>
      <c r="R191" s="133"/>
      <c r="S191" s="133"/>
      <c r="T191" s="133"/>
      <c r="U191" s="133"/>
    </row>
    <row r="192" spans="1:21" ht="15.75" customHeight="1" x14ac:dyDescent="0.35">
      <c r="A192" s="133"/>
      <c r="B192" s="133"/>
      <c r="C192" s="133"/>
      <c r="D192" s="133"/>
      <c r="E192" s="133"/>
      <c r="F192" s="133"/>
      <c r="G192" s="133"/>
      <c r="H192" s="133"/>
      <c r="I192" s="133"/>
      <c r="J192" s="133"/>
      <c r="K192" s="133"/>
      <c r="L192" s="133"/>
      <c r="M192" s="133"/>
      <c r="N192" s="133"/>
      <c r="O192" s="219"/>
      <c r="P192" s="133"/>
      <c r="Q192" s="133"/>
      <c r="R192" s="133"/>
      <c r="S192" s="133"/>
      <c r="T192" s="133"/>
      <c r="U192" s="133"/>
    </row>
    <row r="193" spans="1:21" ht="15.75" customHeight="1" x14ac:dyDescent="0.35">
      <c r="A193" s="133"/>
      <c r="B193" s="133"/>
      <c r="C193" s="133"/>
      <c r="D193" s="133"/>
      <c r="E193" s="133"/>
      <c r="F193" s="133"/>
      <c r="G193" s="133"/>
      <c r="H193" s="133"/>
      <c r="I193" s="133"/>
      <c r="J193" s="133"/>
      <c r="K193" s="133"/>
      <c r="L193" s="133"/>
      <c r="M193" s="133"/>
      <c r="N193" s="133"/>
      <c r="O193" s="219"/>
      <c r="P193" s="133"/>
      <c r="Q193" s="133"/>
      <c r="R193" s="133"/>
      <c r="S193" s="133"/>
      <c r="T193" s="133"/>
      <c r="U193" s="133"/>
    </row>
    <row r="194" spans="1:21" ht="15.75" customHeight="1" x14ac:dyDescent="0.35">
      <c r="A194" s="133"/>
      <c r="B194" s="133"/>
      <c r="C194" s="133"/>
      <c r="D194" s="133"/>
      <c r="E194" s="133"/>
      <c r="F194" s="133"/>
      <c r="G194" s="133"/>
      <c r="H194" s="133"/>
      <c r="I194" s="133"/>
      <c r="J194" s="133"/>
      <c r="K194" s="133"/>
      <c r="L194" s="133"/>
      <c r="M194" s="133"/>
      <c r="N194" s="133"/>
      <c r="O194" s="219"/>
      <c r="P194" s="133"/>
      <c r="Q194" s="133"/>
      <c r="R194" s="133"/>
      <c r="S194" s="133"/>
      <c r="T194" s="133"/>
      <c r="U194" s="133"/>
    </row>
    <row r="195" spans="1:21" ht="15.75" customHeight="1" x14ac:dyDescent="0.35">
      <c r="A195" s="133"/>
      <c r="B195" s="133"/>
      <c r="C195" s="133"/>
      <c r="D195" s="133"/>
      <c r="E195" s="133"/>
      <c r="F195" s="133"/>
      <c r="G195" s="133"/>
      <c r="H195" s="133"/>
      <c r="I195" s="133"/>
      <c r="J195" s="133"/>
      <c r="K195" s="133"/>
      <c r="L195" s="133"/>
      <c r="M195" s="133"/>
      <c r="N195" s="133"/>
      <c r="O195" s="219"/>
      <c r="P195" s="133"/>
      <c r="Q195" s="133"/>
      <c r="R195" s="133"/>
      <c r="S195" s="133"/>
      <c r="T195" s="133"/>
      <c r="U195" s="133"/>
    </row>
    <row r="196" spans="1:21" ht="15.75" customHeight="1" x14ac:dyDescent="0.35">
      <c r="A196" s="133"/>
      <c r="B196" s="133"/>
      <c r="C196" s="133"/>
      <c r="D196" s="133"/>
      <c r="E196" s="133"/>
      <c r="F196" s="133"/>
      <c r="G196" s="133"/>
      <c r="H196" s="133"/>
      <c r="I196" s="133"/>
      <c r="J196" s="133"/>
      <c r="K196" s="133"/>
      <c r="L196" s="133"/>
      <c r="M196" s="133"/>
      <c r="N196" s="133"/>
      <c r="O196" s="219"/>
      <c r="P196" s="133"/>
      <c r="Q196" s="133"/>
      <c r="R196" s="133"/>
      <c r="S196" s="133"/>
      <c r="T196" s="133"/>
      <c r="U196" s="133"/>
    </row>
    <row r="197" spans="1:21" ht="15.75" customHeight="1" x14ac:dyDescent="0.35">
      <c r="A197" s="133"/>
      <c r="B197" s="133"/>
      <c r="C197" s="133"/>
      <c r="D197" s="133"/>
      <c r="E197" s="133"/>
      <c r="F197" s="133"/>
      <c r="G197" s="133"/>
      <c r="H197" s="133"/>
      <c r="I197" s="133"/>
      <c r="J197" s="133"/>
      <c r="K197" s="133"/>
      <c r="L197" s="133"/>
      <c r="M197" s="133"/>
      <c r="N197" s="133"/>
      <c r="O197" s="219"/>
      <c r="P197" s="133"/>
      <c r="Q197" s="133"/>
      <c r="R197" s="133"/>
      <c r="S197" s="133"/>
      <c r="T197" s="133"/>
      <c r="U197" s="133"/>
    </row>
    <row r="198" spans="1:21" ht="15.75" customHeight="1" x14ac:dyDescent="0.35">
      <c r="A198" s="133"/>
      <c r="B198" s="133"/>
      <c r="C198" s="133"/>
      <c r="D198" s="133"/>
      <c r="E198" s="133"/>
      <c r="F198" s="133"/>
      <c r="G198" s="133"/>
      <c r="H198" s="133"/>
      <c r="I198" s="133"/>
      <c r="J198" s="133"/>
      <c r="K198" s="133"/>
      <c r="L198" s="133"/>
      <c r="M198" s="133"/>
      <c r="N198" s="133"/>
      <c r="O198" s="219"/>
      <c r="P198" s="133"/>
      <c r="Q198" s="133"/>
      <c r="R198" s="133"/>
      <c r="S198" s="133"/>
      <c r="T198" s="133"/>
      <c r="U198" s="133"/>
    </row>
    <row r="199" spans="1:21" ht="15.75" customHeight="1" x14ac:dyDescent="0.35">
      <c r="A199" s="133"/>
      <c r="B199" s="133"/>
      <c r="C199" s="133"/>
      <c r="D199" s="133"/>
      <c r="E199" s="133"/>
      <c r="F199" s="133"/>
      <c r="G199" s="133"/>
      <c r="H199" s="133"/>
      <c r="I199" s="133"/>
      <c r="J199" s="133"/>
      <c r="K199" s="133"/>
      <c r="L199" s="133"/>
      <c r="M199" s="133"/>
      <c r="N199" s="133"/>
      <c r="O199" s="219"/>
      <c r="P199" s="133"/>
      <c r="Q199" s="133"/>
      <c r="R199" s="133"/>
      <c r="S199" s="133"/>
      <c r="T199" s="133"/>
      <c r="U199" s="133"/>
    </row>
    <row r="200" spans="1:21" ht="15.75" customHeight="1" x14ac:dyDescent="0.35">
      <c r="A200" s="133"/>
      <c r="B200" s="133"/>
      <c r="C200" s="133"/>
      <c r="D200" s="133"/>
      <c r="E200" s="133"/>
      <c r="F200" s="133"/>
      <c r="G200" s="133"/>
      <c r="H200" s="133"/>
      <c r="I200" s="133"/>
      <c r="J200" s="133"/>
      <c r="K200" s="133"/>
      <c r="L200" s="133"/>
      <c r="M200" s="133"/>
      <c r="N200" s="133"/>
      <c r="O200" s="219"/>
      <c r="P200" s="133"/>
      <c r="Q200" s="133"/>
      <c r="R200" s="133"/>
      <c r="S200" s="133"/>
      <c r="T200" s="133"/>
      <c r="U200" s="133"/>
    </row>
    <row r="201" spans="1:21" ht="15.75" customHeight="1" x14ac:dyDescent="0.35">
      <c r="A201" s="133"/>
      <c r="B201" s="133"/>
      <c r="C201" s="133"/>
      <c r="D201" s="133"/>
      <c r="E201" s="133"/>
      <c r="F201" s="133"/>
      <c r="G201" s="133"/>
      <c r="H201" s="133"/>
      <c r="I201" s="133"/>
      <c r="J201" s="133"/>
      <c r="K201" s="133"/>
      <c r="L201" s="133"/>
      <c r="M201" s="133"/>
      <c r="N201" s="133"/>
      <c r="O201" s="219"/>
      <c r="P201" s="133"/>
      <c r="Q201" s="133"/>
      <c r="R201" s="133"/>
      <c r="S201" s="133"/>
      <c r="T201" s="133"/>
      <c r="U201" s="133"/>
    </row>
    <row r="202" spans="1:21" ht="15.75" customHeight="1" x14ac:dyDescent="0.35">
      <c r="A202" s="133"/>
      <c r="B202" s="133"/>
      <c r="C202" s="133"/>
      <c r="D202" s="133"/>
      <c r="E202" s="133"/>
      <c r="F202" s="133"/>
      <c r="G202" s="133"/>
      <c r="H202" s="133"/>
      <c r="I202" s="133"/>
      <c r="J202" s="133"/>
      <c r="K202" s="133"/>
      <c r="L202" s="133"/>
      <c r="M202" s="133"/>
      <c r="N202" s="133"/>
      <c r="O202" s="219"/>
      <c r="P202" s="133"/>
      <c r="Q202" s="133"/>
      <c r="R202" s="133"/>
      <c r="S202" s="133"/>
      <c r="T202" s="133"/>
      <c r="U202" s="133"/>
    </row>
    <row r="203" spans="1:21" ht="15.75" customHeight="1" x14ac:dyDescent="0.35">
      <c r="A203" s="133"/>
      <c r="B203" s="133"/>
      <c r="C203" s="133"/>
      <c r="D203" s="133"/>
      <c r="E203" s="133"/>
      <c r="F203" s="133"/>
      <c r="G203" s="133"/>
      <c r="H203" s="133"/>
      <c r="I203" s="133"/>
      <c r="J203" s="133"/>
      <c r="K203" s="133"/>
      <c r="L203" s="133"/>
      <c r="M203" s="133"/>
      <c r="N203" s="133"/>
      <c r="O203" s="219"/>
      <c r="P203" s="133"/>
      <c r="Q203" s="133"/>
      <c r="R203" s="133"/>
      <c r="S203" s="133"/>
      <c r="T203" s="133"/>
      <c r="U203" s="133"/>
    </row>
    <row r="204" spans="1:21" ht="15.75" customHeight="1" x14ac:dyDescent="0.35">
      <c r="A204" s="133"/>
      <c r="B204" s="133"/>
      <c r="C204" s="133"/>
      <c r="D204" s="133"/>
      <c r="E204" s="133"/>
      <c r="F204" s="133"/>
      <c r="G204" s="133"/>
      <c r="H204" s="133"/>
      <c r="I204" s="133"/>
      <c r="J204" s="133"/>
      <c r="K204" s="133"/>
      <c r="L204" s="133"/>
      <c r="M204" s="133"/>
      <c r="N204" s="133"/>
      <c r="O204" s="219"/>
      <c r="P204" s="133"/>
      <c r="Q204" s="133"/>
      <c r="R204" s="133"/>
      <c r="S204" s="133"/>
      <c r="T204" s="133"/>
      <c r="U204" s="133"/>
    </row>
    <row r="205" spans="1:21" ht="15.75" customHeight="1" x14ac:dyDescent="0.35">
      <c r="A205" s="133"/>
      <c r="B205" s="133"/>
      <c r="C205" s="133"/>
      <c r="D205" s="133"/>
      <c r="E205" s="133"/>
      <c r="F205" s="133"/>
      <c r="G205" s="133"/>
      <c r="H205" s="133"/>
      <c r="I205" s="133"/>
      <c r="J205" s="133"/>
      <c r="K205" s="133"/>
      <c r="L205" s="133"/>
      <c r="M205" s="133"/>
      <c r="N205" s="133"/>
      <c r="O205" s="219"/>
      <c r="P205" s="133"/>
      <c r="Q205" s="133"/>
      <c r="R205" s="133"/>
      <c r="S205" s="133"/>
      <c r="T205" s="133"/>
      <c r="U205" s="133"/>
    </row>
    <row r="206" spans="1:21" ht="15.75" customHeight="1" x14ac:dyDescent="0.35">
      <c r="A206" s="133"/>
      <c r="B206" s="133"/>
      <c r="C206" s="133"/>
      <c r="D206" s="133"/>
      <c r="E206" s="133"/>
      <c r="F206" s="133"/>
      <c r="G206" s="133"/>
      <c r="H206" s="133"/>
      <c r="I206" s="133"/>
      <c r="J206" s="133"/>
      <c r="K206" s="133"/>
      <c r="L206" s="133"/>
      <c r="M206" s="133"/>
      <c r="N206" s="133"/>
      <c r="O206" s="219"/>
      <c r="P206" s="133"/>
      <c r="Q206" s="133"/>
      <c r="R206" s="133"/>
      <c r="S206" s="133"/>
      <c r="T206" s="133"/>
      <c r="U206" s="133"/>
    </row>
    <row r="207" spans="1:21" ht="15.75" customHeight="1" x14ac:dyDescent="0.35">
      <c r="A207" s="133"/>
      <c r="B207" s="133"/>
      <c r="C207" s="133"/>
      <c r="D207" s="133"/>
      <c r="E207" s="133"/>
      <c r="F207" s="133"/>
      <c r="G207" s="133"/>
      <c r="H207" s="133"/>
      <c r="I207" s="133"/>
      <c r="J207" s="133"/>
      <c r="K207" s="133"/>
      <c r="L207" s="133"/>
      <c r="M207" s="133"/>
      <c r="N207" s="133"/>
      <c r="O207" s="219"/>
      <c r="P207" s="133"/>
      <c r="Q207" s="133"/>
      <c r="R207" s="133"/>
      <c r="S207" s="133"/>
      <c r="T207" s="133"/>
      <c r="U207" s="133"/>
    </row>
    <row r="208" spans="1:21" ht="15.75" customHeight="1" x14ac:dyDescent="0.35">
      <c r="A208" s="133"/>
      <c r="B208" s="133"/>
      <c r="C208" s="133"/>
      <c r="D208" s="133"/>
      <c r="E208" s="133"/>
      <c r="F208" s="133"/>
      <c r="G208" s="133"/>
      <c r="H208" s="133"/>
      <c r="I208" s="133"/>
      <c r="J208" s="133"/>
      <c r="K208" s="133"/>
      <c r="L208" s="133"/>
      <c r="M208" s="133"/>
      <c r="N208" s="133"/>
      <c r="O208" s="219"/>
      <c r="P208" s="133"/>
      <c r="Q208" s="133"/>
      <c r="R208" s="133"/>
      <c r="S208" s="133"/>
      <c r="T208" s="133"/>
      <c r="U208" s="133"/>
    </row>
    <row r="209" spans="1:21" ht="15.75" customHeight="1" x14ac:dyDescent="0.35">
      <c r="A209" s="133"/>
      <c r="B209" s="133"/>
      <c r="C209" s="133"/>
      <c r="D209" s="133"/>
      <c r="E209" s="133"/>
      <c r="F209" s="133"/>
      <c r="G209" s="133"/>
      <c r="H209" s="133"/>
      <c r="I209" s="133"/>
      <c r="J209" s="133"/>
      <c r="K209" s="133"/>
      <c r="L209" s="133"/>
      <c r="M209" s="133"/>
      <c r="N209" s="133"/>
      <c r="O209" s="219"/>
      <c r="P209" s="133"/>
      <c r="Q209" s="133"/>
      <c r="R209" s="133"/>
      <c r="S209" s="133"/>
      <c r="T209" s="133"/>
      <c r="U209" s="133"/>
    </row>
    <row r="210" spans="1:21" ht="15.75" customHeight="1" x14ac:dyDescent="0.35">
      <c r="A210" s="133"/>
      <c r="B210" s="133"/>
      <c r="C210" s="133"/>
      <c r="D210" s="133"/>
      <c r="E210" s="133"/>
      <c r="F210" s="133"/>
      <c r="G210" s="133"/>
      <c r="H210" s="133"/>
      <c r="I210" s="133"/>
      <c r="J210" s="133"/>
      <c r="K210" s="133"/>
      <c r="L210" s="133"/>
      <c r="M210" s="133"/>
      <c r="N210" s="133"/>
      <c r="O210" s="219"/>
      <c r="P210" s="133"/>
      <c r="Q210" s="133"/>
      <c r="R210" s="133"/>
      <c r="S210" s="133"/>
      <c r="T210" s="133"/>
      <c r="U210" s="133"/>
    </row>
    <row r="211" spans="1:21" ht="15.75" customHeight="1" x14ac:dyDescent="0.35">
      <c r="A211" s="133"/>
      <c r="B211" s="133"/>
      <c r="C211" s="133"/>
      <c r="D211" s="133"/>
      <c r="E211" s="133"/>
      <c r="F211" s="133"/>
      <c r="G211" s="133"/>
      <c r="H211" s="133"/>
      <c r="I211" s="133"/>
      <c r="J211" s="133"/>
      <c r="K211" s="133"/>
      <c r="L211" s="133"/>
      <c r="M211" s="133"/>
      <c r="N211" s="133"/>
      <c r="O211" s="219"/>
      <c r="P211" s="133"/>
      <c r="Q211" s="133"/>
      <c r="R211" s="133"/>
      <c r="S211" s="133"/>
      <c r="T211" s="133"/>
      <c r="U211" s="133"/>
    </row>
    <row r="212" spans="1:21" ht="15.75" customHeight="1" x14ac:dyDescent="0.35">
      <c r="A212" s="133"/>
      <c r="B212" s="133"/>
      <c r="C212" s="133"/>
      <c r="D212" s="133"/>
      <c r="E212" s="133"/>
      <c r="F212" s="133"/>
      <c r="G212" s="133"/>
      <c r="H212" s="133"/>
      <c r="I212" s="133"/>
      <c r="J212" s="133"/>
      <c r="K212" s="133"/>
      <c r="L212" s="133"/>
      <c r="M212" s="133"/>
      <c r="N212" s="133"/>
      <c r="O212" s="219"/>
      <c r="P212" s="133"/>
      <c r="Q212" s="133"/>
      <c r="R212" s="133"/>
      <c r="S212" s="133"/>
      <c r="T212" s="133"/>
      <c r="U212" s="133"/>
    </row>
    <row r="213" spans="1:21" ht="15.75" customHeight="1" x14ac:dyDescent="0.35">
      <c r="A213" s="133"/>
      <c r="B213" s="133"/>
      <c r="C213" s="133"/>
      <c r="D213" s="133"/>
      <c r="E213" s="133"/>
      <c r="F213" s="133"/>
      <c r="G213" s="133"/>
      <c r="H213" s="133"/>
      <c r="I213" s="133"/>
      <c r="J213" s="133"/>
      <c r="K213" s="133"/>
      <c r="L213" s="133"/>
      <c r="M213" s="133"/>
      <c r="N213" s="133"/>
      <c r="O213" s="219"/>
      <c r="P213" s="133"/>
      <c r="Q213" s="133"/>
      <c r="R213" s="133"/>
      <c r="S213" s="133"/>
      <c r="T213" s="133"/>
      <c r="U213" s="133"/>
    </row>
    <row r="214" spans="1:21" ht="15.75" customHeight="1" x14ac:dyDescent="0.35">
      <c r="A214" s="133"/>
      <c r="B214" s="133"/>
      <c r="C214" s="133"/>
      <c r="D214" s="133"/>
      <c r="E214" s="133"/>
      <c r="F214" s="133"/>
      <c r="G214" s="133"/>
      <c r="H214" s="133"/>
      <c r="I214" s="133"/>
      <c r="J214" s="133"/>
      <c r="K214" s="133"/>
      <c r="L214" s="133"/>
      <c r="M214" s="133"/>
      <c r="N214" s="133"/>
      <c r="O214" s="219"/>
      <c r="P214" s="133"/>
      <c r="Q214" s="133"/>
      <c r="R214" s="133"/>
      <c r="S214" s="133"/>
      <c r="T214" s="133"/>
      <c r="U214" s="133"/>
    </row>
    <row r="215" spans="1:21" ht="15.75" customHeight="1" x14ac:dyDescent="0.35">
      <c r="A215" s="133"/>
      <c r="B215" s="133"/>
      <c r="C215" s="133"/>
      <c r="D215" s="133"/>
      <c r="E215" s="133"/>
      <c r="F215" s="133"/>
      <c r="G215" s="133"/>
      <c r="H215" s="133"/>
      <c r="I215" s="133"/>
      <c r="J215" s="133"/>
      <c r="K215" s="133"/>
      <c r="L215" s="133"/>
      <c r="M215" s="133"/>
      <c r="N215" s="133"/>
      <c r="O215" s="219"/>
      <c r="P215" s="133"/>
      <c r="Q215" s="133"/>
      <c r="R215" s="133"/>
      <c r="S215" s="133"/>
      <c r="T215" s="133"/>
      <c r="U215" s="133"/>
    </row>
    <row r="216" spans="1:21" ht="15.75" customHeight="1" x14ac:dyDescent="0.35">
      <c r="A216" s="133"/>
      <c r="B216" s="133"/>
      <c r="C216" s="133"/>
      <c r="D216" s="133"/>
      <c r="E216" s="133"/>
      <c r="F216" s="133"/>
      <c r="G216" s="133"/>
      <c r="H216" s="133"/>
      <c r="I216" s="133"/>
      <c r="J216" s="133"/>
      <c r="K216" s="133"/>
      <c r="L216" s="133"/>
      <c r="M216" s="133"/>
      <c r="N216" s="133"/>
      <c r="O216" s="219"/>
      <c r="P216" s="133"/>
      <c r="Q216" s="133"/>
      <c r="R216" s="133"/>
      <c r="S216" s="133"/>
      <c r="T216" s="133"/>
      <c r="U216" s="133"/>
    </row>
    <row r="217" spans="1:21" ht="15.75" customHeight="1" x14ac:dyDescent="0.35">
      <c r="A217" s="133"/>
      <c r="B217" s="133"/>
      <c r="C217" s="133"/>
      <c r="D217" s="133"/>
      <c r="E217" s="133"/>
      <c r="F217" s="133"/>
      <c r="G217" s="133"/>
      <c r="H217" s="133"/>
      <c r="I217" s="133"/>
      <c r="J217" s="133"/>
      <c r="K217" s="133"/>
      <c r="L217" s="133"/>
      <c r="M217" s="133"/>
      <c r="N217" s="133"/>
      <c r="O217" s="219"/>
      <c r="P217" s="133"/>
      <c r="Q217" s="133"/>
      <c r="R217" s="133"/>
      <c r="S217" s="133"/>
      <c r="T217" s="133"/>
      <c r="U217" s="133"/>
    </row>
    <row r="218" spans="1:21" ht="15.75" customHeight="1" x14ac:dyDescent="0.35">
      <c r="A218" s="133"/>
      <c r="B218" s="133"/>
      <c r="C218" s="133"/>
      <c r="D218" s="133"/>
      <c r="E218" s="133"/>
      <c r="F218" s="133"/>
      <c r="G218" s="133"/>
      <c r="H218" s="133"/>
      <c r="I218" s="133"/>
      <c r="J218" s="133"/>
      <c r="K218" s="133"/>
      <c r="L218" s="133"/>
      <c r="M218" s="133"/>
      <c r="N218" s="133"/>
      <c r="O218" s="219"/>
      <c r="P218" s="133"/>
      <c r="Q218" s="133"/>
      <c r="R218" s="133"/>
      <c r="S218" s="133"/>
      <c r="T218" s="133"/>
      <c r="U218" s="133"/>
    </row>
    <row r="219" spans="1:21" ht="15.75" customHeight="1" x14ac:dyDescent="0.35">
      <c r="A219" s="133"/>
      <c r="B219" s="133"/>
      <c r="C219" s="133"/>
      <c r="D219" s="133"/>
      <c r="E219" s="133"/>
      <c r="F219" s="133"/>
      <c r="G219" s="133"/>
      <c r="H219" s="133"/>
      <c r="I219" s="133"/>
      <c r="J219" s="133"/>
      <c r="K219" s="133"/>
      <c r="L219" s="133"/>
      <c r="M219" s="133"/>
      <c r="N219" s="133"/>
      <c r="O219" s="219"/>
      <c r="P219" s="133"/>
      <c r="Q219" s="133"/>
      <c r="R219" s="133"/>
      <c r="S219" s="133"/>
      <c r="T219" s="133"/>
      <c r="U219" s="133"/>
    </row>
    <row r="220" spans="1:21" ht="15.75" customHeight="1" x14ac:dyDescent="0.35">
      <c r="A220" s="133"/>
      <c r="B220" s="133"/>
      <c r="C220" s="133"/>
      <c r="D220" s="133"/>
      <c r="E220" s="133"/>
      <c r="F220" s="133"/>
      <c r="G220" s="133"/>
      <c r="H220" s="133"/>
      <c r="I220" s="133"/>
      <c r="J220" s="133"/>
      <c r="K220" s="133"/>
      <c r="L220" s="133"/>
      <c r="M220" s="133"/>
      <c r="N220" s="133"/>
      <c r="O220" s="219"/>
      <c r="P220" s="133"/>
      <c r="Q220" s="133"/>
      <c r="R220" s="133"/>
      <c r="S220" s="133"/>
      <c r="T220" s="133"/>
      <c r="U220" s="133"/>
    </row>
    <row r="221" spans="1:21" ht="15.75" customHeight="1" x14ac:dyDescent="0.35">
      <c r="A221" s="133"/>
      <c r="B221" s="133"/>
      <c r="C221" s="133"/>
      <c r="D221" s="133"/>
      <c r="E221" s="133"/>
      <c r="F221" s="133"/>
      <c r="G221" s="133"/>
      <c r="H221" s="133"/>
      <c r="I221" s="133"/>
      <c r="J221" s="133"/>
      <c r="K221" s="133"/>
      <c r="L221" s="133"/>
      <c r="M221" s="133"/>
      <c r="N221" s="133"/>
      <c r="O221" s="219"/>
      <c r="P221" s="133"/>
      <c r="Q221" s="133"/>
      <c r="R221" s="133"/>
      <c r="S221" s="133"/>
      <c r="T221" s="133"/>
      <c r="U221" s="133"/>
    </row>
    <row r="222" spans="1:21" ht="15.75" customHeight="1" x14ac:dyDescent="0.35">
      <c r="A222" s="133"/>
      <c r="B222" s="133"/>
      <c r="C222" s="133"/>
      <c r="D222" s="133"/>
      <c r="E222" s="133"/>
      <c r="F222" s="133"/>
      <c r="G222" s="133"/>
      <c r="H222" s="133"/>
      <c r="I222" s="133"/>
      <c r="J222" s="133"/>
      <c r="K222" s="133"/>
      <c r="L222" s="133"/>
      <c r="M222" s="133"/>
      <c r="N222" s="133"/>
      <c r="O222" s="219"/>
      <c r="P222" s="133"/>
      <c r="Q222" s="133"/>
      <c r="R222" s="133"/>
      <c r="S222" s="133"/>
      <c r="T222" s="133"/>
      <c r="U222" s="133"/>
    </row>
    <row r="223" spans="1:21" ht="15.75" customHeight="1" x14ac:dyDescent="0.35">
      <c r="A223" s="133"/>
      <c r="B223" s="133"/>
      <c r="C223" s="133"/>
      <c r="D223" s="133"/>
      <c r="E223" s="133"/>
      <c r="F223" s="133"/>
      <c r="G223" s="133"/>
      <c r="H223" s="133"/>
      <c r="I223" s="133"/>
      <c r="J223" s="133"/>
      <c r="K223" s="133"/>
      <c r="L223" s="133"/>
      <c r="M223" s="133"/>
      <c r="N223" s="133"/>
      <c r="O223" s="219"/>
      <c r="P223" s="133"/>
      <c r="Q223" s="133"/>
      <c r="R223" s="133"/>
      <c r="S223" s="133"/>
      <c r="T223" s="133"/>
      <c r="U223" s="133"/>
    </row>
    <row r="224" spans="1:21" ht="15.75" customHeight="1" x14ac:dyDescent="0.35">
      <c r="A224" s="133"/>
      <c r="B224" s="133"/>
      <c r="C224" s="133"/>
      <c r="D224" s="133"/>
      <c r="E224" s="133"/>
      <c r="F224" s="133"/>
      <c r="G224" s="133"/>
      <c r="H224" s="133"/>
      <c r="I224" s="133"/>
      <c r="J224" s="133"/>
      <c r="K224" s="133"/>
      <c r="L224" s="133"/>
      <c r="M224" s="133"/>
      <c r="N224" s="133"/>
      <c r="O224" s="219"/>
      <c r="P224" s="133"/>
      <c r="Q224" s="133"/>
      <c r="R224" s="133"/>
      <c r="S224" s="133"/>
      <c r="T224" s="133"/>
      <c r="U224" s="133"/>
    </row>
    <row r="225" spans="1:21" ht="15.75" customHeight="1" x14ac:dyDescent="0.35">
      <c r="A225" s="133"/>
      <c r="B225" s="133"/>
      <c r="C225" s="133"/>
      <c r="D225" s="133"/>
      <c r="E225" s="133"/>
      <c r="F225" s="133"/>
      <c r="G225" s="133"/>
      <c r="H225" s="133"/>
      <c r="I225" s="133"/>
      <c r="J225" s="133"/>
      <c r="K225" s="133"/>
      <c r="L225" s="133"/>
      <c r="M225" s="133"/>
      <c r="N225" s="133"/>
      <c r="O225" s="219"/>
      <c r="P225" s="133"/>
      <c r="Q225" s="133"/>
      <c r="R225" s="133"/>
      <c r="S225" s="133"/>
      <c r="T225" s="133"/>
      <c r="U225" s="133"/>
    </row>
    <row r="226" spans="1:21" ht="15.75" customHeight="1" x14ac:dyDescent="0.35">
      <c r="A226" s="133"/>
      <c r="B226" s="133"/>
      <c r="C226" s="133"/>
      <c r="D226" s="133"/>
      <c r="E226" s="133"/>
      <c r="F226" s="133"/>
      <c r="G226" s="133"/>
      <c r="H226" s="133"/>
      <c r="I226" s="133"/>
      <c r="J226" s="133"/>
      <c r="K226" s="133"/>
      <c r="L226" s="133"/>
      <c r="M226" s="133"/>
      <c r="N226" s="133"/>
      <c r="O226" s="219"/>
      <c r="P226" s="133"/>
      <c r="Q226" s="133"/>
      <c r="R226" s="133"/>
      <c r="S226" s="133"/>
      <c r="T226" s="133"/>
      <c r="U226" s="133"/>
    </row>
    <row r="227" spans="1:21" ht="15.75" customHeight="1" x14ac:dyDescent="0.35">
      <c r="A227" s="133"/>
      <c r="B227" s="133"/>
      <c r="C227" s="133"/>
      <c r="D227" s="133"/>
      <c r="E227" s="133"/>
      <c r="F227" s="133"/>
      <c r="G227" s="133"/>
      <c r="H227" s="133"/>
      <c r="I227" s="133"/>
      <c r="J227" s="133"/>
      <c r="K227" s="133"/>
      <c r="L227" s="133"/>
      <c r="M227" s="133"/>
      <c r="N227" s="133"/>
      <c r="O227" s="219"/>
      <c r="P227" s="133"/>
      <c r="Q227" s="133"/>
      <c r="R227" s="133"/>
      <c r="S227" s="133"/>
      <c r="T227" s="133"/>
      <c r="U227" s="133"/>
    </row>
    <row r="228" spans="1:21" ht="15.75" customHeight="1" x14ac:dyDescent="0.35">
      <c r="A228" s="133"/>
      <c r="B228" s="133"/>
      <c r="C228" s="133"/>
      <c r="D228" s="133"/>
      <c r="E228" s="133"/>
      <c r="F228" s="133"/>
      <c r="G228" s="133"/>
      <c r="H228" s="133"/>
      <c r="I228" s="133"/>
      <c r="J228" s="133"/>
      <c r="K228" s="133"/>
      <c r="L228" s="133"/>
      <c r="M228" s="133"/>
      <c r="N228" s="133"/>
      <c r="O228" s="219"/>
      <c r="P228" s="133"/>
      <c r="Q228" s="133"/>
      <c r="R228" s="133"/>
      <c r="S228" s="133"/>
      <c r="T228" s="133"/>
      <c r="U228" s="133"/>
    </row>
    <row r="229" spans="1:21" ht="15.75" customHeight="1" x14ac:dyDescent="0.35">
      <c r="A229" s="133"/>
      <c r="B229" s="133"/>
      <c r="C229" s="133"/>
      <c r="D229" s="133"/>
      <c r="E229" s="133"/>
      <c r="F229" s="133"/>
      <c r="G229" s="133"/>
      <c r="H229" s="133"/>
      <c r="I229" s="133"/>
      <c r="J229" s="133"/>
      <c r="K229" s="133"/>
      <c r="L229" s="133"/>
      <c r="M229" s="133"/>
      <c r="N229" s="133"/>
      <c r="O229" s="219"/>
      <c r="P229" s="133"/>
      <c r="Q229" s="133"/>
      <c r="R229" s="133"/>
      <c r="S229" s="133"/>
      <c r="T229" s="133"/>
      <c r="U229" s="133"/>
    </row>
    <row r="230" spans="1:21" ht="15.75" customHeight="1" x14ac:dyDescent="0.35">
      <c r="A230" s="133"/>
      <c r="B230" s="133"/>
      <c r="C230" s="133"/>
      <c r="D230" s="133"/>
      <c r="E230" s="133"/>
      <c r="F230" s="133"/>
      <c r="G230" s="133"/>
      <c r="H230" s="133"/>
      <c r="I230" s="133"/>
      <c r="J230" s="133"/>
      <c r="K230" s="133"/>
      <c r="L230" s="133"/>
      <c r="M230" s="133"/>
      <c r="N230" s="133"/>
      <c r="O230" s="219"/>
      <c r="P230" s="133"/>
      <c r="Q230" s="133"/>
      <c r="R230" s="133"/>
      <c r="S230" s="133"/>
      <c r="T230" s="133"/>
      <c r="U230" s="133"/>
    </row>
    <row r="231" spans="1:21" ht="15.75" customHeight="1" x14ac:dyDescent="0.35">
      <c r="A231" s="133"/>
      <c r="B231" s="133"/>
      <c r="C231" s="133"/>
      <c r="D231" s="133"/>
      <c r="E231" s="133"/>
      <c r="F231" s="133"/>
      <c r="G231" s="133"/>
      <c r="H231" s="133"/>
      <c r="I231" s="133"/>
      <c r="J231" s="133"/>
      <c r="K231" s="133"/>
      <c r="L231" s="133"/>
      <c r="M231" s="133"/>
      <c r="N231" s="133"/>
      <c r="O231" s="219"/>
      <c r="P231" s="133"/>
      <c r="Q231" s="133"/>
      <c r="R231" s="133"/>
      <c r="S231" s="133"/>
      <c r="T231" s="133"/>
      <c r="U231" s="133"/>
    </row>
    <row r="232" spans="1:21" ht="15.75" customHeight="1" x14ac:dyDescent="0.35">
      <c r="A232" s="133"/>
      <c r="B232" s="133"/>
      <c r="C232" s="133"/>
      <c r="D232" s="133"/>
      <c r="E232" s="133"/>
      <c r="F232" s="133"/>
      <c r="G232" s="133"/>
      <c r="H232" s="133"/>
      <c r="I232" s="133"/>
      <c r="J232" s="133"/>
      <c r="K232" s="133"/>
      <c r="L232" s="133"/>
      <c r="M232" s="133"/>
      <c r="N232" s="133"/>
      <c r="O232" s="219"/>
      <c r="P232" s="133"/>
      <c r="Q232" s="133"/>
      <c r="R232" s="133"/>
      <c r="S232" s="133"/>
      <c r="T232" s="133"/>
      <c r="U232" s="133"/>
    </row>
    <row r="233" spans="1:21" ht="15.75" customHeight="1" x14ac:dyDescent="0.35">
      <c r="A233" s="133"/>
      <c r="B233" s="133"/>
      <c r="C233" s="133"/>
      <c r="D233" s="133"/>
      <c r="E233" s="133"/>
      <c r="F233" s="133"/>
      <c r="G233" s="133"/>
      <c r="H233" s="133"/>
      <c r="I233" s="133"/>
      <c r="J233" s="133"/>
      <c r="K233" s="133"/>
      <c r="L233" s="133"/>
      <c r="M233" s="133"/>
      <c r="N233" s="133"/>
      <c r="O233" s="219"/>
      <c r="P233" s="133"/>
      <c r="Q233" s="133"/>
      <c r="R233" s="133"/>
      <c r="S233" s="133"/>
      <c r="T233" s="133"/>
      <c r="U233" s="133"/>
    </row>
    <row r="234" spans="1:21" ht="15.75" customHeight="1" x14ac:dyDescent="0.35">
      <c r="A234" s="133"/>
      <c r="B234" s="133"/>
      <c r="C234" s="133"/>
      <c r="D234" s="133"/>
      <c r="E234" s="133"/>
      <c r="F234" s="133"/>
      <c r="G234" s="133"/>
      <c r="H234" s="133"/>
      <c r="I234" s="133"/>
      <c r="J234" s="133"/>
      <c r="K234" s="133"/>
      <c r="L234" s="133"/>
      <c r="M234" s="133"/>
      <c r="N234" s="133"/>
      <c r="O234" s="219"/>
      <c r="P234" s="133"/>
      <c r="Q234" s="133"/>
      <c r="R234" s="133"/>
      <c r="S234" s="133"/>
      <c r="T234" s="133"/>
      <c r="U234" s="133"/>
    </row>
    <row r="235" spans="1:21" ht="15.75" customHeight="1" x14ac:dyDescent="0.35">
      <c r="A235" s="133"/>
      <c r="B235" s="133"/>
      <c r="C235" s="133"/>
      <c r="D235" s="133"/>
      <c r="E235" s="133"/>
      <c r="F235" s="133"/>
      <c r="G235" s="133"/>
      <c r="H235" s="133"/>
      <c r="I235" s="133"/>
      <c r="J235" s="133"/>
      <c r="K235" s="133"/>
      <c r="L235" s="133"/>
      <c r="M235" s="133"/>
      <c r="N235" s="133"/>
      <c r="O235" s="219"/>
      <c r="P235" s="133"/>
      <c r="Q235" s="133"/>
      <c r="R235" s="133"/>
      <c r="S235" s="133"/>
      <c r="T235" s="133"/>
      <c r="U235" s="133"/>
    </row>
    <row r="236" spans="1:21" ht="15.75" customHeight="1" x14ac:dyDescent="0.35">
      <c r="A236" s="133"/>
      <c r="B236" s="133"/>
      <c r="C236" s="133"/>
      <c r="D236" s="133"/>
      <c r="E236" s="133"/>
      <c r="F236" s="133"/>
      <c r="G236" s="133"/>
      <c r="H236" s="133"/>
      <c r="I236" s="133"/>
      <c r="J236" s="133"/>
      <c r="K236" s="133"/>
      <c r="L236" s="133"/>
      <c r="M236" s="133"/>
      <c r="N236" s="133"/>
      <c r="O236" s="219"/>
      <c r="P236" s="133"/>
      <c r="Q236" s="133"/>
      <c r="R236" s="133"/>
      <c r="S236" s="133"/>
      <c r="T236" s="133"/>
      <c r="U236" s="133"/>
    </row>
    <row r="237" spans="1:21" ht="15.75" customHeight="1" x14ac:dyDescent="0.35">
      <c r="A237" s="133"/>
      <c r="B237" s="133"/>
      <c r="C237" s="133"/>
      <c r="D237" s="133"/>
      <c r="E237" s="133"/>
      <c r="F237" s="133"/>
      <c r="G237" s="133"/>
      <c r="H237" s="133"/>
      <c r="I237" s="133"/>
      <c r="J237" s="133"/>
      <c r="K237" s="133"/>
      <c r="L237" s="133"/>
      <c r="M237" s="133"/>
      <c r="N237" s="133"/>
      <c r="O237" s="219"/>
      <c r="P237" s="133"/>
      <c r="Q237" s="133"/>
      <c r="R237" s="133"/>
      <c r="S237" s="133"/>
      <c r="T237" s="133"/>
      <c r="U237" s="133"/>
    </row>
    <row r="238" spans="1:21" ht="15.75" customHeight="1" x14ac:dyDescent="0.35">
      <c r="A238" s="133"/>
      <c r="B238" s="133"/>
      <c r="C238" s="133"/>
      <c r="D238" s="133"/>
      <c r="E238" s="133"/>
      <c r="F238" s="133"/>
      <c r="G238" s="133"/>
      <c r="H238" s="133"/>
      <c r="I238" s="133"/>
      <c r="J238" s="133"/>
      <c r="K238" s="133"/>
      <c r="L238" s="133"/>
      <c r="M238" s="133"/>
      <c r="N238" s="133"/>
      <c r="O238" s="219"/>
      <c r="P238" s="133"/>
      <c r="Q238" s="133"/>
      <c r="R238" s="133"/>
      <c r="S238" s="133"/>
      <c r="T238" s="133"/>
      <c r="U238" s="133"/>
    </row>
    <row r="239" spans="1:21" ht="15.75" customHeight="1" x14ac:dyDescent="0.35">
      <c r="A239" s="133"/>
      <c r="B239" s="133"/>
      <c r="C239" s="133"/>
      <c r="D239" s="133"/>
      <c r="E239" s="133"/>
      <c r="F239" s="133"/>
      <c r="G239" s="133"/>
      <c r="H239" s="133"/>
      <c r="I239" s="133"/>
      <c r="J239" s="133"/>
      <c r="K239" s="133"/>
      <c r="L239" s="133"/>
      <c r="M239" s="133"/>
      <c r="N239" s="133"/>
      <c r="O239" s="219"/>
      <c r="P239" s="133"/>
      <c r="Q239" s="133"/>
      <c r="R239" s="133"/>
      <c r="S239" s="133"/>
      <c r="T239" s="133"/>
      <c r="U239" s="133"/>
    </row>
    <row r="240" spans="1:21" ht="15.75" customHeight="1" x14ac:dyDescent="0.35">
      <c r="A240" s="133"/>
      <c r="B240" s="133"/>
      <c r="C240" s="133"/>
      <c r="D240" s="133"/>
      <c r="E240" s="133"/>
      <c r="F240" s="133"/>
      <c r="G240" s="133"/>
      <c r="H240" s="133"/>
      <c r="I240" s="133"/>
      <c r="J240" s="133"/>
      <c r="K240" s="133"/>
      <c r="L240" s="133"/>
      <c r="M240" s="133"/>
      <c r="N240" s="133"/>
      <c r="O240" s="219"/>
      <c r="P240" s="133"/>
      <c r="Q240" s="133"/>
      <c r="R240" s="133"/>
      <c r="S240" s="133"/>
      <c r="T240" s="133"/>
      <c r="U240" s="133"/>
    </row>
    <row r="241" spans="1:21" ht="15.75" customHeight="1" x14ac:dyDescent="0.35">
      <c r="A241" s="133"/>
      <c r="B241" s="133"/>
      <c r="C241" s="133"/>
      <c r="D241" s="133"/>
      <c r="E241" s="133"/>
      <c r="F241" s="133"/>
      <c r="G241" s="133"/>
      <c r="H241" s="133"/>
      <c r="I241" s="133"/>
      <c r="J241" s="133"/>
      <c r="K241" s="133"/>
      <c r="L241" s="133"/>
      <c r="M241" s="133"/>
      <c r="N241" s="133"/>
      <c r="O241" s="219"/>
      <c r="P241" s="133"/>
      <c r="Q241" s="133"/>
      <c r="R241" s="133"/>
      <c r="S241" s="133"/>
      <c r="T241" s="133"/>
      <c r="U241" s="133"/>
    </row>
    <row r="242" spans="1:21" ht="15.75" customHeight="1" x14ac:dyDescent="0.35">
      <c r="A242" s="133"/>
      <c r="B242" s="133"/>
      <c r="C242" s="133"/>
      <c r="D242" s="133"/>
      <c r="E242" s="133"/>
      <c r="F242" s="133"/>
      <c r="G242" s="133"/>
      <c r="H242" s="133"/>
      <c r="I242" s="133"/>
      <c r="J242" s="133"/>
      <c r="K242" s="133"/>
      <c r="L242" s="133"/>
      <c r="M242" s="133"/>
      <c r="N242" s="133"/>
      <c r="O242" s="219"/>
      <c r="P242" s="133"/>
      <c r="Q242" s="133"/>
      <c r="R242" s="133"/>
      <c r="S242" s="133"/>
      <c r="T242" s="133"/>
      <c r="U242" s="133"/>
    </row>
    <row r="243" spans="1:21" ht="15.75" customHeight="1" x14ac:dyDescent="0.35">
      <c r="A243" s="133"/>
      <c r="B243" s="133"/>
      <c r="C243" s="133"/>
      <c r="D243" s="133"/>
      <c r="E243" s="133"/>
      <c r="F243" s="133"/>
      <c r="G243" s="133"/>
      <c r="H243" s="133"/>
      <c r="I243" s="133"/>
      <c r="J243" s="133"/>
      <c r="K243" s="133"/>
      <c r="L243" s="133"/>
      <c r="M243" s="133"/>
      <c r="N243" s="133"/>
      <c r="O243" s="219"/>
      <c r="P243" s="133"/>
      <c r="Q243" s="133"/>
      <c r="R243" s="133"/>
      <c r="S243" s="133"/>
      <c r="T243" s="133"/>
      <c r="U243" s="133"/>
    </row>
    <row r="244" spans="1:21" ht="15.75" customHeight="1" x14ac:dyDescent="0.35">
      <c r="A244" s="133"/>
      <c r="B244" s="133"/>
      <c r="C244" s="133"/>
      <c r="D244" s="133"/>
      <c r="E244" s="133"/>
      <c r="F244" s="133"/>
      <c r="G244" s="133"/>
      <c r="H244" s="133"/>
      <c r="I244" s="133"/>
      <c r="J244" s="133"/>
      <c r="K244" s="133"/>
      <c r="L244" s="133"/>
      <c r="M244" s="133"/>
      <c r="N244" s="133"/>
      <c r="O244" s="219"/>
      <c r="P244" s="133"/>
      <c r="Q244" s="133"/>
      <c r="R244" s="133"/>
      <c r="S244" s="133"/>
      <c r="T244" s="133"/>
      <c r="U244" s="133"/>
    </row>
    <row r="245" spans="1:21" ht="15.75" customHeight="1" x14ac:dyDescent="0.35">
      <c r="A245" s="133"/>
      <c r="B245" s="133"/>
      <c r="C245" s="133"/>
      <c r="D245" s="133"/>
      <c r="E245" s="133"/>
      <c r="F245" s="133"/>
      <c r="G245" s="133"/>
      <c r="H245" s="133"/>
      <c r="I245" s="133"/>
      <c r="J245" s="133"/>
      <c r="K245" s="133"/>
      <c r="L245" s="133"/>
      <c r="M245" s="133"/>
      <c r="N245" s="133"/>
      <c r="O245" s="219"/>
      <c r="P245" s="133"/>
      <c r="Q245" s="133"/>
      <c r="R245" s="133"/>
      <c r="S245" s="133"/>
      <c r="T245" s="133"/>
      <c r="U245" s="133"/>
    </row>
    <row r="246" spans="1:21" ht="15.75" customHeight="1" x14ac:dyDescent="0.35">
      <c r="A246" s="133"/>
      <c r="B246" s="133"/>
      <c r="C246" s="133"/>
      <c r="D246" s="133"/>
      <c r="E246" s="133"/>
      <c r="F246" s="133"/>
      <c r="G246" s="133"/>
      <c r="H246" s="133"/>
      <c r="I246" s="133"/>
      <c r="J246" s="133"/>
      <c r="K246" s="133"/>
      <c r="L246" s="133"/>
      <c r="M246" s="133"/>
      <c r="N246" s="133"/>
      <c r="O246" s="219"/>
      <c r="P246" s="133"/>
      <c r="Q246" s="133"/>
      <c r="R246" s="133"/>
      <c r="S246" s="133"/>
      <c r="T246" s="133"/>
      <c r="U246" s="133"/>
    </row>
    <row r="247" spans="1:21" ht="15.75" customHeight="1" x14ac:dyDescent="0.35">
      <c r="A247" s="133"/>
      <c r="B247" s="133"/>
      <c r="C247" s="133"/>
      <c r="D247" s="133"/>
      <c r="E247" s="133"/>
      <c r="F247" s="133"/>
      <c r="G247" s="133"/>
      <c r="H247" s="133"/>
      <c r="I247" s="133"/>
      <c r="J247" s="133"/>
      <c r="K247" s="133"/>
      <c r="L247" s="133"/>
      <c r="M247" s="133"/>
      <c r="N247" s="133"/>
      <c r="O247" s="219"/>
      <c r="P247" s="133"/>
      <c r="Q247" s="133"/>
      <c r="R247" s="133"/>
      <c r="S247" s="133"/>
      <c r="T247" s="133"/>
      <c r="U247" s="133"/>
    </row>
    <row r="248" spans="1:21" ht="15.75" customHeight="1" x14ac:dyDescent="0.35">
      <c r="A248" s="133"/>
      <c r="B248" s="133"/>
      <c r="C248" s="133"/>
      <c r="D248" s="133"/>
      <c r="E248" s="133"/>
      <c r="F248" s="133"/>
      <c r="G248" s="133"/>
      <c r="H248" s="133"/>
      <c r="I248" s="133"/>
      <c r="J248" s="133"/>
      <c r="K248" s="133"/>
      <c r="L248" s="133"/>
      <c r="M248" s="133"/>
      <c r="N248" s="133"/>
      <c r="O248" s="219"/>
      <c r="P248" s="133"/>
      <c r="Q248" s="133"/>
      <c r="R248" s="133"/>
      <c r="S248" s="133"/>
      <c r="T248" s="133"/>
      <c r="U248" s="133"/>
    </row>
    <row r="249" spans="1:21" ht="15.75" customHeight="1" x14ac:dyDescent="0.35">
      <c r="A249" s="133"/>
      <c r="B249" s="133"/>
      <c r="C249" s="133"/>
      <c r="D249" s="133"/>
      <c r="E249" s="133"/>
      <c r="F249" s="133"/>
      <c r="G249" s="133"/>
      <c r="H249" s="133"/>
      <c r="I249" s="133"/>
      <c r="J249" s="133"/>
      <c r="K249" s="133"/>
      <c r="L249" s="133"/>
      <c r="M249" s="133"/>
      <c r="N249" s="133"/>
      <c r="O249" s="219"/>
      <c r="P249" s="133"/>
      <c r="Q249" s="133"/>
      <c r="R249" s="133"/>
      <c r="S249" s="133"/>
      <c r="T249" s="133"/>
      <c r="U249" s="133"/>
    </row>
    <row r="250" spans="1:21" ht="15.75" customHeight="1" x14ac:dyDescent="0.35">
      <c r="A250" s="133"/>
      <c r="B250" s="133"/>
      <c r="C250" s="133"/>
      <c r="D250" s="133"/>
      <c r="E250" s="133"/>
      <c r="F250" s="133"/>
      <c r="G250" s="133"/>
      <c r="H250" s="133"/>
      <c r="I250" s="133"/>
      <c r="J250" s="133"/>
      <c r="K250" s="133"/>
      <c r="L250" s="133"/>
      <c r="M250" s="133"/>
      <c r="N250" s="133"/>
      <c r="O250" s="219"/>
      <c r="P250" s="133"/>
      <c r="Q250" s="133"/>
      <c r="R250" s="133"/>
      <c r="S250" s="133"/>
      <c r="T250" s="133"/>
      <c r="U250" s="133"/>
    </row>
    <row r="251" spans="1:21" ht="15.75" customHeight="1" x14ac:dyDescent="0.35">
      <c r="A251" s="133"/>
      <c r="B251" s="133"/>
      <c r="C251" s="133"/>
      <c r="D251" s="133"/>
      <c r="E251" s="133"/>
      <c r="F251" s="133"/>
      <c r="G251" s="133"/>
      <c r="H251" s="133"/>
      <c r="I251" s="133"/>
      <c r="J251" s="133"/>
      <c r="K251" s="133"/>
      <c r="L251" s="133"/>
      <c r="M251" s="133"/>
      <c r="N251" s="133"/>
      <c r="O251" s="219"/>
      <c r="P251" s="133"/>
      <c r="Q251" s="133"/>
      <c r="R251" s="133"/>
      <c r="S251" s="133"/>
      <c r="T251" s="133"/>
      <c r="U251" s="133"/>
    </row>
    <row r="252" spans="1:21" ht="15.75" customHeight="1" x14ac:dyDescent="0.35">
      <c r="A252" s="133"/>
      <c r="B252" s="133"/>
      <c r="C252" s="133"/>
      <c r="D252" s="133"/>
      <c r="E252" s="133"/>
      <c r="F252" s="133"/>
      <c r="G252" s="133"/>
      <c r="H252" s="133"/>
      <c r="I252" s="133"/>
      <c r="J252" s="133"/>
      <c r="K252" s="133"/>
      <c r="L252" s="133"/>
      <c r="M252" s="133"/>
      <c r="N252" s="133"/>
      <c r="O252" s="219"/>
      <c r="P252" s="133"/>
      <c r="Q252" s="133"/>
      <c r="R252" s="133"/>
      <c r="S252" s="133"/>
      <c r="T252" s="133"/>
      <c r="U252" s="133"/>
    </row>
    <row r="253" spans="1:21" ht="15.75" customHeight="1" x14ac:dyDescent="0.35"/>
    <row r="254" spans="1:21" ht="15.75" customHeight="1" x14ac:dyDescent="0.35"/>
    <row r="255" spans="1:21" ht="15.75" customHeight="1" x14ac:dyDescent="0.35"/>
    <row r="256" spans="1:21"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sheetProtection password="DEFC" sheet="1" objects="1" scenarios="1"/>
  <autoFilter ref="A2:U53">
    <filterColumn colId="1" showButton="0"/>
  </autoFilter>
  <mergeCells count="10">
    <mergeCell ref="B31:C31"/>
    <mergeCell ref="B40:C40"/>
    <mergeCell ref="B47:C47"/>
    <mergeCell ref="B2:C2"/>
    <mergeCell ref="B3:C3"/>
    <mergeCell ref="B4:C4"/>
    <mergeCell ref="B5:C5"/>
    <mergeCell ref="B14:C14"/>
    <mergeCell ref="B22:C22"/>
    <mergeCell ref="B30:C30"/>
  </mergeCells>
  <pageMargins left="0.7" right="0.7"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29"/>
  <sheetViews>
    <sheetView zoomScale="90" zoomScaleNormal="90" workbookViewId="0">
      <selection activeCell="B4" sqref="B4"/>
    </sheetView>
  </sheetViews>
  <sheetFormatPr baseColWidth="10" defaultRowHeight="15" x14ac:dyDescent="0.25"/>
  <cols>
    <col min="3" max="3" width="17.140625" customWidth="1"/>
    <col min="4" max="4" width="23" customWidth="1"/>
    <col min="5" max="5" width="25.28515625" customWidth="1"/>
    <col min="6" max="6" width="20" customWidth="1"/>
    <col min="7" max="7" width="24" customWidth="1"/>
    <col min="8" max="8" width="19.5703125" customWidth="1"/>
  </cols>
  <sheetData>
    <row r="2" spans="3:11" ht="15.75" thickBot="1" x14ac:dyDescent="0.3"/>
    <row r="3" spans="3:11" ht="20.45" customHeight="1" thickBot="1" x14ac:dyDescent="0.3">
      <c r="C3" s="756" t="s">
        <v>1496</v>
      </c>
      <c r="D3" s="757"/>
      <c r="E3" s="757"/>
      <c r="F3" s="757"/>
      <c r="G3" s="757"/>
      <c r="H3" s="758"/>
      <c r="J3" s="739" t="s">
        <v>1529</v>
      </c>
      <c r="K3" s="740"/>
    </row>
    <row r="4" spans="3:11" ht="35.450000000000003" customHeight="1" thickBot="1" x14ac:dyDescent="0.3">
      <c r="C4" s="257" t="s">
        <v>1497</v>
      </c>
      <c r="D4" s="21" t="s">
        <v>1498</v>
      </c>
      <c r="E4" s="21" t="s">
        <v>1499</v>
      </c>
      <c r="F4" s="21" t="s">
        <v>1500</v>
      </c>
      <c r="G4" s="21" t="s">
        <v>1501</v>
      </c>
      <c r="H4" s="256" t="s">
        <v>1502</v>
      </c>
      <c r="J4" s="741"/>
      <c r="K4" s="742"/>
    </row>
    <row r="5" spans="3:11" ht="21" thickBot="1" x14ac:dyDescent="0.3">
      <c r="C5" s="258" t="s">
        <v>1503</v>
      </c>
      <c r="D5" s="22" t="s">
        <v>1504</v>
      </c>
      <c r="E5" s="22" t="s">
        <v>1505</v>
      </c>
      <c r="F5" s="22" t="s">
        <v>1506</v>
      </c>
      <c r="G5" s="22" t="s">
        <v>1507</v>
      </c>
      <c r="H5" s="251" t="s">
        <v>1504</v>
      </c>
      <c r="J5" s="741"/>
      <c r="K5" s="742"/>
    </row>
    <row r="6" spans="3:11" ht="21" thickBot="1" x14ac:dyDescent="0.3">
      <c r="C6" s="259" t="s">
        <v>1508</v>
      </c>
      <c r="D6" s="23" t="s">
        <v>1509</v>
      </c>
      <c r="E6" s="23" t="s">
        <v>1510</v>
      </c>
      <c r="F6" s="23" t="s">
        <v>1511</v>
      </c>
      <c r="G6" s="23" t="s">
        <v>1512</v>
      </c>
      <c r="H6" s="252" t="s">
        <v>1509</v>
      </c>
      <c r="J6" s="741"/>
      <c r="K6" s="742"/>
    </row>
    <row r="7" spans="3:11" ht="21" thickBot="1" x14ac:dyDescent="0.3">
      <c r="C7" s="260" t="s">
        <v>1513</v>
      </c>
      <c r="D7" s="24" t="s">
        <v>1514</v>
      </c>
      <c r="E7" s="24" t="s">
        <v>1515</v>
      </c>
      <c r="F7" s="24" t="s">
        <v>1516</v>
      </c>
      <c r="G7" s="24" t="s">
        <v>1517</v>
      </c>
      <c r="H7" s="253" t="s">
        <v>1514</v>
      </c>
      <c r="J7" s="741"/>
      <c r="K7" s="742"/>
    </row>
    <row r="8" spans="3:11" ht="21" thickBot="1" x14ac:dyDescent="0.3">
      <c r="C8" s="261" t="s">
        <v>1518</v>
      </c>
      <c r="D8" s="25" t="s">
        <v>1519</v>
      </c>
      <c r="E8" s="25" t="s">
        <v>1520</v>
      </c>
      <c r="F8" s="25" t="s">
        <v>1521</v>
      </c>
      <c r="G8" s="25" t="s">
        <v>1522</v>
      </c>
      <c r="H8" s="254" t="s">
        <v>1519</v>
      </c>
      <c r="J8" s="741"/>
      <c r="K8" s="742"/>
    </row>
    <row r="9" spans="3:11" ht="21" thickBot="1" x14ac:dyDescent="0.3">
      <c r="C9" s="262" t="s">
        <v>1523</v>
      </c>
      <c r="D9" s="26" t="s">
        <v>1524</v>
      </c>
      <c r="E9" s="26" t="s">
        <v>1525</v>
      </c>
      <c r="F9" s="26" t="s">
        <v>1526</v>
      </c>
      <c r="G9" s="26" t="s">
        <v>1527</v>
      </c>
      <c r="H9" s="255" t="s">
        <v>1528</v>
      </c>
      <c r="J9" s="743"/>
      <c r="K9" s="744"/>
    </row>
    <row r="11" spans="3:11" ht="4.1500000000000004" customHeight="1" thickBot="1" x14ac:dyDescent="0.3"/>
    <row r="12" spans="3:11" ht="53.45" customHeight="1" thickBot="1" x14ac:dyDescent="0.3">
      <c r="C12" s="78" t="s">
        <v>1530</v>
      </c>
      <c r="D12" s="79" t="s">
        <v>1531</v>
      </c>
      <c r="E12" s="79" t="s">
        <v>1532</v>
      </c>
      <c r="F12" s="80" t="s">
        <v>1861</v>
      </c>
      <c r="G12" s="81" t="s">
        <v>1860</v>
      </c>
      <c r="H12" s="82" t="s">
        <v>1595</v>
      </c>
      <c r="J12" s="739" t="s">
        <v>1542</v>
      </c>
      <c r="K12" s="740"/>
    </row>
    <row r="13" spans="3:11" x14ac:dyDescent="0.25">
      <c r="C13" s="745" t="s">
        <v>1533</v>
      </c>
      <c r="D13" s="747"/>
      <c r="E13" s="749" t="s">
        <v>1534</v>
      </c>
      <c r="F13" s="753" t="s">
        <v>1886</v>
      </c>
      <c r="G13" s="759">
        <f>+'SEGUIMIENTO DEL PLAN DE DESARRO'!G3</f>
        <v>0.20145967486366223</v>
      </c>
      <c r="H13" s="762" t="s">
        <v>1535</v>
      </c>
      <c r="J13" s="741"/>
      <c r="K13" s="742"/>
    </row>
    <row r="14" spans="3:11" ht="15.75" thickBot="1" x14ac:dyDescent="0.3">
      <c r="C14" s="746"/>
      <c r="D14" s="748"/>
      <c r="E14" s="750"/>
      <c r="F14" s="754"/>
      <c r="G14" s="760"/>
      <c r="H14" s="762"/>
      <c r="J14" s="741"/>
      <c r="K14" s="742"/>
    </row>
    <row r="15" spans="3:11" ht="24.6" customHeight="1" x14ac:dyDescent="0.25">
      <c r="C15" s="745" t="s">
        <v>1535</v>
      </c>
      <c r="D15" s="751"/>
      <c r="E15" s="745" t="s">
        <v>1536</v>
      </c>
      <c r="F15" s="755" t="s">
        <v>1887</v>
      </c>
      <c r="G15" s="760"/>
      <c r="H15" s="762"/>
      <c r="J15" s="741"/>
      <c r="K15" s="742"/>
    </row>
    <row r="16" spans="3:11" ht="15.75" thickBot="1" x14ac:dyDescent="0.3">
      <c r="C16" s="746"/>
      <c r="D16" s="752"/>
      <c r="E16" s="746"/>
      <c r="F16" s="754"/>
      <c r="G16" s="760"/>
      <c r="H16" s="762"/>
      <c r="J16" s="741"/>
      <c r="K16" s="742"/>
    </row>
    <row r="17" spans="3:13" ht="26.25" thickBot="1" x14ac:dyDescent="0.3">
      <c r="C17" s="27" t="s">
        <v>1513</v>
      </c>
      <c r="D17" s="28"/>
      <c r="E17" s="32" t="s">
        <v>1537</v>
      </c>
      <c r="F17" s="263" t="s">
        <v>1888</v>
      </c>
      <c r="G17" s="760"/>
      <c r="H17" s="762"/>
      <c r="J17" s="741"/>
      <c r="K17" s="742"/>
    </row>
    <row r="18" spans="3:13" ht="26.25" thickBot="1" x14ac:dyDescent="0.3">
      <c r="C18" s="27" t="s">
        <v>1538</v>
      </c>
      <c r="D18" s="30"/>
      <c r="E18" s="29" t="s">
        <v>1539</v>
      </c>
      <c r="F18" s="264" t="s">
        <v>1889</v>
      </c>
      <c r="G18" s="760"/>
      <c r="H18" s="762"/>
      <c r="J18" s="741"/>
      <c r="K18" s="742"/>
    </row>
    <row r="19" spans="3:13" ht="37.15" customHeight="1" thickBot="1" x14ac:dyDescent="0.3">
      <c r="C19" s="27" t="s">
        <v>1540</v>
      </c>
      <c r="D19" s="31"/>
      <c r="E19" s="29" t="s">
        <v>1541</v>
      </c>
      <c r="F19" s="265">
        <v>7.4300000000000005E-2</v>
      </c>
      <c r="G19" s="761"/>
      <c r="H19" s="763"/>
      <c r="J19" s="743"/>
      <c r="K19" s="744"/>
    </row>
    <row r="20" spans="3:13" x14ac:dyDescent="0.25">
      <c r="F20" s="110"/>
    </row>
    <row r="21" spans="3:13" ht="15.75" thickBot="1" x14ac:dyDescent="0.3">
      <c r="G21" s="114"/>
    </row>
    <row r="22" spans="3:13" ht="26.25" thickBot="1" x14ac:dyDescent="0.3">
      <c r="C22" s="70" t="s">
        <v>1530</v>
      </c>
      <c r="D22" s="71" t="s">
        <v>1531</v>
      </c>
      <c r="E22" s="72" t="s">
        <v>1532</v>
      </c>
      <c r="H22" s="112"/>
      <c r="M22" s="14"/>
    </row>
    <row r="23" spans="3:13" x14ac:dyDescent="0.25">
      <c r="C23" s="764" t="s">
        <v>1533</v>
      </c>
      <c r="D23" s="747"/>
      <c r="E23" s="766" t="s">
        <v>1534</v>
      </c>
      <c r="G23" s="114"/>
    </row>
    <row r="24" spans="3:13" ht="15.75" thickBot="1" x14ac:dyDescent="0.3">
      <c r="C24" s="765"/>
      <c r="D24" s="748"/>
      <c r="E24" s="767"/>
    </row>
    <row r="25" spans="3:13" x14ac:dyDescent="0.25">
      <c r="C25" s="764" t="s">
        <v>1535</v>
      </c>
      <c r="D25" s="751"/>
      <c r="E25" s="766" t="s">
        <v>1536</v>
      </c>
    </row>
    <row r="26" spans="3:13" ht="15.75" thickBot="1" x14ac:dyDescent="0.3">
      <c r="C26" s="765"/>
      <c r="D26" s="752"/>
      <c r="E26" s="767"/>
    </row>
    <row r="27" spans="3:13" ht="26.25" thickBot="1" x14ac:dyDescent="0.3">
      <c r="C27" s="73" t="s">
        <v>1513</v>
      </c>
      <c r="D27" s="28"/>
      <c r="E27" s="74" t="s">
        <v>1537</v>
      </c>
    </row>
    <row r="28" spans="3:13" ht="26.25" thickBot="1" x14ac:dyDescent="0.3">
      <c r="C28" s="73" t="s">
        <v>1538</v>
      </c>
      <c r="D28" s="30"/>
      <c r="E28" s="74" t="s">
        <v>1539</v>
      </c>
    </row>
    <row r="29" spans="3:13" ht="15.75" thickBot="1" x14ac:dyDescent="0.3">
      <c r="C29" s="75" t="s">
        <v>1540</v>
      </c>
      <c r="D29" s="76"/>
      <c r="E29" s="77" t="s">
        <v>1541</v>
      </c>
    </row>
  </sheetData>
  <sheetProtection password="DEFC" sheet="1" objects="1" scenarios="1"/>
  <mergeCells count="19">
    <mergeCell ref="C23:C24"/>
    <mergeCell ref="D23:D24"/>
    <mergeCell ref="E23:E24"/>
    <mergeCell ref="C25:C26"/>
    <mergeCell ref="D25:D26"/>
    <mergeCell ref="E25:E26"/>
    <mergeCell ref="J3:K9"/>
    <mergeCell ref="C13:C14"/>
    <mergeCell ref="D13:D14"/>
    <mergeCell ref="E13:E14"/>
    <mergeCell ref="C15:C16"/>
    <mergeCell ref="D15:D16"/>
    <mergeCell ref="E15:E16"/>
    <mergeCell ref="J12:K19"/>
    <mergeCell ref="F13:F14"/>
    <mergeCell ref="F15:F16"/>
    <mergeCell ref="C3:H3"/>
    <mergeCell ref="G13:G19"/>
    <mergeCell ref="H13:H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06"/>
  <sheetViews>
    <sheetView tabSelected="1" zoomScale="30" zoomScaleNormal="30" workbookViewId="0">
      <pane xSplit="5" ySplit="2" topLeftCell="F3" activePane="bottomRight" state="frozen"/>
      <selection activeCell="K14" sqref="K14"/>
      <selection pane="topRight" activeCell="K14" sqref="K14"/>
      <selection pane="bottomLeft" activeCell="K14" sqref="K14"/>
      <selection pane="bottomRight" activeCell="G6" sqref="G6"/>
    </sheetView>
  </sheetViews>
  <sheetFormatPr baseColWidth="10" defaultColWidth="51.7109375" defaultRowHeight="15" x14ac:dyDescent="0.25"/>
  <cols>
    <col min="1" max="1" width="20.140625" customWidth="1"/>
    <col min="2" max="2" width="120.85546875" customWidth="1"/>
    <col min="3" max="3" width="56.140625" style="17" customWidth="1"/>
    <col min="4" max="4" width="56.42578125" style="17" bestFit="1" customWidth="1"/>
    <col min="5" max="5" width="57.7109375" customWidth="1"/>
    <col min="6" max="7" width="56.5703125" bestFit="1" customWidth="1"/>
    <col min="8" max="8" width="64.140625" customWidth="1"/>
    <col min="9" max="9" width="72.7109375" bestFit="1" customWidth="1"/>
    <col min="10" max="11" width="0" hidden="1" customWidth="1"/>
  </cols>
  <sheetData>
    <row r="1" spans="2:16" ht="15.75" thickBot="1" x14ac:dyDescent="0.3"/>
    <row r="2" spans="2:16" s="55" customFormat="1" ht="140.44999999999999" customHeight="1" thickBot="1" x14ac:dyDescent="0.45">
      <c r="B2" s="678"/>
      <c r="C2" s="679" t="s">
        <v>1167</v>
      </c>
      <c r="D2" s="680" t="s">
        <v>5</v>
      </c>
      <c r="E2" s="681" t="s">
        <v>6</v>
      </c>
      <c r="F2" s="682" t="s">
        <v>8</v>
      </c>
      <c r="G2" s="681" t="s">
        <v>9</v>
      </c>
      <c r="H2" s="682" t="s">
        <v>1853</v>
      </c>
      <c r="I2" s="681" t="s">
        <v>1854</v>
      </c>
      <c r="J2" s="683" t="s">
        <v>1164</v>
      </c>
      <c r="K2" s="683" t="s">
        <v>1163</v>
      </c>
    </row>
    <row r="3" spans="2:16" ht="409.15" customHeight="1" thickTop="1" thickBot="1" x14ac:dyDescent="1.9">
      <c r="B3" s="685" t="s">
        <v>1165</v>
      </c>
      <c r="C3" s="686"/>
      <c r="D3" s="687">
        <f>+(D4+D46+D92+D123+D161+D198)/6</f>
        <v>0.24849564390600812</v>
      </c>
      <c r="E3" s="688">
        <f>+(E4+E46+E92+E123+E161+E198)/6</f>
        <v>0.18049749651187141</v>
      </c>
      <c r="F3" s="689">
        <f>+(F4+F46+F92+F123+F161+F198)/6</f>
        <v>0.7941582819202514</v>
      </c>
      <c r="G3" s="688">
        <f>+(C4*G4)+(C46*G46)+(C92*G92)+(C123*G123)+(C161*G161)+(C198*G198)</f>
        <v>0.60212540581293494</v>
      </c>
      <c r="H3" s="689">
        <f>+(H4+H46+H92+H123+H161+H198)/6</f>
        <v>0.20145967486366223</v>
      </c>
      <c r="I3" s="688">
        <f>+(I4+I46+I92+I123+I161+I198)/6</f>
        <v>0.16340447598520494</v>
      </c>
      <c r="J3" s="684"/>
      <c r="K3" s="683"/>
      <c r="L3" s="33"/>
      <c r="O3" s="18">
        <v>694</v>
      </c>
      <c r="P3" s="19">
        <f>1/O3</f>
        <v>1.440922190201729E-3</v>
      </c>
    </row>
    <row r="4" spans="2:16" ht="98.45" customHeight="1" thickTop="1" x14ac:dyDescent="0.45">
      <c r="B4" s="53" t="str">
        <f>+'Seguridad Humana'!B3:C3</f>
        <v xml:space="preserve"> SEGURIDAD HUMANA
</v>
      </c>
      <c r="C4" s="771">
        <v>0.3</v>
      </c>
      <c r="D4" s="39">
        <f>+'Seguridad Humana'!H3</f>
        <v>0.27207414611233044</v>
      </c>
      <c r="E4" s="39">
        <f>+'Seguridad Humana'!I3</f>
        <v>0.20228226242652178</v>
      </c>
      <c r="F4" s="39">
        <f>+'Seguridad Humana'!K3</f>
        <v>0.84332704195548547</v>
      </c>
      <c r="G4" s="39">
        <f>+'Seguridad Humana'!L3</f>
        <v>0.67132564143691997</v>
      </c>
      <c r="H4" s="39">
        <f>+'Seguridad Humana'!M3</f>
        <v>0.25572550817069295</v>
      </c>
      <c r="I4" s="54">
        <f>+'Seguridad Humana'!N3</f>
        <v>0.20761825159703684</v>
      </c>
      <c r="J4" s="38"/>
      <c r="K4" s="10"/>
      <c r="P4" s="19"/>
    </row>
    <row r="5" spans="2:16" ht="70.900000000000006" customHeight="1" x14ac:dyDescent="0.55000000000000004">
      <c r="B5" s="43" t="str">
        <f>+'Seguridad Humana'!B4:C4</f>
        <v xml:space="preserve"> Seguridad Ciudadana y Orden Público 
</v>
      </c>
      <c r="C5" s="771"/>
      <c r="D5" s="34">
        <f>+(D6+D7+D8+D9+D10)/5</f>
        <v>0.40844696306703598</v>
      </c>
      <c r="E5" s="35">
        <f>+(E6+E7+E8+E9+E10)/5</f>
        <v>0.37958117744760278</v>
      </c>
      <c r="F5" s="34">
        <f>+(F6+F7+F8+F9+F10)/5</f>
        <v>0.82393081761006282</v>
      </c>
      <c r="G5" s="35">
        <f>+(G6+G7+G8+G9+G10)</f>
        <v>0.59957547169811309</v>
      </c>
      <c r="H5" s="34">
        <f>+(H6+H7+H8+H9+H10)/5</f>
        <v>0.40033301822466277</v>
      </c>
      <c r="I5" s="44">
        <f>+(I6+I7+I8+I9+I10)</f>
        <v>0.31744348640612269</v>
      </c>
      <c r="J5" s="38"/>
      <c r="K5" s="10"/>
      <c r="L5" s="85"/>
      <c r="P5" s="12"/>
    </row>
    <row r="6" spans="2:16" ht="43.15" customHeight="1" x14ac:dyDescent="0.25">
      <c r="B6" s="45" t="str">
        <f>+'Seguridad Humana'!B5</f>
        <v xml:space="preserve"> PLAN ESTRATÉGICO DE SEGURIDAD INTEGRAL TITAN 24</v>
      </c>
      <c r="C6" s="771"/>
      <c r="D6" s="13">
        <f>+'Seguridad Humana'!H5</f>
        <v>0.37666666666666665</v>
      </c>
      <c r="E6" s="13">
        <f>+'Seguridad Humana'!I5</f>
        <v>0.26083333333333331</v>
      </c>
      <c r="F6" s="13">
        <f>+'Seguridad Humana'!K5</f>
        <v>0.6</v>
      </c>
      <c r="G6" s="13">
        <f>+'Seguridad Humana'!L5</f>
        <v>0.17499999999999999</v>
      </c>
      <c r="H6" s="13">
        <f>+'Seguridad Humana'!M5</f>
        <v>0.3</v>
      </c>
      <c r="I6" s="46">
        <f>+'Seguridad Humana'!N5</f>
        <v>0.109375</v>
      </c>
      <c r="J6" s="38"/>
      <c r="K6" s="10"/>
      <c r="L6" s="14"/>
    </row>
    <row r="7" spans="2:16" ht="18.75" x14ac:dyDescent="0.25">
      <c r="B7" s="45" t="str">
        <f>+'Seguridad Humana'!B12:C12</f>
        <v>EL CUERPO DE BOMBEROS AVANZA</v>
      </c>
      <c r="C7" s="771"/>
      <c r="D7" s="13">
        <f>+'Seguridad Humana'!H12</f>
        <v>0.66600000000000004</v>
      </c>
      <c r="E7" s="13">
        <f>+'Seguridad Humana'!I12</f>
        <v>0.47499999999999998</v>
      </c>
      <c r="F7" s="13">
        <f>+'Seguridad Humana'!K12</f>
        <v>1</v>
      </c>
      <c r="G7" s="13">
        <f>+'Seguridad Humana'!L12</f>
        <v>9.7499999999999989E-2</v>
      </c>
      <c r="H7" s="13">
        <f>+'Seguridad Humana'!M12</f>
        <v>0.66600000000000004</v>
      </c>
      <c r="I7" s="46">
        <f>+'Seguridad Humana'!N12</f>
        <v>7.1249999999999994E-2</v>
      </c>
      <c r="J7" s="38"/>
      <c r="K7" s="10"/>
    </row>
    <row r="8" spans="2:16" ht="30" x14ac:dyDescent="0.25">
      <c r="B8" s="45" t="str">
        <f>+'Seguridad Humana'!B16:C16</f>
        <v>SEGURIDAD YA CON DOTACIÓN A LOS ORGANISMOS DE SEGURIDAD, SOCORRO, JUSTICIA Y CONVIVENCIA Y TECNOLOGÍA PARA LA PREVENCIÓN</v>
      </c>
      <c r="C8" s="771"/>
      <c r="D8" s="13">
        <f>+'Seguridad Humana'!H16</f>
        <v>0.21866537089073543</v>
      </c>
      <c r="E8" s="13">
        <f>+'Seguridad Humana'!I16</f>
        <v>0.23116977612690295</v>
      </c>
      <c r="F8" s="13">
        <f>+'Seguridad Humana'!K16</f>
        <v>0.51965408805031454</v>
      </c>
      <c r="G8" s="13">
        <f>+'Seguridad Humana'!L16</f>
        <v>0.1270754716981132</v>
      </c>
      <c r="H8" s="13">
        <f>+'Seguridad Humana'!M16</f>
        <v>0.18898231334553608</v>
      </c>
      <c r="I8" s="46">
        <f>+'Seguridad Humana'!N16</f>
        <v>3.7150208628344908E-2</v>
      </c>
      <c r="J8" s="38"/>
      <c r="K8" s="10"/>
      <c r="L8" s="14"/>
    </row>
    <row r="9" spans="2:16" ht="18.75" x14ac:dyDescent="0.25">
      <c r="B9" s="45" t="str">
        <f>+'Seguridad Humana'!B23:C23</f>
        <v xml:space="preserve"> SEGURIDAD YA EN LAS PLAYAS DE CARTAGENA</v>
      </c>
      <c r="C9" s="771"/>
      <c r="D9" s="13">
        <f>+'Seguridad Humana'!H23</f>
        <v>0.625</v>
      </c>
      <c r="E9" s="13">
        <f>+'Seguridad Humana'!I23</f>
        <v>0.77499999999999991</v>
      </c>
      <c r="F9" s="13">
        <f>+'Seguridad Humana'!K23</f>
        <v>1</v>
      </c>
      <c r="G9" s="13">
        <f>+'Seguridad Humana'!L23</f>
        <v>0.1</v>
      </c>
      <c r="H9" s="13">
        <f>+'Seguridad Humana'!M23</f>
        <v>0.625</v>
      </c>
      <c r="I9" s="46">
        <f>+'Seguridad Humana'!N23</f>
        <v>7.7499999999999999E-2</v>
      </c>
      <c r="J9" s="38"/>
      <c r="K9" s="10"/>
    </row>
    <row r="10" spans="2:16" ht="18.75" x14ac:dyDescent="0.25">
      <c r="B10" s="45" t="str">
        <f>+'Seguridad Humana'!B26:C26</f>
        <v xml:space="preserve"> EDUCACIÓN, CULTURA Y SEGURIDAD VIAL PARA AVANZAR</v>
      </c>
      <c r="C10" s="771"/>
      <c r="D10" s="13">
        <f>+'Seguridad Humana'!H26</f>
        <v>0.15590277777777778</v>
      </c>
      <c r="E10" s="13">
        <f>+'Seguridad Humana'!I26</f>
        <v>0.15590277777777778</v>
      </c>
      <c r="F10" s="13">
        <f>+'Seguridad Humana'!K26</f>
        <v>1</v>
      </c>
      <c r="G10" s="13">
        <f>+'Seguridad Humana'!L26</f>
        <v>0.1</v>
      </c>
      <c r="H10" s="13">
        <f>+'Seguridad Humana'!M26</f>
        <v>0.22168277777777778</v>
      </c>
      <c r="I10" s="47">
        <f>+'Seguridad Humana'!N26</f>
        <v>2.216827777777778E-2</v>
      </c>
      <c r="J10" s="38"/>
      <c r="K10" s="10"/>
    </row>
    <row r="11" spans="2:16" ht="99" customHeight="1" x14ac:dyDescent="0.35">
      <c r="B11" s="43" t="str">
        <f>+'Seguridad Humana'!B31:C31</f>
        <v xml:space="preserve">Construccion de paz, Derechos Humanos y Convivencia
</v>
      </c>
      <c r="C11" s="771"/>
      <c r="D11" s="34">
        <f>+(D12+D13+D14+D15+D16+D17+D18+D19)/8</f>
        <v>0.24236111111111111</v>
      </c>
      <c r="E11" s="35">
        <v>0.04</v>
      </c>
      <c r="F11" s="34">
        <f>+(F12+F13+F14+F15+F16+F17+F18+F19)/8</f>
        <v>0.90306155303030311</v>
      </c>
      <c r="G11" s="35">
        <f>+(G12+G13+G14+G15+G16+G17+G18+G19)</f>
        <v>0.64343375000000014</v>
      </c>
      <c r="H11" s="34">
        <f>+(H12+H13+H14+H15+H16+H17+H18+H19)/8</f>
        <v>0.25539455492424246</v>
      </c>
      <c r="I11" s="44">
        <f>+(I12+I13+I14+I15+I16+I17+I18+I19)</f>
        <v>0.19896443750000001</v>
      </c>
      <c r="J11" s="38"/>
      <c r="K11" s="10"/>
    </row>
    <row r="12" spans="2:16" ht="18.75" x14ac:dyDescent="0.25">
      <c r="B12" s="45" t="str">
        <f>+'Seguridad Humana'!B32:C32</f>
        <v xml:space="preserve"> UNA VIDA LIBRE DE VIOLENCIA PARA LAS MUJERES</v>
      </c>
      <c r="C12" s="771"/>
      <c r="D12" s="13">
        <f>+'Seguridad Humana'!H32</f>
        <v>0.19999999999999998</v>
      </c>
      <c r="E12" s="13">
        <f>+'Seguridad Humana'!I32</f>
        <v>0.19</v>
      </c>
      <c r="F12" s="13">
        <f>+'Seguridad Humana'!K32</f>
        <v>1</v>
      </c>
      <c r="G12" s="13">
        <f>+'Seguridad Humana'!L32</f>
        <v>0.15</v>
      </c>
      <c r="H12" s="13">
        <f>+'Seguridad Humana'!M32</f>
        <v>0.36919999999999997</v>
      </c>
      <c r="I12" s="46">
        <f>+'Seguridad Humana'!N32</f>
        <v>6.1731000000000001E-2</v>
      </c>
      <c r="J12" s="38"/>
      <c r="K12" s="10"/>
    </row>
    <row r="13" spans="2:16" ht="18.75" x14ac:dyDescent="0.25">
      <c r="B13" s="45" t="str">
        <f>+'Seguridad Humana'!B36:C36</f>
        <v xml:space="preserve"> DERECHO A LA PAZ Y CONVIVENCIA CON EQUIDAD DE GÉNERO</v>
      </c>
      <c r="C13" s="771"/>
      <c r="D13" s="13">
        <f>+'Seguridad Humana'!H36</f>
        <v>0.25</v>
      </c>
      <c r="E13" s="13">
        <f>+'Seguridad Humana'!I36</f>
        <v>0.25</v>
      </c>
      <c r="F13" s="13">
        <f>+'Seguridad Humana'!K36</f>
        <v>1</v>
      </c>
      <c r="G13" s="13">
        <f>+'Seguridad Humana'!L36</f>
        <v>0.1</v>
      </c>
      <c r="H13" s="13">
        <f>+'Seguridad Humana'!M36</f>
        <v>0.33499999999999996</v>
      </c>
      <c r="I13" s="46">
        <f>+'Seguridad Humana'!N36</f>
        <v>3.8600000000000002E-2</v>
      </c>
      <c r="J13" s="38"/>
      <c r="K13" s="10"/>
    </row>
    <row r="14" spans="2:16" ht="18.75" x14ac:dyDescent="0.25">
      <c r="B14" s="45" t="str">
        <f>+'Seguridad Humana'!B39:C39</f>
        <v>CARTAGENA AVANZA EN CONVIVENCIA</v>
      </c>
      <c r="C14" s="771"/>
      <c r="D14" s="13">
        <f>+'Seguridad Humana'!H39</f>
        <v>0.18333333333333335</v>
      </c>
      <c r="E14" s="13">
        <f>+'Seguridad Humana'!I39</f>
        <v>0.18333333333333335</v>
      </c>
      <c r="F14" s="13">
        <f>+'Seguridad Humana'!K39</f>
        <v>1</v>
      </c>
      <c r="G14" s="13">
        <f>+'Seguridad Humana'!L39</f>
        <v>0.15</v>
      </c>
      <c r="H14" s="13">
        <f>+'Seguridad Humana'!M39</f>
        <v>0.27083333333333337</v>
      </c>
      <c r="I14" s="46">
        <f>+'Seguridad Humana'!N39</f>
        <v>3.6874999999999998E-2</v>
      </c>
      <c r="J14" s="38"/>
      <c r="K14" s="10"/>
    </row>
    <row r="15" spans="2:16" ht="18.75" x14ac:dyDescent="0.25">
      <c r="B15" s="45" t="str">
        <f>+'Seguridad Humana'!B44:C44</f>
        <v xml:space="preserve"> AVANZANDO EN EL FORTALECIMIENTO DE CASAS DE JUSTICIA, COMISARÍAS DE FAMILIA E INSPECCIONES DE POLICÍA</v>
      </c>
      <c r="C15" s="771"/>
      <c r="D15" s="13">
        <f>+'Seguridad Humana'!H44</f>
        <v>0.30555555555555552</v>
      </c>
      <c r="E15" s="13">
        <f>+'Seguridad Humana'!I44</f>
        <v>0.16666666666666666</v>
      </c>
      <c r="F15" s="13">
        <f>+'Seguridad Humana'!K44</f>
        <v>0.33333333333333331</v>
      </c>
      <c r="G15" s="13">
        <f>+'Seguridad Humana'!L44</f>
        <v>1.4999999999999999E-2</v>
      </c>
      <c r="H15" s="13">
        <f>+'Seguridad Humana'!M44</f>
        <v>8.3333333333333329E-2</v>
      </c>
      <c r="I15" s="46">
        <f>+'Seguridad Humana'!N44</f>
        <v>3.7499999999999999E-3</v>
      </c>
      <c r="J15" s="38"/>
      <c r="K15" s="10"/>
    </row>
    <row r="16" spans="2:16" ht="18.75" x14ac:dyDescent="0.25">
      <c r="B16" s="45" t="str">
        <f>+'Seguridad Humana'!B52:C52</f>
        <v xml:space="preserve"> ATENCIÓN INTEGRAL A JÓVENES EN SITUACIÓN DE RIESGO SOCIAL</v>
      </c>
      <c r="C16" s="771"/>
      <c r="D16" s="13">
        <f>+'Seguridad Humana'!H52</f>
        <v>0.25</v>
      </c>
      <c r="E16" s="13">
        <f>+'Seguridad Humana'!I52</f>
        <v>0.125</v>
      </c>
      <c r="F16" s="13">
        <f>+'Seguridad Humana'!K52</f>
        <v>1</v>
      </c>
      <c r="G16" s="13">
        <f>+'Seguridad Humana'!L52</f>
        <v>7.4999999999999997E-2</v>
      </c>
      <c r="H16" s="13">
        <f>+'Seguridad Humana'!M52</f>
        <v>0.26200000000000001</v>
      </c>
      <c r="I16" s="46">
        <f>+'Seguridad Humana'!N52</f>
        <v>1.9650000000000001E-2</v>
      </c>
      <c r="J16" s="38"/>
      <c r="K16" s="10"/>
    </row>
    <row r="17" spans="2:11" ht="18.75" x14ac:dyDescent="0.25">
      <c r="B17" s="45" t="str">
        <f>+'Seguridad Humana'!B57:C57</f>
        <v>ASISTENCIA, ATENCIÓN Y REPARACIÓN EFECTIVA E INTEGRAL A LAS VÍCTIMAS DEL CONFLICTO ARMADO</v>
      </c>
      <c r="C17" s="771"/>
      <c r="D17" s="13">
        <f>+'Seguridad Humana'!H57</f>
        <v>0.25</v>
      </c>
      <c r="E17" s="13">
        <f>+'Seguridad Humana'!I57</f>
        <v>0.14500000000000005</v>
      </c>
      <c r="F17" s="13">
        <f>+'Seguridad Humana'!K57</f>
        <v>0.9349090909090908</v>
      </c>
      <c r="G17" s="13">
        <f>+'Seguridad Humana'!L57</f>
        <v>5.0840000000000024E-2</v>
      </c>
      <c r="H17" s="13">
        <f>+'Seguridad Humana'!M57</f>
        <v>0.2337272727272727</v>
      </c>
      <c r="I17" s="46">
        <f>+'Seguridad Humana'!N57</f>
        <v>1.2710000000000006E-2</v>
      </c>
      <c r="J17" s="38"/>
      <c r="K17" s="10"/>
    </row>
    <row r="18" spans="2:11" ht="18.75" x14ac:dyDescent="0.25">
      <c r="B18" s="45" t="str">
        <f>+'Seguridad Humana'!B77:C77</f>
        <v>DERECHOS HUMANOS PARA LA VIDA DIGNA</v>
      </c>
      <c r="C18" s="771"/>
      <c r="D18" s="13">
        <f>+'Seguridad Humana'!H77</f>
        <v>0.25</v>
      </c>
      <c r="E18" s="13">
        <f>+'Seguridad Humana'!I77</f>
        <v>0.13750000000000001</v>
      </c>
      <c r="F18" s="13">
        <f>+'Seguridad Humana'!K77</f>
        <v>0.95625000000000004</v>
      </c>
      <c r="G18" s="13">
        <f>+'Seguridad Humana'!L77</f>
        <v>5.2593749999999995E-2</v>
      </c>
      <c r="H18" s="13">
        <f>+'Seguridad Humana'!M77</f>
        <v>0.23906250000000001</v>
      </c>
      <c r="I18" s="46">
        <f>+'Seguridad Humana'!N77</f>
        <v>1.3148437499999999E-2</v>
      </c>
      <c r="J18" s="38"/>
      <c r="K18" s="10"/>
    </row>
    <row r="19" spans="2:11" ht="44.45" customHeight="1" x14ac:dyDescent="0.25">
      <c r="B19" s="45" t="str">
        <f>+'Seguridad Humana'!B87:C87</f>
        <v>SISTEMA PENITENCIARIO Y CARCELARIO EN EL MARCO DE LOS DERECHOS HUMANOS</v>
      </c>
      <c r="C19" s="771"/>
      <c r="D19" s="13">
        <f>+'Seguridad Humana'!H87</f>
        <v>0.25</v>
      </c>
      <c r="E19" s="13">
        <f>+'Seguridad Humana'!I87</f>
        <v>0.125</v>
      </c>
      <c r="F19" s="13">
        <f>+'Seguridad Humana'!K87</f>
        <v>1</v>
      </c>
      <c r="G19" s="13">
        <f>+'Seguridad Humana'!L87</f>
        <v>0.05</v>
      </c>
      <c r="H19" s="13">
        <f>+'Seguridad Humana'!M87</f>
        <v>0.25</v>
      </c>
      <c r="I19" s="46">
        <f>+'Seguridad Humana'!N87</f>
        <v>1.2500000000000001E-2</v>
      </c>
      <c r="J19" s="38"/>
      <c r="K19" s="10"/>
    </row>
    <row r="20" spans="2:11" ht="88.9" customHeight="1" x14ac:dyDescent="0.35">
      <c r="B20" s="43" t="str">
        <f>+'Seguridad Humana'!B91:C91</f>
        <v xml:space="preserve"> Salud Pública y Aseguramiento
</v>
      </c>
      <c r="C20" s="771"/>
      <c r="D20" s="34">
        <f>+(D21+D22+D23+D24+D25)/5</f>
        <v>0.23229102167182664</v>
      </c>
      <c r="E20" s="35">
        <f>+(E21+E22+E23+E24+E25)/5</f>
        <v>0.15700735294117646</v>
      </c>
      <c r="F20" s="34">
        <f>+(F21+F22+F23+F24+F25)/5</f>
        <v>0.97477263894508703</v>
      </c>
      <c r="G20" s="35">
        <f>+(G21+G22+G23+G24+G25)</f>
        <v>0.75939316118774847</v>
      </c>
      <c r="H20" s="34">
        <f>+(H21+H22+H23+H24+H25)/5</f>
        <v>0.20515575037857808</v>
      </c>
      <c r="I20" s="44">
        <f>+(I21+I22+I23+I24+I25)</f>
        <v>0.19010083782604881</v>
      </c>
      <c r="J20" s="38"/>
      <c r="K20" s="10"/>
    </row>
    <row r="21" spans="2:11" ht="54" customHeight="1" x14ac:dyDescent="0.25">
      <c r="B21" s="45" t="str">
        <f>+'Seguridad Humana'!B92:C92</f>
        <v xml:space="preserve"> SALUD CON COBERTURA, ACCESIBILIDAD, CALIDAD E INCLUSIÓN</v>
      </c>
      <c r="C21" s="771"/>
      <c r="D21" s="13">
        <f>+'Seguridad Humana'!H92</f>
        <v>0.25</v>
      </c>
      <c r="E21" s="13">
        <f>+'Seguridad Humana'!I92</f>
        <v>0.16250000000000003</v>
      </c>
      <c r="F21" s="13">
        <f>+'Seguridad Humana'!K92</f>
        <v>0.96129032258064517</v>
      </c>
      <c r="G21" s="13">
        <f>+'Seguridad Humana'!L92</f>
        <v>0.22411290322580646</v>
      </c>
      <c r="H21" s="13">
        <f>+'Seguridad Humana'!M92</f>
        <v>0.21293498207199635</v>
      </c>
      <c r="I21" s="46">
        <f>+'Seguridad Humana'!N92</f>
        <v>5.944380429531565E-2</v>
      </c>
      <c r="J21" s="38"/>
      <c r="K21" s="10"/>
    </row>
    <row r="22" spans="2:11" ht="31.15" customHeight="1" x14ac:dyDescent="0.25">
      <c r="B22" s="45" t="s">
        <v>1614</v>
      </c>
      <c r="C22" s="771"/>
      <c r="D22" s="13">
        <f>+'Seguridad Humana'!H99</f>
        <v>0.17499999999999999</v>
      </c>
      <c r="E22" s="13">
        <f>+'Seguridad Humana'!I99</f>
        <v>0.19</v>
      </c>
      <c r="F22" s="13">
        <f>+'Seguridad Humana'!K99</f>
        <v>1</v>
      </c>
      <c r="G22" s="13">
        <f>+'Seguridad Humana'!L99</f>
        <v>0.1</v>
      </c>
      <c r="H22" s="13">
        <f>+'Seguridad Humana'!M99</f>
        <v>0.19831666666666667</v>
      </c>
      <c r="I22" s="46">
        <f>+'Seguridad Humana'!N99</f>
        <v>2.1048000000000001E-2</v>
      </c>
      <c r="J22" s="38"/>
      <c r="K22" s="10"/>
    </row>
    <row r="23" spans="2:11" ht="70.150000000000006" customHeight="1" x14ac:dyDescent="0.25">
      <c r="B23" s="45" t="s">
        <v>1615</v>
      </c>
      <c r="C23" s="771"/>
      <c r="D23" s="13">
        <f>+'Seguridad Humana'!H102</f>
        <v>0.25</v>
      </c>
      <c r="E23" s="13">
        <f>+'Seguridad Humana'!I102</f>
        <v>0.05</v>
      </c>
      <c r="F23" s="13">
        <f>+'Seguridad Humana'!K102</f>
        <v>0.93103448275862066</v>
      </c>
      <c r="G23" s="13">
        <f>+'Seguridad Humana'!L102</f>
        <v>1.8620689655172416E-2</v>
      </c>
      <c r="H23" s="13">
        <f>+'Seguridad Humana'!M102</f>
        <v>0.11637931034482758</v>
      </c>
      <c r="I23" s="46">
        <f>+'Seguridad Humana'!N102</f>
        <v>4.6551724137931039E-3</v>
      </c>
      <c r="J23" s="38"/>
      <c r="K23" s="10"/>
    </row>
    <row r="24" spans="2:11" ht="28.9" customHeight="1" x14ac:dyDescent="0.25">
      <c r="B24" s="45" t="s">
        <v>1636</v>
      </c>
      <c r="C24" s="771"/>
      <c r="D24" s="13">
        <f>+'Seguridad Humana'!H105</f>
        <v>0.23645510835913311</v>
      </c>
      <c r="E24" s="13">
        <f>+'Seguridad Humana'!I105</f>
        <v>0.2325367647058823</v>
      </c>
      <c r="F24" s="13">
        <f>+'Seguridad Humana'!K105</f>
        <v>0.98153838938616911</v>
      </c>
      <c r="G24" s="13">
        <f>+'Seguridad Humana'!L105</f>
        <v>0.38665956830676951</v>
      </c>
      <c r="H24" s="13">
        <f>+'Seguridad Humana'!M105</f>
        <v>0.24814779280939966</v>
      </c>
      <c r="I24" s="46">
        <f>+'Seguridad Humana'!N105</f>
        <v>9.7453861116940044E-2</v>
      </c>
      <c r="J24" s="38"/>
      <c r="K24" s="10"/>
    </row>
    <row r="25" spans="2:11" ht="18.75" x14ac:dyDescent="0.25">
      <c r="B25" s="45" t="s">
        <v>1637</v>
      </c>
      <c r="C25" s="771"/>
      <c r="D25" s="13">
        <f>+'Seguridad Humana'!H125</f>
        <v>0.25</v>
      </c>
      <c r="E25" s="13">
        <f>+'Seguridad Humana'!I125</f>
        <v>0.15</v>
      </c>
      <c r="F25" s="13">
        <f>+'Seguridad Humana'!K125</f>
        <v>1</v>
      </c>
      <c r="G25" s="13">
        <f>+'Seguridad Humana'!L125</f>
        <v>0.03</v>
      </c>
      <c r="H25" s="13">
        <f>+'Seguridad Humana'!M125</f>
        <v>0.25</v>
      </c>
      <c r="I25" s="46">
        <f>+'Seguridad Humana'!N125</f>
        <v>7.4999999999999997E-3</v>
      </c>
      <c r="J25" s="38"/>
      <c r="K25" s="10"/>
    </row>
    <row r="26" spans="2:11" ht="78.599999999999994" customHeight="1" x14ac:dyDescent="0.35">
      <c r="B26" s="43" t="str">
        <f>+'Seguridad Humana'!B130:C130</f>
        <v xml:space="preserve">Atención Integral a Grupos de Especial Protección
</v>
      </c>
      <c r="C26" s="771"/>
      <c r="D26" s="34">
        <f>+(D27+D28+D29+D30+D31+D32+D33)/6</f>
        <v>0.3193759495300631</v>
      </c>
      <c r="E26" s="35">
        <f>+(E27+E28+E29+E30+E31+E32+E33)/6</f>
        <v>0.17451004248744692</v>
      </c>
      <c r="F26" s="34">
        <f>+(F27+F28+F29+F30+F31+F32+F33)/6</f>
        <v>0.73629960790547333</v>
      </c>
      <c r="G26" s="35">
        <f>+(G27+G28+G29+G30+G31+G32+G33)</f>
        <v>0.67193690987124466</v>
      </c>
      <c r="H26" s="34">
        <f>+(H27+H28+H29+H30+H31+H32+H33)/6</f>
        <v>0.24621230380461609</v>
      </c>
      <c r="I26" s="44">
        <f>+(I27+I28+I29+I30+I31+I32+I33)</f>
        <v>0.18458001541682623</v>
      </c>
      <c r="J26" s="38"/>
      <c r="K26" s="10"/>
    </row>
    <row r="27" spans="2:11" ht="42.6" customHeight="1" x14ac:dyDescent="0.25">
      <c r="B27" s="45" t="s">
        <v>1618</v>
      </c>
      <c r="C27" s="771"/>
      <c r="D27" s="13">
        <f>+'Seguridad Humana'!H131</f>
        <v>0.33333333333333331</v>
      </c>
      <c r="E27" s="13">
        <f>+'Seguridad Humana'!I131</f>
        <v>0.21750000000000003</v>
      </c>
      <c r="F27" s="13">
        <f>+'Seguridad Humana'!K131</f>
        <v>0.60613098076617389</v>
      </c>
      <c r="G27" s="13">
        <f>+'Seguridad Humana'!L131</f>
        <v>9.023690987124465E-2</v>
      </c>
      <c r="H27" s="13">
        <f>+'Seguridad Humana'!M131</f>
        <v>0.22653274519154346</v>
      </c>
      <c r="I27" s="46">
        <f>+'Seguridad Humana'!N131</f>
        <v>3.155922746781116E-2</v>
      </c>
      <c r="J27" s="38"/>
      <c r="K27" s="10"/>
    </row>
    <row r="28" spans="2:11" ht="81" customHeight="1" x14ac:dyDescent="0.25">
      <c r="B28" s="45" t="s">
        <v>1619</v>
      </c>
      <c r="C28" s="771"/>
      <c r="D28" s="13">
        <f>+'Seguridad Humana'!H140</f>
        <v>0.23392236384704518</v>
      </c>
      <c r="E28" s="13">
        <f>+'Seguridad Humana'!I140</f>
        <v>0.22106025492468134</v>
      </c>
      <c r="F28" s="13">
        <f>+'Seguridad Humana'!K140</f>
        <v>0.5</v>
      </c>
      <c r="G28" s="13">
        <f>+'Seguridad Humana'!L140</f>
        <v>0.18000000000000002</v>
      </c>
      <c r="H28" s="13">
        <f>+'Seguridad Humana'!M140</f>
        <v>0.13789107763615296</v>
      </c>
      <c r="I28" s="46">
        <f>+'Seguridad Humana'!N140</f>
        <v>4.9640787949015074E-2</v>
      </c>
      <c r="J28" s="38"/>
      <c r="K28" s="10"/>
    </row>
    <row r="29" spans="2:11" ht="51" customHeight="1" x14ac:dyDescent="0.25">
      <c r="B29" s="45" t="s">
        <v>1620</v>
      </c>
      <c r="C29" s="771"/>
      <c r="D29" s="13">
        <f>+'Seguridad Humana'!H143</f>
        <v>0.25</v>
      </c>
      <c r="E29" s="13">
        <f>+'Seguridad Humana'!I143</f>
        <v>0.25</v>
      </c>
      <c r="F29" s="13">
        <f>+'Seguridad Humana'!K143</f>
        <v>0.81166666666666665</v>
      </c>
      <c r="G29" s="13">
        <f>+'Seguridad Humana'!L143</f>
        <v>7.9200000000000007E-2</v>
      </c>
      <c r="H29" s="13">
        <f>+'Seguridad Humana'!M143</f>
        <v>0.20291666666666666</v>
      </c>
      <c r="I29" s="46">
        <f>+'Seguridad Humana'!N143</f>
        <v>1.9800000000000002E-2</v>
      </c>
      <c r="J29" s="38"/>
      <c r="K29" s="10"/>
    </row>
    <row r="30" spans="2:11" ht="41.45" customHeight="1" x14ac:dyDescent="0.25">
      <c r="B30" s="45" t="s">
        <v>1621</v>
      </c>
      <c r="C30" s="771"/>
      <c r="D30" s="13">
        <f>+'Seguridad Humana'!H148</f>
        <v>0.25</v>
      </c>
      <c r="E30" s="13">
        <f>+'Seguridad Humana'!I148</f>
        <v>0.15000000000000002</v>
      </c>
      <c r="F30" s="13">
        <f>+'Seguridad Humana'!K148</f>
        <v>1</v>
      </c>
      <c r="G30" s="13">
        <f>+'Seguridad Humana'!L148</f>
        <v>0.12000000000000002</v>
      </c>
      <c r="H30" s="13">
        <f>+'Seguridad Humana'!M148</f>
        <v>0.40833333333333338</v>
      </c>
      <c r="I30" s="46">
        <f>+'Seguridad Humana'!N148</f>
        <v>4.4250000000000005E-2</v>
      </c>
      <c r="J30" s="38"/>
      <c r="K30" s="10"/>
    </row>
    <row r="31" spans="2:11" ht="40.9" customHeight="1" x14ac:dyDescent="0.25">
      <c r="B31" s="45" t="s">
        <v>1638</v>
      </c>
      <c r="C31" s="771"/>
      <c r="D31" s="13">
        <f>+'Seguridad Humana'!H153</f>
        <v>0.625</v>
      </c>
      <c r="E31" s="13">
        <f>+'Seguridad Humana'!I153</f>
        <v>6.25E-2</v>
      </c>
      <c r="F31" s="13">
        <f>+'Seguridad Humana'!K153</f>
        <v>0.5</v>
      </c>
      <c r="G31" s="13">
        <f>+'Seguridad Humana'!L153</f>
        <v>2.5000000000000005E-3</v>
      </c>
      <c r="H31" s="13">
        <f>+'Seguridad Humana'!M153</f>
        <v>0.25</v>
      </c>
      <c r="I31" s="46">
        <f>+'Seguridad Humana'!N153</f>
        <v>1.2500000000000002E-3</v>
      </c>
      <c r="J31" s="38"/>
      <c r="K31" s="10"/>
    </row>
    <row r="32" spans="2:11" ht="28.9" customHeight="1" x14ac:dyDescent="0.25">
      <c r="B32" s="45" t="s">
        <v>1639</v>
      </c>
      <c r="C32" s="771"/>
      <c r="D32" s="13">
        <f>+'Seguridad Humana'!H160</f>
        <v>0.22400000000000003</v>
      </c>
      <c r="E32" s="13">
        <f>+'Seguridad Humana'!I160</f>
        <v>0.14599999999999999</v>
      </c>
      <c r="F32" s="13">
        <f>+'Seguridad Humana'!K160</f>
        <v>1</v>
      </c>
      <c r="G32" s="13">
        <f>+'Seguridad Humana'!L160</f>
        <v>0.19999999999999998</v>
      </c>
      <c r="H32" s="13">
        <f>+'Seguridad Humana'!M160</f>
        <v>0.25159999999999999</v>
      </c>
      <c r="I32" s="46">
        <f>+'Seguridad Humana'!N160</f>
        <v>3.8080000000000003E-2</v>
      </c>
      <c r="J32" s="38"/>
      <c r="K32" s="10"/>
    </row>
    <row r="33" spans="2:11" ht="39.6" customHeight="1" x14ac:dyDescent="0.25">
      <c r="B33" s="45" t="s">
        <v>1640</v>
      </c>
      <c r="C33" s="771"/>
      <c r="D33" s="13">
        <f>+'Seguridad Humana'!H166</f>
        <v>0</v>
      </c>
      <c r="E33" s="13">
        <f>+'Seguridad Humana'!I166</f>
        <v>0</v>
      </c>
      <c r="F33" s="13">
        <f>+'Seguridad Humana'!K166</f>
        <v>0</v>
      </c>
      <c r="G33" s="13">
        <f>+'Seguridad Humana'!L166</f>
        <v>0</v>
      </c>
      <c r="H33" s="13">
        <f>+'Seguridad Humana'!M166</f>
        <v>0</v>
      </c>
      <c r="I33" s="46">
        <f>+'Seguridad Humana'!N166</f>
        <v>0</v>
      </c>
      <c r="J33" s="38"/>
      <c r="K33" s="10"/>
    </row>
    <row r="34" spans="2:11" ht="88.9" customHeight="1" x14ac:dyDescent="0.35">
      <c r="B34" s="43" t="str">
        <f>+'Seguridad Humana'!B171:C171</f>
        <v xml:space="preserve">Superación de la pobreza extrema y soberanía alimentaria
</v>
      </c>
      <c r="C34" s="771"/>
      <c r="D34" s="34">
        <f>+(D35+D36+D37+D38+D39+D40+D41+D42+D43+D44+D45)/11</f>
        <v>0.15789568518161531</v>
      </c>
      <c r="E34" s="35">
        <f>+(E35+E36+E37+E38+E39+E40+E41+E42+E43+E44+E45)/11</f>
        <v>0.13500023925638274</v>
      </c>
      <c r="F34" s="34">
        <f>+(F35+F36+F37+F38+F39+F40+F41+F42+F43+F44+F45)/11</f>
        <v>0.77857059228650138</v>
      </c>
      <c r="G34" s="35">
        <f>+(G35+G36+G37+G38+G39+G40+G41+G42+G43+G44+G45)</f>
        <v>0.63255378787878791</v>
      </c>
      <c r="H34" s="34">
        <f>+(H35+H36+H37+H38+H39+H40+H41+H42+H43+H44+H45)/11</f>
        <v>0.17153191352136538</v>
      </c>
      <c r="I34" s="44">
        <f>+(I35+I36+I37+I38+I39+I40+I41+I42+I43+I44+I45)</f>
        <v>0.14700248083618644</v>
      </c>
      <c r="J34" s="38"/>
      <c r="K34" s="10"/>
    </row>
    <row r="35" spans="2:11" ht="61.9" customHeight="1" x14ac:dyDescent="0.25">
      <c r="B35" s="45" t="s">
        <v>1625</v>
      </c>
      <c r="C35" s="771"/>
      <c r="D35" s="13">
        <f>+'Seguridad Humana'!H172</f>
        <v>0.125</v>
      </c>
      <c r="E35" s="13">
        <f>+'Seguridad Humana'!I172</f>
        <v>8.7499999999999994E-2</v>
      </c>
      <c r="F35" s="13">
        <f>+'Seguridad Humana'!K172</f>
        <v>1</v>
      </c>
      <c r="G35" s="13">
        <f>+'Seguridad Humana'!L172</f>
        <v>3.4999999999999996E-2</v>
      </c>
      <c r="H35" s="13">
        <f>+'Seguridad Humana'!M172</f>
        <v>0.161</v>
      </c>
      <c r="I35" s="46">
        <f>+'Seguridad Humana'!N172</f>
        <v>5.6350000000000003E-3</v>
      </c>
      <c r="J35" s="38"/>
      <c r="K35" s="10"/>
    </row>
    <row r="36" spans="2:11" ht="45" customHeight="1" x14ac:dyDescent="0.25">
      <c r="B36" s="45" t="s">
        <v>1626</v>
      </c>
      <c r="C36" s="771"/>
      <c r="D36" s="13">
        <f>+'Seguridad Humana'!H175</f>
        <v>0.30833333333333335</v>
      </c>
      <c r="E36" s="13">
        <f>+'Seguridad Humana'!I175</f>
        <v>0.20500000000000002</v>
      </c>
      <c r="F36" s="13">
        <f>+'Seguridad Humana'!K175</f>
        <v>1</v>
      </c>
      <c r="G36" s="13">
        <f>+'Seguridad Humana'!L175</f>
        <v>6.9999999999999993E-2</v>
      </c>
      <c r="H36" s="13">
        <f>+'Seguridad Humana'!M175</f>
        <v>0.383075</v>
      </c>
      <c r="I36" s="46">
        <f>+'Seguridad Humana'!N175</f>
        <v>2.6718500000000003E-2</v>
      </c>
      <c r="J36" s="38"/>
      <c r="K36" s="10"/>
    </row>
    <row r="37" spans="2:11" ht="30.6" customHeight="1" x14ac:dyDescent="0.25">
      <c r="B37" s="45" t="s">
        <v>1641</v>
      </c>
      <c r="C37" s="771"/>
      <c r="D37" s="13">
        <f>+'Seguridad Humana'!H179</f>
        <v>0.1752103260310604</v>
      </c>
      <c r="E37" s="13">
        <f>+'Seguridad Humana'!I179</f>
        <v>0.17445397511056257</v>
      </c>
      <c r="F37" s="13">
        <f>+'Seguridad Humana'!K179</f>
        <v>0.62594318181818176</v>
      </c>
      <c r="G37" s="13">
        <f>+'Seguridad Humana'!L179</f>
        <v>6.9720454545454544E-2</v>
      </c>
      <c r="H37" s="13">
        <f>+'Seguridad Humana'!M179</f>
        <v>0.1083654494497583</v>
      </c>
      <c r="I37" s="46">
        <f>+'Seguridad Humana'!N179</f>
        <v>1.2047093098837808E-2</v>
      </c>
      <c r="J37" s="38"/>
      <c r="K37" s="10"/>
    </row>
    <row r="38" spans="2:11" ht="34.15" customHeight="1" x14ac:dyDescent="0.25">
      <c r="B38" s="45" t="s">
        <v>1642</v>
      </c>
      <c r="C38" s="771"/>
      <c r="D38" s="13">
        <f>+'Seguridad Humana'!H184</f>
        <v>4.2000000000000003E-2</v>
      </c>
      <c r="E38" s="13">
        <f>+'Seguridad Humana'!I184</f>
        <v>4.2000000000000003E-2</v>
      </c>
      <c r="F38" s="13">
        <f>+'Seguridad Humana'!K184</f>
        <v>0</v>
      </c>
      <c r="G38" s="13">
        <f>+'Seguridad Humana'!L184</f>
        <v>0</v>
      </c>
      <c r="H38" s="13">
        <f>+'Seguridad Humana'!M184</f>
        <v>0</v>
      </c>
      <c r="I38" s="46">
        <f>+'Seguridad Humana'!N184</f>
        <v>0</v>
      </c>
      <c r="J38" s="38"/>
      <c r="K38" s="10"/>
    </row>
    <row r="39" spans="2:11" ht="53.45" customHeight="1" x14ac:dyDescent="0.25">
      <c r="B39" s="45" t="s">
        <v>1643</v>
      </c>
      <c r="C39" s="771"/>
      <c r="D39" s="13">
        <f>+'Seguridad Humana'!H186</f>
        <v>0.13873355263157894</v>
      </c>
      <c r="E39" s="13">
        <f>+'Seguridad Humana'!I186</f>
        <v>0.11001315789473685</v>
      </c>
      <c r="F39" s="13">
        <f>+'Seguridad Humana'!K186</f>
        <v>1</v>
      </c>
      <c r="G39" s="13">
        <f>+'Seguridad Humana'!L186</f>
        <v>8.0000000000000016E-2</v>
      </c>
      <c r="H39" s="13">
        <f>+'Seguridad Humana'!M186</f>
        <v>0.18213075657894739</v>
      </c>
      <c r="I39" s="46">
        <f>+'Seguridad Humana'!N186</f>
        <v>1.4271164473684213E-2</v>
      </c>
      <c r="J39" s="38"/>
      <c r="K39" s="10"/>
    </row>
    <row r="40" spans="2:11" ht="33" customHeight="1" x14ac:dyDescent="0.25">
      <c r="B40" s="45" t="s">
        <v>1630</v>
      </c>
      <c r="C40" s="771"/>
      <c r="D40" s="13">
        <f>+'Seguridad Humana'!H192</f>
        <v>1.2500000000000001E-2</v>
      </c>
      <c r="E40" s="13">
        <f>+'Seguridad Humana'!I192</f>
        <v>3.7499999999999999E-3</v>
      </c>
      <c r="F40" s="13">
        <f>+'Seguridad Humana'!K192</f>
        <v>1</v>
      </c>
      <c r="G40" s="13">
        <f>+'Seguridad Humana'!L192</f>
        <v>0.03</v>
      </c>
      <c r="H40" s="13">
        <f>+'Seguridad Humana'!M192</f>
        <v>1.2500000000000001E-2</v>
      </c>
      <c r="I40" s="46">
        <f>+'Seguridad Humana'!N192</f>
        <v>3.7500000000000001E-4</v>
      </c>
      <c r="J40" s="38"/>
      <c r="K40" s="10"/>
    </row>
    <row r="41" spans="2:11" ht="53.45" customHeight="1" x14ac:dyDescent="0.25">
      <c r="B41" s="45" t="s">
        <v>1631</v>
      </c>
      <c r="C41" s="771"/>
      <c r="D41" s="13">
        <f>+'Seguridad Humana'!H195</f>
        <v>0.19771672771672774</v>
      </c>
      <c r="E41" s="13">
        <f>+'Seguridad Humana'!I195</f>
        <v>0.19857509157509157</v>
      </c>
      <c r="F41" s="13">
        <f>+'Seguridad Humana'!K195</f>
        <v>0.68</v>
      </c>
      <c r="G41" s="13">
        <f>+'Seguridad Humana'!L195</f>
        <v>7.9000000000000015E-2</v>
      </c>
      <c r="H41" s="13">
        <f>+'Seguridad Humana'!M195</f>
        <v>0.20072039072039072</v>
      </c>
      <c r="I41" s="46">
        <f>+'Seguridad Humana'!N195</f>
        <v>1.9708058608058607E-2</v>
      </c>
      <c r="J41" s="38"/>
      <c r="K41" s="10"/>
    </row>
    <row r="42" spans="2:11" ht="48.6" customHeight="1" x14ac:dyDescent="0.25">
      <c r="B42" s="45" t="s">
        <v>1632</v>
      </c>
      <c r="C42" s="771"/>
      <c r="D42" s="13">
        <f>+'Seguridad Humana'!H199</f>
        <v>0.14374999999999999</v>
      </c>
      <c r="E42" s="13">
        <f>+'Seguridad Humana'!I199</f>
        <v>6.7500000000000004E-2</v>
      </c>
      <c r="F42" s="13">
        <f>+'Seguridad Humana'!K199</f>
        <v>0.72222222222222221</v>
      </c>
      <c r="G42" s="13">
        <f>+'Seguridad Humana'!L199</f>
        <v>3.888888888888889E-2</v>
      </c>
      <c r="H42" s="13">
        <f>+'Seguridad Humana'!M199</f>
        <v>0.25741666666666668</v>
      </c>
      <c r="I42" s="46">
        <f>+'Seguridad Humana'!N199</f>
        <v>1.4611666666666665E-2</v>
      </c>
      <c r="J42" s="38"/>
      <c r="K42" s="10"/>
    </row>
    <row r="43" spans="2:11" ht="60.6" customHeight="1" x14ac:dyDescent="0.25">
      <c r="B43" s="45" t="s">
        <v>1644</v>
      </c>
      <c r="C43" s="771"/>
      <c r="D43" s="13">
        <f>+'Seguridad Humana'!H203</f>
        <v>0.24264705882352941</v>
      </c>
      <c r="E43" s="13">
        <f>+'Seguridad Humana'!I203</f>
        <v>0.24044117647058824</v>
      </c>
      <c r="F43" s="13">
        <f>+'Seguridad Humana'!K203</f>
        <v>1</v>
      </c>
      <c r="G43" s="13">
        <f>+'Seguridad Humana'!L203</f>
        <v>0.1</v>
      </c>
      <c r="H43" s="13">
        <f>+'Seguridad Humana'!M203</f>
        <v>0.24264705882352941</v>
      </c>
      <c r="I43" s="46">
        <f>+'Seguridad Humana'!N203</f>
        <v>2.4044117647058827E-2</v>
      </c>
      <c r="J43" s="38"/>
      <c r="K43" s="10"/>
    </row>
    <row r="44" spans="2:11" ht="47.45" customHeight="1" x14ac:dyDescent="0.25">
      <c r="B44" s="45" t="s">
        <v>1635</v>
      </c>
      <c r="C44" s="771"/>
      <c r="D44" s="13">
        <f>+'Seguridad Humana'!H206</f>
        <v>0.20833333333333331</v>
      </c>
      <c r="E44" s="13">
        <f>+'Seguridad Humana'!I206</f>
        <v>0.2</v>
      </c>
      <c r="F44" s="13">
        <f>+'Seguridad Humana'!K206</f>
        <v>0.53611111111111109</v>
      </c>
      <c r="G44" s="13">
        <f>+'Seguridad Humana'!L206</f>
        <v>2.9944444444444447E-2</v>
      </c>
      <c r="H44" s="13">
        <f>+'Seguridad Humana'!M206</f>
        <v>9.8611111111111108E-2</v>
      </c>
      <c r="I44" s="46">
        <f>+'Seguridad Humana'!N206</f>
        <v>5.3611111111111116E-3</v>
      </c>
      <c r="J44" s="38"/>
      <c r="K44" s="10"/>
    </row>
    <row r="45" spans="2:11" ht="81" customHeight="1" x14ac:dyDescent="0.25">
      <c r="B45" s="48" t="s">
        <v>1634</v>
      </c>
      <c r="C45" s="772"/>
      <c r="D45" s="49">
        <f>+'Seguridad Humana'!H209</f>
        <v>0.14262820512820512</v>
      </c>
      <c r="E45" s="49">
        <f>+'Seguridad Humana'!I209</f>
        <v>0.15576923076923077</v>
      </c>
      <c r="F45" s="49">
        <f>+'Seguridad Humana'!K209</f>
        <v>1</v>
      </c>
      <c r="G45" s="49">
        <f>+'Seguridad Humana'!L209</f>
        <v>0.1</v>
      </c>
      <c r="H45" s="49">
        <f>+'Seguridad Humana'!M209</f>
        <v>0.24038461538461539</v>
      </c>
      <c r="I45" s="50">
        <f>+'Seguridad Humana'!N209</f>
        <v>2.4230769230769233E-2</v>
      </c>
      <c r="J45" s="38"/>
      <c r="K45" s="10"/>
    </row>
    <row r="46" spans="2:11" ht="61.5" x14ac:dyDescent="0.25">
      <c r="B46" s="51" t="str">
        <f>+'Vida Digna'!B3:C3</f>
        <v xml:space="preserve"> VIDA DIGNA
</v>
      </c>
      <c r="C46" s="773">
        <v>0.2</v>
      </c>
      <c r="D46" s="41">
        <f>+'Vida Digna'!H3</f>
        <v>0.24836401517383822</v>
      </c>
      <c r="E46" s="41">
        <f>+'Vida Digna'!I3</f>
        <v>0.19189840072103823</v>
      </c>
      <c r="F46" s="41">
        <f>+'Vida Digna'!K3</f>
        <v>0.85198226383644504</v>
      </c>
      <c r="G46" s="41">
        <f>+'Vida Digna'!L3</f>
        <v>0.66221842348257642</v>
      </c>
      <c r="H46" s="41">
        <f>+'Vida Digna'!M3</f>
        <v>0.22381941312911002</v>
      </c>
      <c r="I46" s="42">
        <f>+'Vida Digna'!N3</f>
        <v>0.17746088840849381</v>
      </c>
      <c r="J46" s="38"/>
      <c r="K46" s="10"/>
    </row>
    <row r="47" spans="2:11" ht="84.6" customHeight="1" x14ac:dyDescent="0.35">
      <c r="B47" s="43" t="str">
        <f>+'Vida Digna'!B4:C4</f>
        <v xml:space="preserve"> Educación
</v>
      </c>
      <c r="C47" s="774"/>
      <c r="D47" s="34">
        <f>+(D48+D49+D50+D51+D52+D53+D54+D55+D56+D57+D58+D59+D60+D61+D62+D63)/15</f>
        <v>0.26981900399515463</v>
      </c>
      <c r="E47" s="35">
        <f>+(E48+E49+E50+E51+E52+E53+E54+E55+E56+E57+E58+E59+E60+E61+E62+E63)/15</f>
        <v>0.25378937395993473</v>
      </c>
      <c r="F47" s="34">
        <f>+(F48+F49+F50+F51+F52+F53+F54+F55+F56+F57+F58+F59+F60+F61+F62+F63)/15</f>
        <v>0.67517996637046018</v>
      </c>
      <c r="G47" s="35">
        <f>+(G48+G49+G50+G51+G52+G53+G54+G55+G56+G57+G58+G59+G60+G61+G62+G63)</f>
        <v>0.64667882116931152</v>
      </c>
      <c r="H47" s="34">
        <f>+(H48+H49+H50+H51+H52+H53+H54+H55+H56+H57+H58+H59+H60+H61+H62+H63)/15</f>
        <v>0.2136799280656182</v>
      </c>
      <c r="I47" s="44">
        <f>+(I48+I49+I50+I51+I52+I53+I54+I55+I56+I57+I58+I59+I60+I61+I62+I63)</f>
        <v>0.19413897473062464</v>
      </c>
      <c r="J47" s="38"/>
      <c r="K47" s="10"/>
    </row>
    <row r="48" spans="2:11" ht="32.450000000000003" customHeight="1" x14ac:dyDescent="0.25">
      <c r="B48" s="45" t="s">
        <v>1690</v>
      </c>
      <c r="C48" s="774"/>
      <c r="D48" s="13">
        <f>+'Vida Digna'!H5</f>
        <v>0.13533333333333333</v>
      </c>
      <c r="E48" s="13">
        <f>+'Vida Digna'!I5</f>
        <v>0.12433333333333335</v>
      </c>
      <c r="F48" s="13">
        <f>+'Vida Digna'!K5</f>
        <v>0.65125</v>
      </c>
      <c r="G48" s="13">
        <f>+'Vida Digna'!L5</f>
        <v>0.15640625000000002</v>
      </c>
      <c r="H48" s="13">
        <f>+'Vida Digna'!M5</f>
        <v>9.9466666666666662E-2</v>
      </c>
      <c r="I48" s="46">
        <f>+'Vida Digna'!N5</f>
        <v>2.3891666666666669E-2</v>
      </c>
      <c r="J48" s="38"/>
      <c r="K48" s="10"/>
    </row>
    <row r="49" spans="2:11" ht="50.45" customHeight="1" x14ac:dyDescent="0.25">
      <c r="B49" s="45" t="s">
        <v>1648</v>
      </c>
      <c r="C49" s="774"/>
      <c r="D49" s="13">
        <f>+'Vida Digna'!H12</f>
        <v>0.33035714285714285</v>
      </c>
      <c r="E49" s="13">
        <f>+'Vida Digna'!I12</f>
        <v>0.33928571428571425</v>
      </c>
      <c r="F49" s="13">
        <f>+'Vida Digna'!K12</f>
        <v>0.76545415896074187</v>
      </c>
      <c r="G49" s="13">
        <f>+'Vida Digna'!L12</f>
        <v>1.4666666666666666E-2</v>
      </c>
      <c r="H49" s="13">
        <f>+'Vida Digna'!M12</f>
        <v>0.23511904761904762</v>
      </c>
      <c r="I49" s="46">
        <f>+'Vida Digna'!N12</f>
        <v>5.261904761904761E-3</v>
      </c>
      <c r="J49" s="38"/>
      <c r="K49" s="10"/>
    </row>
    <row r="50" spans="2:11" ht="39.6" customHeight="1" x14ac:dyDescent="0.25">
      <c r="B50" s="45" t="s">
        <v>1691</v>
      </c>
      <c r="C50" s="774"/>
      <c r="D50" s="13">
        <f>+'Vida Digna'!H15</f>
        <v>0.24305555555555555</v>
      </c>
      <c r="E50" s="13">
        <f>+'Vida Digna'!I15</f>
        <v>0.22361111111111112</v>
      </c>
      <c r="F50" s="13">
        <f>+'Vida Digna'!K15</f>
        <v>0.96302914354889246</v>
      </c>
      <c r="G50" s="13">
        <f>+'Vida Digna'!L15</f>
        <v>8.5862844786004616E-2</v>
      </c>
      <c r="H50" s="13">
        <f>+'Vida Digna'!M15</f>
        <v>0.24497534144277869</v>
      </c>
      <c r="I50" s="46">
        <f>+'Vida Digna'!N15</f>
        <v>2.2443072307612263E-2</v>
      </c>
      <c r="J50" s="38"/>
      <c r="K50" s="10"/>
    </row>
    <row r="51" spans="2:11" ht="18.75" x14ac:dyDescent="0.25">
      <c r="B51" s="45" t="s">
        <v>1650</v>
      </c>
      <c r="C51" s="774"/>
      <c r="D51" s="13">
        <f>+'Vida Digna'!H21</f>
        <v>0.28974632671496775</v>
      </c>
      <c r="E51" s="13">
        <f>+'Vida Digna'!I21</f>
        <v>0.28333533359143115</v>
      </c>
      <c r="F51" s="13">
        <f>+'Vida Digna'!K21</f>
        <v>0.8571428571428571</v>
      </c>
      <c r="G51" s="13">
        <f>+'Vida Digna'!L21</f>
        <v>7.5000000000000011E-2</v>
      </c>
      <c r="H51" s="13">
        <f>+'Vida Digna'!M21</f>
        <v>0.39634717843777068</v>
      </c>
      <c r="I51" s="46">
        <f>+'Vida Digna'!N21</f>
        <v>3.8674319267002197E-2</v>
      </c>
      <c r="J51" s="38"/>
      <c r="K51" s="10"/>
    </row>
    <row r="52" spans="2:11" ht="21.6" customHeight="1" x14ac:dyDescent="0.25">
      <c r="B52" s="45" t="s">
        <v>1651</v>
      </c>
      <c r="C52" s="774"/>
      <c r="D52" s="13">
        <f>+'Vida Digna'!H29</f>
        <v>0.15707666719467767</v>
      </c>
      <c r="E52" s="13">
        <f>+'Vida Digna'!I29</f>
        <v>0.14557658799303025</v>
      </c>
      <c r="F52" s="13">
        <f>+'Vida Digna'!K29</f>
        <v>0.98</v>
      </c>
      <c r="G52" s="13">
        <f>+'Vida Digna'!L29</f>
        <v>4.9200000000000008E-2</v>
      </c>
      <c r="H52" s="13">
        <f>+'Vida Digna'!M29</f>
        <v>0.28525463329637252</v>
      </c>
      <c r="I52" s="46">
        <f>+'Vida Digna'!N29</f>
        <v>1.4958914145414224E-2</v>
      </c>
      <c r="J52" s="38"/>
      <c r="K52" s="10"/>
    </row>
    <row r="53" spans="2:11" ht="37.15" customHeight="1" x14ac:dyDescent="0.25">
      <c r="B53" s="45" t="s">
        <v>1652</v>
      </c>
      <c r="C53" s="774"/>
      <c r="D53" s="13">
        <f>+'Vida Digna'!H34</f>
        <v>0.44396853146853149</v>
      </c>
      <c r="E53" s="13">
        <f>+'Vida Digna'!I34</f>
        <v>0.55517482517482519</v>
      </c>
      <c r="F53" s="13">
        <f>+'Vida Digna'!K34</f>
        <v>0.28083333333333332</v>
      </c>
      <c r="G53" s="13">
        <f>+'Vida Digna'!L34</f>
        <v>5.8266666666666666E-3</v>
      </c>
      <c r="H53" s="13">
        <f>+'Vida Digna'!M34</f>
        <v>0.14352564102564103</v>
      </c>
      <c r="I53" s="46">
        <f>+'Vida Digna'!N34</f>
        <v>3.6297435897435898E-3</v>
      </c>
      <c r="J53" s="38"/>
      <c r="K53" s="10"/>
    </row>
    <row r="54" spans="2:11" ht="18.75" x14ac:dyDescent="0.25">
      <c r="B54" s="45" t="s">
        <v>1692</v>
      </c>
      <c r="C54" s="774"/>
      <c r="D54" s="13">
        <f>+'Vida Digna'!H39</f>
        <v>0.40860215053763443</v>
      </c>
      <c r="E54" s="13">
        <f>+'Vida Digna'!I39</f>
        <v>0.34516129032258069</v>
      </c>
      <c r="F54" s="13">
        <f>+'Vida Digna'!K39</f>
        <v>0.53833285971393385</v>
      </c>
      <c r="G54" s="13">
        <f>+'Vida Digna'!L39</f>
        <v>2.2708297811878372E-2</v>
      </c>
      <c r="H54" s="13">
        <f>+'Vida Digna'!M39</f>
        <v>0.24342431409216325</v>
      </c>
      <c r="I54" s="46">
        <f>+'Vida Digna'!N39</f>
        <v>9.3589740945466543E-3</v>
      </c>
      <c r="J54" s="38"/>
      <c r="K54" s="10"/>
    </row>
    <row r="55" spans="2:11" ht="18.75" x14ac:dyDescent="0.25">
      <c r="B55" s="45" t="s">
        <v>1654</v>
      </c>
      <c r="C55" s="774"/>
      <c r="D55" s="13">
        <f>+'Vida Digna'!H43</f>
        <v>0.40173750334135255</v>
      </c>
      <c r="E55" s="13">
        <f>+'Vida Digna'!I43</f>
        <v>0.32804397219994652</v>
      </c>
      <c r="F55" s="13">
        <f>+'Vida Digna'!K43</f>
        <v>0.45333333333333331</v>
      </c>
      <c r="G55" s="13">
        <f>+'Vida Digna'!L43</f>
        <v>7.5333333333333329E-3</v>
      </c>
      <c r="H55" s="13">
        <f>+'Vida Digna'!M43</f>
        <v>0.17229885057471264</v>
      </c>
      <c r="I55" s="46">
        <f>+'Vida Digna'!N43</f>
        <v>2.7574712643678163E-3</v>
      </c>
      <c r="J55" s="38"/>
      <c r="K55" s="10"/>
    </row>
    <row r="56" spans="2:11" ht="18.75" x14ac:dyDescent="0.25">
      <c r="B56" s="45" t="s">
        <v>1655</v>
      </c>
      <c r="C56" s="774"/>
      <c r="D56" s="13">
        <f>+'Vida Digna'!H49</f>
        <v>0</v>
      </c>
      <c r="E56" s="13">
        <f>+'Vida Digna'!I49</f>
        <v>0</v>
      </c>
      <c r="F56" s="13">
        <f>+'Vida Digna'!K49</f>
        <v>0</v>
      </c>
      <c r="G56" s="13">
        <f>+'Vida Digna'!L49</f>
        <v>0</v>
      </c>
      <c r="H56" s="13">
        <f>+'Vida Digna'!M49</f>
        <v>0</v>
      </c>
      <c r="I56" s="46">
        <f>+'Vida Digna'!N49</f>
        <v>0</v>
      </c>
      <c r="J56" s="38"/>
      <c r="K56" s="10"/>
    </row>
    <row r="57" spans="2:11" ht="48" customHeight="1" x14ac:dyDescent="0.25">
      <c r="B57" s="45" t="s">
        <v>1656</v>
      </c>
      <c r="C57" s="774"/>
      <c r="D57" s="13">
        <f>+'Vida Digna'!H52</f>
        <v>0.20288161993769471</v>
      </c>
      <c r="E57" s="13">
        <f>+'Vida Digna'!I52</f>
        <v>0.18177570093457943</v>
      </c>
      <c r="F57" s="13">
        <f>+'Vida Digna'!K52</f>
        <v>1</v>
      </c>
      <c r="G57" s="13">
        <f>+'Vida Digna'!L52</f>
        <v>0.02</v>
      </c>
      <c r="H57" s="13">
        <f>+'Vida Digna'!M52</f>
        <v>0.38465732087227411</v>
      </c>
      <c r="I57" s="46">
        <f>+'Vida Digna'!N52</f>
        <v>7.6028037383177559E-3</v>
      </c>
      <c r="J57" s="38"/>
      <c r="K57" s="10"/>
    </row>
    <row r="58" spans="2:11" ht="52.9" customHeight="1" x14ac:dyDescent="0.25">
      <c r="B58" s="45" t="s">
        <v>1657</v>
      </c>
      <c r="C58" s="774"/>
      <c r="D58" s="13">
        <f>+'Vida Digna'!H56</f>
        <v>0.19781931464174454</v>
      </c>
      <c r="E58" s="13">
        <f>+'Vida Digna'!I56</f>
        <v>0.17172897196261683</v>
      </c>
      <c r="F58" s="13">
        <f>+'Vida Digna'!K56</f>
        <v>0.66666666666666663</v>
      </c>
      <c r="G58" s="13">
        <f>+'Vida Digna'!L56</f>
        <v>1.8000000000000002E-2</v>
      </c>
      <c r="H58" s="13">
        <f>+'Vida Digna'!M56</f>
        <v>0.11448598130841121</v>
      </c>
      <c r="I58" s="46">
        <f>+'Vida Digna'!N56</f>
        <v>2.9345794392523369E-3</v>
      </c>
      <c r="J58" s="38"/>
      <c r="K58" s="10"/>
    </row>
    <row r="59" spans="2:11" ht="46.9" customHeight="1" x14ac:dyDescent="0.25">
      <c r="B59" s="45" t="s">
        <v>1693</v>
      </c>
      <c r="C59" s="774"/>
      <c r="D59" s="13">
        <f>+'Vida Digna'!H60</f>
        <v>0.21443137254901962</v>
      </c>
      <c r="E59" s="13">
        <f>+'Vida Digna'!I60</f>
        <v>0.15490686274509805</v>
      </c>
      <c r="F59" s="13">
        <f>+'Vida Digna'!K60</f>
        <v>0.91082380952380948</v>
      </c>
      <c r="G59" s="13">
        <f>+'Vida Digna'!L60</f>
        <v>7.9564761904761902E-2</v>
      </c>
      <c r="H59" s="13">
        <f>+'Vida Digna'!M60</f>
        <v>0.19200359477124182</v>
      </c>
      <c r="I59" s="46">
        <f>+'Vida Digna'!N60</f>
        <v>1.4392630718954247E-2</v>
      </c>
      <c r="J59" s="38"/>
      <c r="K59" s="10"/>
    </row>
    <row r="60" spans="2:11" ht="55.15" customHeight="1" x14ac:dyDescent="0.25">
      <c r="B60" s="45" t="s">
        <v>1694</v>
      </c>
      <c r="C60" s="774"/>
      <c r="D60" s="13">
        <f>+'Vida Digna'!H68</f>
        <v>0.20065789473684209</v>
      </c>
      <c r="E60" s="13">
        <f>+'Vida Digna'!I68</f>
        <v>0.24013157894736842</v>
      </c>
      <c r="F60" s="13">
        <f>+'Vida Digna'!K68</f>
        <v>0.72750000000000004</v>
      </c>
      <c r="G60" s="13">
        <f>+'Vida Digna'!L68</f>
        <v>1.5910000000000001E-2</v>
      </c>
      <c r="H60" s="13">
        <f>+'Vida Digna'!M68</f>
        <v>0.1369736842105263</v>
      </c>
      <c r="I60" s="46">
        <f>+'Vida Digna'!N68</f>
        <v>3.7978947368421051E-3</v>
      </c>
      <c r="J60" s="38"/>
      <c r="K60" s="10"/>
    </row>
    <row r="61" spans="2:11" ht="28.9" customHeight="1" x14ac:dyDescent="0.25">
      <c r="B61" s="45" t="s">
        <v>1695</v>
      </c>
      <c r="C61" s="774"/>
      <c r="D61" s="13">
        <f>+'Vida Digna'!H73</f>
        <v>0.26633986928104575</v>
      </c>
      <c r="E61" s="13">
        <f>+'Vida Digna'!I73</f>
        <v>0.26470588235294118</v>
      </c>
      <c r="F61" s="13">
        <f>+'Vida Digna'!K73</f>
        <v>0.33333333333333331</v>
      </c>
      <c r="G61" s="13">
        <f>+'Vida Digna'!L73</f>
        <v>6.0000000000000001E-3</v>
      </c>
      <c r="H61" s="13">
        <f>+'Vida Digna'!M73</f>
        <v>0.10888888888888888</v>
      </c>
      <c r="I61" s="46">
        <f>+'Vida Digna'!N73</f>
        <v>1.9599999999999999E-3</v>
      </c>
      <c r="J61" s="38"/>
      <c r="K61" s="10"/>
    </row>
    <row r="62" spans="2:11" ht="37.15" customHeight="1" x14ac:dyDescent="0.25">
      <c r="B62" s="45" t="s">
        <v>1696</v>
      </c>
      <c r="C62" s="774"/>
      <c r="D62" s="13">
        <f>+'Vida Digna'!H77</f>
        <v>0.19</v>
      </c>
      <c r="E62" s="13">
        <f>+'Vida Digna'!I77</f>
        <v>3.9E-2</v>
      </c>
      <c r="F62" s="13">
        <f>+'Vida Digna'!K77</f>
        <v>0</v>
      </c>
      <c r="G62" s="13">
        <f>+'Vida Digna'!L77</f>
        <v>0</v>
      </c>
      <c r="H62" s="13">
        <f>+'Vida Digna'!M77</f>
        <v>0</v>
      </c>
      <c r="I62" s="46">
        <f>+'Vida Digna'!N77</f>
        <v>0</v>
      </c>
      <c r="J62" s="38"/>
      <c r="K62" s="10"/>
    </row>
    <row r="63" spans="2:11" ht="50.45" customHeight="1" x14ac:dyDescent="0.25">
      <c r="B63" s="45" t="s">
        <v>1697</v>
      </c>
      <c r="C63" s="774"/>
      <c r="D63" s="13">
        <f>+'Vida Digna'!H85</f>
        <v>0.36527777777777776</v>
      </c>
      <c r="E63" s="13">
        <f>+'Vida Digna'!I85</f>
        <v>0.41006944444444449</v>
      </c>
      <c r="F63" s="13">
        <f>+'Vida Digna'!K85</f>
        <v>1</v>
      </c>
      <c r="G63" s="13">
        <f>+'Vida Digna'!L85</f>
        <v>0.09</v>
      </c>
      <c r="H63" s="13">
        <f>+'Vida Digna'!M85</f>
        <v>0.44777777777777777</v>
      </c>
      <c r="I63" s="46">
        <f>+'Vida Digna'!N85</f>
        <v>4.2475000000000006E-2</v>
      </c>
      <c r="J63" s="38"/>
      <c r="K63" s="10"/>
    </row>
    <row r="64" spans="2:11" ht="73.150000000000006" customHeight="1" x14ac:dyDescent="0.35">
      <c r="B64" s="43" t="str">
        <f>+'Vida Digna'!B91:C91</f>
        <v xml:space="preserve"> Acceso a Servicios Básicos
</v>
      </c>
      <c r="C64" s="774"/>
      <c r="D64" s="34">
        <f>+(D65+D66+D67)/3</f>
        <v>0.36897145335135689</v>
      </c>
      <c r="E64" s="35">
        <f>+(E65+E66+E67)/3</f>
        <v>0.13546025296319508</v>
      </c>
      <c r="F64" s="34">
        <f>+(F65+F66+F67)/3</f>
        <v>0.8396825396825397</v>
      </c>
      <c r="G64" s="35">
        <f>+(G65+G66+G67)</f>
        <v>0.39149999999999996</v>
      </c>
      <c r="H64" s="34">
        <f>+(H65+H66+H67)/3</f>
        <v>0.1332971286782689</v>
      </c>
      <c r="I64" s="44">
        <f>+(I65+I66+I67)</f>
        <v>0.12434438213461879</v>
      </c>
      <c r="J64" s="38"/>
      <c r="K64" s="10"/>
    </row>
    <row r="65" spans="2:11" ht="33.6" customHeight="1" x14ac:dyDescent="0.25">
      <c r="B65" s="45" t="s">
        <v>1698</v>
      </c>
      <c r="C65" s="774"/>
      <c r="D65" s="13">
        <f>+'Vida Digna'!H92</f>
        <v>0.36703340767311832</v>
      </c>
      <c r="E65" s="13">
        <f>+'Vida Digna'!I92</f>
        <v>0.19522004460387099</v>
      </c>
      <c r="F65" s="13">
        <f>+'Vida Digna'!K92</f>
        <v>1</v>
      </c>
      <c r="G65" s="13">
        <f>+'Vida Digna'!L92</f>
        <v>0.17499999999999996</v>
      </c>
      <c r="H65" s="13">
        <f>+'Vida Digna'!M92</f>
        <v>0.1583199574633781</v>
      </c>
      <c r="I65" s="46">
        <f>+'Vida Digna'!N92</f>
        <v>5.7744382134618799E-2</v>
      </c>
      <c r="J65" s="38"/>
      <c r="K65" s="10"/>
    </row>
    <row r="66" spans="2:11" ht="51" customHeight="1" x14ac:dyDescent="0.25">
      <c r="B66" s="45" t="s">
        <v>1699</v>
      </c>
      <c r="C66" s="774"/>
      <c r="D66" s="13">
        <f>+'Vida Digna'!H101</f>
        <v>0.11488095238095238</v>
      </c>
      <c r="E66" s="13">
        <f>+'Vida Digna'!I101</f>
        <v>8.6160714285714285E-2</v>
      </c>
      <c r="F66" s="13">
        <f>+'Vida Digna'!K101</f>
        <v>0.61904761904761907</v>
      </c>
      <c r="G66" s="13">
        <f>+'Vida Digna'!L101</f>
        <v>0.16250000000000001</v>
      </c>
      <c r="H66" s="13">
        <f>+'Vida Digna'!M101</f>
        <v>0.11657142857142856</v>
      </c>
      <c r="I66" s="46">
        <f>+'Vida Digna'!N101</f>
        <v>3.0599999999999995E-2</v>
      </c>
      <c r="J66" s="38"/>
      <c r="K66" s="10"/>
    </row>
    <row r="67" spans="2:11" ht="33" customHeight="1" x14ac:dyDescent="0.25">
      <c r="B67" s="45" t="s">
        <v>1700</v>
      </c>
      <c r="C67" s="774"/>
      <c r="D67" s="13">
        <f>+'Vida Digna'!H106</f>
        <v>0.625</v>
      </c>
      <c r="E67" s="13">
        <f>+'Vida Digna'!I106</f>
        <v>0.125</v>
      </c>
      <c r="F67" s="13">
        <f>+'Vida Digna'!K106</f>
        <v>0.9</v>
      </c>
      <c r="G67" s="13">
        <f>+'Vida Digna'!L106</f>
        <v>5.4000000000000006E-2</v>
      </c>
      <c r="H67" s="13">
        <f>+'Vida Digna'!M106</f>
        <v>0.125</v>
      </c>
      <c r="I67" s="46">
        <f>+'Vida Digna'!N106</f>
        <v>3.6000000000000004E-2</v>
      </c>
      <c r="J67" s="38"/>
      <c r="K67" s="10"/>
    </row>
    <row r="68" spans="2:11" ht="69" customHeight="1" x14ac:dyDescent="0.35">
      <c r="B68" s="43" t="str">
        <f>+'Vida Digna'!B119:C119</f>
        <v xml:space="preserve"> Vivienda Digna y Hábitat
</v>
      </c>
      <c r="C68" s="774"/>
      <c r="D68" s="34">
        <f>+(D69+D70+D71+D72)/4</f>
        <v>0.17725490196078431</v>
      </c>
      <c r="E68" s="35">
        <f>+(E69+E70+E71+E72)/4</f>
        <v>0.16792156862745097</v>
      </c>
      <c r="F68" s="34">
        <f>+(F69+F70+F71+F72)/4</f>
        <v>0.84770833333333329</v>
      </c>
      <c r="G68" s="35">
        <f>+(G69+G70+G71+G72)</f>
        <v>0.7759166666666667</v>
      </c>
      <c r="H68" s="34">
        <f>+(H69+H70+H71+H72)/4</f>
        <v>0.14324852941176469</v>
      </c>
      <c r="I68" s="44">
        <f>+(I69+I70+I71+I72)</f>
        <v>0.13347823529411765</v>
      </c>
      <c r="J68" s="38"/>
      <c r="K68" s="10"/>
    </row>
    <row r="69" spans="2:11" ht="42" customHeight="1" x14ac:dyDescent="0.25">
      <c r="B69" s="45" t="s">
        <v>1667</v>
      </c>
      <c r="C69" s="774"/>
      <c r="D69" s="13">
        <f>+'Vida Digna'!H120</f>
        <v>0.04</v>
      </c>
      <c r="E69" s="13">
        <f>+'Vida Digna'!I120</f>
        <v>0.04</v>
      </c>
      <c r="F69" s="13">
        <f>+'Vida Digna'!K120</f>
        <v>0.89749999999999996</v>
      </c>
      <c r="G69" s="13">
        <f>+'Vida Digna'!L120</f>
        <v>0.26924999999999999</v>
      </c>
      <c r="H69" s="13">
        <f>+'Vida Digna'!M120</f>
        <v>3.5900000000000001E-2</v>
      </c>
      <c r="I69" s="46">
        <f>+'Vida Digna'!N120</f>
        <v>1.077E-2</v>
      </c>
      <c r="J69" s="38"/>
      <c r="K69" s="10"/>
    </row>
    <row r="70" spans="2:11" ht="33.6" customHeight="1" x14ac:dyDescent="0.25">
      <c r="B70" s="45" t="s">
        <v>1701</v>
      </c>
      <c r="C70" s="774"/>
      <c r="D70" s="13">
        <f>+'Vida Digna'!H122</f>
        <v>0.21568627450980393</v>
      </c>
      <c r="E70" s="13">
        <f>+'Vida Digna'!I122</f>
        <v>0.21568627450980393</v>
      </c>
      <c r="F70" s="13">
        <f>+'Vida Digna'!K122</f>
        <v>1</v>
      </c>
      <c r="G70" s="13">
        <f>+'Vida Digna'!L122</f>
        <v>0.3</v>
      </c>
      <c r="H70" s="13">
        <f>+'Vida Digna'!M122</f>
        <v>0.22596078431372549</v>
      </c>
      <c r="I70" s="46">
        <f>+'Vida Digna'!N122</f>
        <v>6.7788235294117649E-2</v>
      </c>
      <c r="J70" s="38"/>
      <c r="K70" s="10"/>
    </row>
    <row r="71" spans="2:11" ht="26.45" customHeight="1" x14ac:dyDescent="0.25">
      <c r="B71" s="45" t="s">
        <v>1702</v>
      </c>
      <c r="C71" s="774"/>
      <c r="D71" s="13">
        <f>+'Vida Digna'!H124</f>
        <v>0.33</v>
      </c>
      <c r="E71" s="13">
        <f>+'Vida Digna'!I124</f>
        <v>0.33</v>
      </c>
      <c r="F71" s="13">
        <f>+'Vida Digna'!K124</f>
        <v>0.59333333333333338</v>
      </c>
      <c r="G71" s="13">
        <f>+'Vida Digna'!L124</f>
        <v>0.11866666666666668</v>
      </c>
      <c r="H71" s="13">
        <f>+'Vida Digna'!M124</f>
        <v>0.1958</v>
      </c>
      <c r="I71" s="46">
        <f>+'Vida Digna'!N124</f>
        <v>3.916E-2</v>
      </c>
      <c r="J71" s="38"/>
      <c r="K71" s="10"/>
    </row>
    <row r="72" spans="2:11" ht="40.9" customHeight="1" x14ac:dyDescent="0.25">
      <c r="B72" s="45" t="s">
        <v>1670</v>
      </c>
      <c r="C72" s="774"/>
      <c r="D72" s="13">
        <f>+'Vida Digna'!H126</f>
        <v>0.12333333333333334</v>
      </c>
      <c r="E72" s="13">
        <f>+'Vida Digna'!I126</f>
        <v>8.5999999999999993E-2</v>
      </c>
      <c r="F72" s="13">
        <f>+'Vida Digna'!K126</f>
        <v>0.9</v>
      </c>
      <c r="G72" s="13">
        <f>+'Vida Digna'!L126</f>
        <v>8.8000000000000009E-2</v>
      </c>
      <c r="H72" s="13">
        <f>+'Vida Digna'!M126</f>
        <v>0.11533333333333333</v>
      </c>
      <c r="I72" s="46">
        <f>+'Vida Digna'!N126</f>
        <v>1.5760000000000003E-2</v>
      </c>
      <c r="J72" s="38"/>
      <c r="K72" s="10"/>
    </row>
    <row r="73" spans="2:11" ht="46.5" x14ac:dyDescent="0.35">
      <c r="B73" s="43" t="str">
        <f>+'Vida Digna'!B130:C130</f>
        <v xml:space="preserve">Artes, Cultura y Patrimonio
</v>
      </c>
      <c r="C73" s="774"/>
      <c r="D73" s="34">
        <f>+(D74+D75+D76+D77+D78+D79)/5</f>
        <v>0.20772196910069538</v>
      </c>
      <c r="E73" s="35">
        <f>+(E74+E75+E76+E77+E78+E79)/5</f>
        <v>0.19506623749037066</v>
      </c>
      <c r="F73" s="34">
        <f>+(F74+F75+F76+F77+F78+F79)/5</f>
        <v>0.88571428571428579</v>
      </c>
      <c r="G73" s="35">
        <f>+(G74+G75+G76+G77+G78+G79)</f>
        <v>0.6100000000000001</v>
      </c>
      <c r="H73" s="34">
        <f>+(H74+H75+H76+H77+H78+H79)/5</f>
        <v>0.24739012602929381</v>
      </c>
      <c r="I73" s="44">
        <f>+(I74+I75+I76+I77+I78+I79)</f>
        <v>0.16912241418241225</v>
      </c>
      <c r="J73" s="38"/>
      <c r="K73" s="10"/>
    </row>
    <row r="74" spans="2:11" ht="52.15" customHeight="1" x14ac:dyDescent="0.25">
      <c r="B74" s="45" t="s">
        <v>1672</v>
      </c>
      <c r="C74" s="774"/>
      <c r="D74" s="13">
        <f>+'Vida Digna'!H131</f>
        <v>0.19194317883681025</v>
      </c>
      <c r="E74" s="13">
        <f>+'Vida Digna'!I131</f>
        <v>0.1278311874518534</v>
      </c>
      <c r="F74" s="13">
        <f>+'Vida Digna'!K131</f>
        <v>0.9285714285714286</v>
      </c>
      <c r="G74" s="13">
        <f>+'Vida Digna'!L131</f>
        <v>0.19500000000000001</v>
      </c>
      <c r="H74" s="13">
        <f>+'Vida Digna'!M131</f>
        <v>0.18820063014646893</v>
      </c>
      <c r="I74" s="46">
        <f>+'Vida Digna'!N131</f>
        <v>3.7072414182412229E-2</v>
      </c>
      <c r="J74" s="38"/>
      <c r="K74" s="10"/>
    </row>
    <row r="75" spans="2:11" ht="55.9" customHeight="1" x14ac:dyDescent="0.25">
      <c r="B75" s="45" t="s">
        <v>1673</v>
      </c>
      <c r="C75" s="774"/>
      <c r="D75" s="13">
        <f>+'Vida Digna'!H140</f>
        <v>0.22499999999999998</v>
      </c>
      <c r="E75" s="13">
        <f>+'Vida Digna'!I140</f>
        <v>0.23583333333333334</v>
      </c>
      <c r="F75" s="13">
        <f>+'Vida Digna'!K140</f>
        <v>0.75</v>
      </c>
      <c r="G75" s="13">
        <f>+'Vida Digna'!L140</f>
        <v>9.0000000000000011E-2</v>
      </c>
      <c r="H75" s="13">
        <f>+'Vida Digna'!M140</f>
        <v>0.36958333333333332</v>
      </c>
      <c r="I75" s="46">
        <f>+'Vida Digna'!N140</f>
        <v>4.7750000000000001E-2</v>
      </c>
      <c r="J75" s="38"/>
      <c r="K75" s="10"/>
    </row>
    <row r="76" spans="2:11" ht="40.9" customHeight="1" x14ac:dyDescent="0.25">
      <c r="B76" s="45" t="s">
        <v>1674</v>
      </c>
      <c r="C76" s="774"/>
      <c r="D76" s="13">
        <f>+'Vida Digna'!H145</f>
        <v>0.15833333333333333</v>
      </c>
      <c r="E76" s="13">
        <f>+'Vida Digna'!I145</f>
        <v>0.24616666666666667</v>
      </c>
      <c r="F76" s="13">
        <f>+'Vida Digna'!K145</f>
        <v>1</v>
      </c>
      <c r="G76" s="13">
        <f>+'Vida Digna'!L145</f>
        <v>0.1</v>
      </c>
      <c r="H76" s="13">
        <f>+'Vida Digna'!M145</f>
        <v>0.27500000000000002</v>
      </c>
      <c r="I76" s="46">
        <f>+'Vida Digna'!N145</f>
        <v>2.9049999999999999E-2</v>
      </c>
      <c r="J76" s="38"/>
      <c r="K76" s="10"/>
    </row>
    <row r="77" spans="2:11" ht="47.45" customHeight="1" x14ac:dyDescent="0.25">
      <c r="B77" s="45" t="s">
        <v>1675</v>
      </c>
      <c r="C77" s="774"/>
      <c r="D77" s="13">
        <f>+'Vida Digna'!H148</f>
        <v>0.21333333333333335</v>
      </c>
      <c r="E77" s="13">
        <f>+'Vida Digna'!I148</f>
        <v>0.128</v>
      </c>
      <c r="F77" s="13">
        <f>+'Vida Digna'!K148</f>
        <v>1</v>
      </c>
      <c r="G77" s="13">
        <f>+'Vida Digna'!L148</f>
        <v>3.0000000000000006E-2</v>
      </c>
      <c r="H77" s="13">
        <f>+'Vida Digna'!M148</f>
        <v>0.21666666666666667</v>
      </c>
      <c r="I77" s="46">
        <f>+'Vida Digna'!N148</f>
        <v>6.5000000000000006E-3</v>
      </c>
      <c r="J77" s="38"/>
      <c r="K77" s="10"/>
    </row>
    <row r="78" spans="2:11" ht="51" customHeight="1" x14ac:dyDescent="0.25">
      <c r="B78" s="45" t="s">
        <v>1676</v>
      </c>
      <c r="C78" s="774"/>
      <c r="D78" s="13">
        <f>+'Vida Digna'!H154</f>
        <v>0.25</v>
      </c>
      <c r="E78" s="13">
        <f>+'Vida Digna'!I154</f>
        <v>0.23749999999999999</v>
      </c>
      <c r="F78" s="13">
        <f>+'Vida Digna'!K154</f>
        <v>0.75</v>
      </c>
      <c r="G78" s="13">
        <f>+'Vida Digna'!L154</f>
        <v>0.19500000000000001</v>
      </c>
      <c r="H78" s="13">
        <f>+'Vida Digna'!M154</f>
        <v>0.1875</v>
      </c>
      <c r="I78" s="46">
        <f>+'Vida Digna'!N154</f>
        <v>4.8750000000000002E-2</v>
      </c>
      <c r="J78" s="38"/>
      <c r="K78" s="10"/>
    </row>
    <row r="79" spans="2:11" ht="43.9" customHeight="1" x14ac:dyDescent="0.25">
      <c r="B79" s="45" t="s">
        <v>1677</v>
      </c>
      <c r="C79" s="774"/>
      <c r="D79" s="13">
        <f>+'Vida Digna'!H160</f>
        <v>0</v>
      </c>
      <c r="E79" s="13">
        <f>+'Vida Digna'!I160</f>
        <v>0</v>
      </c>
      <c r="F79" s="13">
        <f>+'Vida Digna'!K160</f>
        <v>0</v>
      </c>
      <c r="G79" s="13">
        <f>+'Vida Digna'!L160</f>
        <v>0</v>
      </c>
      <c r="H79" s="13">
        <f>+'Vida Digna'!M160</f>
        <v>0</v>
      </c>
      <c r="I79" s="46">
        <f>+'Vida Digna'!N160</f>
        <v>0</v>
      </c>
      <c r="J79" s="38"/>
      <c r="K79" s="10"/>
    </row>
    <row r="80" spans="2:11" ht="66.599999999999994" customHeight="1" x14ac:dyDescent="0.35">
      <c r="B80" s="43" t="str">
        <f>+'Vida Digna'!B164:C164</f>
        <v xml:space="preserve">Deporte y Recreación
</v>
      </c>
      <c r="C80" s="774"/>
      <c r="D80" s="34">
        <f>+(D81+D82+D83+D84+D85+D86+D87)/7</f>
        <v>0.19429365341006496</v>
      </c>
      <c r="E80" s="35">
        <f>+(E81+E82+E83+E84+E85+E86+E87)/7</f>
        <v>0.25190395047079078</v>
      </c>
      <c r="F80" s="34">
        <f>+(F81+F82+F83+F84+F85+F86+F87)/7</f>
        <v>0.91621262458471764</v>
      </c>
      <c r="G80" s="35">
        <f>+(G81+G82+G83+G84+G85+G86+G87)</f>
        <v>0.78470930232558145</v>
      </c>
      <c r="H80" s="34">
        <f>+(H81+H82+H83+H84+H85+H86+H87)/7</f>
        <v>0.26532184592777297</v>
      </c>
      <c r="I80" s="44">
        <f>+(I81+I82+I83+I84+I85+I86+I87)</f>
        <v>0.20257591878811407</v>
      </c>
      <c r="J80" s="38"/>
      <c r="K80" s="10"/>
    </row>
    <row r="81" spans="2:14" ht="57.6" customHeight="1" x14ac:dyDescent="0.25">
      <c r="B81" s="45" t="s">
        <v>1679</v>
      </c>
      <c r="C81" s="774"/>
      <c r="D81" s="13">
        <f>+'Vida Digna'!J165</f>
        <v>0</v>
      </c>
      <c r="E81" s="13">
        <f>+'Vida Digna'!K165</f>
        <v>0.51</v>
      </c>
      <c r="F81" s="13">
        <f>+'Vida Digna'!K165</f>
        <v>0.51</v>
      </c>
      <c r="G81" s="13">
        <f>+'Vida Digna'!L165</f>
        <v>0.17849999999999999</v>
      </c>
      <c r="H81" s="13">
        <f>+'Vida Digna'!M165</f>
        <v>0.17541666666666667</v>
      </c>
      <c r="I81" s="46">
        <f>+'Vida Digna'!N165</f>
        <v>6.139583333333333E-2</v>
      </c>
      <c r="J81" s="38"/>
      <c r="K81" s="10"/>
    </row>
    <row r="82" spans="2:14" ht="34.9" customHeight="1" x14ac:dyDescent="0.25">
      <c r="B82" s="45" t="s">
        <v>1680</v>
      </c>
      <c r="C82" s="774"/>
      <c r="D82" s="13">
        <f>+'Vida Digna'!H170</f>
        <v>3.2271422261484099E-2</v>
      </c>
      <c r="E82" s="13">
        <f>+'Vida Digna'!I170</f>
        <v>2.6429991166077735E-2</v>
      </c>
      <c r="F82" s="13">
        <f>+'Vida Digna'!K170</f>
        <v>0.95000000000000007</v>
      </c>
      <c r="G82" s="13">
        <f>+'Vida Digna'!L170</f>
        <v>0.17900000000000002</v>
      </c>
      <c r="H82" s="13">
        <f>+'Vida Digna'!M170</f>
        <v>3.7196333922261481E-2</v>
      </c>
      <c r="I82" s="46">
        <f>+'Vida Digna'!N170</f>
        <v>5.6649734982332153E-3</v>
      </c>
      <c r="J82" s="38"/>
      <c r="K82" s="10"/>
    </row>
    <row r="83" spans="2:14" ht="48.6" customHeight="1" x14ac:dyDescent="0.25">
      <c r="B83" s="45" t="s">
        <v>1703</v>
      </c>
      <c r="C83" s="774"/>
      <c r="D83" s="13">
        <f>+'Vida Digna'!H173</f>
        <v>0.25058139534883722</v>
      </c>
      <c r="E83" s="13">
        <f>+'Vida Digna'!I173</f>
        <v>0.2508139534883721</v>
      </c>
      <c r="F83" s="13">
        <f>+'Vida Digna'!K173</f>
        <v>1</v>
      </c>
      <c r="G83" s="13">
        <f>+'Vida Digna'!L173</f>
        <v>0.1</v>
      </c>
      <c r="H83" s="13">
        <f>+'Vida Digna'!M173</f>
        <v>0.33380620155038759</v>
      </c>
      <c r="I83" s="46">
        <f>+'Vida Digna'!N173</f>
        <v>3.3399534883720931E-2</v>
      </c>
      <c r="J83" s="38"/>
      <c r="K83" s="10"/>
    </row>
    <row r="84" spans="2:14" ht="46.9" customHeight="1" x14ac:dyDescent="0.25">
      <c r="B84" s="45" t="s">
        <v>1682</v>
      </c>
      <c r="C84" s="774"/>
      <c r="D84" s="13">
        <f>+'Vida Digna'!H176</f>
        <v>0.40547619047619043</v>
      </c>
      <c r="E84" s="13">
        <f>+'Vida Digna'!I176</f>
        <v>0.29269047619047617</v>
      </c>
      <c r="F84" s="13">
        <f>+'Vida Digna'!K176</f>
        <v>0.95348837209302328</v>
      </c>
      <c r="G84" s="13">
        <f>+'Vida Digna'!L176</f>
        <v>7.7209302325581403E-2</v>
      </c>
      <c r="H84" s="13">
        <f>+'Vida Digna'!M176</f>
        <v>0.36753669154228857</v>
      </c>
      <c r="I84" s="46">
        <f>+'Vida Digna'!N176</f>
        <v>2.7086664889836534E-2</v>
      </c>
      <c r="J84" s="38"/>
      <c r="K84" s="10"/>
    </row>
    <row r="85" spans="2:14" ht="58.9" customHeight="1" x14ac:dyDescent="0.25">
      <c r="B85" s="45" t="s">
        <v>1683</v>
      </c>
      <c r="C85" s="774"/>
      <c r="D85" s="13">
        <f>+'Vida Digna'!H182</f>
        <v>0.25409836065573771</v>
      </c>
      <c r="E85" s="13">
        <f>+'Vida Digna'!I182</f>
        <v>0.25409836065573771</v>
      </c>
      <c r="F85" s="13">
        <f>+'Vida Digna'!K182</f>
        <v>1</v>
      </c>
      <c r="G85" s="13">
        <f>+'Vida Digna'!L182</f>
        <v>0.1</v>
      </c>
      <c r="H85" s="13">
        <f>+'Vida Digna'!M182</f>
        <v>0.25537704918032789</v>
      </c>
      <c r="I85" s="46">
        <f>+'Vida Digna'!N182</f>
        <v>2.553770491803279E-2</v>
      </c>
      <c r="J85" s="38"/>
      <c r="K85" s="10"/>
    </row>
    <row r="86" spans="2:14" ht="54.6" customHeight="1" x14ac:dyDescent="0.25">
      <c r="B86" s="45" t="s">
        <v>1704</v>
      </c>
      <c r="C86" s="774"/>
      <c r="D86" s="13">
        <f>+'Vida Digna'!H184</f>
        <v>0.25</v>
      </c>
      <c r="E86" s="13">
        <f>+'Vida Digna'!I184</f>
        <v>0.25</v>
      </c>
      <c r="F86" s="13">
        <f>+'Vida Digna'!K184</f>
        <v>1</v>
      </c>
      <c r="G86" s="13">
        <f>+'Vida Digna'!L184</f>
        <v>0.1</v>
      </c>
      <c r="H86" s="13">
        <f>+'Vida Digna'!M184</f>
        <v>0.30041388888888887</v>
      </c>
      <c r="I86" s="46">
        <f>+'Vida Digna'!N184</f>
        <v>3.0235694444444447E-2</v>
      </c>
      <c r="J86" s="38"/>
      <c r="K86" s="10"/>
    </row>
    <row r="87" spans="2:14" ht="42" customHeight="1" x14ac:dyDescent="0.25">
      <c r="B87" s="45" t="s">
        <v>1685</v>
      </c>
      <c r="C87" s="774"/>
      <c r="D87" s="13">
        <f>+'Vida Digna'!H187</f>
        <v>0.16762820512820512</v>
      </c>
      <c r="E87" s="13">
        <f>+'Vida Digna'!I187</f>
        <v>0.1792948717948718</v>
      </c>
      <c r="F87" s="13">
        <f>+'Vida Digna'!K187</f>
        <v>1</v>
      </c>
      <c r="G87" s="13">
        <f>+'Vida Digna'!L187</f>
        <v>0.05</v>
      </c>
      <c r="H87" s="13">
        <f>+'Vida Digna'!M187</f>
        <v>0.38750608974358969</v>
      </c>
      <c r="I87" s="46">
        <f>+'Vida Digna'!N187</f>
        <v>1.9255512820512823E-2</v>
      </c>
      <c r="J87" s="38"/>
      <c r="K87" s="10"/>
    </row>
    <row r="88" spans="2:14" ht="46.5" x14ac:dyDescent="0.35">
      <c r="B88" s="43" t="str">
        <f>+'Vida Digna'!B192:C192</f>
        <v xml:space="preserve"> Infancia, Adolescencia y Familia
</v>
      </c>
      <c r="C88" s="774"/>
      <c r="D88" s="34">
        <f>+(D89+D90+D91)/3</f>
        <v>0.22748025208211589</v>
      </c>
      <c r="E88" s="35">
        <f>+(E89+E90+E91)/3</f>
        <v>0.17546330652877265</v>
      </c>
      <c r="F88" s="34">
        <f>+(F89+F90+F91)/3</f>
        <v>0.94739583333333333</v>
      </c>
      <c r="G88" s="35">
        <f>+(G89+G90+G91)</f>
        <v>0.68687500000000001</v>
      </c>
      <c r="H88" s="34">
        <f>+(H89+H90+H91)/3</f>
        <v>0.33997892066194169</v>
      </c>
      <c r="I88" s="44">
        <f>+(I89+I90+I91)</f>
        <v>0.24110540532107533</v>
      </c>
      <c r="J88" s="38"/>
      <c r="K88" s="10"/>
    </row>
    <row r="89" spans="2:14" ht="39.6" customHeight="1" x14ac:dyDescent="0.25">
      <c r="B89" s="45" t="s">
        <v>1687</v>
      </c>
      <c r="C89" s="774"/>
      <c r="D89" s="13">
        <f>+'Vida Digna'!H193</f>
        <v>0.23879427591508487</v>
      </c>
      <c r="E89" s="13">
        <f>+'Vida Digna'!I193</f>
        <v>0.11410989888238424</v>
      </c>
      <c r="F89" s="13">
        <f>+'Vida Digna'!K193</f>
        <v>1</v>
      </c>
      <c r="G89" s="13">
        <f>+'Vida Digna'!L193</f>
        <v>0.25</v>
      </c>
      <c r="H89" s="13">
        <f>+'Vida Digna'!M193</f>
        <v>0.33240983608865465</v>
      </c>
      <c r="I89" s="46">
        <f>+'Vida Digna'!N193</f>
        <v>8.0094974636120198E-2</v>
      </c>
      <c r="J89" s="38"/>
      <c r="K89" s="10"/>
    </row>
    <row r="90" spans="2:14" ht="53.45" customHeight="1" x14ac:dyDescent="0.25">
      <c r="B90" s="45" t="s">
        <v>1705</v>
      </c>
      <c r="C90" s="774"/>
      <c r="D90" s="13">
        <f>+'Vida Digna'!H198</f>
        <v>0.28819444444444442</v>
      </c>
      <c r="E90" s="13">
        <f>+'Vida Digna'!I198</f>
        <v>0.25486111111111115</v>
      </c>
      <c r="F90" s="13">
        <f>+'Vida Digna'!K198</f>
        <v>0.84218749999999998</v>
      </c>
      <c r="G90" s="13">
        <f>+'Vida Digna'!L198</f>
        <v>0.18687500000000004</v>
      </c>
      <c r="H90" s="13">
        <f>+'Vida Digna'!M198</f>
        <v>0.25733506944444445</v>
      </c>
      <c r="I90" s="46">
        <f>+'Vida Digna'!N198</f>
        <v>5.0629340277777775E-2</v>
      </c>
      <c r="J90" s="38"/>
      <c r="K90" s="10"/>
    </row>
    <row r="91" spans="2:14" ht="48.6" customHeight="1" x14ac:dyDescent="0.25">
      <c r="B91" s="48" t="s">
        <v>1706</v>
      </c>
      <c r="C91" s="775"/>
      <c r="D91" s="49">
        <f>+'Vida Digna'!H203</f>
        <v>0.1554520358868185</v>
      </c>
      <c r="E91" s="49">
        <f>+'Vida Digna'!I203</f>
        <v>0.15741890959282262</v>
      </c>
      <c r="F91" s="49">
        <f>+'Vida Digna'!K203</f>
        <v>1</v>
      </c>
      <c r="G91" s="49">
        <f>+'Vida Digna'!L203</f>
        <v>0.25</v>
      </c>
      <c r="H91" s="49">
        <f>+'Vida Digna'!M203</f>
        <v>0.43019185645272601</v>
      </c>
      <c r="I91" s="50">
        <f>+'Vida Digna'!N203</f>
        <v>0.11038109040717736</v>
      </c>
      <c r="J91" s="38"/>
      <c r="K91" s="10"/>
    </row>
    <row r="92" spans="2:14" ht="120" customHeight="1" x14ac:dyDescent="0.45">
      <c r="B92" s="40" t="str">
        <f>+'Desarrollo Economico'!B3:B3</f>
        <v xml:space="preserve"> DESARROLLO ECONÓMICO EQUITATIVO
</v>
      </c>
      <c r="C92" s="773">
        <v>0.15</v>
      </c>
      <c r="D92" s="41">
        <f>+'Desarrollo Economico'!H3</f>
        <v>0.25743535350812591</v>
      </c>
      <c r="E92" s="41">
        <f>+'Desarrollo Economico'!I3</f>
        <v>0.20388140901442245</v>
      </c>
      <c r="F92" s="41">
        <f>+'Desarrollo Economico'!K3</f>
        <v>0.9432222222222223</v>
      </c>
      <c r="G92" s="41">
        <f>+'Desarrollo Economico'!L3</f>
        <v>0.52797500000000008</v>
      </c>
      <c r="H92" s="41">
        <f>+'Desarrollo Economico'!M3</f>
        <v>0.23537004965661618</v>
      </c>
      <c r="I92" s="42">
        <f>+'Desarrollo Economico'!N3</f>
        <v>0.19709284711832917</v>
      </c>
      <c r="J92" s="38"/>
      <c r="K92" s="10"/>
      <c r="N92" s="14"/>
    </row>
    <row r="93" spans="2:14" ht="78.599999999999994" customHeight="1" x14ac:dyDescent="0.35">
      <c r="B93" s="43" t="str">
        <f>+'Desarrollo Economico'!B4:B4</f>
        <v xml:space="preserve"> Competitividad e innovación
</v>
      </c>
      <c r="C93" s="774"/>
      <c r="D93" s="34">
        <f>+(D94+D95)/2</f>
        <v>0.32500000000000001</v>
      </c>
      <c r="E93" s="35">
        <f>+(E94+E95)/2</f>
        <v>0.33750000000000002</v>
      </c>
      <c r="F93" s="34">
        <f>+(F94+F95)/2</f>
        <v>0.98</v>
      </c>
      <c r="G93" s="35">
        <f>+(G94+G95)</f>
        <v>0.96399999999999997</v>
      </c>
      <c r="H93" s="34">
        <f>+(H94+H95)/2</f>
        <v>0.37</v>
      </c>
      <c r="I93" s="44">
        <f>+(I94+I95)</f>
        <v>0.32100000000000001</v>
      </c>
      <c r="J93" s="38"/>
      <c r="K93" s="10"/>
    </row>
    <row r="94" spans="2:14" ht="54.6" customHeight="1" x14ac:dyDescent="0.25">
      <c r="B94" s="45" t="s">
        <v>1707</v>
      </c>
      <c r="C94" s="774"/>
      <c r="D94" s="13">
        <f>+'Desarrollo Economico'!H5</f>
        <v>0.4</v>
      </c>
      <c r="E94" s="13">
        <f>+'Desarrollo Economico'!I5</f>
        <v>0.42499999999999999</v>
      </c>
      <c r="F94" s="13">
        <f>+'Desarrollo Economico'!K5</f>
        <v>1</v>
      </c>
      <c r="G94" s="13">
        <f>+'Desarrollo Economico'!L5</f>
        <v>0.4</v>
      </c>
      <c r="H94" s="13">
        <f>+'Desarrollo Economico'!M5</f>
        <v>0.5</v>
      </c>
      <c r="I94" s="46">
        <f>+'Desarrollo Economico'!N5</f>
        <v>0.18000000000000002</v>
      </c>
      <c r="J94" s="38"/>
      <c r="K94" s="10"/>
    </row>
    <row r="95" spans="2:14" ht="50.45" customHeight="1" x14ac:dyDescent="0.25">
      <c r="B95" s="45" t="s">
        <v>1708</v>
      </c>
      <c r="C95" s="774"/>
      <c r="D95" s="13">
        <f>+'Desarrollo Economico'!H11</f>
        <v>0.25</v>
      </c>
      <c r="E95" s="13">
        <f>+'Desarrollo Economico'!I11</f>
        <v>0.25</v>
      </c>
      <c r="F95" s="13">
        <f>+'Desarrollo Economico'!K11</f>
        <v>0.96</v>
      </c>
      <c r="G95" s="13">
        <f>+'Desarrollo Economico'!L11</f>
        <v>0.56399999999999995</v>
      </c>
      <c r="H95" s="13">
        <f>+'Desarrollo Economico'!M11</f>
        <v>0.24</v>
      </c>
      <c r="I95" s="46">
        <f>+'Desarrollo Economico'!N11</f>
        <v>0.14099999999999999</v>
      </c>
      <c r="J95" s="38"/>
      <c r="K95" s="10"/>
    </row>
    <row r="96" spans="2:14" ht="93" customHeight="1" x14ac:dyDescent="0.35">
      <c r="B96" s="43" t="str">
        <f>+'Desarrollo Economico'!B15:B15</f>
        <v xml:space="preserve"> Diversificación Económica
</v>
      </c>
      <c r="C96" s="774"/>
      <c r="D96" s="34">
        <f>+(D97+D98+D99+D100)/4</f>
        <v>0.28770833333333334</v>
      </c>
      <c r="E96" s="35">
        <f>+(E97+E98+E99+E100)/4</f>
        <v>0.20433333333333331</v>
      </c>
      <c r="F96" s="34">
        <f>+(F97+F98+F99+F100)/4</f>
        <v>1</v>
      </c>
      <c r="G96" s="35">
        <f>+(G97+G98+G99+G100)</f>
        <v>0.64999999999999991</v>
      </c>
      <c r="H96" s="34">
        <f>+(H97+H98+H99+H100)/4</f>
        <v>0.23097916666666671</v>
      </c>
      <c r="I96" s="44">
        <f>+(I97+I98+I99+I100)</f>
        <v>0.373</v>
      </c>
      <c r="J96" s="38"/>
      <c r="K96" s="10"/>
    </row>
    <row r="97" spans="2:11" ht="48" customHeight="1" x14ac:dyDescent="0.25">
      <c r="B97" s="45" t="s">
        <v>1709</v>
      </c>
      <c r="C97" s="774"/>
      <c r="D97" s="13">
        <f>+'Desarrollo Economico'!H16</f>
        <v>0.25</v>
      </c>
      <c r="E97" s="13">
        <f>+'Desarrollo Economico'!I16</f>
        <v>0.25</v>
      </c>
      <c r="F97" s="13">
        <f>+'Desarrollo Economico'!K16</f>
        <v>1</v>
      </c>
      <c r="G97" s="13">
        <f>+'Desarrollo Economico'!L16</f>
        <v>0.25</v>
      </c>
      <c r="H97" s="13">
        <f>+'Desarrollo Economico'!M16</f>
        <v>0.4375</v>
      </c>
      <c r="I97" s="46">
        <f>+'Desarrollo Economico'!N16</f>
        <v>0.17500000000000002</v>
      </c>
      <c r="J97" s="38"/>
      <c r="K97" s="10"/>
    </row>
    <row r="98" spans="2:11" ht="48" customHeight="1" x14ac:dyDescent="0.25">
      <c r="B98" s="45" t="s">
        <v>1710</v>
      </c>
      <c r="C98" s="774"/>
      <c r="D98" s="13">
        <f>+'Desarrollo Economico'!H21</f>
        <v>0.13416666666666666</v>
      </c>
      <c r="E98" s="13">
        <f>+'Desarrollo Economico'!I21</f>
        <v>0.15733333333333333</v>
      </c>
      <c r="F98" s="13">
        <f>+'Desarrollo Economico'!K21</f>
        <v>1</v>
      </c>
      <c r="G98" s="13">
        <f>+'Desarrollo Economico'!L21</f>
        <v>0.1</v>
      </c>
      <c r="H98" s="13">
        <f>+'Desarrollo Economico'!M21</f>
        <v>0.22916666666666669</v>
      </c>
      <c r="I98" s="46">
        <f>+'Desarrollo Economico'!N21</f>
        <v>2.7000000000000003E-2</v>
      </c>
      <c r="J98" s="38"/>
      <c r="K98" s="10"/>
    </row>
    <row r="99" spans="2:11" ht="48" customHeight="1" x14ac:dyDescent="0.25">
      <c r="B99" s="45" t="s">
        <v>1711</v>
      </c>
      <c r="C99" s="774"/>
      <c r="D99" s="13">
        <f>+'Desarrollo Economico'!H24</f>
        <v>0.16666666666666666</v>
      </c>
      <c r="E99" s="13">
        <f>+'Desarrollo Economico'!I24</f>
        <v>4.9999999999999996E-2</v>
      </c>
      <c r="F99" s="13">
        <f>+'Desarrollo Economico'!K24</f>
        <v>1</v>
      </c>
      <c r="G99" s="13">
        <f>+'Desarrollo Economico'!L24</f>
        <v>0.09</v>
      </c>
      <c r="H99" s="13">
        <f>+'Desarrollo Economico'!M24</f>
        <v>0.10725000000000001</v>
      </c>
      <c r="I99" s="46">
        <f>+'Desarrollo Economico'!N24</f>
        <v>4.4999999999999998E-2</v>
      </c>
      <c r="J99" s="38"/>
      <c r="K99" s="10"/>
    </row>
    <row r="100" spans="2:11" ht="48" customHeight="1" x14ac:dyDescent="0.25">
      <c r="B100" s="45" t="s">
        <v>1712</v>
      </c>
      <c r="C100" s="774"/>
      <c r="D100" s="13">
        <f>+'Desarrollo Economico'!H28</f>
        <v>0.6</v>
      </c>
      <c r="E100" s="13">
        <f>+'Desarrollo Economico'!I28</f>
        <v>0.36</v>
      </c>
      <c r="F100" s="13">
        <f>+'Desarrollo Economico'!K28</f>
        <v>1</v>
      </c>
      <c r="G100" s="13">
        <f>+'Desarrollo Economico'!L28</f>
        <v>0.21</v>
      </c>
      <c r="H100" s="13">
        <f>+'Desarrollo Economico'!M28</f>
        <v>0.15</v>
      </c>
      <c r="I100" s="46">
        <f>+'Desarrollo Economico'!N28</f>
        <v>0.126</v>
      </c>
      <c r="J100" s="38"/>
      <c r="K100" s="10"/>
    </row>
    <row r="101" spans="2:11" ht="70.150000000000006" customHeight="1" x14ac:dyDescent="0.35">
      <c r="B101" s="43" t="str">
        <f>+'Desarrollo Economico'!B33:B33</f>
        <v xml:space="preserve"> Trabajo Decente y Cierre de Brechas Laborales
</v>
      </c>
      <c r="C101" s="774"/>
      <c r="D101" s="34">
        <f>+(D102+D103+D104)/3</f>
        <v>0.36472934472934471</v>
      </c>
      <c r="E101" s="35">
        <f>+(E102+E103+E104)/3</f>
        <v>0.25547008547008548</v>
      </c>
      <c r="F101" s="34">
        <f>+(F102+F103+F104)/3</f>
        <v>0.88888888888888884</v>
      </c>
      <c r="G101" s="35">
        <f>+(G102+G103+G104)</f>
        <v>0.6</v>
      </c>
      <c r="H101" s="34">
        <f>+(H102+H103+H104)/3</f>
        <v>0.28650042735042736</v>
      </c>
      <c r="I101" s="44">
        <f>+(I102+I103+I104)</f>
        <v>0.23447615384615383</v>
      </c>
      <c r="J101" s="38"/>
      <c r="K101" s="10"/>
    </row>
    <row r="102" spans="2:11" ht="43.15" customHeight="1" x14ac:dyDescent="0.25">
      <c r="B102" s="45" t="s">
        <v>1713</v>
      </c>
      <c r="C102" s="774"/>
      <c r="D102" s="13">
        <f>+'Desarrollo Economico'!H34</f>
        <v>8.6111111111111097E-2</v>
      </c>
      <c r="E102" s="13">
        <f>+'Desarrollo Economico'!I34</f>
        <v>5.0833333333333328E-2</v>
      </c>
      <c r="F102" s="13">
        <f>+'Desarrollo Economico'!K34</f>
        <v>0.66666666666666663</v>
      </c>
      <c r="G102" s="13">
        <f>+'Desarrollo Economico'!L34</f>
        <v>0.22499999999999998</v>
      </c>
      <c r="H102" s="13">
        <f>+'Desarrollo Economico'!M34</f>
        <v>0.10536666666666666</v>
      </c>
      <c r="I102" s="46">
        <f>+'Desarrollo Economico'!N34</f>
        <v>4.5942499999999997E-2</v>
      </c>
      <c r="J102" s="38"/>
      <c r="K102" s="10"/>
    </row>
    <row r="103" spans="2:11" ht="31.15" customHeight="1" x14ac:dyDescent="0.25">
      <c r="B103" s="45" t="s">
        <v>1714</v>
      </c>
      <c r="C103" s="774"/>
      <c r="D103" s="13">
        <f>+'Desarrollo Economico'!H40</f>
        <v>0.58499999999999996</v>
      </c>
      <c r="E103" s="13">
        <f>+'Desarrollo Economico'!I40</f>
        <v>0.29249999999999998</v>
      </c>
      <c r="F103" s="13">
        <f>+'Desarrollo Economico'!K40</f>
        <v>1</v>
      </c>
      <c r="G103" s="13">
        <f>+'Desarrollo Economico'!L40</f>
        <v>0.125</v>
      </c>
      <c r="H103" s="13">
        <f>+'Desarrollo Economico'!M40</f>
        <v>0.30875000000000002</v>
      </c>
      <c r="I103" s="46">
        <f>+'Desarrollo Economico'!N40</f>
        <v>7.7187500000000006E-2</v>
      </c>
      <c r="J103" s="38"/>
      <c r="K103" s="10"/>
    </row>
    <row r="104" spans="2:11" ht="51.6" customHeight="1" x14ac:dyDescent="0.25">
      <c r="B104" s="45" t="s">
        <v>1715</v>
      </c>
      <c r="C104" s="774"/>
      <c r="D104" s="13">
        <f>+'Desarrollo Economico'!H43</f>
        <v>0.42307692307692307</v>
      </c>
      <c r="E104" s="13">
        <f>+'Desarrollo Economico'!I43</f>
        <v>0.42307692307692307</v>
      </c>
      <c r="F104" s="13">
        <f>+'Desarrollo Economico'!K43</f>
        <v>1</v>
      </c>
      <c r="G104" s="13">
        <f>+'Desarrollo Economico'!L43</f>
        <v>0.25</v>
      </c>
      <c r="H104" s="13">
        <f>+'Desarrollo Economico'!M43</f>
        <v>0.44538461538461538</v>
      </c>
      <c r="I104" s="46">
        <f>+'Desarrollo Economico'!N43</f>
        <v>0.11134615384615384</v>
      </c>
      <c r="J104" s="38"/>
      <c r="K104" s="10"/>
    </row>
    <row r="105" spans="2:11" ht="46.5" x14ac:dyDescent="0.35">
      <c r="B105" s="43" t="str">
        <f>+'Desarrollo Economico'!B45:B45</f>
        <v xml:space="preserve"> Economía Popular y Emprendimiento
</v>
      </c>
      <c r="C105" s="774"/>
      <c r="D105" s="34">
        <f>+(D106+D107+D108+D109)/3</f>
        <v>0.15416666666666667</v>
      </c>
      <c r="E105" s="35">
        <f>+(E106+E107+E108+E109)/3</f>
        <v>7.0208333333333331E-2</v>
      </c>
      <c r="F105" s="34">
        <f>+(F106+F107+F108+F109)/3</f>
        <v>1</v>
      </c>
      <c r="G105" s="35">
        <f>+(G106+G107+G108+G109)</f>
        <v>0.42749999999999999</v>
      </c>
      <c r="H105" s="34">
        <f>+(H106+H107+H108+H109)/3</f>
        <v>0.17056250000000003</v>
      </c>
      <c r="I105" s="44">
        <f>+(I106+I107+I108+I109)</f>
        <v>0.11891499999999999</v>
      </c>
      <c r="J105" s="38"/>
      <c r="K105" s="10"/>
    </row>
    <row r="106" spans="2:11" ht="36" customHeight="1" x14ac:dyDescent="0.25">
      <c r="B106" s="45" t="s">
        <v>1716</v>
      </c>
      <c r="C106" s="774"/>
      <c r="D106" s="13">
        <f>+'Desarrollo Economico'!H46</f>
        <v>0.21249999999999999</v>
      </c>
      <c r="E106" s="13">
        <f>+'Desarrollo Economico'!I46</f>
        <v>7.8125E-2</v>
      </c>
      <c r="F106" s="13">
        <f>+'Desarrollo Economico'!K46</f>
        <v>1</v>
      </c>
      <c r="G106" s="13">
        <f>+'Desarrollo Economico'!L46</f>
        <v>8.7499999999999994E-2</v>
      </c>
      <c r="H106" s="13">
        <f>+'Desarrollo Economico'!M46</f>
        <v>0.16250000000000001</v>
      </c>
      <c r="I106" s="46">
        <f>+'Desarrollo Economico'!N46</f>
        <v>1.6406250000000001E-2</v>
      </c>
      <c r="J106" s="38"/>
      <c r="K106" s="10"/>
    </row>
    <row r="107" spans="2:11" ht="65.45" customHeight="1" x14ac:dyDescent="0.25">
      <c r="B107" s="45" t="s">
        <v>1717</v>
      </c>
      <c r="C107" s="774"/>
      <c r="D107" s="13">
        <f>+'Desarrollo Economico'!H54</f>
        <v>0.125</v>
      </c>
      <c r="E107" s="13">
        <f>+'Desarrollo Economico'!I54</f>
        <v>6.25E-2</v>
      </c>
      <c r="F107" s="13">
        <f>+'Desarrollo Economico'!K54</f>
        <v>1</v>
      </c>
      <c r="G107" s="13">
        <f>+'Desarrollo Economico'!L54</f>
        <v>0.17499999999999999</v>
      </c>
      <c r="H107" s="13">
        <f>+'Desarrollo Economico'!M54</f>
        <v>8.3687499999999998E-2</v>
      </c>
      <c r="I107" s="46">
        <f>+'Desarrollo Economico'!N54</f>
        <v>5.8581249999999994E-2</v>
      </c>
      <c r="J107" s="38"/>
      <c r="K107" s="10"/>
    </row>
    <row r="108" spans="2:11" ht="18.75" x14ac:dyDescent="0.25">
      <c r="B108" s="45" t="s">
        <v>1718</v>
      </c>
      <c r="C108" s="774"/>
      <c r="D108" s="13">
        <f>+'Desarrollo Economico'!H59</f>
        <v>0.125</v>
      </c>
      <c r="E108" s="13">
        <f>+'Desarrollo Economico'!I59</f>
        <v>7.0000000000000007E-2</v>
      </c>
      <c r="F108" s="13">
        <f>+'Desarrollo Economico'!K59</f>
        <v>1</v>
      </c>
      <c r="G108" s="13">
        <f>+'Desarrollo Economico'!L59</f>
        <v>0.16500000000000001</v>
      </c>
      <c r="H108" s="13">
        <f>+'Desarrollo Economico'!M59</f>
        <v>0.26550000000000001</v>
      </c>
      <c r="I108" s="46">
        <f>+'Desarrollo Economico'!N59</f>
        <v>4.3927500000000001E-2</v>
      </c>
      <c r="J108" s="38"/>
      <c r="K108" s="10"/>
    </row>
    <row r="109" spans="2:11" ht="46.9" customHeight="1" x14ac:dyDescent="0.25">
      <c r="B109" s="45" t="s">
        <v>1719</v>
      </c>
      <c r="C109" s="774"/>
      <c r="D109" s="13">
        <f>+'Desarrollo Economico'!H64</f>
        <v>0</v>
      </c>
      <c r="E109" s="13">
        <f>+'Desarrollo Economico'!I64</f>
        <v>0</v>
      </c>
      <c r="F109" s="13">
        <f>+'Desarrollo Economico'!K64</f>
        <v>0</v>
      </c>
      <c r="G109" s="13">
        <f>+'Desarrollo Economico'!L64</f>
        <v>0</v>
      </c>
      <c r="H109" s="13">
        <f>+'Desarrollo Economico'!M64</f>
        <v>0</v>
      </c>
      <c r="I109" s="46">
        <f>+'Desarrollo Economico'!N64</f>
        <v>0</v>
      </c>
      <c r="J109" s="38"/>
      <c r="K109" s="10"/>
    </row>
    <row r="110" spans="2:11" ht="88.9" customHeight="1" x14ac:dyDescent="0.35">
      <c r="B110" s="43" t="str">
        <f>+'Desarrollo Economico'!B67:B67</f>
        <v xml:space="preserve">Turismo Sostenible y Responsable
</v>
      </c>
      <c r="C110" s="774"/>
      <c r="D110" s="34">
        <f>+(D111+D112+D113+D114+D115)/5</f>
        <v>0.1135</v>
      </c>
      <c r="E110" s="35">
        <f>+(E111+E112+E113+E114+E115)/5</f>
        <v>0.20750000000000002</v>
      </c>
      <c r="F110" s="34">
        <f>+(F111+F112+F113+F114+F115)/2</f>
        <v>1</v>
      </c>
      <c r="G110" s="35">
        <f>+(G111+G112+G113+G114+G115)</f>
        <v>0.22</v>
      </c>
      <c r="H110" s="34">
        <f>+(H111+H112+H113+H114+H115)/5</f>
        <v>0.16850000000000001</v>
      </c>
      <c r="I110" s="44">
        <f>+(I111+I112+I113+I114+I115)</f>
        <v>8.3350000000000007E-2</v>
      </c>
      <c r="J110" s="38"/>
      <c r="K110" s="10"/>
    </row>
    <row r="111" spans="2:11" ht="40.9" customHeight="1" x14ac:dyDescent="0.25">
      <c r="B111" s="45" t="s">
        <v>1720</v>
      </c>
      <c r="C111" s="774"/>
      <c r="D111" s="13">
        <f>+'Desarrollo Economico'!H68</f>
        <v>0</v>
      </c>
      <c r="E111" s="13">
        <f>+'Desarrollo Economico'!I68</f>
        <v>0</v>
      </c>
      <c r="F111" s="13">
        <f>+'Desarrollo Economico'!K68</f>
        <v>0</v>
      </c>
      <c r="G111" s="13">
        <f>+'Desarrollo Economico'!L68</f>
        <v>0</v>
      </c>
      <c r="H111" s="13">
        <f>+'Desarrollo Economico'!M68</f>
        <v>0</v>
      </c>
      <c r="I111" s="46">
        <f>+'Desarrollo Economico'!N68</f>
        <v>0</v>
      </c>
      <c r="J111" s="38"/>
      <c r="K111" s="10"/>
    </row>
    <row r="112" spans="2:11" ht="18.75" x14ac:dyDescent="0.25">
      <c r="B112" s="45" t="s">
        <v>1721</v>
      </c>
      <c r="C112" s="774"/>
      <c r="D112" s="13">
        <f>+'Desarrollo Economico'!H73</f>
        <v>0</v>
      </c>
      <c r="E112" s="13">
        <f>+'Desarrollo Economico'!I73</f>
        <v>0</v>
      </c>
      <c r="F112" s="13">
        <f>+'Desarrollo Economico'!K73</f>
        <v>0</v>
      </c>
      <c r="G112" s="13">
        <f>+'Desarrollo Economico'!L73</f>
        <v>0</v>
      </c>
      <c r="H112" s="13">
        <f>+'Desarrollo Economico'!M73</f>
        <v>0</v>
      </c>
      <c r="I112" s="46">
        <f>+'Desarrollo Economico'!N73</f>
        <v>0</v>
      </c>
      <c r="J112" s="38"/>
      <c r="K112" s="10"/>
    </row>
    <row r="113" spans="2:11" ht="18.75" x14ac:dyDescent="0.25">
      <c r="B113" s="45" t="s">
        <v>1722</v>
      </c>
      <c r="C113" s="774"/>
      <c r="D113" s="13">
        <f>+'Desarrollo Economico'!H86</f>
        <v>0.23749999999999999</v>
      </c>
      <c r="E113" s="13">
        <f>+'Desarrollo Economico'!I86</f>
        <v>0.23749999999999999</v>
      </c>
      <c r="F113" s="13">
        <f>+'Desarrollo Economico'!K86</f>
        <v>1</v>
      </c>
      <c r="G113" s="13">
        <f>+'Desarrollo Economico'!L86</f>
        <v>0.1</v>
      </c>
      <c r="H113" s="13">
        <f>+'Desarrollo Economico'!M86</f>
        <v>0.51249999999999996</v>
      </c>
      <c r="I113" s="46">
        <f>+'Desarrollo Economico'!N86</f>
        <v>4.3750000000000004E-2</v>
      </c>
      <c r="J113" s="38"/>
      <c r="K113" s="10"/>
    </row>
    <row r="114" spans="2:11" ht="30" customHeight="1" x14ac:dyDescent="0.25">
      <c r="B114" s="45" t="s">
        <v>1723</v>
      </c>
      <c r="C114" s="774"/>
      <c r="D114" s="13">
        <f>+'Desarrollo Economico'!H91</f>
        <v>0</v>
      </c>
      <c r="E114" s="13">
        <f>+'Desarrollo Economico'!I91</f>
        <v>0</v>
      </c>
      <c r="F114" s="13">
        <f>+'Desarrollo Economico'!K91</f>
        <v>0</v>
      </c>
      <c r="G114" s="13">
        <f>+'Desarrollo Economico'!L91</f>
        <v>0</v>
      </c>
      <c r="H114" s="13">
        <f>+'Desarrollo Economico'!M91</f>
        <v>0</v>
      </c>
      <c r="I114" s="46">
        <f>+'Desarrollo Economico'!N91</f>
        <v>0</v>
      </c>
      <c r="J114" s="38"/>
      <c r="K114" s="10"/>
    </row>
    <row r="115" spans="2:11" ht="59.45" customHeight="1" x14ac:dyDescent="0.25">
      <c r="B115" s="45" t="s">
        <v>1724</v>
      </c>
      <c r="C115" s="774"/>
      <c r="D115" s="13">
        <f>+'Desarrollo Economico'!H96</f>
        <v>0.33</v>
      </c>
      <c r="E115" s="13">
        <f>+'Desarrollo Economico'!I96</f>
        <v>0.8</v>
      </c>
      <c r="F115" s="13">
        <f>+'Desarrollo Economico'!K96</f>
        <v>1</v>
      </c>
      <c r="G115" s="13">
        <f>+'Desarrollo Economico'!L96</f>
        <v>0.12</v>
      </c>
      <c r="H115" s="13">
        <f>+'Desarrollo Economico'!M96</f>
        <v>0.33</v>
      </c>
      <c r="I115" s="46">
        <f>+'Desarrollo Economico'!N96</f>
        <v>3.9600000000000003E-2</v>
      </c>
      <c r="J115" s="38"/>
      <c r="K115" s="10"/>
    </row>
    <row r="116" spans="2:11" ht="46.5" x14ac:dyDescent="0.35">
      <c r="B116" s="43" t="str">
        <f>+'Desarrollo Economico'!B100:B100</f>
        <v xml:space="preserve"> Desarrollo Agropecuario 
</v>
      </c>
      <c r="C116" s="774"/>
      <c r="D116" s="34">
        <f>+(D117+D118+D119)/3</f>
        <v>0.17360979649420338</v>
      </c>
      <c r="E116" s="35">
        <f>+(E117+E118+E119)/3</f>
        <v>9.382477763087127E-2</v>
      </c>
      <c r="F116" s="34">
        <f>+(F117+F118+F119)/3</f>
        <v>1</v>
      </c>
      <c r="G116" s="35">
        <f>+(G117+G118+G119)</f>
        <v>0.56500000000000006</v>
      </c>
      <c r="H116" s="34">
        <f>+(H117+H118+H119)/3</f>
        <v>0.19428158691255218</v>
      </c>
      <c r="I116" s="44">
        <f>+(I117+I118+I119)</f>
        <v>0.10879627598215055</v>
      </c>
      <c r="J116" s="38"/>
      <c r="K116" s="10"/>
    </row>
    <row r="117" spans="2:11" ht="54.6" customHeight="1" x14ac:dyDescent="0.25">
      <c r="B117" s="45" t="s">
        <v>1725</v>
      </c>
      <c r="C117" s="774"/>
      <c r="D117" s="13">
        <f>+'Desarrollo Economico'!H101</f>
        <v>0.17798528579513301</v>
      </c>
      <c r="E117" s="13">
        <f>+'Desarrollo Economico'!I101</f>
        <v>0.17798528579513301</v>
      </c>
      <c r="F117" s="13">
        <f>+'Desarrollo Economico'!K101</f>
        <v>1</v>
      </c>
      <c r="G117" s="13">
        <f>+'Desarrollo Economico'!L101</f>
        <v>0.25</v>
      </c>
      <c r="H117" s="13">
        <f>+'Desarrollo Economico'!M101</f>
        <v>0.17866440294284094</v>
      </c>
      <c r="I117" s="46">
        <f>+'Desarrollo Economico'!N101</f>
        <v>4.4666100735710243E-2</v>
      </c>
      <c r="J117" s="38"/>
      <c r="K117" s="10"/>
    </row>
    <row r="118" spans="2:11" ht="82.15" customHeight="1" x14ac:dyDescent="0.25">
      <c r="B118" s="45" t="s">
        <v>1726</v>
      </c>
      <c r="C118" s="774"/>
      <c r="D118" s="13">
        <f>+'Desarrollo Economico'!H107</f>
        <v>9.2844103687477184E-2</v>
      </c>
      <c r="E118" s="13">
        <f>+'Desarrollo Economico'!I107</f>
        <v>6.5989047097480838E-2</v>
      </c>
      <c r="F118" s="13">
        <f>+'Desarrollo Economico'!K107</f>
        <v>1</v>
      </c>
      <c r="G118" s="13">
        <f>+'Desarrollo Economico'!L107</f>
        <v>0.27000000000000007</v>
      </c>
      <c r="H118" s="13">
        <f>+'Desarrollo Economico'!M107</f>
        <v>0.15418035779481562</v>
      </c>
      <c r="I118" s="46">
        <f>+'Desarrollo Economico'!N107</f>
        <v>5.2880175246440314E-2</v>
      </c>
      <c r="J118" s="38"/>
      <c r="K118" s="10"/>
    </row>
    <row r="119" spans="2:11" ht="36" customHeight="1" x14ac:dyDescent="0.25">
      <c r="B119" s="45" t="s">
        <v>1727</v>
      </c>
      <c r="C119" s="774"/>
      <c r="D119" s="13">
        <f>+'Desarrollo Economico'!H117</f>
        <v>0.25</v>
      </c>
      <c r="E119" s="13">
        <f>+'Desarrollo Economico'!I117</f>
        <v>3.7499999999999999E-2</v>
      </c>
      <c r="F119" s="13">
        <f>+'Desarrollo Economico'!K117</f>
        <v>1</v>
      </c>
      <c r="G119" s="13">
        <f>+'Desarrollo Economico'!L117</f>
        <v>4.4999999999999998E-2</v>
      </c>
      <c r="H119" s="13">
        <f>+'Desarrollo Economico'!M117</f>
        <v>0.25</v>
      </c>
      <c r="I119" s="46">
        <f>+'Desarrollo Economico'!N117</f>
        <v>1.125E-2</v>
      </c>
      <c r="J119" s="38"/>
      <c r="K119" s="10"/>
    </row>
    <row r="120" spans="2:11" ht="46.5" x14ac:dyDescent="0.35">
      <c r="B120" s="43" t="str">
        <f>+'Desarrollo Economico'!B124:B124</f>
        <v xml:space="preserve">Sistema Integral de Abastecimiento del Distrito
</v>
      </c>
      <c r="C120" s="774"/>
      <c r="D120" s="34">
        <f>+(D121+D122)/2</f>
        <v>0.3833333333333333</v>
      </c>
      <c r="E120" s="35">
        <f>+(E121+E122)/2</f>
        <v>0.2583333333333333</v>
      </c>
      <c r="F120" s="34">
        <f>+(F121+F122)/2</f>
        <v>0.73366666666666669</v>
      </c>
      <c r="G120" s="35">
        <f>+(G121+G122)</f>
        <v>0.40037499999999998</v>
      </c>
      <c r="H120" s="34">
        <f>+(H121+H122)/2</f>
        <v>0.22676666666666667</v>
      </c>
      <c r="I120" s="44">
        <f>+(I121+I122)</f>
        <v>0.14011249999999997</v>
      </c>
      <c r="J120" s="38"/>
      <c r="K120" s="10"/>
    </row>
    <row r="121" spans="2:11" ht="66" customHeight="1" x14ac:dyDescent="0.25">
      <c r="B121" s="45" t="s">
        <v>1728</v>
      </c>
      <c r="C121" s="774"/>
      <c r="D121" s="13">
        <f>+'Desarrollo Economico'!H125</f>
        <v>0.33333333333333331</v>
      </c>
      <c r="E121" s="13">
        <f>+'Desarrollo Economico'!I125</f>
        <v>0.16666666666666666</v>
      </c>
      <c r="F121" s="13">
        <f>+'Desarrollo Economico'!K125</f>
        <v>0.6</v>
      </c>
      <c r="G121" s="13">
        <f>+'Desarrollo Economico'!L125</f>
        <v>0.22499999999999998</v>
      </c>
      <c r="H121" s="13">
        <f>+'Desarrollo Economico'!M125</f>
        <v>5.9999999999999991E-2</v>
      </c>
      <c r="I121" s="46">
        <f>+'Desarrollo Economico'!N125</f>
        <v>7.4999999999999997E-2</v>
      </c>
      <c r="J121" s="38"/>
      <c r="K121" s="10"/>
    </row>
    <row r="122" spans="2:11" ht="46.9" customHeight="1" x14ac:dyDescent="0.25">
      <c r="B122" s="48" t="s">
        <v>1729</v>
      </c>
      <c r="C122" s="775"/>
      <c r="D122" s="49">
        <f>+'Desarrollo Economico'!H129</f>
        <v>0.43333333333333335</v>
      </c>
      <c r="E122" s="49">
        <f>+'Desarrollo Economico'!I129</f>
        <v>0.35</v>
      </c>
      <c r="F122" s="49">
        <f>+'Desarrollo Economico'!K129</f>
        <v>0.86733333333333329</v>
      </c>
      <c r="G122" s="49">
        <f>+'Desarrollo Economico'!L129</f>
        <v>0.175375</v>
      </c>
      <c r="H122" s="49">
        <f>+'Desarrollo Economico'!M129</f>
        <v>0.39353333333333335</v>
      </c>
      <c r="I122" s="50">
        <f>+'Desarrollo Economico'!N129</f>
        <v>6.511249999999999E-2</v>
      </c>
      <c r="J122" s="38"/>
      <c r="K122" s="10"/>
    </row>
    <row r="123" spans="2:11" ht="120" customHeight="1" x14ac:dyDescent="0.45">
      <c r="B123" s="40" t="str">
        <f>+'Ciudad Conectada'!B3:B3</f>
        <v xml:space="preserve">CARTAGENA CIUDAD CONECTADA Y SOSTENIBLE
</v>
      </c>
      <c r="C123" s="773">
        <v>0.25</v>
      </c>
      <c r="D123" s="41">
        <f>+'Ciudad Conectada'!H3</f>
        <v>0.22580220358289729</v>
      </c>
      <c r="E123" s="41">
        <f>+'Ciudad Conectada'!I3</f>
        <v>0.19844971717901827</v>
      </c>
      <c r="F123" s="41">
        <f>+'Ciudad Conectada'!K3</f>
        <v>0.81130732140563089</v>
      </c>
      <c r="G123" s="41">
        <f>+'Ciudad Conectada'!L3</f>
        <v>0.50710750648462866</v>
      </c>
      <c r="H123" s="41">
        <f>+'Ciudad Conectada'!M3</f>
        <v>0.22160323916687383</v>
      </c>
      <c r="I123" s="42">
        <f>+'Ciudad Conectada'!N3</f>
        <v>0.1858257807711004</v>
      </c>
      <c r="J123" s="38"/>
      <c r="K123" s="10"/>
    </row>
    <row r="124" spans="2:11" ht="68.45" customHeight="1" x14ac:dyDescent="0.35">
      <c r="B124" s="43" t="str">
        <f>+'Ciudad Conectada'!B4:B4</f>
        <v xml:space="preserve"> Ordenamiento del Territorio y espacio público.
</v>
      </c>
      <c r="C124" s="774"/>
      <c r="D124" s="34">
        <f>+(D125+D126)/2</f>
        <v>0.18804054054054054</v>
      </c>
      <c r="E124" s="35">
        <f>+(E125+E126)/2</f>
        <v>0.18726443243243246</v>
      </c>
      <c r="F124" s="34">
        <f>+(F125+F126)/2</f>
        <v>0.95366379310344829</v>
      </c>
      <c r="G124" s="35">
        <f>+(G125+G126)</f>
        <v>0.66787224137931034</v>
      </c>
      <c r="H124" s="113">
        <f>+(H125+H126)/2</f>
        <v>0.23386643243243244</v>
      </c>
      <c r="I124" s="44">
        <f>+(I125+I126)</f>
        <v>0.22782968756756758</v>
      </c>
      <c r="J124" s="38"/>
      <c r="K124" s="10"/>
    </row>
    <row r="125" spans="2:11" ht="45.6" customHeight="1" x14ac:dyDescent="0.25">
      <c r="B125" s="45" t="s">
        <v>1730</v>
      </c>
      <c r="C125" s="774"/>
      <c r="D125" s="13">
        <f>+'Ciudad Conectada'!H5</f>
        <v>0.245</v>
      </c>
      <c r="E125" s="13">
        <f>+'Ciudad Conectada'!I5</f>
        <v>0.28966400000000003</v>
      </c>
      <c r="F125" s="13">
        <f>+'Ciudad Conectada'!K5</f>
        <v>0.90732758620689657</v>
      </c>
      <c r="G125" s="13">
        <f>+'Ciudad Conectada'!L5</f>
        <v>0.48787224137931029</v>
      </c>
      <c r="H125" s="13">
        <f>+'Ciudad Conectada'!M5</f>
        <v>0.22375</v>
      </c>
      <c r="I125" s="46">
        <f>+'Ciudad Conectada'!N5</f>
        <v>0.17677380000000001</v>
      </c>
      <c r="J125" s="38"/>
      <c r="K125" s="10"/>
    </row>
    <row r="126" spans="2:11" ht="41.45" customHeight="1" x14ac:dyDescent="0.25">
      <c r="B126" s="45" t="s">
        <v>1731</v>
      </c>
      <c r="C126" s="774"/>
      <c r="D126" s="13">
        <f>+'Ciudad Conectada'!H22</f>
        <v>0.13108108108108107</v>
      </c>
      <c r="E126" s="13">
        <f>+'Ciudad Conectada'!I22</f>
        <v>8.4864864864864872E-2</v>
      </c>
      <c r="F126" s="13">
        <f>+'Ciudad Conectada'!K22</f>
        <v>1</v>
      </c>
      <c r="G126" s="13">
        <f>+'Ciudad Conectada'!L22</f>
        <v>0.18000000000000002</v>
      </c>
      <c r="H126" s="13">
        <f>+'Ciudad Conectada'!M22</f>
        <v>0.24398286486486487</v>
      </c>
      <c r="I126" s="46">
        <f>+'Ciudad Conectada'!N22</f>
        <v>5.1055887567567564E-2</v>
      </c>
      <c r="J126" s="38"/>
      <c r="K126" s="10"/>
    </row>
    <row r="127" spans="2:11" ht="46.5" x14ac:dyDescent="0.35">
      <c r="B127" s="43" t="str">
        <f>+'Ciudad Conectada'!B26:B26</f>
        <v xml:space="preserve"> Control Urbanístico y Territorial
</v>
      </c>
      <c r="C127" s="774"/>
      <c r="D127" s="34">
        <f>+(D128+D129)/2</f>
        <v>0.15714285714285714</v>
      </c>
      <c r="E127" s="35">
        <f>+(E128+E129)/2</f>
        <v>0.24285714285714285</v>
      </c>
      <c r="F127" s="34">
        <f>+(F128+F129)/2</f>
        <v>1</v>
      </c>
      <c r="G127" s="35">
        <f>+(G128+G129)</f>
        <v>0.6875</v>
      </c>
      <c r="H127" s="113">
        <f>+(H128+H129)/2</f>
        <v>0.16672619047619047</v>
      </c>
      <c r="I127" s="44">
        <f>+(I128+I129)</f>
        <v>0.31105357142857143</v>
      </c>
      <c r="J127" s="38"/>
      <c r="K127" s="10"/>
    </row>
    <row r="128" spans="2:11" ht="45" customHeight="1" x14ac:dyDescent="0.25">
      <c r="B128" s="45" t="s">
        <v>1732</v>
      </c>
      <c r="C128" s="774"/>
      <c r="D128" s="13">
        <f>+'Ciudad Conectada'!H27</f>
        <v>0.1</v>
      </c>
      <c r="E128" s="13">
        <f>+'Ciudad Conectada'!I27</f>
        <v>0.375</v>
      </c>
      <c r="F128" s="13">
        <f>+'Ciudad Conectada'!K27</f>
        <v>1</v>
      </c>
      <c r="G128" s="13">
        <f>+'Ciudad Conectada'!L27</f>
        <v>0.5625</v>
      </c>
      <c r="H128" s="13">
        <f>+'Ciudad Conectada'!M27</f>
        <v>0.1</v>
      </c>
      <c r="I128" s="46">
        <f>+'Ciudad Conectada'!N27</f>
        <v>0.28125</v>
      </c>
      <c r="J128" s="38"/>
      <c r="K128" s="10"/>
    </row>
    <row r="129" spans="2:11" ht="46.15" customHeight="1" x14ac:dyDescent="0.25">
      <c r="B129" s="45" t="s">
        <v>1733</v>
      </c>
      <c r="C129" s="774"/>
      <c r="D129" s="13">
        <f>+'Ciudad Conectada'!H33</f>
        <v>0.2142857142857143</v>
      </c>
      <c r="E129" s="13">
        <f>+'Ciudad Conectada'!I33</f>
        <v>0.11071428571428571</v>
      </c>
      <c r="F129" s="13">
        <f>+'Ciudad Conectada'!K33</f>
        <v>1</v>
      </c>
      <c r="G129" s="13">
        <f>+'Ciudad Conectada'!L33</f>
        <v>0.125</v>
      </c>
      <c r="H129" s="13">
        <f>+'Ciudad Conectada'!M33</f>
        <v>0.23345238095238097</v>
      </c>
      <c r="I129" s="46">
        <f>+'Ciudad Conectada'!N33</f>
        <v>2.9803571428571429E-2</v>
      </c>
      <c r="J129" s="38"/>
      <c r="K129" s="10"/>
    </row>
    <row r="130" spans="2:11" ht="46.5" x14ac:dyDescent="0.35">
      <c r="B130" s="43" t="str">
        <f>+'Ciudad Conectada'!B37:B37</f>
        <v xml:space="preserve"> Cartagena Amigable con el Ambiente 
</v>
      </c>
      <c r="C130" s="774"/>
      <c r="D130" s="34">
        <f>+(D131+D132+D133+D134+D135)/5</f>
        <v>0.17888888888888888</v>
      </c>
      <c r="E130" s="35">
        <f>+(E131+E132+E133+E134+E135)/5</f>
        <v>0.13083333333333333</v>
      </c>
      <c r="F130" s="34">
        <f>+(F131+F132+F133+F134+F135)/5</f>
        <v>0.75614000000000003</v>
      </c>
      <c r="G130" s="35">
        <f>+(G131+G132+G133+G134+G135)</f>
        <v>0.45950499999999994</v>
      </c>
      <c r="H130" s="113">
        <f>+(H131+H132+H133+H134+H135)/5</f>
        <v>0.13760416666666669</v>
      </c>
      <c r="I130" s="44">
        <f>+(I131+I132+I133+I134+I135)</f>
        <v>8.7734791666666673E-2</v>
      </c>
      <c r="J130" s="38"/>
      <c r="K130" s="10"/>
    </row>
    <row r="131" spans="2:11" ht="46.15" customHeight="1" x14ac:dyDescent="0.25">
      <c r="B131" s="45" t="s">
        <v>1734</v>
      </c>
      <c r="C131" s="774"/>
      <c r="D131" s="13">
        <f>+'Ciudad Conectada'!H38</f>
        <v>0.23611111111111108</v>
      </c>
      <c r="E131" s="13">
        <f>+'Ciudad Conectada'!I38</f>
        <v>6.5833333333333327E-2</v>
      </c>
      <c r="F131" s="13">
        <f>+'Ciudad Conectada'!K38</f>
        <v>0.66469999999999996</v>
      </c>
      <c r="G131" s="13">
        <f>+'Ciudad Conectada'!L38</f>
        <v>5.7204999999999999E-2</v>
      </c>
      <c r="H131" s="13">
        <f>+'Ciudad Conectada'!M38</f>
        <v>0.12475416666666667</v>
      </c>
      <c r="I131" s="46">
        <f>+'Ciudad Conectada'!N38</f>
        <v>8.0881249999999998E-3</v>
      </c>
      <c r="J131" s="38"/>
      <c r="K131" s="10"/>
    </row>
    <row r="132" spans="2:11" ht="34.15" customHeight="1" x14ac:dyDescent="0.25">
      <c r="B132" s="45" t="s">
        <v>1735</v>
      </c>
      <c r="C132" s="774"/>
      <c r="D132" s="13">
        <f>+'Ciudad Conectada'!H46</f>
        <v>0.15833333333333333</v>
      </c>
      <c r="E132" s="13">
        <f>+'Ciudad Conectada'!I46</f>
        <v>0.15250000000000002</v>
      </c>
      <c r="F132" s="13">
        <f>+'Ciudad Conectada'!K46</f>
        <v>0.61599999999999999</v>
      </c>
      <c r="G132" s="13">
        <f>+'Ciudad Conectada'!L46</f>
        <v>0.14229999999999998</v>
      </c>
      <c r="H132" s="13">
        <f>+'Ciudad Conectada'!M46</f>
        <v>0.10493333333333332</v>
      </c>
      <c r="I132" s="46">
        <f>+'Ciudad Conectada'!N46</f>
        <v>2.3980000000000001E-2</v>
      </c>
      <c r="J132" s="38"/>
      <c r="K132" s="10"/>
    </row>
    <row r="133" spans="2:11" ht="37.15" customHeight="1" x14ac:dyDescent="0.25">
      <c r="B133" s="45" t="s">
        <v>1736</v>
      </c>
      <c r="C133" s="774"/>
      <c r="D133" s="13">
        <f>+'Ciudad Conectada'!H50</f>
        <v>0.125</v>
      </c>
      <c r="E133" s="13">
        <f>+'Ciudad Conectada'!I50</f>
        <v>0.1</v>
      </c>
      <c r="F133" s="13">
        <f>+'Ciudad Conectada'!K50</f>
        <v>1</v>
      </c>
      <c r="G133" s="13">
        <f>+'Ciudad Conectada'!L50</f>
        <v>0.06</v>
      </c>
      <c r="H133" s="13">
        <f>+'Ciudad Conectada'!M50</f>
        <v>0.125</v>
      </c>
      <c r="I133" s="46">
        <f>+'Ciudad Conectada'!N50</f>
        <v>1.4999999999999999E-2</v>
      </c>
      <c r="J133" s="38"/>
      <c r="K133" s="10"/>
    </row>
    <row r="134" spans="2:11" ht="31.15" customHeight="1" x14ac:dyDescent="0.25">
      <c r="B134" s="45" t="s">
        <v>1737</v>
      </c>
      <c r="C134" s="774"/>
      <c r="D134" s="13">
        <f>+'Ciudad Conectada'!H53</f>
        <v>0.20833333333333334</v>
      </c>
      <c r="E134" s="13">
        <f>+'Ciudad Conectada'!I53</f>
        <v>0.20250000000000001</v>
      </c>
      <c r="F134" s="13">
        <f>+'Ciudad Conectada'!K53</f>
        <v>1</v>
      </c>
      <c r="G134" s="13">
        <f>+'Ciudad Conectada'!L53</f>
        <v>0.1</v>
      </c>
      <c r="H134" s="13">
        <f>+'Ciudad Conectada'!M53</f>
        <v>0.25</v>
      </c>
      <c r="I134" s="46">
        <f>+'Ciudad Conectada'!N53</f>
        <v>2.4E-2</v>
      </c>
      <c r="J134" s="38"/>
      <c r="K134" s="10"/>
    </row>
    <row r="135" spans="2:11" ht="49.9" customHeight="1" x14ac:dyDescent="0.25">
      <c r="B135" s="45" t="s">
        <v>1738</v>
      </c>
      <c r="C135" s="774"/>
      <c r="D135" s="13">
        <f>+'Ciudad Conectada'!H57</f>
        <v>0.16666666666666666</v>
      </c>
      <c r="E135" s="13">
        <f>+'Ciudad Conectada'!I57</f>
        <v>0.13333333333333333</v>
      </c>
      <c r="F135" s="13">
        <f>+'Ciudad Conectada'!K57</f>
        <v>0.5</v>
      </c>
      <c r="G135" s="86">
        <f>+'Ciudad Conectada'!L57</f>
        <v>0.1</v>
      </c>
      <c r="H135" s="13">
        <f>+'Ciudad Conectada'!M57</f>
        <v>8.3333333333333329E-2</v>
      </c>
      <c r="I135" s="46">
        <f>+'Ciudad Conectada'!N57</f>
        <v>1.6666666666666666E-2</v>
      </c>
      <c r="J135" s="38"/>
      <c r="K135" s="10"/>
    </row>
    <row r="136" spans="2:11" ht="46.5" x14ac:dyDescent="0.35">
      <c r="B136" s="43" t="str">
        <f>+'Ciudad Conectada'!B60:B60</f>
        <v xml:space="preserve"> Cartagena Adaptada al Clima y Resiliente a los Desastres
</v>
      </c>
      <c r="C136" s="774"/>
      <c r="D136" s="34">
        <f>+(D137+D138+D139+D140+D141+D142)/6</f>
        <v>0.25786840977058367</v>
      </c>
      <c r="E136" s="35">
        <f>+(E137+E138+E139+E140+E141+E142)/6</f>
        <v>0.23061672626890017</v>
      </c>
      <c r="F136" s="11">
        <f>+(F137+F138+F139+F140+F141+F142)/6</f>
        <v>0.89865134099616861</v>
      </c>
      <c r="G136" s="84">
        <f>+(G137+G138+G139+G140+G141+G142)</f>
        <v>0.81030344827586209</v>
      </c>
      <c r="H136" s="11">
        <f>+(H137+H138+H139+H140+H141+H142)/6</f>
        <v>0.34751855340367338</v>
      </c>
      <c r="I136" s="44">
        <f>+(I137+I138+I139+I140+I141+I142)</f>
        <v>0.30808632226094745</v>
      </c>
      <c r="J136" s="38"/>
      <c r="K136" s="10"/>
    </row>
    <row r="137" spans="2:11" ht="42" customHeight="1" x14ac:dyDescent="0.25">
      <c r="B137" s="45" t="s">
        <v>1739</v>
      </c>
      <c r="C137" s="774"/>
      <c r="D137" s="13">
        <f>+'Ciudad Conectada'!H61</f>
        <v>0.33333333333333331</v>
      </c>
      <c r="E137" s="13">
        <f>+'Ciudad Conectada'!I61</f>
        <v>9.9999999999999992E-2</v>
      </c>
      <c r="F137" s="13">
        <f>+'Ciudad Conectada'!K61</f>
        <v>0.9</v>
      </c>
      <c r="G137" s="13">
        <f>+'Ciudad Conectada'!L61</f>
        <v>2.7000000000000003E-2</v>
      </c>
      <c r="H137" s="13">
        <f>+'Ciudad Conectada'!M61</f>
        <v>0.3</v>
      </c>
      <c r="I137" s="46">
        <f>+'Ciudad Conectada'!N61</f>
        <v>8.9999999999999993E-3</v>
      </c>
      <c r="J137" s="38"/>
      <c r="K137" s="10"/>
    </row>
    <row r="138" spans="2:11" ht="40.9" customHeight="1" x14ac:dyDescent="0.25">
      <c r="B138" s="45" t="s">
        <v>1740</v>
      </c>
      <c r="C138" s="774"/>
      <c r="D138" s="13">
        <f>+'Ciudad Conectada'!H64</f>
        <v>0.23295454545454547</v>
      </c>
      <c r="E138" s="13">
        <f>+'Ciudad Conectada'!I64</f>
        <v>0.22954545454545455</v>
      </c>
      <c r="F138" s="13">
        <f>+'Ciudad Conectada'!K64</f>
        <v>1</v>
      </c>
      <c r="G138" s="13">
        <f>+'Ciudad Conectada'!L64</f>
        <v>0.15</v>
      </c>
      <c r="H138" s="13">
        <f>+'Ciudad Conectada'!M64</f>
        <v>0.32170454545454552</v>
      </c>
      <c r="I138" s="46">
        <f>+'Ciudad Conectada'!N64</f>
        <v>4.8156818181818176E-2</v>
      </c>
      <c r="J138" s="38"/>
      <c r="K138" s="10"/>
    </row>
    <row r="139" spans="2:11" ht="38.450000000000003" customHeight="1" x14ac:dyDescent="0.25">
      <c r="B139" s="45" t="s">
        <v>1741</v>
      </c>
      <c r="C139" s="774"/>
      <c r="D139" s="13">
        <f>+'Ciudad Conectada'!H69</f>
        <v>0.26306543697848045</v>
      </c>
      <c r="E139" s="13">
        <f>+'Ciudad Conectada'!I69</f>
        <v>0.30629776021080368</v>
      </c>
      <c r="F139" s="13">
        <f>+'Ciudad Conectada'!K69</f>
        <v>1</v>
      </c>
      <c r="G139" s="13">
        <f>+'Ciudad Conectada'!L69</f>
        <v>0.15</v>
      </c>
      <c r="H139" s="13">
        <f>+'Ciudad Conectada'!M69</f>
        <v>0.38614404918752743</v>
      </c>
      <c r="I139" s="46">
        <f>+'Ciudad Conectada'!N69</f>
        <v>5.2982213438735173E-2</v>
      </c>
      <c r="J139" s="38"/>
      <c r="K139" s="10"/>
    </row>
    <row r="140" spans="2:11" ht="37.15" customHeight="1" x14ac:dyDescent="0.25">
      <c r="B140" s="45" t="s">
        <v>1742</v>
      </c>
      <c r="C140" s="774"/>
      <c r="D140" s="13">
        <f>+'Ciudad Conectada'!H73</f>
        <v>0.25</v>
      </c>
      <c r="E140" s="13">
        <f>+'Ciudad Conectada'!I73</f>
        <v>0.25</v>
      </c>
      <c r="F140" s="13">
        <f>+'Ciudad Conectada'!K73</f>
        <v>0.75190804597701144</v>
      </c>
      <c r="G140" s="13">
        <f>+'Ciudad Conectada'!L73</f>
        <v>0.13870344827586209</v>
      </c>
      <c r="H140" s="13">
        <f>+'Ciudad Conectada'!M73</f>
        <v>0.35297701149425292</v>
      </c>
      <c r="I140" s="46">
        <f>+'Ciudad Conectada'!N73</f>
        <v>5.4475862068965514E-2</v>
      </c>
      <c r="J140" s="38"/>
      <c r="K140" s="10"/>
    </row>
    <row r="141" spans="2:11" ht="31.15" customHeight="1" x14ac:dyDescent="0.25">
      <c r="B141" s="45" t="s">
        <v>1743</v>
      </c>
      <c r="C141" s="774"/>
      <c r="D141" s="13">
        <f>+'Ciudad Conectada'!H77</f>
        <v>0.14285714285714285</v>
      </c>
      <c r="E141" s="13">
        <f>+'Ciudad Conectada'!I77</f>
        <v>0.14285714285714285</v>
      </c>
      <c r="F141" s="13">
        <f>+'Ciudad Conectada'!K77</f>
        <v>0.8</v>
      </c>
      <c r="G141" s="13">
        <f>+'Ciudad Conectada'!L77</f>
        <v>0.2</v>
      </c>
      <c r="H141" s="13">
        <f>+'Ciudad Conectada'!M77</f>
        <v>0.1142857142857143</v>
      </c>
      <c r="I141" s="46">
        <f>+'Ciudad Conectada'!N77</f>
        <v>2.8571428571428574E-2</v>
      </c>
      <c r="J141" s="38"/>
      <c r="K141" s="10"/>
    </row>
    <row r="142" spans="2:11" ht="48.6" customHeight="1" x14ac:dyDescent="0.25">
      <c r="B142" s="45" t="s">
        <v>1744</v>
      </c>
      <c r="C142" s="774"/>
      <c r="D142" s="13">
        <f>+'Ciudad Conectada'!H79</f>
        <v>0.32500000000000001</v>
      </c>
      <c r="E142" s="13">
        <f>+'Ciudad Conectada'!I79</f>
        <v>0.35499999999999998</v>
      </c>
      <c r="F142" s="13">
        <f>+'Ciudad Conectada'!K79</f>
        <v>0.94</v>
      </c>
      <c r="G142" s="13">
        <f>+'Ciudad Conectada'!L79</f>
        <v>0.14459999999999998</v>
      </c>
      <c r="H142" s="13">
        <f>+'Ciudad Conectada'!M79</f>
        <v>0.61</v>
      </c>
      <c r="I142" s="46">
        <f>+'Ciudad Conectada'!N79</f>
        <v>0.1149</v>
      </c>
      <c r="J142" s="38"/>
      <c r="K142" s="10"/>
    </row>
    <row r="143" spans="2:11" ht="46.5" x14ac:dyDescent="0.35">
      <c r="B143" s="43" t="str">
        <f>+'Ciudad Conectada'!B82:B82</f>
        <v xml:space="preserve">Ciudad Histórica y Patrimonial
</v>
      </c>
      <c r="C143" s="774"/>
      <c r="D143" s="34">
        <f>+(D144+D145+D146)/3</f>
        <v>0.23703703703703705</v>
      </c>
      <c r="E143" s="35">
        <f>+(E144+E145+E146)/3</f>
        <v>0.17777777777777778</v>
      </c>
      <c r="F143" s="11">
        <f>+(F144+F145+F146)/3</f>
        <v>0.43832698412698412</v>
      </c>
      <c r="G143" s="84">
        <f>+(G144+G145+G146)</f>
        <v>0.20506728571428573</v>
      </c>
      <c r="H143" s="11">
        <f>+(H144+H145+H146)/3</f>
        <v>0.15124841269841269</v>
      </c>
      <c r="I143" s="83">
        <f>+(I144+I145+I146)</f>
        <v>6.376682142857143E-2</v>
      </c>
      <c r="J143" s="38"/>
      <c r="K143" s="10"/>
    </row>
    <row r="144" spans="2:11" ht="53.45" customHeight="1" x14ac:dyDescent="0.25">
      <c r="B144" s="45" t="s">
        <v>1745</v>
      </c>
      <c r="C144" s="774"/>
      <c r="D144" s="13">
        <f>+'Ciudad Conectada'!H83</f>
        <v>0.21111111111111111</v>
      </c>
      <c r="E144" s="13">
        <f>+'Ciudad Conectada'!I83</f>
        <v>0.15833333333333333</v>
      </c>
      <c r="F144" s="13">
        <f>+'Ciudad Conectada'!K83</f>
        <v>0.31498095238095236</v>
      </c>
      <c r="G144" s="13">
        <f>+'Ciudad Conectada'!L83</f>
        <v>0.10506728571428571</v>
      </c>
      <c r="H144" s="13">
        <f>+'Ciudad Conectada'!M83</f>
        <v>7.874523809523809E-2</v>
      </c>
      <c r="I144" s="46">
        <f>+'Ciudad Conectada'!N83</f>
        <v>2.6266821428571428E-2</v>
      </c>
      <c r="J144" s="38"/>
      <c r="K144" s="10"/>
    </row>
    <row r="145" spans="2:11" ht="88.15" customHeight="1" x14ac:dyDescent="0.25">
      <c r="B145" s="45" t="s">
        <v>1746</v>
      </c>
      <c r="C145" s="774"/>
      <c r="D145" s="13">
        <f>+'Ciudad Conectada'!H91</f>
        <v>0.25</v>
      </c>
      <c r="E145" s="13">
        <f>+'Ciudad Conectada'!I91</f>
        <v>0.125</v>
      </c>
      <c r="F145" s="13">
        <f>+'Ciudad Conectada'!K91</f>
        <v>0</v>
      </c>
      <c r="G145" s="13">
        <f>+'Ciudad Conectada'!L91</f>
        <v>0</v>
      </c>
      <c r="H145" s="13">
        <f>+'Ciudad Conectada'!M91</f>
        <v>0</v>
      </c>
      <c r="I145" s="46">
        <f>+'Ciudad Conectada'!N91</f>
        <v>0</v>
      </c>
      <c r="J145" s="38"/>
      <c r="K145" s="10"/>
    </row>
    <row r="146" spans="2:11" ht="33.6" customHeight="1" x14ac:dyDescent="0.25">
      <c r="B146" s="45" t="s">
        <v>1747</v>
      </c>
      <c r="C146" s="774"/>
      <c r="D146" s="13">
        <f>+'Ciudad Conectada'!H95</f>
        <v>0.25</v>
      </c>
      <c r="E146" s="13">
        <f>+'Ciudad Conectada'!I95</f>
        <v>0.25</v>
      </c>
      <c r="F146" s="13">
        <f>+'Ciudad Conectada'!K95</f>
        <v>1</v>
      </c>
      <c r="G146" s="13">
        <f>+'Ciudad Conectada'!L95</f>
        <v>0.1</v>
      </c>
      <c r="H146" s="13">
        <f>+'Ciudad Conectada'!M95</f>
        <v>0.375</v>
      </c>
      <c r="I146" s="46">
        <f>+'Ciudad Conectada'!N95</f>
        <v>3.7500000000000006E-2</v>
      </c>
      <c r="J146" s="38"/>
      <c r="K146" s="10"/>
    </row>
    <row r="147" spans="2:11" ht="104.45" customHeight="1" x14ac:dyDescent="0.35">
      <c r="B147" s="43" t="str">
        <f>+'Ciudad Conectada'!B97:B97</f>
        <v xml:space="preserve">Infraestructura, Movilidad Sostenible y Accesibilidad para Todos
</v>
      </c>
      <c r="C147" s="774"/>
      <c r="D147" s="34">
        <f>+(D148+D149+D150+D151+D152)/4</f>
        <v>0.32233213614481815</v>
      </c>
      <c r="E147" s="35">
        <f>+(E148+E149+E150+E151+E152)/4</f>
        <v>0.24677777425020778</v>
      </c>
      <c r="F147" s="11">
        <f>+(F148+F149+F150+F151+F152)/4</f>
        <v>0.71155118289486519</v>
      </c>
      <c r="G147" s="84">
        <f>+(G148+G149+G150+G151+G152)</f>
        <v>0.36490308121056231</v>
      </c>
      <c r="H147" s="11">
        <f>+(H148+H149+H150+H151+H152)/4</f>
        <v>0.28704669626851897</v>
      </c>
      <c r="I147" s="83">
        <f>+(I148+I149+I150+I151+I152)</f>
        <v>0.14970787104537839</v>
      </c>
      <c r="J147" s="38"/>
      <c r="K147" s="10"/>
    </row>
    <row r="148" spans="2:11" ht="39.6" customHeight="1" x14ac:dyDescent="0.25">
      <c r="B148" s="45" t="s">
        <v>1748</v>
      </c>
      <c r="C148" s="774"/>
      <c r="D148" s="13">
        <f>+'Ciudad Conectada'!H98</f>
        <v>0</v>
      </c>
      <c r="E148" s="13">
        <f>+'Ciudad Conectada'!I98</f>
        <v>0</v>
      </c>
      <c r="F148" s="13">
        <f>+'Ciudad Conectada'!K98</f>
        <v>0</v>
      </c>
      <c r="G148" s="13">
        <f>+'Ciudad Conectada'!L98</f>
        <v>0</v>
      </c>
      <c r="H148" s="13">
        <f>+'Ciudad Conectada'!M98</f>
        <v>0</v>
      </c>
      <c r="I148" s="46">
        <f>+'Ciudad Conectada'!N98</f>
        <v>0</v>
      </c>
      <c r="J148" s="38"/>
      <c r="K148" s="10"/>
    </row>
    <row r="149" spans="2:11" ht="59.45" customHeight="1" x14ac:dyDescent="0.25">
      <c r="B149" s="45" t="s">
        <v>1749</v>
      </c>
      <c r="C149" s="774"/>
      <c r="D149" s="13">
        <f>+'Ciudad Conectada'!H100</f>
        <v>0.1875</v>
      </c>
      <c r="E149" s="13">
        <f>+'Ciudad Conectada'!I100</f>
        <v>0.2</v>
      </c>
      <c r="F149" s="13">
        <f>+'Ciudad Conectada'!K100</f>
        <v>1</v>
      </c>
      <c r="G149" s="13">
        <f>+'Ciudad Conectada'!L100</f>
        <v>0.16000000000000003</v>
      </c>
      <c r="H149" s="13">
        <f>+'Ciudad Conectada'!M100</f>
        <v>0.25510535714285715</v>
      </c>
      <c r="I149" s="46">
        <f>+'Ciudad Conectada'!N100</f>
        <v>5.427928571428571E-2</v>
      </c>
      <c r="J149" s="38"/>
      <c r="K149" s="10"/>
    </row>
    <row r="150" spans="2:11" ht="54.6" customHeight="1" x14ac:dyDescent="0.25">
      <c r="B150" s="45" t="s">
        <v>1750</v>
      </c>
      <c r="C150" s="774"/>
      <c r="D150" s="13">
        <f>+'Ciudad Conectada'!H105</f>
        <v>0.25</v>
      </c>
      <c r="E150" s="13">
        <f>+'Ciudad Conectada'!I105</f>
        <v>0.25</v>
      </c>
      <c r="F150" s="13">
        <f>+'Ciudad Conectada'!K105</f>
        <v>0</v>
      </c>
      <c r="G150" s="13">
        <f>+'Ciudad Conectada'!L105</f>
        <v>0</v>
      </c>
      <c r="H150" s="13">
        <f>+'Ciudad Conectada'!M105</f>
        <v>0</v>
      </c>
      <c r="I150" s="46">
        <f>+'Ciudad Conectada'!N105</f>
        <v>0</v>
      </c>
      <c r="J150" s="38"/>
      <c r="K150" s="10"/>
    </row>
    <row r="151" spans="2:11" ht="53.45" customHeight="1" x14ac:dyDescent="0.25">
      <c r="B151" s="45" t="s">
        <v>1751</v>
      </c>
      <c r="C151" s="774"/>
      <c r="D151" s="13">
        <f>+'Ciudad Conectada'!H109</f>
        <v>0.30482468088463477</v>
      </c>
      <c r="E151" s="13">
        <f>+'Ciudad Conectada'!I109</f>
        <v>0.23385974470770779</v>
      </c>
      <c r="F151" s="13">
        <f>+'Ciudad Conectada'!K109</f>
        <v>0.87337500000000001</v>
      </c>
      <c r="G151" s="13">
        <f>+'Ciudad Conectada'!L109</f>
        <v>0.104805</v>
      </c>
      <c r="H151" s="13">
        <f>+'Ciudad Conectada'!M109</f>
        <v>0.296857707518147</v>
      </c>
      <c r="I151" s="46">
        <f>+'Ciudad Conectada'!N109</f>
        <v>3.3372924902177636E-2</v>
      </c>
      <c r="J151" s="38"/>
      <c r="K151" s="10"/>
    </row>
    <row r="152" spans="2:11" ht="36.6" customHeight="1" x14ac:dyDescent="0.25">
      <c r="B152" s="45" t="s">
        <v>1752</v>
      </c>
      <c r="C152" s="774"/>
      <c r="D152" s="13">
        <f>+'Ciudad Conectada'!H121</f>
        <v>0.54700386369463794</v>
      </c>
      <c r="E152" s="13">
        <f>+'Ciudad Conectada'!I121</f>
        <v>0.30325135229312328</v>
      </c>
      <c r="F152" s="13">
        <f>+'Ciudad Conectada'!K121</f>
        <v>0.97282973157946084</v>
      </c>
      <c r="G152" s="13">
        <f>+'Ciudad Conectada'!L121</f>
        <v>0.10009808121056228</v>
      </c>
      <c r="H152" s="13">
        <f>+'Ciudad Conectada'!M121</f>
        <v>0.59622372041307181</v>
      </c>
      <c r="I152" s="46">
        <f>+'Ciudad Conectada'!N121</f>
        <v>6.2055660428915041E-2</v>
      </c>
      <c r="J152" s="38"/>
      <c r="K152" s="10"/>
    </row>
    <row r="153" spans="2:11" ht="46.5" x14ac:dyDescent="0.35">
      <c r="B153" s="43" t="str">
        <f>+'Ciudad Conectada'!B135:B135</f>
        <v xml:space="preserve">Cartagena Ordenada Alrededor del Agua
</v>
      </c>
      <c r="C153" s="774"/>
      <c r="D153" s="34">
        <f>+(D154+D155+D156+D157+D158)/4</f>
        <v>0.23930555555555558</v>
      </c>
      <c r="E153" s="35">
        <f>+(E154+E155+E156+E157+E158)/4</f>
        <v>0.17302083333333335</v>
      </c>
      <c r="F153" s="11">
        <f>+(F154+F155+F156+F157+F158)/4</f>
        <v>0.92081794871794875</v>
      </c>
      <c r="G153" s="84">
        <f>+(G154+G155+G156+G157+G158)</f>
        <v>0.55199446153846154</v>
      </c>
      <c r="H153" s="11">
        <f>+(H154+H155+H156+H157+H158)/4</f>
        <v>0.22721222222222223</v>
      </c>
      <c r="I153" s="83">
        <f>+(I154+I155+I156+I157+I158)</f>
        <v>0.15260140000000003</v>
      </c>
      <c r="J153" s="38"/>
      <c r="K153" s="10"/>
    </row>
    <row r="154" spans="2:11" ht="32.450000000000003" customHeight="1" x14ac:dyDescent="0.25">
      <c r="B154" s="45" t="s">
        <v>1753</v>
      </c>
      <c r="C154" s="774"/>
      <c r="D154" s="13">
        <f>+'Ciudad Conectada'!H136</f>
        <v>0.125</v>
      </c>
      <c r="E154" s="13">
        <f>+'Ciudad Conectada'!I136</f>
        <v>5.6250000000000001E-2</v>
      </c>
      <c r="F154" s="13">
        <f>+'Ciudad Conectada'!K136</f>
        <v>1</v>
      </c>
      <c r="G154" s="13">
        <f>+'Ciudad Conectada'!L136</f>
        <v>9.0000000000000011E-2</v>
      </c>
      <c r="H154" s="13">
        <f>+'Ciudad Conectada'!M136</f>
        <v>0.185</v>
      </c>
      <c r="I154" s="46">
        <f>+'Ciudad Conectada'!N136</f>
        <v>1.6650000000000002E-2</v>
      </c>
      <c r="J154" s="38"/>
      <c r="K154" s="10"/>
    </row>
    <row r="155" spans="2:11" ht="31.9" customHeight="1" x14ac:dyDescent="0.25">
      <c r="B155" s="45" t="s">
        <v>1754</v>
      </c>
      <c r="C155" s="774"/>
      <c r="D155" s="13">
        <f>+'Ciudad Conectada'!H140</f>
        <v>0.27</v>
      </c>
      <c r="E155" s="13">
        <f>+'Ciudad Conectada'!I140</f>
        <v>0.22900000000000001</v>
      </c>
      <c r="F155" s="13">
        <f>+'Ciudad Conectada'!K140</f>
        <v>0.84660512820512823</v>
      </c>
      <c r="G155" s="13">
        <f>+'Ciudad Conectada'!L140</f>
        <v>0.13619446153846154</v>
      </c>
      <c r="H155" s="13">
        <f>+'Ciudad Conectada'!M140</f>
        <v>0.2016266666666667</v>
      </c>
      <c r="I155" s="46">
        <f>+'Ciudad Conectada'!N140</f>
        <v>3.5951400000000001E-2</v>
      </c>
      <c r="J155" s="38"/>
      <c r="K155" s="10"/>
    </row>
    <row r="156" spans="2:11" ht="41.45" customHeight="1" x14ac:dyDescent="0.25">
      <c r="B156" s="45" t="s">
        <v>1755</v>
      </c>
      <c r="C156" s="774"/>
      <c r="D156" s="13">
        <f>+'Ciudad Conectada'!H144</f>
        <v>0.42000000000000004</v>
      </c>
      <c r="E156" s="13">
        <f>+'Ciudad Conectada'!I144</f>
        <v>0.30500000000000005</v>
      </c>
      <c r="F156" s="13">
        <f>+'Ciudad Conectada'!K144</f>
        <v>0.96666666666666667</v>
      </c>
      <c r="G156" s="13">
        <f>+'Ciudad Conectada'!L144</f>
        <v>8.2500000000000004E-2</v>
      </c>
      <c r="H156" s="13">
        <f>+'Ciudad Conectada'!M144</f>
        <v>0.4</v>
      </c>
      <c r="I156" s="46">
        <f>+'Ciudad Conectada'!N144</f>
        <v>7.1250000000000008E-2</v>
      </c>
      <c r="J156" s="38"/>
      <c r="K156" s="10"/>
    </row>
    <row r="157" spans="2:11" ht="31.9" customHeight="1" x14ac:dyDescent="0.25">
      <c r="B157" s="45" t="s">
        <v>1756</v>
      </c>
      <c r="C157" s="774"/>
      <c r="D157" s="13">
        <f>+'Ciudad Conectada'!H150</f>
        <v>0.14222222222222222</v>
      </c>
      <c r="E157" s="13">
        <f>+'Ciudad Conectada'!I150</f>
        <v>0.10183333333333333</v>
      </c>
      <c r="F157" s="13">
        <f>+'Ciudad Conectada'!K150</f>
        <v>0.87</v>
      </c>
      <c r="G157" s="13">
        <f>+'Ciudad Conectada'!L150</f>
        <v>0.24330000000000002</v>
      </c>
      <c r="H157" s="13">
        <f>+'Ciudad Conectada'!M150</f>
        <v>0.12222222222222223</v>
      </c>
      <c r="I157" s="46">
        <f>+'Ciudad Conectada'!N150</f>
        <v>2.8750000000000001E-2</v>
      </c>
      <c r="J157" s="38"/>
      <c r="K157" s="10"/>
    </row>
    <row r="158" spans="2:11" ht="42" customHeight="1" x14ac:dyDescent="0.25">
      <c r="B158" s="45" t="s">
        <v>1757</v>
      </c>
      <c r="C158" s="774"/>
      <c r="D158" s="13">
        <f>+'Ciudad Conectada'!H159</f>
        <v>0</v>
      </c>
      <c r="E158" s="13">
        <f>+'Ciudad Conectada'!I159</f>
        <v>0</v>
      </c>
      <c r="F158" s="13">
        <f>+'Ciudad Conectada'!K159</f>
        <v>0</v>
      </c>
      <c r="G158" s="13">
        <f>+'Ciudad Conectada'!L159</f>
        <v>0</v>
      </c>
      <c r="H158" s="13"/>
      <c r="I158" s="46">
        <f>+'Ciudad Conectada'!N159</f>
        <v>0</v>
      </c>
      <c r="J158" s="38"/>
      <c r="K158" s="10"/>
    </row>
    <row r="159" spans="2:11" ht="46.5" x14ac:dyDescent="0.35">
      <c r="B159" s="43" t="str">
        <f>+'Ciudad Conectada'!B167:B167</f>
        <v xml:space="preserve"> Integración Regional y Metropolitana
</v>
      </c>
      <c r="C159" s="774"/>
      <c r="D159" s="34">
        <f>+(D160)/1</f>
        <v>0</v>
      </c>
      <c r="E159" s="35">
        <f>+(E160)/1</f>
        <v>0</v>
      </c>
      <c r="F159" s="11">
        <f>+(F160)/1</f>
        <v>0</v>
      </c>
      <c r="G159" s="84">
        <f>+(G160)</f>
        <v>0</v>
      </c>
      <c r="H159" s="11">
        <f>+(H160)/1</f>
        <v>0</v>
      </c>
      <c r="I159" s="83">
        <f>+(I160)</f>
        <v>0</v>
      </c>
      <c r="J159" s="38"/>
      <c r="K159" s="10"/>
    </row>
    <row r="160" spans="2:11" ht="54.6" customHeight="1" x14ac:dyDescent="0.25">
      <c r="B160" s="48" t="s">
        <v>1758</v>
      </c>
      <c r="C160" s="775"/>
      <c r="D160" s="49">
        <f>+'Ciudad Conectada'!H168</f>
        <v>0</v>
      </c>
      <c r="E160" s="49">
        <f>+'Ciudad Conectada'!I168</f>
        <v>0</v>
      </c>
      <c r="F160" s="49">
        <f>+'Ciudad Conectada'!K168</f>
        <v>0</v>
      </c>
      <c r="G160" s="49">
        <f>+'Ciudad Conectada'!L168</f>
        <v>0</v>
      </c>
      <c r="H160" s="49">
        <f>+'Ciudad Conectada'!M168</f>
        <v>0</v>
      </c>
      <c r="I160" s="50">
        <f>+'Ciudad Conectada'!N168</f>
        <v>0</v>
      </c>
      <c r="J160" s="38"/>
      <c r="K160" s="10"/>
    </row>
    <row r="161" spans="2:11" ht="120" customHeight="1" x14ac:dyDescent="0.45">
      <c r="B161" s="40" t="str">
        <f>+'Innovación Pública'!B3:B3</f>
        <v xml:space="preserve"> INNOVACIÓN PÚBLICA Y PARTICIPACIÓN CIUDADANA
</v>
      </c>
      <c r="C161" s="776">
        <v>0.08</v>
      </c>
      <c r="D161" s="41">
        <f>+'Innovación Pública'!H3</f>
        <v>0.23220555246626431</v>
      </c>
      <c r="E161" s="41">
        <f>+'Innovación Pública'!I3</f>
        <v>0.2172509675080054</v>
      </c>
      <c r="F161" s="41">
        <f>+'Innovación Pública'!K3</f>
        <v>0.9123330643239469</v>
      </c>
      <c r="G161" s="41">
        <f>+'Innovación Pública'!L3</f>
        <v>0.74493002580232992</v>
      </c>
      <c r="H161" s="41">
        <f>+'Innovación Pública'!M3</f>
        <v>0.21665121472005613</v>
      </c>
      <c r="I161" s="42">
        <f>+'Innovación Pública'!N3</f>
        <v>0.19221658801626931</v>
      </c>
      <c r="J161" s="38"/>
      <c r="K161" s="10"/>
    </row>
    <row r="162" spans="2:11" ht="87" customHeight="1" x14ac:dyDescent="0.35">
      <c r="B162" s="43" t="str">
        <f>+'Innovación Pública'!B4:B4</f>
        <v xml:space="preserve">Componente Impulsor del avance: Transparencia y Gobierno Abierto
</v>
      </c>
      <c r="C162" s="771"/>
      <c r="D162" s="34">
        <f>+(D163+D164+D165)/2</f>
        <v>0.24124999999999999</v>
      </c>
      <c r="E162" s="35">
        <f>+(E163+E164+E165)/2</f>
        <v>0.24783333333333332</v>
      </c>
      <c r="F162" s="11">
        <f>+(F163+F164+F165)/2</f>
        <v>0.875</v>
      </c>
      <c r="G162" s="84">
        <f>+(G163+G164+G165)</f>
        <v>0.64</v>
      </c>
      <c r="H162" s="11">
        <f>+(H163+H164+H165)/2</f>
        <v>0.21</v>
      </c>
      <c r="I162" s="35">
        <f>+(I163+I164+I165)</f>
        <v>0.15870000000000001</v>
      </c>
      <c r="J162" s="38"/>
      <c r="K162" s="10"/>
    </row>
    <row r="163" spans="2:11" ht="60" customHeight="1" x14ac:dyDescent="0.25">
      <c r="B163" s="45" t="s">
        <v>1759</v>
      </c>
      <c r="C163" s="771"/>
      <c r="D163" s="13">
        <f>+'Innovación Pública'!H5</f>
        <v>0</v>
      </c>
      <c r="E163" s="13">
        <f>+'Innovación Pública'!I5</f>
        <v>0</v>
      </c>
      <c r="F163" s="13">
        <f>+'Innovación Pública'!K5</f>
        <v>0</v>
      </c>
      <c r="G163" s="13">
        <f>+'Innovación Pública'!L5</f>
        <v>0</v>
      </c>
      <c r="H163" s="13">
        <f>+'Innovación Pública'!M5</f>
        <v>0</v>
      </c>
      <c r="I163" s="46">
        <f>+'Innovación Pública'!N5</f>
        <v>0</v>
      </c>
      <c r="J163" s="38"/>
      <c r="K163" s="10"/>
    </row>
    <row r="164" spans="2:11" ht="44.45" customHeight="1" x14ac:dyDescent="0.25">
      <c r="B164" s="45" t="s">
        <v>1760</v>
      </c>
      <c r="C164" s="771"/>
      <c r="D164" s="13">
        <f>+'Innovación Pública'!H9</f>
        <v>0.25</v>
      </c>
      <c r="E164" s="13">
        <f>+'Innovación Pública'!I9</f>
        <v>0.25</v>
      </c>
      <c r="F164" s="13">
        <f>+'Innovación Pública'!K9</f>
        <v>0.75</v>
      </c>
      <c r="G164" s="13">
        <f>+'Innovación Pública'!L9</f>
        <v>0.34</v>
      </c>
      <c r="H164" s="13">
        <f>+'Innovación Pública'!M9</f>
        <v>0.1875</v>
      </c>
      <c r="I164" s="46">
        <f>+'Innovación Pública'!N9</f>
        <v>8.5000000000000006E-2</v>
      </c>
      <c r="J164" s="38"/>
      <c r="K164" s="10"/>
    </row>
    <row r="165" spans="2:11" ht="38.450000000000003" customHeight="1" x14ac:dyDescent="0.25">
      <c r="B165" s="45" t="s">
        <v>1761</v>
      </c>
      <c r="C165" s="771"/>
      <c r="D165" s="13">
        <f>+'Innovación Pública'!H12</f>
        <v>0.23249999999999998</v>
      </c>
      <c r="E165" s="13">
        <f>+'Innovación Pública'!I12</f>
        <v>0.24566666666666664</v>
      </c>
      <c r="F165" s="13">
        <f>+'Innovación Pública'!K12</f>
        <v>1</v>
      </c>
      <c r="G165" s="13">
        <f>+'Innovación Pública'!L12</f>
        <v>0.3</v>
      </c>
      <c r="H165" s="13">
        <f>+'Innovación Pública'!M12</f>
        <v>0.23249999999999998</v>
      </c>
      <c r="I165" s="46">
        <f>+'Innovación Pública'!N12</f>
        <v>7.3699999999999988E-2</v>
      </c>
      <c r="J165" s="38"/>
      <c r="K165" s="10"/>
    </row>
    <row r="166" spans="2:11" ht="124.15" customHeight="1" x14ac:dyDescent="0.35">
      <c r="B166" s="43" t="str">
        <f>+'Innovación Pública'!B17:B17</f>
        <v xml:space="preserve">Fortalecimiento Institucional e Innovación Administrativa
</v>
      </c>
      <c r="C166" s="771"/>
      <c r="D166" s="34">
        <f>+(D167+D168+D169+D170+D171+D172+D173+D174)/6</f>
        <v>0.19706348655814188</v>
      </c>
      <c r="E166" s="35">
        <f>+(E167+E168+E169+E170+E171+E172+E173+E174)/6</f>
        <v>0.16739826874293517</v>
      </c>
      <c r="F166" s="11">
        <f>+(F167+F168+F169+F170+F171+F172+F173+F174)/6</f>
        <v>0.89936289500509681</v>
      </c>
      <c r="G166" s="84">
        <f>+(G167+G168+G169+G170+G171+G172+G173+G174)</f>
        <v>0.71673547400611626</v>
      </c>
      <c r="H166" s="95">
        <f>+(H167+H168+H169+H170+H171+H172+H173+H174)/6</f>
        <v>0.19835461103210691</v>
      </c>
      <c r="I166" s="83">
        <f>+(I167+I168+I169+I170+I171+I172+I173+I174)</f>
        <v>0.1419048239393558</v>
      </c>
      <c r="J166" s="38"/>
      <c r="K166" s="10"/>
    </row>
    <row r="167" spans="2:11" ht="57" customHeight="1" x14ac:dyDescent="0.25">
      <c r="B167" s="45" t="s">
        <v>1762</v>
      </c>
      <c r="C167" s="771"/>
      <c r="D167" s="13">
        <f>+'Innovación Pública'!H18</f>
        <v>0.27777777777777773</v>
      </c>
      <c r="E167" s="13">
        <f>+'Innovación Pública'!I18</f>
        <v>0.27083333333333337</v>
      </c>
      <c r="F167" s="13">
        <f>+'Innovación Pública'!K18</f>
        <v>1</v>
      </c>
      <c r="G167" s="13">
        <f>+'Innovación Pública'!L18</f>
        <v>0.14249999999999999</v>
      </c>
      <c r="H167" s="13">
        <f>+'Innovación Pública'!M18</f>
        <v>0.29444444444444445</v>
      </c>
      <c r="I167" s="46">
        <f>+'Innovación Pública'!N18</f>
        <v>4.0999999999999995E-2</v>
      </c>
      <c r="J167" s="38"/>
      <c r="K167" s="10"/>
    </row>
    <row r="168" spans="2:11" ht="40.15" customHeight="1" x14ac:dyDescent="0.25">
      <c r="B168" s="45" t="s">
        <v>1763</v>
      </c>
      <c r="C168" s="771"/>
      <c r="D168" s="13">
        <f>+'Innovación Pública'!H23</f>
        <v>0.25</v>
      </c>
      <c r="E168" s="13">
        <f>+'Innovación Pública'!I23</f>
        <v>0.25</v>
      </c>
      <c r="F168" s="13">
        <f>+'Innovación Pública'!K23</f>
        <v>1</v>
      </c>
      <c r="G168" s="13">
        <f>+'Innovación Pública'!L23</f>
        <v>0.05</v>
      </c>
      <c r="H168" s="13">
        <f>+'Innovación Pública'!M23</f>
        <v>0.25</v>
      </c>
      <c r="I168" s="46">
        <f>+'Innovación Pública'!N23</f>
        <v>1.2500000000000001E-2</v>
      </c>
      <c r="J168" s="38"/>
      <c r="K168" s="10"/>
    </row>
    <row r="169" spans="2:11" ht="46.9" customHeight="1" x14ac:dyDescent="0.25">
      <c r="B169" s="45" t="s">
        <v>1764</v>
      </c>
      <c r="C169" s="771"/>
      <c r="D169" s="13">
        <f>+'Innovación Pública'!H26</f>
        <v>0.20186882933709449</v>
      </c>
      <c r="E169" s="13">
        <f>+'Innovación Pública'!I26</f>
        <v>0.17686882933709452</v>
      </c>
      <c r="F169" s="13">
        <f>+'Innovación Pública'!K26</f>
        <v>0.64617737003058107</v>
      </c>
      <c r="G169" s="13">
        <f>+'Innovación Pública'!L26</f>
        <v>0.10923547400611622</v>
      </c>
      <c r="H169" s="13">
        <f>+'Innovación Pública'!M26</f>
        <v>0.14747296661965209</v>
      </c>
      <c r="I169" s="46">
        <f>+'Innovación Pública'!N26</f>
        <v>2.4494593323930419E-2</v>
      </c>
      <c r="J169" s="38"/>
      <c r="K169" s="10"/>
    </row>
    <row r="170" spans="2:11" ht="46.15" customHeight="1" x14ac:dyDescent="0.25">
      <c r="B170" s="45" t="s">
        <v>1765</v>
      </c>
      <c r="C170" s="771"/>
      <c r="D170" s="13">
        <f>+'Innovación Pública'!H30</f>
        <v>0.06</v>
      </c>
      <c r="E170" s="13">
        <f>+'Innovación Pública'!I30</f>
        <v>0.06</v>
      </c>
      <c r="F170" s="13">
        <f>+'Innovación Pública'!K30</f>
        <v>1</v>
      </c>
      <c r="G170" s="13">
        <f>+'Innovación Pública'!L30</f>
        <v>0.3</v>
      </c>
      <c r="H170" s="13">
        <f>+'Innovación Pública'!M30</f>
        <v>0.15</v>
      </c>
      <c r="I170" s="46">
        <f>+'Innovación Pública'!N30</f>
        <v>4.4999999999999998E-2</v>
      </c>
      <c r="J170" s="38"/>
      <c r="K170" s="10"/>
    </row>
    <row r="171" spans="2:11" ht="44.45" customHeight="1" x14ac:dyDescent="0.25">
      <c r="B171" s="45" t="s">
        <v>1766</v>
      </c>
      <c r="C171" s="771"/>
      <c r="D171" s="13">
        <f>+'Innovación Pública'!H32</f>
        <v>0</v>
      </c>
      <c r="E171" s="13">
        <f>+'Innovación Pública'!I32</f>
        <v>0</v>
      </c>
      <c r="F171" s="13">
        <f>+'Innovación Pública'!K32</f>
        <v>0</v>
      </c>
      <c r="G171" s="13">
        <f>+'Innovación Pública'!L32</f>
        <v>0</v>
      </c>
      <c r="H171" s="13">
        <f>+'Innovación Pública'!M32</f>
        <v>0</v>
      </c>
      <c r="I171" s="46">
        <f>+'Innovación Pública'!N32</f>
        <v>0</v>
      </c>
      <c r="J171" s="38"/>
      <c r="K171" s="10"/>
    </row>
    <row r="172" spans="2:11" ht="53.45" customHeight="1" x14ac:dyDescent="0.25">
      <c r="B172" s="45" t="s">
        <v>1767</v>
      </c>
      <c r="C172" s="771"/>
      <c r="D172" s="13">
        <f>+'Innovación Pública'!H36</f>
        <v>0.22500000000000001</v>
      </c>
      <c r="E172" s="13">
        <f>+'Innovación Pública'!I36</f>
        <v>0.16250000000000001</v>
      </c>
      <c r="F172" s="13">
        <f>+'Innovación Pública'!K36</f>
        <v>0.75</v>
      </c>
      <c r="G172" s="13">
        <f>+'Innovación Pública'!L36</f>
        <v>2.5000000000000001E-2</v>
      </c>
      <c r="H172" s="13">
        <f>+'Innovación Pública'!M36</f>
        <v>0.17499999999999999</v>
      </c>
      <c r="I172" s="46">
        <f>+'Innovación Pública'!N36</f>
        <v>5.6250000000000007E-3</v>
      </c>
      <c r="J172" s="38"/>
      <c r="K172" s="10"/>
    </row>
    <row r="173" spans="2:11" ht="39" customHeight="1" x14ac:dyDescent="0.25">
      <c r="B173" s="45" t="s">
        <v>1768</v>
      </c>
      <c r="C173" s="771"/>
      <c r="D173" s="13">
        <f>+'Innovación Pública'!H40</f>
        <v>0</v>
      </c>
      <c r="E173" s="13">
        <f>+'Innovación Pública'!I40</f>
        <v>0</v>
      </c>
      <c r="F173" s="13">
        <f>+'Innovación Pública'!K40</f>
        <v>0</v>
      </c>
      <c r="G173" s="13">
        <f>+'Innovación Pública'!L40</f>
        <v>0</v>
      </c>
      <c r="H173" s="13">
        <f>+'Innovación Pública'!M40</f>
        <v>0</v>
      </c>
      <c r="I173" s="46">
        <f>+'Innovación Pública'!N40</f>
        <v>0</v>
      </c>
      <c r="J173" s="38"/>
      <c r="K173" s="10"/>
    </row>
    <row r="174" spans="2:11" ht="43.9" customHeight="1" x14ac:dyDescent="0.25">
      <c r="B174" s="45" t="s">
        <v>1769</v>
      </c>
      <c r="C174" s="771"/>
      <c r="D174" s="13">
        <f>+'Innovación Pública'!H43</f>
        <v>0.16773431223397892</v>
      </c>
      <c r="E174" s="13">
        <f>+'Innovación Pública'!I43</f>
        <v>8.4187449787183122E-2</v>
      </c>
      <c r="F174" s="13">
        <f>+'Innovación Pública'!K43</f>
        <v>1</v>
      </c>
      <c r="G174" s="13">
        <f>+'Innovación Pública'!L43</f>
        <v>9.0000000000000011E-2</v>
      </c>
      <c r="H174" s="13">
        <f>+'Innovación Pública'!M43</f>
        <v>0.17321025512854482</v>
      </c>
      <c r="I174" s="46">
        <f>+'Innovación Pública'!N43</f>
        <v>1.3285230615425379E-2</v>
      </c>
      <c r="J174" s="38"/>
      <c r="K174" s="10"/>
    </row>
    <row r="175" spans="2:11" ht="82.9" customHeight="1" x14ac:dyDescent="0.35">
      <c r="B175" s="43" t="str">
        <f>+'Innovación Pública'!B48:B48</f>
        <v xml:space="preserve"> Finanzas Públicas
</v>
      </c>
      <c r="C175" s="771"/>
      <c r="D175" s="34">
        <f t="shared" ref="D175:I175" si="0">+(D176+D177)</f>
        <v>0.22689134534516447</v>
      </c>
      <c r="E175" s="35">
        <f t="shared" si="0"/>
        <v>0.22571301967260979</v>
      </c>
      <c r="F175" s="11">
        <f t="shared" si="0"/>
        <v>0.99015771316080659</v>
      </c>
      <c r="G175" s="84">
        <f t="shared" si="0"/>
        <v>0.93129965500553247</v>
      </c>
      <c r="H175" s="11">
        <f t="shared" si="0"/>
        <v>0.25580038172039926</v>
      </c>
      <c r="I175" s="83">
        <f t="shared" si="0"/>
        <v>0.22738216072471779</v>
      </c>
      <c r="J175" s="38"/>
      <c r="K175" s="10"/>
    </row>
    <row r="176" spans="2:11" ht="44.45" customHeight="1" x14ac:dyDescent="0.25">
      <c r="B176" s="45" t="s">
        <v>1770</v>
      </c>
      <c r="C176" s="771"/>
      <c r="D176" s="13">
        <f>+'Innovación Pública'!H49</f>
        <v>0.22689134534516447</v>
      </c>
      <c r="E176" s="13">
        <f>+'Innovación Pública'!I49</f>
        <v>0.22571301967260979</v>
      </c>
      <c r="F176" s="13">
        <f>+'Innovación Pública'!K49</f>
        <v>0.99015771316080659</v>
      </c>
      <c r="G176" s="13">
        <f>+'Innovación Pública'!L49</f>
        <v>0.93129965500553247</v>
      </c>
      <c r="H176" s="13">
        <f>+'Innovación Pública'!M49</f>
        <v>0.25580038172039926</v>
      </c>
      <c r="I176" s="46">
        <f>+'Innovación Pública'!N49</f>
        <v>0.22738216072471779</v>
      </c>
      <c r="J176" s="38"/>
      <c r="K176" s="10"/>
    </row>
    <row r="177" spans="2:11" ht="31.15" customHeight="1" x14ac:dyDescent="0.25">
      <c r="B177" s="45" t="s">
        <v>1771</v>
      </c>
      <c r="C177" s="771"/>
      <c r="D177" s="13">
        <f>+'Innovación Pública'!H55</f>
        <v>0</v>
      </c>
      <c r="E177" s="13">
        <f>+'Innovación Pública'!I55</f>
        <v>0</v>
      </c>
      <c r="F177" s="13">
        <f>+'Innovación Pública'!K55</f>
        <v>0</v>
      </c>
      <c r="G177" s="13">
        <f>+'Innovación Pública'!L55</f>
        <v>0</v>
      </c>
      <c r="H177" s="13">
        <f>+'Innovación Pública'!M55</f>
        <v>0</v>
      </c>
      <c r="I177" s="46">
        <f>+'Innovación Pública'!N55</f>
        <v>0</v>
      </c>
      <c r="J177" s="38"/>
      <c r="K177" s="10"/>
    </row>
    <row r="178" spans="2:11" ht="76.900000000000006" customHeight="1" x14ac:dyDescent="0.35">
      <c r="B178" s="43" t="str">
        <f>+'Innovación Pública'!B57:B57</f>
        <v xml:space="preserve">Cultura Ciudadana
</v>
      </c>
      <c r="C178" s="771"/>
      <c r="D178" s="34">
        <f>+(D179+D180+D181+D182+D183)/5</f>
        <v>0.22780333900383748</v>
      </c>
      <c r="E178" s="35">
        <f>+(E179+E180+E181+E182+E183)/5</f>
        <v>0.22258316849309651</v>
      </c>
      <c r="F178" s="11">
        <f>+(F179+F180+F181+F182+F183)/5</f>
        <v>0.93333333333333324</v>
      </c>
      <c r="G178" s="84">
        <f>+(G179+G180+G181+G182+G183)</f>
        <v>0.86250000000000004</v>
      </c>
      <c r="H178" s="11">
        <f>+(H179+H180+H181+H182+H183)/5</f>
        <v>0.25439168183196847</v>
      </c>
      <c r="I178" s="83">
        <f>+(I179+I180+I181+I182+I183)</f>
        <v>0.28719335759781622</v>
      </c>
      <c r="J178" s="38"/>
      <c r="K178" s="10"/>
    </row>
    <row r="179" spans="2:11" ht="76.900000000000006" customHeight="1" x14ac:dyDescent="0.25">
      <c r="B179" s="45" t="s">
        <v>1772</v>
      </c>
      <c r="C179" s="771"/>
      <c r="D179" s="13">
        <f>+'Innovación Pública'!H58</f>
        <v>0.24988626023657873</v>
      </c>
      <c r="E179" s="13">
        <f>+'Innovación Pública'!I58</f>
        <v>0.24981801637852596</v>
      </c>
      <c r="F179" s="13">
        <f>+'Innovación Pública'!K58</f>
        <v>1</v>
      </c>
      <c r="G179" s="13">
        <f>+'Innovación Pública'!L58</f>
        <v>0.2</v>
      </c>
      <c r="H179" s="13">
        <f>+'Innovación Pública'!M58</f>
        <v>0.38341674249317559</v>
      </c>
      <c r="I179" s="46">
        <f>+'Innovación Pública'!N58</f>
        <v>9.2693357597816203E-2</v>
      </c>
      <c r="J179" s="38"/>
      <c r="K179" s="10"/>
    </row>
    <row r="180" spans="2:11" ht="45" customHeight="1" x14ac:dyDescent="0.25">
      <c r="B180" s="45" t="s">
        <v>1773</v>
      </c>
      <c r="C180" s="771"/>
      <c r="D180" s="13">
        <f>+'Innovación Pública'!H61</f>
        <v>0.15</v>
      </c>
      <c r="E180" s="13">
        <f>+'Innovación Pública'!I61</f>
        <v>0.19624999999999998</v>
      </c>
      <c r="F180" s="13">
        <f>+'Innovación Pública'!K61</f>
        <v>1</v>
      </c>
      <c r="G180" s="13">
        <f>+'Innovación Pública'!L61</f>
        <v>0.3</v>
      </c>
      <c r="H180" s="13">
        <f>+'Innovación Pública'!M61</f>
        <v>0.22187499999999999</v>
      </c>
      <c r="I180" s="46">
        <f>+'Innovación Pública'!N61</f>
        <v>0.103875</v>
      </c>
      <c r="J180" s="38"/>
      <c r="K180" s="10"/>
    </row>
    <row r="181" spans="2:11" ht="42" customHeight="1" x14ac:dyDescent="0.25">
      <c r="B181" s="45" t="s">
        <v>1774</v>
      </c>
      <c r="C181" s="771"/>
      <c r="D181" s="13">
        <f>+'Innovación Pública'!H66</f>
        <v>0.25</v>
      </c>
      <c r="E181" s="13">
        <f>+'Innovación Pública'!I66</f>
        <v>0.25</v>
      </c>
      <c r="F181" s="13">
        <f>+'Innovación Pública'!K66</f>
        <v>1</v>
      </c>
      <c r="G181" s="13">
        <f>+'Innovación Pública'!L66</f>
        <v>0.15</v>
      </c>
      <c r="H181" s="13">
        <f>+'Innovación Pública'!M66</f>
        <v>0.25</v>
      </c>
      <c r="I181" s="46">
        <f>+'Innovación Pública'!N66</f>
        <v>3.7499999999999999E-2</v>
      </c>
      <c r="J181" s="38"/>
      <c r="K181" s="10"/>
    </row>
    <row r="182" spans="2:11" ht="45.6" customHeight="1" x14ac:dyDescent="0.25">
      <c r="B182" s="45" t="s">
        <v>1775</v>
      </c>
      <c r="C182" s="771"/>
      <c r="D182" s="13">
        <f>+'Innovación Pública'!H68</f>
        <v>0.23913043478260868</v>
      </c>
      <c r="E182" s="13">
        <f>+'Innovación Pública'!I68</f>
        <v>0.16684782608695653</v>
      </c>
      <c r="F182" s="13">
        <f>+'Innovación Pública'!K68</f>
        <v>0.66666666666666663</v>
      </c>
      <c r="G182" s="13">
        <f>+'Innovación Pública'!L68</f>
        <v>0.1125</v>
      </c>
      <c r="H182" s="13">
        <f>+'Innovación Pública'!M68</f>
        <v>0.16666666666666666</v>
      </c>
      <c r="I182" s="46">
        <f>+'Innovación Pública'!N68</f>
        <v>2.8125000000000001E-2</v>
      </c>
      <c r="J182" s="38"/>
      <c r="K182" s="10"/>
    </row>
    <row r="183" spans="2:11" ht="45.6" customHeight="1" x14ac:dyDescent="0.25">
      <c r="B183" s="45" t="s">
        <v>1776</v>
      </c>
      <c r="C183" s="771"/>
      <c r="D183" s="13">
        <f>+'Innovación Pública'!H74</f>
        <v>0.25</v>
      </c>
      <c r="E183" s="13">
        <f>+'Innovación Pública'!I74</f>
        <v>0.25</v>
      </c>
      <c r="F183" s="13">
        <f>+'Innovación Pública'!K74</f>
        <v>1</v>
      </c>
      <c r="G183" s="13">
        <f>+'Innovación Pública'!L74</f>
        <v>0.1</v>
      </c>
      <c r="H183" s="13">
        <f>+'Innovación Pública'!M74</f>
        <v>0.25</v>
      </c>
      <c r="I183" s="46">
        <f>+'Innovación Pública'!N74</f>
        <v>2.5000000000000001E-2</v>
      </c>
      <c r="J183" s="38"/>
      <c r="K183" s="10"/>
    </row>
    <row r="184" spans="2:11" ht="46.5" x14ac:dyDescent="0.35">
      <c r="B184" s="43" t="str">
        <f>+'Innovación Pública'!B77:B77</f>
        <v xml:space="preserve">Participación Ciudadana y Acción Comunal
</v>
      </c>
      <c r="C184" s="771"/>
      <c r="D184" s="34">
        <f>+(D185+D186+D187+D188+D189+D190)/5</f>
        <v>0.25436567555113532</v>
      </c>
      <c r="E184" s="35">
        <f>+(E185+E186+E187+E188+E189+E190)/5</f>
        <v>0.23789244132935511</v>
      </c>
      <c r="F184" s="11">
        <f>+(F185+F186+F187+F188+F189+F190)/5</f>
        <v>0.85431111111111113</v>
      </c>
      <c r="G184" s="84">
        <f>+(G185+G186+G187+G188+G189+G190)</f>
        <v>0.55067333333333335</v>
      </c>
      <c r="H184" s="11">
        <f>+(H185+H186+H187+H188+H189+H190)/6</f>
        <v>0.17211584073705719</v>
      </c>
      <c r="I184" s="83">
        <f>+(I185+I186+I187+I188+I189+I190)</f>
        <v>0.15231066433034965</v>
      </c>
      <c r="J184" s="38"/>
      <c r="K184" s="10"/>
    </row>
    <row r="185" spans="2:11" ht="52.15" customHeight="1" x14ac:dyDescent="0.25">
      <c r="B185" s="45" t="s">
        <v>1777</v>
      </c>
      <c r="C185" s="771"/>
      <c r="D185" s="13">
        <f>+'Innovación Pública'!H78</f>
        <v>0.35243948886678761</v>
      </c>
      <c r="E185" s="13">
        <f>+'Innovación Pública'!I78</f>
        <v>0.34219553998010876</v>
      </c>
      <c r="F185" s="13">
        <f>+'Innovación Pública'!K78</f>
        <v>0.9</v>
      </c>
      <c r="G185" s="13">
        <f>+'Innovación Pública'!L78</f>
        <v>0.1275</v>
      </c>
      <c r="H185" s="13">
        <f>+'Innovación Pública'!M78</f>
        <v>0.32743948886678759</v>
      </c>
      <c r="I185" s="46">
        <f>+'Innovación Pública'!N78</f>
        <v>4.5704330997016318E-2</v>
      </c>
      <c r="J185" s="38"/>
      <c r="K185" s="10"/>
    </row>
    <row r="186" spans="2:11" ht="55.9" customHeight="1" x14ac:dyDescent="0.25">
      <c r="B186" s="45" t="s">
        <v>1778</v>
      </c>
      <c r="C186" s="771"/>
      <c r="D186" s="13">
        <f>+'Innovación Pública'!H85</f>
        <v>0.17916666666666664</v>
      </c>
      <c r="E186" s="13">
        <f>+'Innovación Pública'!I85</f>
        <v>0.14250000000000002</v>
      </c>
      <c r="F186" s="13">
        <f>+'Innovación Pública'!K85</f>
        <v>0.88888888888888884</v>
      </c>
      <c r="G186" s="13">
        <f>+'Innovación Pública'!L85</f>
        <v>0.11333333333333333</v>
      </c>
      <c r="H186" s="13">
        <f>+'Innovación Pública'!M85</f>
        <v>0.14999999999999997</v>
      </c>
      <c r="I186" s="46">
        <f>+'Innovación Pública'!N85</f>
        <v>3.9E-2</v>
      </c>
      <c r="J186" s="38"/>
      <c r="K186" s="10"/>
    </row>
    <row r="187" spans="2:11" ht="43.15" customHeight="1" x14ac:dyDescent="0.25">
      <c r="B187" s="45" t="s">
        <v>1779</v>
      </c>
      <c r="C187" s="771"/>
      <c r="D187" s="13">
        <f>+'Innovación Pública'!H92</f>
        <v>0</v>
      </c>
      <c r="E187" s="13">
        <f>+'Innovación Pública'!I92</f>
        <v>0</v>
      </c>
      <c r="F187" s="13">
        <f>+'Innovación Pública'!K92</f>
        <v>0</v>
      </c>
      <c r="G187" s="13">
        <f>+'Innovación Pública'!L92</f>
        <v>0</v>
      </c>
      <c r="H187" s="13">
        <f>+'Innovación Pública'!M92</f>
        <v>0</v>
      </c>
      <c r="I187" s="46">
        <f>+'Innovación Pública'!N92</f>
        <v>0</v>
      </c>
      <c r="J187" s="38"/>
      <c r="K187" s="10"/>
    </row>
    <row r="188" spans="2:11" ht="37.15" customHeight="1" x14ac:dyDescent="0.25">
      <c r="B188" s="45" t="s">
        <v>1780</v>
      </c>
      <c r="C188" s="771"/>
      <c r="D188" s="13">
        <f>+'Innovación Pública'!H94</f>
        <v>0.18466666666666667</v>
      </c>
      <c r="E188" s="13">
        <f>+'Innovación Pública'!I94</f>
        <v>0.17810000000000001</v>
      </c>
      <c r="F188" s="13">
        <f>+'Innovación Pública'!K94</f>
        <v>1</v>
      </c>
      <c r="G188" s="13">
        <f>+'Innovación Pública'!L94</f>
        <v>0.18000000000000002</v>
      </c>
      <c r="H188" s="13">
        <f>+'Innovación Pública'!M94</f>
        <v>0.18536666666666668</v>
      </c>
      <c r="I188" s="46">
        <f>+'Innovación Pública'!N94</f>
        <v>3.5682999999999999E-2</v>
      </c>
      <c r="J188" s="38"/>
      <c r="K188" s="10"/>
    </row>
    <row r="189" spans="2:11" ht="67.900000000000006" customHeight="1" x14ac:dyDescent="0.25">
      <c r="B189" s="45" t="s">
        <v>1781</v>
      </c>
      <c r="C189" s="771"/>
      <c r="D189" s="13">
        <f>+'Innovación Pública'!H99</f>
        <v>0.25</v>
      </c>
      <c r="E189" s="13">
        <f>+'Innovación Pública'!I99</f>
        <v>0.185</v>
      </c>
      <c r="F189" s="13">
        <f>+'Innovación Pública'!K99</f>
        <v>1</v>
      </c>
      <c r="G189" s="13">
        <f>+'Innovación Pública'!L99</f>
        <v>7.3999999999999996E-2</v>
      </c>
      <c r="H189" s="13">
        <f>+'Innovación Pública'!M99</f>
        <v>0.26166666666666666</v>
      </c>
      <c r="I189" s="46">
        <f>+'Innovación Pública'!N99</f>
        <v>2.095E-2</v>
      </c>
      <c r="J189" s="38"/>
      <c r="K189" s="10"/>
    </row>
    <row r="190" spans="2:11" ht="45.6" customHeight="1" x14ac:dyDescent="0.25">
      <c r="B190" s="45" t="s">
        <v>1782</v>
      </c>
      <c r="C190" s="771"/>
      <c r="D190" s="13">
        <f>+'Innovación Pública'!H105</f>
        <v>0.30555555555555552</v>
      </c>
      <c r="E190" s="13">
        <f>+'Innovación Pública'!I105</f>
        <v>0.34166666666666667</v>
      </c>
      <c r="F190" s="13">
        <f>+'Innovación Pública'!K105</f>
        <v>0.48266666666666663</v>
      </c>
      <c r="G190" s="13">
        <f>+'Innovación Pública'!L105</f>
        <v>5.5840000000000001E-2</v>
      </c>
      <c r="H190" s="13">
        <f>+'Innovación Pública'!M105</f>
        <v>0.10822222222222222</v>
      </c>
      <c r="I190" s="46">
        <f>+'Innovación Pública'!N105</f>
        <v>1.0973333333333335E-2</v>
      </c>
      <c r="J190" s="38"/>
      <c r="K190" s="10"/>
    </row>
    <row r="191" spans="2:11" ht="46.5" x14ac:dyDescent="0.35">
      <c r="B191" s="43" t="str">
        <f>+'Innovación Pública'!B109:B109</f>
        <v xml:space="preserve">Sistema de Planeación Distrital
</v>
      </c>
      <c r="C191" s="771"/>
      <c r="D191" s="34">
        <f>+(D192+D193+D194+D195+D196+D197)/6</f>
        <v>0.24585946833930702</v>
      </c>
      <c r="E191" s="35">
        <f>+(E192+E193+E194+E195+E196+E197)/6</f>
        <v>0.2020855734767025</v>
      </c>
      <c r="F191" s="11">
        <f>+(F192+F193+F194+F195+F196+F197)/6</f>
        <v>0.92183333333333339</v>
      </c>
      <c r="G191" s="84">
        <f>+(G192+G193+G194+G195+G196+G197)</f>
        <v>0.75236000000000014</v>
      </c>
      <c r="H191" s="11">
        <f>+(H192+H193+H194+H195+H196+H197)/6</f>
        <v>0.20924477299880526</v>
      </c>
      <c r="I191" s="83">
        <f>+(I192+I193+I194+I195+I196+I197)</f>
        <v>0.18580852150537633</v>
      </c>
      <c r="J191" s="38"/>
      <c r="K191" s="10"/>
    </row>
    <row r="192" spans="2:11" ht="55.9" customHeight="1" x14ac:dyDescent="0.25">
      <c r="B192" s="45" t="s">
        <v>1783</v>
      </c>
      <c r="C192" s="771"/>
      <c r="D192" s="13">
        <f>+'Innovación Pública'!H110</f>
        <v>0.20833333333333331</v>
      </c>
      <c r="E192" s="13">
        <f>+'Innovación Pública'!I110</f>
        <v>0.10833333333333334</v>
      </c>
      <c r="F192" s="13">
        <f>+'Innovación Pública'!K110</f>
        <v>1</v>
      </c>
      <c r="G192" s="13">
        <f>+'Innovación Pública'!L110</f>
        <v>0.11000000000000001</v>
      </c>
      <c r="H192" s="13">
        <f>+'Innovación Pública'!M110</f>
        <v>0.18888888888888888</v>
      </c>
      <c r="I192" s="46">
        <f>+'Innovación Pública'!N110</f>
        <v>2.7666666666666669E-2</v>
      </c>
      <c r="J192" s="38"/>
      <c r="K192" s="10"/>
    </row>
    <row r="193" spans="2:11" ht="43.9" customHeight="1" x14ac:dyDescent="0.25">
      <c r="B193" s="45" t="s">
        <v>1784</v>
      </c>
      <c r="C193" s="771"/>
      <c r="D193" s="13">
        <f>+'Innovación Pública'!H116</f>
        <v>0.19999999999999998</v>
      </c>
      <c r="E193" s="13">
        <f>+'Innovación Pública'!I116</f>
        <v>0.17499999999999999</v>
      </c>
      <c r="F193" s="13">
        <f>+'Innovación Pública'!K116</f>
        <v>0.90600000000000003</v>
      </c>
      <c r="G193" s="13">
        <f>+'Innovación Pública'!L116</f>
        <v>0.18236000000000002</v>
      </c>
      <c r="H193" s="13">
        <f>+'Innovación Pública'!M116</f>
        <v>0.18400000000000002</v>
      </c>
      <c r="I193" s="46">
        <f>+'Innovación Pública'!N116</f>
        <v>3.2840000000000001E-2</v>
      </c>
      <c r="J193" s="38"/>
      <c r="K193" s="10"/>
    </row>
    <row r="194" spans="2:11" ht="42" customHeight="1" x14ac:dyDescent="0.25">
      <c r="B194" s="45" t="s">
        <v>1785</v>
      </c>
      <c r="C194" s="771"/>
      <c r="D194" s="13">
        <f>+'Innovación Pública'!H123</f>
        <v>0.24946236559139784</v>
      </c>
      <c r="E194" s="13">
        <f>+'Innovación Pública'!I123</f>
        <v>0.19959677419354838</v>
      </c>
      <c r="F194" s="13">
        <f>+'Innovación Pública'!K123</f>
        <v>1</v>
      </c>
      <c r="G194" s="13">
        <f>+'Innovación Pública'!L123</f>
        <v>0.16000000000000003</v>
      </c>
      <c r="H194" s="13">
        <f>+'Innovación Pública'!M123</f>
        <v>0.25896863799283154</v>
      </c>
      <c r="I194" s="46">
        <f>+'Innovación Pública'!N123</f>
        <v>4.8489354838709676E-2</v>
      </c>
      <c r="J194" s="38"/>
      <c r="K194" s="10"/>
    </row>
    <row r="195" spans="2:11" ht="39" customHeight="1" x14ac:dyDescent="0.25">
      <c r="B195" s="45" t="s">
        <v>1786</v>
      </c>
      <c r="C195" s="771"/>
      <c r="D195" s="13">
        <f>+'Innovación Pública'!H131</f>
        <v>0.41111111111111109</v>
      </c>
      <c r="E195" s="13">
        <f>+'Innovación Pública'!I131</f>
        <v>0.37333333333333329</v>
      </c>
      <c r="F195" s="13">
        <f>+'Innovación Pública'!K131</f>
        <v>1</v>
      </c>
      <c r="G195" s="13">
        <f>+'Innovación Pública'!L131</f>
        <v>0.15</v>
      </c>
      <c r="H195" s="13">
        <f>+'Innovación Pública'!M131</f>
        <v>0.31111111111111112</v>
      </c>
      <c r="I195" s="46">
        <f>+'Innovación Pública'!N131</f>
        <v>4.3999999999999997E-2</v>
      </c>
      <c r="J195" s="38"/>
      <c r="K195" s="10"/>
    </row>
    <row r="196" spans="2:11" ht="33.6" customHeight="1" x14ac:dyDescent="0.25">
      <c r="B196" s="45" t="s">
        <v>1787</v>
      </c>
      <c r="C196" s="771"/>
      <c r="D196" s="13">
        <f>+'Innovación Pública'!H134</f>
        <v>0.25</v>
      </c>
      <c r="E196" s="13">
        <f>+'Innovación Pública'!I134</f>
        <v>0.2</v>
      </c>
      <c r="F196" s="13">
        <f>+'Innovación Pública'!K134</f>
        <v>0.625</v>
      </c>
      <c r="G196" s="13">
        <f>+'Innovación Pública'!L134</f>
        <v>0.1</v>
      </c>
      <c r="H196" s="86">
        <f>+'Innovación Pública'!M134</f>
        <v>0.15625</v>
      </c>
      <c r="I196" s="46">
        <f>+'Innovación Pública'!N134</f>
        <v>2.5000000000000001E-2</v>
      </c>
      <c r="J196" s="38"/>
      <c r="K196" s="10"/>
    </row>
    <row r="197" spans="2:11" ht="48.6" customHeight="1" x14ac:dyDescent="0.25">
      <c r="B197" s="48" t="s">
        <v>1788</v>
      </c>
      <c r="C197" s="772"/>
      <c r="D197" s="49">
        <f>+'Innovación Pública'!H139</f>
        <v>0.15625</v>
      </c>
      <c r="E197" s="49">
        <f>+'Innovación Pública'!I139</f>
        <v>0.15625</v>
      </c>
      <c r="F197" s="49">
        <f>+'Innovación Pública'!K139</f>
        <v>1</v>
      </c>
      <c r="G197" s="49">
        <f>+'Innovación Pública'!L139</f>
        <v>0.05</v>
      </c>
      <c r="H197" s="115">
        <f>+'Innovación Pública'!M139</f>
        <v>0.15625</v>
      </c>
      <c r="I197" s="50">
        <f>+'Innovación Pública'!N139</f>
        <v>7.8125E-3</v>
      </c>
      <c r="J197" s="38"/>
      <c r="K197" s="10"/>
    </row>
    <row r="198" spans="2:11" ht="120" customHeight="1" x14ac:dyDescent="0.45">
      <c r="B198" s="40" t="str">
        <f>+'Capitulo Etnico'!B3:C3</f>
        <v xml:space="preserve">CAPÍTULO DE LOS PUEBLOS Y COMUNIDADES ÉTNICAS
</v>
      </c>
      <c r="C198" s="768">
        <v>0.02</v>
      </c>
      <c r="D198" s="41">
        <f>+'Capitulo Etnico'!H3</f>
        <v>0.25509259259259259</v>
      </c>
      <c r="E198" s="41">
        <f>+'Capitulo Etnico'!I3</f>
        <v>6.9222222222222241E-2</v>
      </c>
      <c r="F198" s="41">
        <f>+'Capitulo Etnico'!K3</f>
        <v>0.40277777777777779</v>
      </c>
      <c r="G198" s="41">
        <f>+'Capitulo Etnico'!L3</f>
        <v>0.13582500000000003</v>
      </c>
      <c r="H198" s="41">
        <f>+'Capitulo Etnico'!M3</f>
        <v>5.5588624338624326E-2</v>
      </c>
      <c r="I198" s="42">
        <f>+'Capitulo Etnico'!N3</f>
        <v>2.0212500000000001E-2</v>
      </c>
      <c r="J198" s="38"/>
      <c r="K198" s="10"/>
    </row>
    <row r="199" spans="2:11" ht="69.75" x14ac:dyDescent="0.35">
      <c r="B199" s="43" t="str">
        <f>+'Capitulo Etnico'!B4:C4</f>
        <v xml:space="preserve"> Fortalecimiento al Desarrollo Afro-Territorial de la Población Negra, Afrocolombiana, Raizal y Palenquera
</v>
      </c>
      <c r="C199" s="769"/>
      <c r="D199" s="34">
        <f>+(D200+D201+D202)/2</f>
        <v>0.42499999999999999</v>
      </c>
      <c r="E199" s="35">
        <f>+(E200+E201+E202)/3</f>
        <v>5.4833333333333345E-2</v>
      </c>
      <c r="F199" s="11">
        <f>+(F200+F201+F202)/3</f>
        <v>0.58333333333333337</v>
      </c>
      <c r="G199" s="84">
        <f>+(G200+G201+G202)</f>
        <v>0.16400000000000003</v>
      </c>
      <c r="H199" s="11">
        <f>+(H200+H201+H202)/3</f>
        <v>6.4880952380952372E-2</v>
      </c>
      <c r="I199" s="83">
        <f>+(I200+I201+I202)</f>
        <v>3.0800000000000001E-2</v>
      </c>
      <c r="J199" s="38"/>
      <c r="K199" s="10"/>
    </row>
    <row r="200" spans="2:11" ht="103.9" customHeight="1" x14ac:dyDescent="0.25">
      <c r="B200" s="45" t="s">
        <v>1789</v>
      </c>
      <c r="C200" s="769"/>
      <c r="D200" s="20">
        <f>+'Capitulo Etnico'!H5</f>
        <v>0.19999999999999998</v>
      </c>
      <c r="E200" s="20">
        <f>+'Capitulo Etnico'!I5</f>
        <v>8.7000000000000008E-2</v>
      </c>
      <c r="F200" s="13">
        <f>+'Capitulo Etnico'!K5</f>
        <v>0.75</v>
      </c>
      <c r="G200" s="13">
        <f>+'Capitulo Etnico'!L5</f>
        <v>0.14400000000000002</v>
      </c>
      <c r="H200" s="13">
        <f>+'Capitulo Etnico'!M5</f>
        <v>0.13749999999999998</v>
      </c>
      <c r="I200" s="47">
        <f>+'Capitulo Etnico'!N5</f>
        <v>2.2800000000000001E-2</v>
      </c>
      <c r="J200" s="38"/>
      <c r="K200" s="10"/>
    </row>
    <row r="201" spans="2:11" ht="66.599999999999994" customHeight="1" x14ac:dyDescent="0.25">
      <c r="B201" s="45" t="s">
        <v>1790</v>
      </c>
      <c r="C201" s="769"/>
      <c r="D201" s="20">
        <f>+'Capitulo Etnico'!H14</f>
        <v>0.25</v>
      </c>
      <c r="E201" s="20">
        <f>+'Capitulo Etnico'!I14</f>
        <v>3.7500000000000006E-2</v>
      </c>
      <c r="F201" s="13">
        <f>+'Capitulo Etnico'!K14</f>
        <v>0</v>
      </c>
      <c r="G201" s="13">
        <f>+'Capitulo Etnico'!L14</f>
        <v>0</v>
      </c>
      <c r="H201" s="13">
        <f>+'Capitulo Etnico'!M14</f>
        <v>0</v>
      </c>
      <c r="I201" s="47">
        <f>+'Capitulo Etnico'!N14</f>
        <v>0</v>
      </c>
      <c r="J201" s="38"/>
      <c r="K201" s="10"/>
    </row>
    <row r="202" spans="2:11" ht="57" customHeight="1" x14ac:dyDescent="0.25">
      <c r="B202" s="45" t="s">
        <v>1791</v>
      </c>
      <c r="C202" s="769"/>
      <c r="D202" s="20">
        <f>+'Capitulo Etnico'!H22</f>
        <v>0.4</v>
      </c>
      <c r="E202" s="20">
        <f>+'Capitulo Etnico'!I22</f>
        <v>4.0000000000000008E-2</v>
      </c>
      <c r="F202" s="13">
        <f>+'Capitulo Etnico'!K22</f>
        <v>1</v>
      </c>
      <c r="G202" s="13">
        <f>+'Capitulo Etnico'!L22</f>
        <v>2.0000000000000004E-2</v>
      </c>
      <c r="H202" s="13">
        <f>+'Capitulo Etnico'!M22</f>
        <v>5.7142857142857141E-2</v>
      </c>
      <c r="I202" s="46">
        <f>+'Capitulo Etnico'!N22</f>
        <v>8.0000000000000019E-3</v>
      </c>
      <c r="J202" s="38"/>
      <c r="K202" s="10"/>
    </row>
    <row r="203" spans="2:11" ht="46.5" x14ac:dyDescent="0.35">
      <c r="B203" s="43" t="str">
        <f>+'Capitulo Etnico'!B30:C30</f>
        <v xml:space="preserve">Territorio Sitio de Paz y Pensamiento Colectivo
</v>
      </c>
      <c r="C203" s="769"/>
      <c r="D203" s="34">
        <f>+(D204+D205+D206)/3</f>
        <v>0.22685185185185186</v>
      </c>
      <c r="E203" s="35">
        <f>+(E204+E205+E206)/3</f>
        <v>8.3611111111111122E-2</v>
      </c>
      <c r="F203" s="11">
        <f>+(F204+F205+F206)/3</f>
        <v>0.22222222222222221</v>
      </c>
      <c r="G203" s="84">
        <f>+(G204+G205+G206)</f>
        <v>5.1299999999999991E-2</v>
      </c>
      <c r="H203" s="11">
        <f>+(H204+H205+H206)/3</f>
        <v>4.6296296296296287E-2</v>
      </c>
      <c r="I203" s="83">
        <f>+(I204+I205+I206)</f>
        <v>9.6249999999999999E-3</v>
      </c>
      <c r="J203" s="38"/>
      <c r="K203" s="10"/>
    </row>
    <row r="204" spans="2:11" ht="33.6" customHeight="1" x14ac:dyDescent="0.25">
      <c r="B204" s="45" t="s">
        <v>1792</v>
      </c>
      <c r="C204" s="769"/>
      <c r="D204" s="20">
        <f>+'Capitulo Etnico'!H31</f>
        <v>0.30555555555555552</v>
      </c>
      <c r="E204" s="20">
        <f>+'Capitulo Etnico'!I31</f>
        <v>0.18208333333333335</v>
      </c>
      <c r="F204" s="13">
        <f>+'Capitulo Etnico'!K31</f>
        <v>0.66666666666666663</v>
      </c>
      <c r="G204" s="13">
        <f>+'Capitulo Etnico'!L31</f>
        <v>5.1299999999999991E-2</v>
      </c>
      <c r="H204" s="13">
        <f>+'Capitulo Etnico'!M31</f>
        <v>0.13888888888888887</v>
      </c>
      <c r="I204" s="46">
        <f>+'Capitulo Etnico'!N31</f>
        <v>9.6249999999999999E-3</v>
      </c>
      <c r="J204" s="38"/>
      <c r="K204" s="10"/>
    </row>
    <row r="205" spans="2:11" ht="40.15" customHeight="1" x14ac:dyDescent="0.25">
      <c r="B205" s="45" t="s">
        <v>1793</v>
      </c>
      <c r="C205" s="769"/>
      <c r="D205" s="20">
        <f>+'Capitulo Etnico'!H40</f>
        <v>0.25</v>
      </c>
      <c r="E205" s="20">
        <f>+'Capitulo Etnico'!I40</f>
        <v>3.7499999999999999E-2</v>
      </c>
      <c r="F205" s="13">
        <f>+'Capitulo Etnico'!K40</f>
        <v>0</v>
      </c>
      <c r="G205" s="13">
        <f>+'Capitulo Etnico'!L40</f>
        <v>0</v>
      </c>
      <c r="H205" s="13">
        <f>+'Capitulo Etnico'!M40</f>
        <v>0</v>
      </c>
      <c r="I205" s="46">
        <f>+'Capitulo Etnico'!N40</f>
        <v>0</v>
      </c>
      <c r="J205" s="38"/>
      <c r="K205" s="10"/>
    </row>
    <row r="206" spans="2:11" ht="46.15" customHeight="1" x14ac:dyDescent="0.25">
      <c r="B206" s="48" t="s">
        <v>1794</v>
      </c>
      <c r="C206" s="770"/>
      <c r="D206" s="52">
        <f>+'Capitulo Etnico'!H47</f>
        <v>0.125</v>
      </c>
      <c r="E206" s="52">
        <f>+'Capitulo Etnico'!I47</f>
        <v>3.125E-2</v>
      </c>
      <c r="F206" s="49">
        <f>+'Capitulo Etnico'!K47</f>
        <v>0</v>
      </c>
      <c r="G206" s="49">
        <f>+'Capitulo Etnico'!L47</f>
        <v>0</v>
      </c>
      <c r="H206" s="49">
        <f>+'Capitulo Etnico'!M47</f>
        <v>0</v>
      </c>
      <c r="I206" s="50">
        <f>+'Capitulo Etnico'!N47</f>
        <v>0</v>
      </c>
      <c r="J206" s="38"/>
      <c r="K206" s="10"/>
    </row>
  </sheetData>
  <sheetProtection password="DEFC" sheet="1" objects="1" scenarios="1"/>
  <mergeCells count="6">
    <mergeCell ref="C198:C206"/>
    <mergeCell ref="C4:C45"/>
    <mergeCell ref="C46:C91"/>
    <mergeCell ref="C92:C122"/>
    <mergeCell ref="C123:C160"/>
    <mergeCell ref="C161:C19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000"/>
  <sheetViews>
    <sheetView zoomScale="30" zoomScaleNormal="30" workbookViewId="0">
      <selection activeCell="Q7" sqref="Q7"/>
    </sheetView>
  </sheetViews>
  <sheetFormatPr baseColWidth="10" defaultColWidth="14.42578125" defaultRowHeight="15" customHeight="1" x14ac:dyDescent="0.25"/>
  <cols>
    <col min="1" max="1" width="10.7109375" customWidth="1"/>
    <col min="2" max="2" width="80.85546875" customWidth="1"/>
    <col min="3" max="3" width="42.5703125" customWidth="1"/>
    <col min="4" max="4" width="44" customWidth="1"/>
    <col min="5" max="8" width="44.28515625" customWidth="1"/>
    <col min="9" max="9" width="44.85546875" customWidth="1"/>
    <col min="10" max="10" width="44.140625" customWidth="1"/>
    <col min="11" max="11" width="35.5703125" hidden="1" customWidth="1"/>
    <col min="12" max="12" width="37.42578125" hidden="1" customWidth="1"/>
    <col min="13" max="15" width="10.7109375" customWidth="1"/>
    <col min="16" max="17" width="30" customWidth="1"/>
    <col min="18" max="29" width="10.7109375" customWidth="1"/>
  </cols>
  <sheetData>
    <row r="1" spans="2:19" ht="15" customHeight="1" thickBot="1" x14ac:dyDescent="0.3"/>
    <row r="2" spans="2:19" ht="100.9" customHeight="1" x14ac:dyDescent="0.25">
      <c r="B2" s="59"/>
      <c r="C2" s="60" t="s">
        <v>1162</v>
      </c>
      <c r="D2" s="66" t="s">
        <v>1585</v>
      </c>
      <c r="E2" s="61" t="s">
        <v>1857</v>
      </c>
      <c r="F2" s="66" t="s">
        <v>1890</v>
      </c>
      <c r="G2" s="66" t="s">
        <v>1858</v>
      </c>
      <c r="H2" s="66" t="s">
        <v>1850</v>
      </c>
      <c r="I2" s="67" t="s">
        <v>1586</v>
      </c>
      <c r="J2" s="111" t="s">
        <v>1859</v>
      </c>
      <c r="K2" s="56" t="s">
        <v>1160</v>
      </c>
      <c r="L2" s="1" t="s">
        <v>1161</v>
      </c>
      <c r="P2" s="777" t="s">
        <v>1545</v>
      </c>
      <c r="Q2" s="777" t="s">
        <v>1546</v>
      </c>
    </row>
    <row r="3" spans="2:19" ht="186.6" customHeight="1" thickBot="1" x14ac:dyDescent="0.55000000000000004">
      <c r="B3" s="94" t="s">
        <v>1594</v>
      </c>
      <c r="C3" s="62"/>
      <c r="D3" s="677">
        <f>+'PLAN DE DESARROLLO 2024 - 2027'!D3</f>
        <v>0.24849564390600812</v>
      </c>
      <c r="E3" s="87">
        <f>+'PLAN DE DESARROLLO 2024 - 2027'!F3</f>
        <v>0.7941582819202514</v>
      </c>
      <c r="F3" s="87">
        <v>0.36242868332275507</v>
      </c>
      <c r="G3" s="87">
        <f>+'PLAN DE DESARROLLO 2024 - 2027'!H3</f>
        <v>0.20145967486366223</v>
      </c>
      <c r="H3" s="87">
        <v>0.10256397394444537</v>
      </c>
      <c r="I3" s="88">
        <f>+'PLAN DE DESARROLLO 2024 - 2027'!E3</f>
        <v>0.18049749651187141</v>
      </c>
      <c r="J3" s="89">
        <f>+'PLAN DE DESARROLLO 2024 - 2027'!I3</f>
        <v>0.16340447598520494</v>
      </c>
      <c r="K3" s="57"/>
      <c r="L3" s="2"/>
      <c r="P3" s="778"/>
      <c r="Q3" s="778"/>
    </row>
    <row r="4" spans="2:19" ht="92.25" customHeight="1" thickBot="1" x14ac:dyDescent="0.9">
      <c r="B4" s="116" t="str">
        <f>+'Seguridad Humana'!B3:C3</f>
        <v xml:space="preserve"> SEGURIDAD HUMANA
</v>
      </c>
      <c r="C4" s="5">
        <v>0.3</v>
      </c>
      <c r="D4" s="90">
        <f>+'PLAN DE DESARROLLO 2024 - 2027'!D4</f>
        <v>0.27207414611233044</v>
      </c>
      <c r="E4" s="91">
        <f>+'PLAN DE DESARROLLO 2024 - 2027'!F4</f>
        <v>0.84332704195548547</v>
      </c>
      <c r="F4" s="91">
        <v>0.40256018448884195</v>
      </c>
      <c r="G4" s="91">
        <f>+'PLAN DE DESARROLLO 2024 - 2027'!H4</f>
        <v>0.25572550817069295</v>
      </c>
      <c r="H4" s="91">
        <v>0.12885198201802667</v>
      </c>
      <c r="I4" s="91">
        <f>+'PLAN DE DESARROLLO 2024 - 2027'!E4</f>
        <v>0.20228226242652178</v>
      </c>
      <c r="J4" s="63">
        <f>+'PLAN DE DESARROLLO 2024 - 2027'!I4</f>
        <v>0.20761825159703684</v>
      </c>
      <c r="K4" s="58"/>
      <c r="L4" s="4"/>
      <c r="P4" s="36">
        <v>697</v>
      </c>
      <c r="Q4" s="37">
        <f>1/P4</f>
        <v>1.4347202295552368E-3</v>
      </c>
      <c r="R4" s="15"/>
    </row>
    <row r="5" spans="2:19" ht="91.15" customHeight="1" x14ac:dyDescent="0.85">
      <c r="B5" s="116" t="str">
        <f>+'Vida Digna'!B3:C3</f>
        <v xml:space="preserve"> VIDA DIGNA
</v>
      </c>
      <c r="C5" s="5">
        <v>0.2</v>
      </c>
      <c r="D5" s="90">
        <f>+'PLAN DE DESARROLLO 2024 - 2027'!D46</f>
        <v>0.24836401517383822</v>
      </c>
      <c r="E5" s="91">
        <f>+'PLAN DE DESARROLLO 2024 - 2027'!F46</f>
        <v>0.85198226383644504</v>
      </c>
      <c r="F5" s="91">
        <v>0.41751690098218003</v>
      </c>
      <c r="G5" s="91">
        <f>+'PLAN DE DESARROLLO 2024 - 2027'!H46</f>
        <v>0.22381941312911002</v>
      </c>
      <c r="H5" s="91">
        <v>0.11416198962381006</v>
      </c>
      <c r="I5" s="91">
        <f>+'PLAN DE DESARROLLO 2024 - 2027'!E46</f>
        <v>0.19189840072103823</v>
      </c>
      <c r="J5" s="63">
        <f>+'PLAN DE DESARROLLO 2024 - 2027'!I46</f>
        <v>0.17746088840849381</v>
      </c>
      <c r="K5" s="58"/>
      <c r="L5" s="3"/>
      <c r="Q5" s="7"/>
      <c r="R5" s="16"/>
      <c r="S5" s="16"/>
    </row>
    <row r="6" spans="2:19" ht="105.6" customHeight="1" x14ac:dyDescent="0.85">
      <c r="B6" s="116" t="str">
        <f>+'Desarrollo Economico'!B3:B3</f>
        <v xml:space="preserve"> DESARROLLO ECONÓMICO EQUITATIVO
</v>
      </c>
      <c r="C6" s="5">
        <v>0.15</v>
      </c>
      <c r="D6" s="90">
        <f>+'PLAN DE DESARROLLO 2024 - 2027'!D92</f>
        <v>0.25743535350812591</v>
      </c>
      <c r="E6" s="91">
        <f>+'PLAN DE DESARROLLO 2024 - 2027'!F92</f>
        <v>0.9432222222222223</v>
      </c>
      <c r="F6" s="91">
        <v>0.51011636080347744</v>
      </c>
      <c r="G6" s="91">
        <f>+'PLAN DE DESARROLLO 2024 - 2027'!H92</f>
        <v>0.23537004965661618</v>
      </c>
      <c r="H6" s="91">
        <v>0.18237663133386026</v>
      </c>
      <c r="I6" s="91">
        <f>+'PLAN DE DESARROLLO 2024 - 2027'!E92</f>
        <v>0.20388140901442245</v>
      </c>
      <c r="J6" s="63">
        <f>+'PLAN DE DESARROLLO 2024 - 2027'!I92</f>
        <v>0.19709284711832917</v>
      </c>
      <c r="K6" s="58"/>
      <c r="L6" s="3"/>
      <c r="P6" s="68"/>
      <c r="Q6" s="6"/>
    </row>
    <row r="7" spans="2:19" ht="153.6" customHeight="1" x14ac:dyDescent="0.85">
      <c r="B7" s="116" t="str">
        <f>+'Ciudad Conectada'!B3:B3</f>
        <v xml:space="preserve">CARTAGENA CIUDAD CONECTADA Y SOSTENIBLE
</v>
      </c>
      <c r="C7" s="5">
        <v>0.25</v>
      </c>
      <c r="D7" s="90">
        <f>+'PLAN DE DESARROLLO 2024 - 2027'!D123</f>
        <v>0.22580220358289729</v>
      </c>
      <c r="E7" s="91">
        <f>+'PLAN DE DESARROLLO 2024 - 2027'!F123</f>
        <v>0.81130732140563089</v>
      </c>
      <c r="F7" s="91">
        <v>0.36233416030259014</v>
      </c>
      <c r="G7" s="91">
        <f>+'PLAN DE DESARROLLO 2024 - 2027'!H123</f>
        <v>0.22160323916687383</v>
      </c>
      <c r="H7" s="91">
        <v>8.7482296215026123E-2</v>
      </c>
      <c r="I7" s="91">
        <f>+'PLAN DE DESARROLLO 2024 - 2027'!E123</f>
        <v>0.19844971717901827</v>
      </c>
      <c r="J7" s="63">
        <f>+'PLAN DE DESARROLLO 2024 - 2027'!I123</f>
        <v>0.1858257807711004</v>
      </c>
      <c r="K7" s="58"/>
      <c r="L7" s="3"/>
    </row>
    <row r="8" spans="2:19" ht="169.15" customHeight="1" x14ac:dyDescent="0.85">
      <c r="B8" s="116" t="str">
        <f>+'Innovación Pública'!B3:B3</f>
        <v xml:space="preserve"> INNOVACIÓN PÚBLICA Y PARTICIPACIÓN CIUDADANA
</v>
      </c>
      <c r="C8" s="5">
        <v>0.08</v>
      </c>
      <c r="D8" s="90">
        <f>+'PLAN DE DESARROLLO 2024 - 2027'!D161</f>
        <v>0.23220555246626431</v>
      </c>
      <c r="E8" s="91">
        <f>+'PLAN DE DESARROLLO 2024 - 2027'!F161</f>
        <v>0.9123330643239469</v>
      </c>
      <c r="F8" s="91">
        <v>0.419544493359441</v>
      </c>
      <c r="G8" s="91">
        <f>+'PLAN DE DESARROLLO 2024 - 2027'!H161</f>
        <v>0.21665121472005613</v>
      </c>
      <c r="H8" s="91">
        <v>9.6260944475949142E-2</v>
      </c>
      <c r="I8" s="91">
        <f>+'PLAN DE DESARROLLO 2024 - 2027'!E161</f>
        <v>0.2172509675080054</v>
      </c>
      <c r="J8" s="63">
        <f>+'PLAN DE DESARROLLO 2024 - 2027'!I161</f>
        <v>0.19221658801626931</v>
      </c>
      <c r="K8" s="58"/>
      <c r="L8" s="3"/>
    </row>
    <row r="9" spans="2:19" ht="184.9" customHeight="1" thickBot="1" x14ac:dyDescent="0.9">
      <c r="B9" s="117" t="str">
        <f>+'Capitulo Etnico'!B3:C3</f>
        <v xml:space="preserve">CAPÍTULO DE LOS PUEBLOS Y COMUNIDADES ÉTNICAS
</v>
      </c>
      <c r="C9" s="64">
        <v>0.02</v>
      </c>
      <c r="D9" s="92">
        <f>+'PLAN DE DESARROLLO 2024 - 2027'!D198</f>
        <v>0.25509259259259259</v>
      </c>
      <c r="E9" s="93">
        <f>+'PLAN DE DESARROLLO 2024 - 2027'!F198</f>
        <v>0.40277777777777779</v>
      </c>
      <c r="F9" s="93">
        <v>6.25E-2</v>
      </c>
      <c r="G9" s="93">
        <f>+'PLAN DE DESARROLLO 2024 - 2027'!H198</f>
        <v>5.5588624338624326E-2</v>
      </c>
      <c r="H9" s="93">
        <v>6.2500000000000003E-3</v>
      </c>
      <c r="I9" s="93">
        <f>+'PLAN DE DESARROLLO 2024 - 2027'!E198</f>
        <v>6.9222222222222241E-2</v>
      </c>
      <c r="J9" s="65">
        <f>+'PLAN DE DESARROLLO 2024 - 2027'!I198</f>
        <v>2.0212500000000001E-2</v>
      </c>
      <c r="K9" s="58"/>
      <c r="L9" s="3"/>
    </row>
    <row r="10" spans="2:19" ht="93" x14ac:dyDescent="1.35">
      <c r="B10" s="14"/>
      <c r="D10" s="33"/>
      <c r="E10" s="69"/>
      <c r="F10" s="69"/>
      <c r="K10" s="8"/>
    </row>
    <row r="14" spans="2:19" x14ac:dyDescent="0.25">
      <c r="K14" s="9"/>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password="DEFC" sheet="1" objects="1" scenarios="1"/>
  <mergeCells count="2">
    <mergeCell ref="P2:P3"/>
    <mergeCell ref="Q2:Q3"/>
  </mergeCells>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Seguridad Humana</vt:lpstr>
      <vt:lpstr>Vida Digna</vt:lpstr>
      <vt:lpstr>Desarrollo Economico</vt:lpstr>
      <vt:lpstr>Ciudad Conectada</vt:lpstr>
      <vt:lpstr>Innovación Pública</vt:lpstr>
      <vt:lpstr>Capitulo Etnico</vt:lpstr>
      <vt:lpstr>CRITERIOS DE EVALUACIÓN</vt:lpstr>
      <vt:lpstr>PLAN DE DESARROLLO 2024 - 2027</vt:lpstr>
      <vt:lpstr>SEGUIMIENTO DEL PLAN DE DESARRO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Yamil Gomez Rocha</dc:creator>
  <cp:lastModifiedBy>USUARIO</cp:lastModifiedBy>
  <dcterms:created xsi:type="dcterms:W3CDTF">2024-09-07T07:59:19Z</dcterms:created>
  <dcterms:modified xsi:type="dcterms:W3CDTF">2025-01-30T23:02:47Z</dcterms:modified>
</cp:coreProperties>
</file>