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mc:AlternateContent xmlns:mc="http://schemas.openxmlformats.org/markup-compatibility/2006">
    <mc:Choice Requires="x15">
      <x15ac:absPath xmlns:x15ac="http://schemas.microsoft.com/office/spreadsheetml/2010/11/ac" url="D:\PLANEACION 2024 SDO SEMESTRE\PLANES DE ACCION 2024\IDER 2024\DIC 31\"/>
    </mc:Choice>
  </mc:AlternateContent>
  <xr:revisionPtr revIDLastSave="0" documentId="8_{1C28456C-AED8-4CC3-8D9F-CE2DB4973DD0}" xr6:coauthVersionLast="47" xr6:coauthVersionMax="47" xr10:uidLastSave="{00000000-0000-0000-0000-000000000000}"/>
  <bookViews>
    <workbookView xWindow="-120" yWindow="-120" windowWidth="20730" windowHeight="11040" xr2:uid="{34D175F6-97D1-44CB-B01F-FF89E985693C}"/>
  </bookViews>
  <sheets>
    <sheet name="1. ESTRATÉGICO" sheetId="1" r:id="rId1"/>
  </sheets>
  <externalReferences>
    <externalReference r:id="rId2"/>
  </externalReferences>
  <definedNames>
    <definedName name="_xlnm._FilterDatabase" localSheetId="0" hidden="1">'1. ESTRATÉGICO'!#REF!</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42" i="1" l="1"/>
  <c r="S42" i="1"/>
  <c r="R42" i="1"/>
  <c r="T40" i="1"/>
  <c r="S40" i="1"/>
  <c r="R40" i="1"/>
  <c r="T38" i="1"/>
  <c r="S38" i="1"/>
  <c r="R38" i="1"/>
  <c r="T35" i="1"/>
  <c r="S35" i="1"/>
  <c r="R35" i="1"/>
  <c r="T34" i="1"/>
  <c r="R34" i="1"/>
  <c r="T33" i="1"/>
  <c r="R33" i="1"/>
  <c r="T32" i="1"/>
  <c r="R32" i="1"/>
  <c r="T31" i="1"/>
  <c r="R31" i="1"/>
  <c r="T30" i="1"/>
  <c r="S30" i="1"/>
  <c r="T29" i="1"/>
  <c r="T28" i="1"/>
  <c r="S28" i="1"/>
  <c r="R30" i="1"/>
  <c r="R29" i="1"/>
  <c r="R28" i="1"/>
  <c r="S27" i="1"/>
  <c r="T26" i="1"/>
  <c r="R27" i="1"/>
  <c r="R26" i="1"/>
  <c r="T25" i="1"/>
  <c r="S25" i="1"/>
  <c r="R25" i="1"/>
  <c r="T24" i="1"/>
  <c r="S24" i="1"/>
  <c r="R24" i="1"/>
  <c r="T23" i="1"/>
  <c r="R23" i="1"/>
  <c r="T21" i="1"/>
  <c r="R21" i="1"/>
  <c r="T20" i="1"/>
  <c r="R20" i="1"/>
  <c r="T19" i="1"/>
  <c r="S19" i="1"/>
  <c r="T18" i="1"/>
  <c r="R19" i="1"/>
  <c r="R18" i="1"/>
  <c r="T17" i="1"/>
  <c r="R17" i="1"/>
  <c r="T16" i="1"/>
  <c r="S16" i="1"/>
  <c r="T15" i="1"/>
  <c r="T14" i="1"/>
  <c r="R16" i="1"/>
  <c r="R15" i="1"/>
  <c r="R14" i="1"/>
  <c r="T13" i="1"/>
  <c r="S13" i="1"/>
  <c r="R13" i="1"/>
  <c r="R12" i="1"/>
  <c r="T11" i="1"/>
  <c r="S11" i="1"/>
  <c r="R11" i="1"/>
  <c r="R10" i="1"/>
  <c r="T10" i="1"/>
  <c r="S10" i="1"/>
  <c r="X42" i="1"/>
  <c r="W42" i="1"/>
  <c r="V42" i="1"/>
  <c r="Y39" i="1"/>
  <c r="P39" i="1"/>
  <c r="Q39" i="1" s="1"/>
  <c r="Q40" i="1" s="1"/>
  <c r="P37" i="1"/>
  <c r="Q37" i="1" s="1"/>
  <c r="Y36" i="1"/>
  <c r="P36" i="1"/>
  <c r="Q34" i="1"/>
  <c r="P34" i="1"/>
  <c r="Q33" i="1"/>
  <c r="O33" i="1"/>
  <c r="P33" i="1" s="1"/>
  <c r="O32" i="1"/>
  <c r="P32" i="1" s="1"/>
  <c r="N32" i="1"/>
  <c r="Q32" i="1" s="1"/>
  <c r="Y31" i="1"/>
  <c r="Q31" i="1"/>
  <c r="O31" i="1"/>
  <c r="P31" i="1" s="1"/>
  <c r="Q29" i="1"/>
  <c r="O29" i="1"/>
  <c r="P29" i="1" s="1"/>
  <c r="Y28" i="1"/>
  <c r="Q28" i="1"/>
  <c r="O28" i="1"/>
  <c r="P28" i="1" s="1"/>
  <c r="Y26" i="1"/>
  <c r="Q26" i="1"/>
  <c r="Q27" i="1" s="1"/>
  <c r="O26" i="1"/>
  <c r="P26" i="1" s="1"/>
  <c r="O24" i="1"/>
  <c r="P24" i="1" s="1"/>
  <c r="Q23" i="1"/>
  <c r="P23" i="1"/>
  <c r="P22" i="1"/>
  <c r="P21" i="1"/>
  <c r="Y20" i="1"/>
  <c r="O20" i="1"/>
  <c r="P20" i="1" s="1"/>
  <c r="Q18" i="1"/>
  <c r="O18" i="1"/>
  <c r="P18" i="1" s="1"/>
  <c r="Y17" i="1"/>
  <c r="Q17" i="1"/>
  <c r="O17" i="1"/>
  <c r="P17" i="1" s="1"/>
  <c r="Q15" i="1"/>
  <c r="O15" i="1"/>
  <c r="P15" i="1" s="1"/>
  <c r="Y14" i="1"/>
  <c r="O14" i="1"/>
  <c r="P14" i="1" s="1"/>
  <c r="Q12" i="1"/>
  <c r="P12" i="1"/>
  <c r="Y11" i="1"/>
  <c r="O11" i="1"/>
  <c r="P11" i="1" s="1"/>
  <c r="P10" i="1"/>
  <c r="Q10" i="1" s="1"/>
  <c r="Y9" i="1"/>
  <c r="P9" i="1"/>
  <c r="Q9" i="1" s="1"/>
  <c r="Y42" i="1" l="1"/>
  <c r="Q30" i="1"/>
  <c r="Q11" i="1"/>
  <c r="Q13" i="1" s="1"/>
  <c r="Q19" i="1"/>
  <c r="Q35" i="1"/>
  <c r="Q14" i="1"/>
  <c r="Q16" i="1" s="1"/>
  <c r="Q24" i="1"/>
  <c r="Q20" i="1"/>
  <c r="Q36" i="1"/>
  <c r="Q38" i="1" s="1"/>
  <c r="Q21" i="1"/>
  <c r="Q25" i="1" l="1"/>
  <c r="Q4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tc={595DE69D-25DF-4881-ADDF-7C477167BF75}</author>
    <author>tc={2CC04A8C-BBA1-4A36-8302-6A53D7635CDA}</author>
  </authors>
  <commentList>
    <comment ref="I22" authorId="0" shapeId="0" xr:uid="{595DE69D-25DF-4881-ADDF-7C477167BF75}">
      <text>
        <t>[Threaded comment]
Your version of Excel allows you to read this threaded comment; however, any edits to it will get removed if the file is opened in a newer version of Excel. Learn more: https://go.microsoft.com/fwlink/?linkid=870924
Comment:
    Se coloca 0 para esta vigencia, teniendo en cuenta que no se programó esta meta para la vigencia 2024.
A partir del 2025 será de 15%.</t>
      </text>
    </comment>
    <comment ref="I24" authorId="1" shapeId="0" xr:uid="{2CC04A8C-BBA1-4A36-8302-6A53D7635CDA}">
      <text>
        <t xml:space="preserve">[Threaded comment]
Your version of Excel allows you to read this threaded comment; however, any edits to it will get removed if the file is opened in a newer version of Excel. Learn more: https://go.microsoft.com/fwlink/?linkid=870924
Comment:
    Se programó 25% en 2024 para compensar que hay una meta que no está programada y cuyo peso es 0%. A partir del 2025 corresponderá a 10%. </t>
      </text>
    </comment>
  </commentList>
</comments>
</file>

<file path=xl/sharedStrings.xml><?xml version="1.0" encoding="utf-8"?>
<sst xmlns="http://schemas.openxmlformats.org/spreadsheetml/2006/main" count="268" uniqueCount="167">
  <si>
    <t>ALCALDIA DISTRITAL DE CARTAGENA DE INDIAS</t>
  </si>
  <si>
    <t>Código: PTDGI01-F001</t>
  </si>
  <si>
    <t>MACROPROCESO: PLANEACIÓN TERRITORIAL Y DIRECCIONAMIENTO ESTRATEGICO</t>
  </si>
  <si>
    <t>Versión: 1.0</t>
  </si>
  <si>
    <t>PROCESO / SUBPROCESO: GESTIÓN DE LA INVERSIÓN PUBLICA / GESTIÓN DEL PLAN DE DESARROLLO Y SUS INSTRUMENTOS DE EJECUCIÓN</t>
  </si>
  <si>
    <t>Fecha: 16/07/2024</t>
  </si>
  <si>
    <t>FORMATO PLAN DE ACCIÓN INSTITUCIONAL</t>
  </si>
  <si>
    <t>Página: 1 de 3</t>
  </si>
  <si>
    <t>LÍNEA ESTRATÉGICA</t>
  </si>
  <si>
    <t>IMPULSOR DE AVANCE</t>
  </si>
  <si>
    <t>META RESULTADO</t>
  </si>
  <si>
    <t xml:space="preserve">PROGRAMA </t>
  </si>
  <si>
    <t>INDICADOR DE PRODUCTO SEGÚN PDD</t>
  </si>
  <si>
    <t>UNIDAD DE MEDIDA DEL INDICADOR DE PRODUCTO</t>
  </si>
  <si>
    <t>LÍNEA BASE 
SEGUN PDD</t>
  </si>
  <si>
    <t>DESCRIPCIÓN DE LA META PRODUCTO 2024-2027</t>
  </si>
  <si>
    <t>PONDERACIÓN DE LA META PRODUCTO</t>
  </si>
  <si>
    <t>DENOMINACIÓN DEL PRODUCTO</t>
  </si>
  <si>
    <t>ENTREGABLE
INDICADOR DE PRODUCTO SEGÚN CATALOGO DE PRODUCTO</t>
  </si>
  <si>
    <t>VALOR DE LA META PRODUCTO 2024-2027</t>
  </si>
  <si>
    <t>PROGRAMACIÓN META PRODUCTO 2024</t>
  </si>
  <si>
    <t>REPORTE META PRODUCTO A DICIEMBRE DE 2024</t>
  </si>
  <si>
    <t>ACUMULADO META PRODUCTO AL AÑO 2024</t>
  </si>
  <si>
    <t>AVANCE META PRODUCTO AL AÑO CON PONDERACION</t>
  </si>
  <si>
    <t>AVANCE METAS PRODUCTO EN EL CUATRIENIO</t>
  </si>
  <si>
    <t>AVANCE META PRODUCTO AL AÑO PROMEDIO SIMPLE</t>
  </si>
  <si>
    <t>OBSERVACIONES DE DICIEMBRE DE 2024</t>
  </si>
  <si>
    <t>PRESUPUESTO INICIAL  2024</t>
  </si>
  <si>
    <t>PRESUPUESTO DEFINITIVO  A DICIEMBRE DE 2024</t>
  </si>
  <si>
    <t xml:space="preserve">PRESUPUESTO EJECUTADO A DICIEMBRE  DE 2024 </t>
  </si>
  <si>
    <t>% EJECUCION A DICIEMBRE DE 2024</t>
  </si>
  <si>
    <t xml:space="preserve">BIEN </t>
  </si>
  <si>
    <t>SERVICIO</t>
  </si>
  <si>
    <t xml:space="preserve">VIDA DIGNA </t>
  </si>
  <si>
    <t>DEPORTE Y RECREACIÓN</t>
  </si>
  <si>
    <t xml:space="preserve">Incrementar a 37,8% el porcentaje de la población del Distrito de Indias que hace uso y disfrute de los escenarios deportivos y recreativos </t>
  </si>
  <si>
    <t>FORTALECIMIENTO Y MANTENIMIENTO DE LA RED DE INFRAESTRUCTURA DEPORTIVA DEL DISTRITO</t>
  </si>
  <si>
    <t>Número de escenarios deportivos nuevos construidos</t>
  </si>
  <si>
    <t xml:space="preserve">Número </t>
  </si>
  <si>
    <t>5 escenarios construidos en 2023 Fuente: Instituto de Deporte y Recreación, 2023</t>
  </si>
  <si>
    <t>Construir doce (12) nuevos escenarios deportivos</t>
  </si>
  <si>
    <t>X</t>
  </si>
  <si>
    <t>Cancha construida y dotada</t>
  </si>
  <si>
    <t>Se tiene priorizado la construcción de nuevos escenarios deportivos para el  año 2025.</t>
  </si>
  <si>
    <t>Complejo Deportivo Nuevo Chambacú construido</t>
  </si>
  <si>
    <t>0
Fuente: Instituto de Deporte y Recreación, 2023</t>
  </si>
  <si>
    <t>Construir un (1) Complejo Deportivo Nuevo Chambacú</t>
  </si>
  <si>
    <t>Parque recreo-deportivo construido y dotado</t>
  </si>
  <si>
    <t>El Complejo deportivo nuevo Chambacú , es una obra la cual es  supervisada por la  Secretaría de Infraestructura Distrital, presenta un avance de obra del 12% .</t>
  </si>
  <si>
    <t>Número de escenarios deportivos reconstruidos</t>
  </si>
  <si>
    <t>12 escenarios
deportivos reconstruidos a corte 2023
Fuente: Instituto de Deporte y Recreación, 2023</t>
  </si>
  <si>
    <t>Reconstruir dieciséis (16) escenarios deportivos</t>
  </si>
  <si>
    <t>Cancha mejorada</t>
  </si>
  <si>
    <r>
      <t>Se lleva acabo la reconstrucción de algunos aspectos  de la infraestructura de la cancha sintética del  barrio  Los Calamares presentando un avance del 60% como también se desarrolló  obras de matenimiento y reconstrucción  deportiva y recreativa de la zona deportiva de Manga</t>
    </r>
    <r>
      <rPr>
        <sz val="14"/>
        <color rgb="FFFF0000"/>
        <rFont val="Arial"/>
        <family val="2"/>
      </rPr>
      <t xml:space="preserve"> </t>
    </r>
    <r>
      <rPr>
        <sz val="14"/>
        <color theme="1"/>
        <rFont val="Arial"/>
        <family val="2"/>
      </rPr>
      <t>(Parque H L Román) y el Parque General Lacides Segovia., se encuentra en un avance del 74%</t>
    </r>
  </si>
  <si>
    <t>Incrementar a 73% el porcentaje de los escenarios deportivos mantenidos, adecuados y/o mejorados</t>
  </si>
  <si>
    <t>Número de escenarios deportivos mantenidos, adecuados, y/o mejorados en el distrito de Cartagena de Indias</t>
  </si>
  <si>
    <t>268                                                   escenarios deportivos mantenidos,
adecuados y/o mejorados a corte 2023
Fuente: Instituto de Deporte y Recreación, 2023</t>
  </si>
  <si>
    <t>Mantener, adecuar y/o mejorar trescientos  (300) escenarios deportivos</t>
  </si>
  <si>
    <t>Cancha mantenidas</t>
  </si>
  <si>
    <r>
      <rPr>
        <b/>
        <u/>
        <sz val="14"/>
        <color theme="1"/>
        <rFont val="Arial"/>
        <family val="2"/>
      </rPr>
      <t xml:space="preserve">A corte de diciembre de 2024: </t>
    </r>
    <r>
      <rPr>
        <sz val="14"/>
        <color theme="1"/>
        <rFont val="Arial"/>
        <family val="2"/>
      </rPr>
      <t>Se otorgaron 1.511 permisos para  escenarios deportivos los cuales benficiearon aproximadamente a 164.394 personas. Las obras de mejoramiento de la infraestructura deportiva y recreativa del Coliseo cubierto Bernardo Caraballo se llevaron a cabo en un 100% ,con respecto al las obras de mejoramiento de la Villa Olimpica se encuentran en el siguiente avance : Estadio de Fútbol,Jaime Morón, se encuentra en un  100%, Plaza de Toros tiene un 100% de avance, Pista de Atletismo Campo Elías Guitiérrez se encuentra en 100% de avance, Complejo Acuático Jaime Gónzalez  Jhonson  un avance de 100%.. A la fecha se encuentra los servicios públicos pagos al mes de noviembre de 2024, además se continúa con los mantenimiento preventivos recurrentesde acuerdo a lo estipulado en nuestra plan para la vigencia 2024.</t>
    </r>
  </si>
  <si>
    <t>Avance Programa Fortalecimiento y Mantenimiento de la red de infraestructura deportiva del Distrito</t>
  </si>
  <si>
    <t>Incrementar a 19,2% el porcentaje de la población cartagenera vinculada a las actividades y eventos deportivos, predeportivos y paralímpicos</t>
  </si>
  <si>
    <t>FOMENTO AL DEPORTE DE ALTO RENDIMIENTO</t>
  </si>
  <si>
    <t>Número de incentivos y/o apoyos otorgados a deportistas de alto rendimiento, convencionales y paralímpicos</t>
  </si>
  <si>
    <t>1.113
incentivos otorgados a deportistas en el cuatrienio 2020-2023
Fuente: IDER</t>
  </si>
  <si>
    <t>Entregar mil ciento treinta y dos (1.132) incentivos y/o apoyos para deportistas convencionales y paralímpicos</t>
  </si>
  <si>
    <t>Estímulos entregados</t>
  </si>
  <si>
    <r>
      <rPr>
        <b/>
        <u/>
        <sz val="14"/>
        <rFont val="Arial"/>
        <family val="2"/>
      </rPr>
      <t xml:space="preserve"> A corte de diciembre de 2024: </t>
    </r>
    <r>
      <rPr>
        <sz val="14"/>
        <rFont val="Arial"/>
        <family val="2"/>
      </rPr>
      <t>Se realizaron  61 actos administrativos de reconocimiento y estructuración a los organismos deportivos . Los apoyos entregados a través de los diferentes organimos deportivos han beneficiado aproximadamente a 11.445 personas. Se entregaron de enero a diciembre de 2024 diecisiete (17) estímulos a diferentes organismos deportivos como:1. Liga de  de Baloncesto de Bolívar, 2. y 3. Federación de Surf, 4. Corporación Rm deportes, 5. y 6. Liga de Fútbol de Bolivar, 7. Liga de Tennis de Bolívar, 8. Liga de Atletismo de Bolívar. 9. Liga de Voleibol de Bolívar, 10. y 11. Liiga de Sóftbol de Bolívar,12. Liga de Patinaje de Bol'ivar, 13. Liga de Fútbol de Salón de Bolívar, 14.  Club Deportivo Cararin, 15. Club Deportivo "Los Traviesos . 16. Federación Colombiana de Ciclismo y se entregó un estímulo al CLUB DEPORTIVO FUERZA ELITE CARTAGENA, a través de la Resolución No. 299  del  11 de septiembre de 2024 para participar en la Cuarta Parada De Campeonato Federado Nivel USAG Nacional</t>
    </r>
  </si>
  <si>
    <t>Número de incentivos y/o apoyos otorgados a ligas, clubes, federaciones y otras organizaciones deportivas</t>
  </si>
  <si>
    <t>283
incentivos otorgados a ligas, clubes, federaciones y otras organizaciones en el cuatrienio
2020-2023
Fuente: IDER</t>
  </si>
  <si>
    <t>Otorgar trescientos veinte (320) incentivos y/o apoyos para ligas, clubes, federaciones y otras organizaciones deportivas</t>
  </si>
  <si>
    <t xml:space="preserve">Organismos deportivos asistidos </t>
  </si>
  <si>
    <r>
      <rPr>
        <b/>
        <u/>
        <sz val="14"/>
        <rFont val="Arial"/>
        <family val="2"/>
      </rPr>
      <t xml:space="preserve">A corte de diciembre de 2024: </t>
    </r>
    <r>
      <rPr>
        <sz val="14"/>
        <rFont val="Arial"/>
        <family val="2"/>
      </rPr>
      <t>Se entregaron diecinueve  (19) estímulos a atletas de altos logros a través de resoluciones como lo son: No. 208 del 15 de julio de 2024, No. 210 del 15 de 2024, No. 266 del 21 de agosto de 2024, No. 267 del 21 de agosto de 2024, No. 273 del 29 de agosto de 2024, No. 274 del 29 de agosto de 2024, No. 275 del 29 de agosto de 2024, No. 276 del 29 de agosto de 2024, No. 277 del 29 de agosto de 2024,No. 278 del 29 de agosto de 2024,   No. 302 del 29 de agosto de 2024, No. 328 del 8 de octubre de 2024, No. 330 del 8 de octubre de 2024.y No. 371 del 13 de noviembre de 2024, No. 388 del 28 de noviembre de 2024.</t>
    </r>
    <r>
      <rPr>
        <sz val="14"/>
        <color rgb="FFFF0000"/>
        <rFont val="Arial"/>
        <family val="2"/>
      </rPr>
      <t xml:space="preserve">
</t>
    </r>
  </si>
  <si>
    <t>Avance Programa Fomento al deporte de alto rendimiento</t>
  </si>
  <si>
    <t>Incrementar a 2% el porcentaje de la población del Distrito vinculada en procesos de apropiación social del conocimiento del sector deportivo</t>
  </si>
  <si>
    <t>FORTALECIMIENTO DEL CAPITAL HUMANO A TRAVÉS DE LAS CIENCIAS APLICADAS AL DEPORTE Y LA RECREACIÓN.</t>
  </si>
  <si>
    <t>Número de personas participantes de procesos de apropiación social del conocimiento del sector deportivo</t>
  </si>
  <si>
    <t xml:space="preserve">19.231
personas participantes de procesos de apropiación
social del conocimiento del sector deportivo en el
cuatrienio 2020-2023
Fuente: Instituto de Deporte y Recreación,
2023 </t>
  </si>
  <si>
    <t>Vincular a veintiún mil quinientas (21.500) personas en procesos de apropiación social del conocimiento del sector deportivo</t>
  </si>
  <si>
    <t>Capacitaciones realizadas</t>
  </si>
  <si>
    <r>
      <rPr>
        <b/>
        <u/>
        <sz val="14"/>
        <color theme="1"/>
        <rFont val="Arial"/>
        <family val="2"/>
      </rPr>
      <t>Entre el mes de septiembre a diciembre de 2024</t>
    </r>
    <r>
      <rPr>
        <sz val="14"/>
        <color theme="1"/>
        <rFont val="Arial"/>
        <family val="2"/>
      </rPr>
      <t>: Se</t>
    </r>
    <r>
      <rPr>
        <sz val="14"/>
        <rFont val="Arial"/>
        <family val="2"/>
      </rPr>
      <t xml:space="preserve"> llevaron a cabo doce (12</t>
    </r>
    <r>
      <rPr>
        <sz val="14"/>
        <color theme="1"/>
        <rFont val="Arial"/>
        <family val="2"/>
      </rPr>
      <t>) actividades de apropiación social del conocimiento, entre las cuales se encuentran: Introducción a la clasificación funcional en para-atletismo, primeros auxilios: psicológicos y la feria universitaria para deportistas, foro interdisciplinar,Charla el deporte como transforma a Cartagena (Semana Cultural) y el primer Congreso Internacional IDER 2024 Deporte y Recreación con Visión de Futuro.</t>
    </r>
  </si>
  <si>
    <t>Número de documentos de investigación en memoria histórica del deporte cartagenero y bolivarense publicados</t>
  </si>
  <si>
    <t xml:space="preserve">10
documentos de investigación de memoria histórica del
deporte cartagenero y bolivarense  publicadas en el cuatrienio
2020-2023                               Fuente: Instituto de Deporte y Recreación,
2023                               </t>
  </si>
  <si>
    <t>Publicar doce (12) documentos de investigación en memoria histórica del deporte cartagenero y bolivarense</t>
  </si>
  <si>
    <t>Documentos de investigación realizados</t>
  </si>
  <si>
    <r>
      <rPr>
        <b/>
        <u/>
        <sz val="14"/>
        <color theme="1"/>
        <rFont val="Arial"/>
        <family val="2"/>
      </rPr>
      <t xml:space="preserve">En el mes de noviembre de 2024, </t>
    </r>
    <r>
      <rPr>
        <sz val="14"/>
        <color theme="1"/>
        <rFont val="Arial"/>
        <family val="2"/>
      </rPr>
      <t xml:space="preserve">se concluyó y público en la página web del  IDER la crónica Histórico-Deportiva de los juegos deportivos ancestrales comunales, JUEGOS NACIONALES DEPORTIVOS Y TRADICIONALES COMUNALES CARTAGENA PROTAGONISTA DE SU ORIGEN Y DESARROLLO además se realizaron en esta vigencia documentos y artículos como el diagnóstico del sector deporte y recreación del Distrito de Cartagena de Indiaspara el nuevoPlan de Desarrollo , Cartagena Ciudad de Derechos 2024-2027, se  público un  documento sobre Juegos Deportivos Distritales Intercolegiados en el país y el Distrito de Cartagena de Indias además se elaboró un  artículo histórico-deportivo, sobre el origen de los Juegos Deportivos Distritales Intercolegiados en el país y el Distrito de Cartagena de Indias para un total de 4 documentos publicados.
</t>
    </r>
  </si>
  <si>
    <t>Avance Programa Fortalecimiento del capital humano a atraves de las ciencias aplicadas al deporte y la recreacion</t>
  </si>
  <si>
    <t>FORTALECIMIENTO DEL DEPORTE FORMATIVO, ESTUDIANTIL Y LA EDUCACIÓN FÍSICA EXTRAESCOLAR</t>
  </si>
  <si>
    <t>Número de niños, niñas, adolescentes y jóvenes inscritos en la escuela de iniciación y formación deportiva</t>
  </si>
  <si>
    <t>6.613
niños, niñas, adolescentes y jóvenes  inscritos
en la escuela de iniciación y formación deportiva en 2023
Fuente: Instituto de Deporte y Recreación
, 2023</t>
  </si>
  <si>
    <t>Vincular a veintiséis mil ochocientos (26.800) niños, niñas, adolescentes y jóvenes en la escuela de iniciación y formación deportiva</t>
  </si>
  <si>
    <t>Niños, niñas, adolescentes y jóvenes inscritos en Escuelas Deportivas</t>
  </si>
  <si>
    <r>
      <rPr>
        <b/>
        <u/>
        <sz val="14"/>
        <color theme="1"/>
        <rFont val="Arial"/>
        <family val="2"/>
      </rPr>
      <t xml:space="preserve">A corte  de diciembre se reporta: </t>
    </r>
    <r>
      <rPr>
        <sz val="14"/>
        <color theme="1"/>
        <rFont val="Arial"/>
        <family val="2"/>
      </rPr>
      <t xml:space="preserve">Para este periodo se cierra esta vigencia en los procesos de los niveles de iniciación, formación, énfasis y perfeccionamiento deportiva. Se incrementaron 13 NNA a los procesos de la escuela, para un total de 6.762 Beneficiarios 
</t>
    </r>
    <r>
      <rPr>
        <b/>
        <sz val="14"/>
        <color theme="1"/>
        <rFont val="Arial"/>
        <family val="2"/>
      </rPr>
      <t xml:space="preserve">
</t>
    </r>
  </si>
  <si>
    <t>Número de núcleos de la escuela iniciativa y formación deportiva mantenidas y creados</t>
  </si>
  <si>
    <t>55                                                                                                                                                                                                                                                    núcleos de la escuela iniciativa y formación deportiva creados en el cuatrienio 2020-2023
Fuente: Instituto de Deporte y Recreación
, 2023</t>
  </si>
  <si>
    <t>Mantener cincuenta y cinco (55) y crear seis (6) núcleos de la escuela iniciativa y formación deportiva</t>
  </si>
  <si>
    <t>Escuelas deportivas implementadas</t>
  </si>
  <si>
    <r>
      <rPr>
        <b/>
        <u/>
        <sz val="14"/>
        <color theme="1"/>
        <rFont val="Arial"/>
        <family val="2"/>
      </rPr>
      <t>A corte de diciembre de 2024:</t>
    </r>
    <r>
      <rPr>
        <sz val="14"/>
        <color theme="1"/>
        <rFont val="Arial"/>
        <family val="2"/>
      </rPr>
      <t xml:space="preserve"> Se mantienen los 55 núcleos a lo largo de las tres localidades del Distrito de Cartagena de Indias, se trabajó en la organización y estructuración de la apertura de los núcleos de la EIFD en los barrios el  Pozón y los Alpes para la vigencia 2025.</t>
    </r>
  </si>
  <si>
    <t>Número de núcleos de educación física extraescolar creados</t>
  </si>
  <si>
    <t>N.D.</t>
  </si>
  <si>
    <t>Crear cuatro (4) núcleos de educación física extraescolar </t>
  </si>
  <si>
    <t>Instituciones educativas vinculadas al programa Supérate-Intercolegiados</t>
  </si>
  <si>
    <t>NP</t>
  </si>
  <si>
    <t>N/A</t>
  </si>
  <si>
    <r>
      <rPr>
        <b/>
        <u/>
        <sz val="14"/>
        <color theme="1"/>
        <rFont val="Arial"/>
        <family val="2"/>
      </rPr>
      <t>A corte de diciembre de 2024:</t>
    </r>
    <r>
      <rPr>
        <sz val="14"/>
        <color theme="1"/>
        <rFont val="Arial"/>
        <family val="2"/>
      </rPr>
      <t xml:space="preserve"> Se están trabajando en la estructuración y organización de los temas y actividades a desarrollar en cada núcleo de educación física extraescolar  con la finalidad de presentar a la Secretaria de Educación Distrital para poder realizar un convenio que facilten el desarrollo de esta meta. Las reuniones se realizarán a partir del mes de diciembre de 2024 y continuarán en el mes de enero de 2025. </t>
    </r>
  </si>
  <si>
    <t xml:space="preserve">Número de participantes en los diferentes eventos y/o torneos de las instituciones educativas y las universidades
</t>
  </si>
  <si>
    <t>24.893
participantes vinculados en los eventos y/o torneos de las instituciónes educativas y las universidades en el
cuatrienio 2020-2023
Fuente: Instituto de Deporte y Recreación
, 2023</t>
  </si>
  <si>
    <t>Vincular a veintiocho mil (28.000) participantes en los eventos y/o torneos de las instituciones educativas y las universidades</t>
  </si>
  <si>
    <t>Personas que acceden a servicios deportivos, recreativos y de actividad física</t>
  </si>
  <si>
    <r>
      <rPr>
        <b/>
        <u/>
        <sz val="14"/>
        <color theme="1"/>
        <rFont val="Arial"/>
        <family val="2"/>
      </rPr>
      <t xml:space="preserve">A corte de 31 de diciembre se reporta: </t>
    </r>
    <r>
      <rPr>
        <sz val="14"/>
        <color theme="1"/>
        <rFont val="Arial"/>
        <family val="2"/>
      </rPr>
      <t xml:space="preserve">
•	El día 9 al 15 de diciembre, se realizó acompañamiento de la Fase Nacional de los Juegos Intercolegiados en la ciudad de Manizales, coliseo mayor y menor de Manizales en los deportes individuales de Taekwondo, Futbol de Salón y Karate Do.
•	El día 6 diciembre, se realizó reunión con equipo de trabajo donde se socializo la finalización de la fase Distrital, Departamental y Nacional de los Juegos Intercolegiados, en las oficinas del IDER.
•	El día 2 diciembre, se realizó reunión con funcionarios de la Secretaria de Educación donde se tocaron temas de política pública y Juegos Intercolegiados, para mejoras del cuatrienio.7 asistentes.
•	El día 20 diciembre, socialización de los Juegos Intercolegiados regional y nacional en las oficinas IDER con el equipo de trabajo.</t>
    </r>
  </si>
  <si>
    <t xml:space="preserve">Número de instituciones
educativas participantes en
los Juegos Intercolegiado
</t>
  </si>
  <si>
    <t>162
instituciónes educativas participantes en los Juegos Intercolegiados en el año 2023
Fuente: Instituto de Deporte y Recreación , 2023</t>
  </si>
  <si>
    <t>Vincular a doscientas (200) Instituciones Educativas en los Juegos Intercolegiados</t>
  </si>
  <si>
    <t>Para este año 2024 , los Juegos Intercolegiados cuenta con la participación  de 140 instituciones educativas del Distrito de Cartagena de Indias , entre las instituciones educativas  inscritas encontramos: 1-  83 instituciones educativas oficiales, 2.- 57 instituciones educativas no oficiales.</t>
  </si>
  <si>
    <t>Avance Programa Fortalecimiento del deporte formativo estudiantil y la educacion fisica extraescolar</t>
  </si>
  <si>
    <t>FORTALECIMIENTO DEL DEPORTE SOCIAL COMUNITARIO,  AVANZAR EN NUESTRO TERRITORIO</t>
  </si>
  <si>
    <t>Número de personas participantes vinculadas en los eventos y/o torneos del deporte social comunitario</t>
  </si>
  <si>
    <t>60.489                                                                                                                                                                                                           participantes en eventos y torneos deportivos en promedio a corte 2023
Fuente: Instituto de Deporte y Recreación, 2023</t>
  </si>
  <si>
    <t>Vincular a sesenta y un mil (61.000) personas en los eventos y/o torneos del deporte social comunitario</t>
  </si>
  <si>
    <r>
      <rPr>
        <b/>
        <u/>
        <sz val="14"/>
        <color theme="1"/>
        <rFont val="Arial"/>
        <family val="2"/>
      </rPr>
      <t>A corte de diciembre de 2024:</t>
    </r>
    <r>
      <rPr>
        <sz val="14"/>
        <color theme="1"/>
        <rFont val="Arial"/>
        <family val="2"/>
      </rPr>
      <t xml:space="preserve">
Programaciones Competencias Futbol Sala Juegos Sumergidos en el Cambio – Población SRPA, 
Clausura y premiación de los Juegos Sumergidos en el Cambio – Población SRPA, Se desarrolló una 
actividad recreativa y predeportiva de la disciplina de natación, Pista de Habilidades de Ciclismo –              
Población SRPA, Final y premiación de la Disciplina de béisbol, Final y premiación 
de la Disciplina de Futbol se llevó a cabo en corregimiento de Ararca, Final y premiación de la Disciplina de 
Softbol se llevó a cabo en corregimiento de Ararca, Final y premiación de la Disciplina de Futbol de Salón Masculino 
se llevó a cabo en corregimiento de pasacaballo, Final y premiación de la Disciplina de béisbol, Entrega de uniformes
a la disciplina de Bate de Tapita Juegos Comunales 2024, Desarrollo de Actividad predeportiva de baloncesto con personas con 
              discapacidad de la Fundación Aluna, Apoyo con actividades predeportivas/ conmemoración del día Internacional 
              de la Discapacidad desarrollada con líderes comunitarios, Entrenamientos de natación con personas con discapacidad , 
              entre otras actividades 
</t>
    </r>
  </si>
  <si>
    <t>Avance Programa Fortalecimiento del deporte social comunitario,avanzar en nuestro territorio</t>
  </si>
  <si>
    <t>Incrementar a 34,5% el porcentaje de la población del Distrito vinculada a la actividad física y eventos recreativos</t>
  </si>
  <si>
    <t>PROMOCIÓN DE HÁBITOS Y ESTILOS DE VIDA SALUDABLE, RECREACIÓN, ACTIVIDAD FÍSICA Y EL APROVECHAMIENTO DEL TIEMPO LIBRE EN EL DISTRITO DE CARTAGENA</t>
  </si>
  <si>
    <t>Número de participantes vinculados en las estrategias y/o actividades de recreación comunitaria.</t>
  </si>
  <si>
    <t xml:space="preserve">169.148
participantes en las estrategias y/o actividades de recreación comunitaria en el cuatrienio 2020-2023
Fuente: Instituo de Depore y Recreación, 2023 </t>
  </si>
  <si>
    <t>Vincular a ciento ochenta mil (180.000) participantes en las estrategias y/o actividades de recreación comunitaria</t>
  </si>
  <si>
    <r>
      <t xml:space="preserve">A corte de diciembre de 2024:
</t>
    </r>
    <r>
      <rPr>
        <sz val="14"/>
        <color theme="1"/>
        <rFont val="Arial"/>
        <family val="2"/>
      </rPr>
      <t>Eventos Recreativos  Total Impactados: 57.272, Discriminados de la siguiente manera:
Recréate Cartagena :       Beneficiados 7.089       Mujeres:4321  y  Hombres: 2768 , Instituciones Activas:      Beneficiados 29.333      Mujeres:15.170 y  Hombres:14.163, Persona Mayor :               Beneficiados 3.216        Mujeres: 2.111   y  Hombres: 1.10, Recréate Incluyente         Beneficiados 1.648       Mujeres: 1.014   y Hombres: 634, Escuela Recreativa           Beneficiados 13.910      Mujeres:8.543  y    
Hombres: 5367, Campamentos Juveniles Beneficiados 2076         Mujeres:1055   y Hombres:1021, Aprovechamiento del Espacio Publico  Total Beneficiados: 26.903   Mujeres 14.814 y Hombres: 12089.</t>
    </r>
    <r>
      <rPr>
        <b/>
        <u/>
        <sz val="14"/>
        <color theme="1"/>
        <rFont val="Arial"/>
        <family val="2"/>
      </rPr>
      <t xml:space="preserve">
</t>
    </r>
  </si>
  <si>
    <t>Número de participantes vinculados a las estrategias de actividad física</t>
  </si>
  <si>
    <t xml:space="preserve">115.231
participantes vinculadas a las estrategias de actividad física en el
cuatrienio 2020-2023
Fuente: Instituo de Depore y Recreación, 2023 </t>
  </si>
  <si>
    <t>Vincular a ciento veinte mil (120.000) participantes a las estrategias de actividad física</t>
  </si>
  <si>
    <r>
      <rPr>
        <b/>
        <u/>
        <sz val="14"/>
        <color theme="1"/>
        <rFont val="Arial"/>
        <family val="2"/>
      </rPr>
      <t xml:space="preserve">A corte de diciembre de 2024: </t>
    </r>
    <r>
      <rPr>
        <sz val="14"/>
        <color theme="1"/>
        <rFont val="Arial"/>
        <family val="2"/>
      </rPr>
      <t xml:space="preserve">
Mejoramiento de los Estilos de Vida Mediante la Promoción Masiva de una Vida Activa
Total Personas impactadas desde Hábitos y Estilos de Vida Saludable: 
15.392 + 7.655 = 23.047 + 14.129 = 33.718.
Discriminado de la siguiente manera:
Entornos Saludables Total Beneficiados: 15.392, Madrúgale a la Salud Total Beneficiados: 2.781, 
Noches Saludables Total Beneficiados: 3.052, Caminante Saludable Total Beneficiados: 713, 
Actívate en el Parque Total Beneficiados: 608 además de los Eventos de Concentración (144)
Total impactados: 7.989  y los Eventos de Promoción (118) Total impactados: 6.140
</t>
    </r>
  </si>
  <si>
    <t>Avance Programa promocion de habitos y estilos de vida saludable,recreacion,actividad fisica y el aprovechamiento del tiempo libre en el distrito de cartagena</t>
  </si>
  <si>
    <t>CARTAGENA CIUDAD DESTINO DE TURISMO DEPORTIVO</t>
  </si>
  <si>
    <t>Número de eventos deportivos de carácter regional, nacional e internacional impulsados</t>
  </si>
  <si>
    <t>116                                                                                                                                                                                                                                                                       eventos deportivos carácter regional, nacional e internacional
impulsados en el cuatrienio 2020-2023
Fuente: Instituto de Deporte y Recreación, 2023</t>
  </si>
  <si>
    <t>Impulsar doscientos (200) eventos deportivos de carácter regional, nacional e internacional</t>
  </si>
  <si>
    <t>Eventos deportivos comunitarios realizados</t>
  </si>
  <si>
    <r>
      <rPr>
        <b/>
        <u/>
        <sz val="14"/>
        <color theme="1"/>
        <rFont val="Arial"/>
        <family val="2"/>
      </rPr>
      <t xml:space="preserve">De enero a  diciembre de 2024  </t>
    </r>
    <r>
      <rPr>
        <sz val="14"/>
        <color theme="1"/>
        <rFont val="Arial"/>
        <family val="2"/>
      </rPr>
      <t>: Se realizaron y/o apoyaron a sesenta (70) eventos deportivos , entre los cuales encontramos: 1. Torneo Internacional Súper Cup Cartagena 2024 , 2.Copa Liga Profesional De Béisbol Colombiana, 3.ISA World Para Surfing ChampionShip 2024/ Apoyo Fredy Marimon Oro Sorf Adaptad, 3.  Liga Baloncesto Bolívar / Copa Aguas de Cartagena –Ider , 4. ACIMASABOL / Asociación de Ciclismo de Bolívar, 5. Liga De Béisbol / Campeonato Nacional de beisbol Cat Sub 8, 6.  Liga Baloncesto/ Campeonato nacional Baloncesto U13 masculino y femenino, 7.Liga Profesional De Béisbol / Lanzamiento del equipo Tigres , 8.Torneo categoría Pre Junior / Apoyo Club de Béisbol Cararin , 9.Liga de Tenis / Torneo Nacional Grado 3 , 10. Liga de Tenis / ITF J60, 11.Club Deportivo dinastía Moreno / World Organization of Baseball Classic Sub-13, 12. Fundación a La Rueda Rueda / Torneo De Ajedrez Del Caribe, 13. Club Titanes de Natación / Torneo Master Titanes, 14.  Valida de Ciclismo de Bolívar /ACISMABOL, 15.Derby de Jonrones, 16. Partido de Integración / Futbol para el Pueblo, 17. Carrera de Run y Sup – 3k de Running – 1k de Sup (Stand Up Paddle),18.  Juego de la Estrellas ,de Futbol Bolivarense,  19 X Mundialito Cartagena de Indias 2024, entre otros.</t>
    </r>
  </si>
  <si>
    <t>Número de personas vinculadas a los eventos deportivos de carácter regional, nacional e internacional</t>
  </si>
  <si>
    <t>50.000
personas vinculadas a los eventos deportivos de carácter regional, 
nacional e internacional en el cuatrienio 2020-2023 .                                                                                                                                                          Fuente: Instituto de Deporte y Recreación, 2023</t>
  </si>
  <si>
    <t>Vincular a sesenta mil (60.000) personas a los eventos deportivos de carácter regional, nacional e internacional</t>
  </si>
  <si>
    <r>
      <rPr>
        <b/>
        <u/>
        <sz val="14"/>
        <color theme="1"/>
        <rFont val="Arial"/>
        <family val="2"/>
      </rPr>
      <t xml:space="preserve">De enero a  diciembre de 2024  : </t>
    </r>
    <r>
      <rPr>
        <sz val="14"/>
        <color theme="1"/>
        <rFont val="Arial"/>
        <family val="2"/>
      </rPr>
      <t>Se realizaron y/o apoyaron a sesenta (70) eventos deportivos , entre los cuales encontramos: 1. Torneo Internacional Súper Cup Cartagena 2024 , 2.Copa Liga Profesional De Béisbol Colombiana, 3.ISA World Para Surfing ChampionShip 2024/ Apoyo Fredy Marimon Oro Sorf Adaptad, 3.  Liga Baloncesto Bolívar / Copa Aguas de Cartagena –Ider , 4. ACIMASABOL / Asociación de Ciclismo de Bolívar, 5. Liga De Béisbol / Campeonato Nacional de beisbol Cat Sub 8, 6.  Liga Baloncesto/ Campeonato nacional Baloncesto U13 masculino y femenino, 7.Liga Profesional De Béisbol / Lanzamiento del equipo Tigres , 8.Torneo categoría Pre Junior / Apoyo Club de Béisbol Cararin , 9.Liga de Tenis / Torneo Nacional Grado 3 , 10. Liga de Tenis / ITF J60, 11.Club Deportivo dinastía Moreno / World Organization of Baseball Classic Sub-13, 12. Fundación a La Rueda Rueda / Torneo De Ajedrez Del Caribe, 13. Club Titanes de Natación / Torneo Master Titanes, 14.  Valida de Ciclismo de Bolívar /ACISMABOL, 15.Derby de Jonrones, 16. Partido de Integración / Futbol para el Pueblo, 17. Carrera de Run y Sup – 3k de Running – 1k de Sup (Stand Up Paddle),18.  Juego de la Estrellas ,de Futbol Bolivarense,  19 X Mundialito Cartagena de Indias 2024, entre otros.</t>
    </r>
  </si>
  <si>
    <t>Número de eventos recreativos de carácter regional, nacional e internacional impulsados</t>
  </si>
  <si>
    <t>87                                                                                                                                                                                                                                           eventos recreativos de carácter regional, nacional e internacional
impulsados en  el cuatrienio 2020-2023                                                                                                                                                                               Fuente: Instituto de Deporte y Recreación, 2023</t>
  </si>
  <si>
    <t>Impulsar noventa y seis (96) eventos recreativos de carácter regional, nacional e internacional</t>
  </si>
  <si>
    <r>
      <rPr>
        <b/>
        <u/>
        <sz val="14"/>
        <color theme="1"/>
        <rFont val="Arial"/>
        <family val="2"/>
      </rPr>
      <t xml:space="preserve">De enero a  diciembre de 2024 </t>
    </r>
    <r>
      <rPr>
        <sz val="14"/>
        <color theme="1"/>
        <rFont val="Arial"/>
        <family val="2"/>
      </rPr>
      <t xml:space="preserve"> se realizarone treinta y cinco (35) eventos entre  actividad física y  actividades recreativas , para el período del 21 de noviembre al 30 de diciembre de 2024 se realizaron cinco eventos entre los cuales encontramos:   Joven Saludable al Parque
Centro Cultural El Socorro-Total impactados: 228 -Mujeres: 169- Hombres: 59. 
12.12.2024- Joven Saludable al Parque-Centro Cultural El Socorro-Total impactados: 250-Mujeres: 191
Hombres: 59. 13.12.2024-Clausura Joven Saludable Vive la Danza, Vive el -Centro Cultural El Socorro-Total impactados: 400-Mujeres: 280-Hombres: 120. 21.12.2024-Clausura de los Programas Recreativos del Área de Recreación -Templo del Fútbol Menor de Alameda la Victoria-Total Impactados: 1.626-Mujeres: 1.532-. Hombres: 94. 27.12.2024-Actívate en Navidad-Estadio de Fútbol de San Fernando-Total Impactados: 1.244-Mujeres: 1.176Hombres: 68</t>
    </r>
  </si>
  <si>
    <t>Número de personas vinculadas a los eventos recreativos de carácter regional, nacional e internacional</t>
  </si>
  <si>
    <t>59.467
personas vinculadas a los eventos recreativos de carácter regional, nacional e internacional en el cuatrienio 2020-2023
Fuente:Instituto de Deporte y Recreación,2023</t>
  </si>
  <si>
    <t>Vincular a sesenta y cinco mil (65.000) personas a los eventos recreativos de carácter regional, nacional e internacional</t>
  </si>
  <si>
    <t>Personas beneficiadas</t>
  </si>
  <si>
    <t xml:space="preserve">Avance Programa Cartagena ciudad destino de turismo deportivo </t>
  </si>
  <si>
    <t>DESARROLLO HUMANO Y BIENESTAR SOCIAL DE LAS COMUNIDADES NEGRAS, AFROCOLOMBIANAS, RAIZALES Y PALENQUERAS</t>
  </si>
  <si>
    <t>Torneos Intercomunitarios de Juegos Tradicionales desarrollados</t>
  </si>
  <si>
    <t>Desarrollar cuatro (4) torneos intercomunitarios de juegos tradicionales, concertado con los Consejos Comunitarios (bate de tapita, bola de trapo, trompo, dominó, entre otros)</t>
  </si>
  <si>
    <r>
      <rPr>
        <b/>
        <u/>
        <sz val="14"/>
        <rFont val="Arial"/>
        <family val="2"/>
      </rPr>
      <t>A corte  de diciembre se reporta:</t>
    </r>
    <r>
      <rPr>
        <sz val="14"/>
        <color theme="1"/>
        <rFont val="Arial"/>
        <family val="2"/>
      </rPr>
      <t xml:space="preserve">
Se realizó el proceso de inscripción a los juegos tradicionales de las comunidades Afro logrando registrar 1.250 personas; así mismo se realizaron socializaciones y reuniones para dar a conocer los sistemas de competencias y los referentes técnicos de estos, se construyó el plan de trabajo y cronogramas de los juegos,.se realizaron dos procesos de contratación los cuales fueron declarados desiertos.</t>
    </r>
  </si>
  <si>
    <t xml:space="preserve">Torneos Competencias del Mar desarrollados con los Consejos Comunitarios </t>
  </si>
  <si>
    <t>Desarrollar cuatro (4) torneos de competencias del mar concertado con los Consejos Comunitarios (canotaje, competencia de atarrayas, pesca, tejidos, entre otros)</t>
  </si>
  <si>
    <r>
      <rPr>
        <b/>
        <u/>
        <sz val="14"/>
        <rFont val="Arial"/>
        <family val="2"/>
      </rPr>
      <t>A corte de diciembre se reporta:</t>
    </r>
    <r>
      <rPr>
        <sz val="14"/>
        <color theme="1"/>
        <rFont val="Arial"/>
        <family val="2"/>
      </rPr>
      <t xml:space="preserve">
Se realizó el proceso de inscripción a los juegos tradicionales de las comunidades Afro logrando registrar 1.250 personas; así mismo se realizaron socializaciones y reuniones para dar a conocer los sistemas de competencias y los referentes técnicos de estos, se construyó el plan de trabajo y cronogramas de los juegos,.se realizaron dos procesos de contratación los cuales fueron declarados desiertos.</t>
    </r>
  </si>
  <si>
    <t>Avance Programa desarrollo humano bienestar social de las comunidades negras,afrocolombianas,raizales y palenqueras</t>
  </si>
  <si>
    <t>ATENCIÓN INTEGRAL PARA LAS COMUNIDADES INDÍGENAS</t>
  </si>
  <si>
    <t xml:space="preserve">Torneos de Juegos ancentrales y convencionales indígenas realizados en los seis cabildos indígenas asentados en el Distrito desarrollados  </t>
  </si>
  <si>
    <t>1                                                                                                                                                                                                                                                torneo de juegos ancestrales desarrollado en 2023
Fuente:Instituto de Deporte y Recreación, 2023</t>
  </si>
  <si>
    <t>Desarrollar cuatro (4) torneos de juegos ancestrales y convencionales indígenas en los seis Cabildos Indígenas asentados en el Distrito</t>
  </si>
  <si>
    <r>
      <rPr>
        <b/>
        <u/>
        <sz val="14"/>
        <color theme="1"/>
        <rFont val="Arial"/>
        <family val="2"/>
      </rPr>
      <t>A corte de diciembre se reporta:</t>
    </r>
    <r>
      <rPr>
        <sz val="14"/>
        <color theme="1"/>
        <rFont val="Arial"/>
        <family val="2"/>
      </rPr>
      <t xml:space="preserve">
Se realizó el proceso de inscripción a los juegos a las comunidades Indígenas logrando registrar 470 personas; así mismo se realizaron socializaciones y reuniones para dar a conocer los sistemas de competencias y los referentes técnicos de estos, se construyó el plan de trabajo y cronogramas de los juegos, se realizaron dos procesos de contratación los cuales fueron  declarados desiertos</t>
    </r>
    <r>
      <rPr>
        <b/>
        <sz val="14"/>
        <rFont val="Arial"/>
        <family val="2"/>
      </rPr>
      <t>.</t>
    </r>
  </si>
  <si>
    <t>Avance Programa atencion integral para las comunidades indigenas</t>
  </si>
  <si>
    <t>AVANCE ESTRATEGICO DE LA DEPENDENCIA AGOSTO 30 2024</t>
  </si>
  <si>
    <t>AVANCE ESTRATEGICO DEL IDER DICIEMBRE 31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</si>
</sst>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quot;$&quot;\ * #,##0.00_-;_-&quot;$&quot;\ * &quot;-&quot;??_-;_-@_-"/>
    <numFmt numFmtId="165" formatCode="0.0%"/>
  </numFmts>
  <fonts count="14">
    <font>
      <sz val="11"/>
      <color theme="1"/>
      <name val="Aptos Narrow"/>
      <family val="2"/>
      <scheme val="minor"/>
    </font>
    <font>
      <sz val="11"/>
      <color theme="1"/>
      <name val="Aptos Narrow"/>
      <family val="2"/>
      <scheme val="minor"/>
    </font>
    <font>
      <sz val="11"/>
      <color theme="1"/>
      <name val="Arial"/>
      <family val="2"/>
    </font>
    <font>
      <b/>
      <sz val="11"/>
      <color theme="1"/>
      <name val="Arial"/>
      <family val="2"/>
    </font>
    <font>
      <sz val="10"/>
      <name val="Arial"/>
      <family val="2"/>
    </font>
    <font>
      <b/>
      <sz val="14"/>
      <color theme="1"/>
      <name val="Arial"/>
      <family val="2"/>
    </font>
    <font>
      <b/>
      <sz val="14"/>
      <name val="Arial"/>
      <family val="2"/>
    </font>
    <font>
      <sz val="14"/>
      <color theme="1"/>
      <name val="Arial"/>
      <family val="2"/>
    </font>
    <font>
      <sz val="14"/>
      <color rgb="FFFF0000"/>
      <name val="Arial"/>
      <family val="2"/>
    </font>
    <font>
      <b/>
      <u/>
      <sz val="14"/>
      <color theme="1"/>
      <name val="Arial"/>
      <family val="2"/>
    </font>
    <font>
      <b/>
      <sz val="14"/>
      <color rgb="FFFF0000"/>
      <name val="Arial"/>
      <family val="2"/>
    </font>
    <font>
      <sz val="14"/>
      <name val="Arial"/>
      <family val="2"/>
    </font>
    <font>
      <b/>
      <u/>
      <sz val="14"/>
      <name val="Arial"/>
      <family val="2"/>
    </font>
    <font>
      <sz val="14"/>
      <color rgb="FF000000"/>
      <name val="Arial"/>
      <family val="2"/>
    </font>
  </fonts>
  <fills count="8">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4" fillId="0" borderId="0"/>
  </cellStyleXfs>
  <cellXfs count="91">
    <xf numFmtId="0" fontId="0" fillId="0" borderId="0" xfId="0"/>
    <xf numFmtId="0" fontId="3" fillId="2" borderId="1" xfId="3" applyFont="1" applyFill="1" applyBorder="1" applyAlignment="1">
      <alignment horizontal="right" vertical="center"/>
    </xf>
    <xf numFmtId="0" fontId="2" fillId="2" borderId="0" xfId="0" applyFont="1" applyFill="1" applyAlignment="1">
      <alignment horizontal="right" vertical="center"/>
    </xf>
    <xf numFmtId="0" fontId="2" fillId="2" borderId="0" xfId="0" applyFont="1" applyFill="1"/>
    <xf numFmtId="0" fontId="2" fillId="2" borderId="0" xfId="0" applyFont="1" applyFill="1" applyAlignment="1">
      <alignment horizontal="center"/>
    </xf>
    <xf numFmtId="0" fontId="3" fillId="2" borderId="2" xfId="0" applyFont="1" applyFill="1" applyBorder="1" applyAlignment="1">
      <alignment horizontal="center" vertical="center" wrapText="1"/>
    </xf>
    <xf numFmtId="0" fontId="3" fillId="2" borderId="3" xfId="3" applyFont="1" applyFill="1" applyBorder="1" applyAlignment="1">
      <alignment horizontal="right" vertical="center"/>
    </xf>
    <xf numFmtId="0" fontId="7" fillId="2" borderId="0" xfId="0" applyFont="1" applyFill="1"/>
    <xf numFmtId="0" fontId="5"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2" borderId="4"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6" xfId="0" applyFont="1" applyFill="1" applyBorder="1" applyAlignment="1">
      <alignment horizontal="center" vertical="center" wrapText="1"/>
    </xf>
    <xf numFmtId="0" fontId="7" fillId="0" borderId="1" xfId="0" applyFont="1" applyBorder="1" applyAlignment="1">
      <alignment horizontal="center" vertical="center"/>
    </xf>
    <xf numFmtId="0" fontId="7" fillId="2" borderId="1" xfId="0" applyFont="1" applyFill="1" applyBorder="1" applyAlignment="1">
      <alignment horizontal="center" vertical="center" wrapText="1"/>
    </xf>
    <xf numFmtId="9" fontId="7" fillId="0" borderId="1" xfId="2" applyFont="1" applyBorder="1" applyAlignment="1">
      <alignment horizontal="center" vertical="center" wrapText="1"/>
    </xf>
    <xf numFmtId="0" fontId="7" fillId="2" borderId="1" xfId="0" applyFont="1" applyFill="1" applyBorder="1"/>
    <xf numFmtId="10" fontId="7" fillId="0" borderId="1" xfId="2" applyNumberFormat="1" applyFont="1" applyBorder="1" applyAlignment="1">
      <alignment horizontal="center" vertical="center" wrapText="1"/>
    </xf>
    <xf numFmtId="10" fontId="10" fillId="7" borderId="1" xfId="2" applyNumberFormat="1" applyFont="1" applyFill="1" applyBorder="1" applyAlignment="1">
      <alignment horizontal="center" vertical="center" wrapText="1"/>
    </xf>
    <xf numFmtId="9" fontId="10" fillId="7" borderId="1" xfId="2" applyFont="1" applyFill="1" applyBorder="1" applyAlignment="1">
      <alignment horizontal="center" vertical="center" wrapText="1"/>
    </xf>
    <xf numFmtId="9" fontId="10" fillId="2" borderId="1" xfId="2" applyFont="1" applyFill="1" applyBorder="1" applyAlignment="1">
      <alignment horizontal="center" vertical="center" wrapText="1"/>
    </xf>
    <xf numFmtId="164" fontId="7" fillId="0" borderId="1" xfId="1" applyFont="1" applyBorder="1" applyAlignment="1">
      <alignment horizontal="right" vertical="center" wrapText="1"/>
    </xf>
    <xf numFmtId="10" fontId="7" fillId="0" borderId="1" xfId="2" applyNumberFormat="1" applyFont="1" applyBorder="1" applyAlignment="1">
      <alignment horizontal="right" vertical="center" wrapText="1"/>
    </xf>
    <xf numFmtId="3" fontId="7" fillId="2" borderId="1" xfId="0" applyNumberFormat="1" applyFont="1" applyFill="1" applyBorder="1" applyAlignment="1">
      <alignment horizontal="center" vertical="center" wrapText="1"/>
    </xf>
    <xf numFmtId="10" fontId="10" fillId="2" borderId="1" xfId="2" applyNumberFormat="1" applyFont="1" applyFill="1" applyBorder="1" applyAlignment="1">
      <alignment horizontal="center" vertical="center" wrapText="1"/>
    </xf>
    <xf numFmtId="165" fontId="7" fillId="0" borderId="1" xfId="2" applyNumberFormat="1" applyFont="1" applyBorder="1" applyAlignment="1">
      <alignment horizontal="center" vertical="center" wrapText="1"/>
    </xf>
    <xf numFmtId="3" fontId="7" fillId="0" borderId="1" xfId="0" applyNumberFormat="1" applyFont="1" applyBorder="1" applyAlignment="1">
      <alignment horizontal="center" vertical="center" wrapText="1"/>
    </xf>
    <xf numFmtId="164" fontId="13" fillId="0" borderId="10" xfId="1" applyFont="1" applyBorder="1" applyAlignment="1">
      <alignment horizontal="right" vertical="center" wrapText="1" readingOrder="1"/>
    </xf>
    <xf numFmtId="9" fontId="7" fillId="0" borderId="1" xfId="2" applyFont="1" applyFill="1" applyBorder="1" applyAlignment="1">
      <alignment horizontal="center" vertical="center" wrapText="1"/>
    </xf>
    <xf numFmtId="9" fontId="7" fillId="2" borderId="1" xfId="2" applyFont="1" applyFill="1" applyBorder="1" applyAlignment="1">
      <alignment horizontal="center" vertical="center" wrapText="1"/>
    </xf>
    <xf numFmtId="3" fontId="7" fillId="2" borderId="1" xfId="0" applyNumberFormat="1" applyFont="1" applyFill="1" applyBorder="1" applyAlignment="1">
      <alignment horizontal="center" vertical="center"/>
    </xf>
    <xf numFmtId="0" fontId="7" fillId="2" borderId="2" xfId="0" applyFont="1" applyFill="1" applyBorder="1" applyAlignment="1">
      <alignment horizontal="center" vertical="center" wrapText="1"/>
    </xf>
    <xf numFmtId="0" fontId="7" fillId="0" borderId="0" xfId="0" applyFont="1" applyAlignment="1">
      <alignment horizontal="center" vertical="center"/>
    </xf>
    <xf numFmtId="0" fontId="7" fillId="2" borderId="0" xfId="0" applyFont="1" applyFill="1" applyAlignment="1">
      <alignment vertical="center"/>
    </xf>
    <xf numFmtId="9" fontId="10" fillId="7" borderId="0" xfId="0" applyNumberFormat="1" applyFont="1" applyFill="1" applyAlignment="1">
      <alignment horizontal="center" vertical="center"/>
    </xf>
    <xf numFmtId="0" fontId="7" fillId="2" borderId="0" xfId="0" applyFont="1" applyFill="1" applyAlignment="1">
      <alignment horizontal="right" vertical="center"/>
    </xf>
    <xf numFmtId="0" fontId="7" fillId="2" borderId="0" xfId="0" applyFont="1" applyFill="1" applyAlignment="1">
      <alignment horizontal="center" vertical="center"/>
    </xf>
    <xf numFmtId="0" fontId="10" fillId="2" borderId="1" xfId="0" applyFont="1" applyFill="1" applyBorder="1" applyAlignment="1">
      <alignment vertical="center" wrapText="1"/>
    </xf>
    <xf numFmtId="9" fontId="10" fillId="2" borderId="0" xfId="2" applyFont="1" applyFill="1" applyBorder="1" applyAlignment="1">
      <alignment horizontal="center" vertical="center"/>
    </xf>
    <xf numFmtId="164" fontId="10" fillId="7" borderId="0" xfId="0" applyNumberFormat="1" applyFont="1" applyFill="1" applyAlignment="1">
      <alignment horizontal="right" vertical="center"/>
    </xf>
    <xf numFmtId="10" fontId="10" fillId="7" borderId="0" xfId="2" applyNumberFormat="1" applyFont="1" applyFill="1" applyAlignment="1">
      <alignment horizontal="right" vertical="center"/>
    </xf>
    <xf numFmtId="0" fontId="2" fillId="2" borderId="0" xfId="0" applyFont="1" applyFill="1" applyAlignment="1">
      <alignment vertical="center"/>
    </xf>
    <xf numFmtId="0" fontId="2" fillId="2" borderId="0" xfId="0" applyFont="1" applyFill="1" applyAlignment="1">
      <alignment horizontal="center" vertical="center"/>
    </xf>
    <xf numFmtId="0" fontId="2" fillId="2" borderId="0" xfId="0" applyFont="1" applyFill="1" applyAlignment="1">
      <alignment horizontal="center" vertical="center" wrapText="1"/>
    </xf>
    <xf numFmtId="0" fontId="3" fillId="0" borderId="2" xfId="0" applyFont="1" applyBorder="1" applyAlignment="1">
      <alignment horizontal="center" vertical="center" wrapText="1"/>
    </xf>
    <xf numFmtId="9" fontId="7" fillId="0" borderId="1" xfId="0" applyNumberFormat="1" applyFont="1" applyBorder="1" applyAlignment="1">
      <alignment horizontal="center" vertical="center" wrapText="1"/>
    </xf>
    <xf numFmtId="0" fontId="10" fillId="0" borderId="1" xfId="0" applyFont="1" applyBorder="1" applyAlignment="1">
      <alignment vertical="center" wrapText="1"/>
    </xf>
    <xf numFmtId="0" fontId="2" fillId="0" borderId="0" xfId="0" applyFont="1" applyAlignment="1">
      <alignment horizontal="center" vertical="center"/>
    </xf>
    <xf numFmtId="10" fontId="7" fillId="0" borderId="1" xfId="2" applyNumberFormat="1" applyFont="1" applyFill="1" applyBorder="1" applyAlignment="1">
      <alignment horizontal="center" vertical="center" wrapText="1"/>
    </xf>
    <xf numFmtId="10" fontId="11" fillId="0" borderId="1" xfId="2" applyNumberFormat="1" applyFont="1" applyFill="1" applyBorder="1" applyAlignment="1">
      <alignment horizontal="center" vertical="center" wrapText="1"/>
    </xf>
    <xf numFmtId="10" fontId="8" fillId="0" borderId="1" xfId="2" applyNumberFormat="1" applyFont="1" applyFill="1" applyBorder="1" applyAlignment="1">
      <alignment horizontal="center" vertical="center" wrapText="1"/>
    </xf>
    <xf numFmtId="0" fontId="5" fillId="0" borderId="0" xfId="0" applyFont="1" applyAlignment="1">
      <alignment horizontal="center" vertical="center" wrapText="1"/>
    </xf>
    <xf numFmtId="0" fontId="7" fillId="0" borderId="0" xfId="0" applyFont="1" applyAlignment="1">
      <alignment horizontal="center" vertical="center" wrapText="1"/>
    </xf>
    <xf numFmtId="10" fontId="9" fillId="0" borderId="1" xfId="2" applyNumberFormat="1" applyFont="1" applyFill="1" applyBorder="1" applyAlignment="1">
      <alignment horizontal="center" vertical="center" wrapText="1"/>
    </xf>
    <xf numFmtId="0" fontId="7" fillId="0" borderId="0" xfId="0" applyFont="1" applyAlignment="1">
      <alignment horizontal="justify" vertical="center" wrapText="1"/>
    </xf>
    <xf numFmtId="0" fontId="5" fillId="0" borderId="5" xfId="0" applyFont="1" applyBorder="1" applyAlignment="1">
      <alignment horizontal="center" vertical="center" wrapText="1"/>
    </xf>
    <xf numFmtId="9" fontId="7" fillId="0" borderId="5" xfId="2" applyFont="1" applyBorder="1" applyAlignment="1">
      <alignment horizontal="center" vertical="center" wrapText="1"/>
    </xf>
    <xf numFmtId="9" fontId="10" fillId="7" borderId="5" xfId="0" applyNumberFormat="1" applyFont="1" applyFill="1" applyBorder="1" applyAlignment="1">
      <alignment horizontal="center" vertical="center"/>
    </xf>
    <xf numFmtId="10" fontId="10" fillId="7" borderId="5" xfId="2" applyNumberFormat="1" applyFont="1" applyFill="1" applyBorder="1" applyAlignment="1">
      <alignment horizontal="center" vertical="center"/>
    </xf>
    <xf numFmtId="164" fontId="7" fillId="0" borderId="4" xfId="1" applyFont="1" applyBorder="1" applyAlignment="1">
      <alignment horizontal="right" vertical="center" wrapText="1"/>
    </xf>
    <xf numFmtId="164" fontId="7" fillId="0" borderId="8" xfId="1" applyFont="1" applyBorder="1" applyAlignment="1">
      <alignment horizontal="right" vertical="center" wrapText="1"/>
    </xf>
    <xf numFmtId="164" fontId="7" fillId="0" borderId="7" xfId="1" applyFont="1" applyBorder="1" applyAlignment="1">
      <alignment horizontal="right" vertical="center" wrapText="1"/>
    </xf>
    <xf numFmtId="10" fontId="7" fillId="0" borderId="4" xfId="2" applyNumberFormat="1" applyFont="1" applyBorder="1" applyAlignment="1">
      <alignment horizontal="right" vertical="center" wrapText="1"/>
    </xf>
    <xf numFmtId="10" fontId="7" fillId="0" borderId="8" xfId="2" applyNumberFormat="1" applyFont="1" applyBorder="1" applyAlignment="1">
      <alignment horizontal="right" vertical="center" wrapText="1"/>
    </xf>
    <xf numFmtId="10" fontId="7" fillId="0" borderId="7" xfId="2" applyNumberFormat="1" applyFont="1" applyBorder="1" applyAlignment="1">
      <alignment horizontal="right" vertical="center" wrapText="1"/>
    </xf>
    <xf numFmtId="0" fontId="10" fillId="2" borderId="1"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7" xfId="0" applyFont="1" applyFill="1" applyBorder="1" applyAlignment="1">
      <alignment horizontal="center" vertical="center"/>
    </xf>
    <xf numFmtId="0" fontId="7" fillId="0" borderId="8" xfId="2" applyNumberFormat="1" applyFont="1" applyBorder="1" applyAlignment="1">
      <alignment horizontal="right" vertical="center" wrapText="1"/>
    </xf>
    <xf numFmtId="0" fontId="5" fillId="5" borderId="4" xfId="0" applyFont="1" applyFill="1" applyBorder="1" applyAlignment="1">
      <alignment horizontal="center" vertical="center" wrapText="1"/>
    </xf>
    <xf numFmtId="0" fontId="5" fillId="5" borderId="7" xfId="0" applyFont="1" applyFill="1" applyBorder="1" applyAlignment="1">
      <alignment horizontal="center" vertical="center" wrapText="1"/>
    </xf>
    <xf numFmtId="164" fontId="5" fillId="6" borderId="1" xfId="1"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7" xfId="0" applyFont="1" applyFill="1" applyBorder="1" applyAlignment="1">
      <alignment horizontal="center" vertical="center" wrapText="1"/>
    </xf>
  </cellXfs>
  <cellStyles count="4">
    <cellStyle name="Moneda" xfId="1" builtinId="4"/>
    <cellStyle name="Normal" xfId="0" builtinId="0"/>
    <cellStyle name="Normal 2" xfId="3" xr:uid="{D5D13947-70D1-417C-B6DE-E0A9006D32A8}"/>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413010" cy="1047750"/>
    <xdr:pic>
      <xdr:nvPicPr>
        <xdr:cNvPr id="2" name="Imagen 1">
          <a:extLst>
            <a:ext uri="{FF2B5EF4-FFF2-40B4-BE49-F238E27FC236}">
              <a16:creationId xmlns:a16="http://schemas.microsoft.com/office/drawing/2014/main" id="{FFB9D984-DC2E-4A04-A2E7-ACE0C24C016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oneCellAnchor>
    <xdr:from>
      <xdr:col>0</xdr:col>
      <xdr:colOff>0</xdr:colOff>
      <xdr:row>0</xdr:row>
      <xdr:rowOff>0</xdr:rowOff>
    </xdr:from>
    <xdr:ext cx="1413010" cy="1047750"/>
    <xdr:pic>
      <xdr:nvPicPr>
        <xdr:cNvPr id="3" name="Imagen 2">
          <a:extLst>
            <a:ext uri="{FF2B5EF4-FFF2-40B4-BE49-F238E27FC236}">
              <a16:creationId xmlns:a16="http://schemas.microsoft.com/office/drawing/2014/main" id="{67FC0959-C882-423D-8BD3-24566C78BB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persons/person.xml><?xml version="1.0" encoding="utf-8"?>
<personList xmlns="http://schemas.microsoft.com/office/spreadsheetml/2018/threadedcomments" xmlns:x="http://schemas.openxmlformats.org/spreadsheetml/2006/main">
  <person displayName="Elisa Barcenas" id="{18932930-DC2B-4806-A7CF-E0059A702917}" userId="c3d118da0a680044"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I22" dT="2024-11-29T01:40:39.41" personId="{18932930-DC2B-4806-A7CF-E0059A702917}" id="{595DE69D-25DF-4881-ADDF-7C477167BF75}">
    <text>Se coloca 0 para esta vigencia, teniendo en cuenta que no se programó esta meta para la vigencia 2024.
A partir del 2025 será de 15%.</text>
  </threadedComment>
  <threadedComment ref="I24" dT="2024-11-29T01:41:37.46" personId="{18932930-DC2B-4806-A7CF-E0059A702917}" id="{2CC04A8C-BBA1-4A36-8302-6A53D7635CDA}">
    <text xml:space="preserve">Se programó 25% en 2024 para compensar que hay una meta que no está programada y cuyo peso es 0%. A partir del 2025 corresponderá a 10%. </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5A43D-F659-4581-81D4-33E844E95434}">
  <sheetPr>
    <tabColor theme="9" tint="0.59999389629810485"/>
  </sheetPr>
  <dimension ref="A1:Y103"/>
  <sheetViews>
    <sheetView tabSelected="1" topLeftCell="A7" zoomScale="60" zoomScaleNormal="60" workbookViewId="0">
      <pane ySplit="1" topLeftCell="A8" activePane="bottomLeft" state="frozen"/>
      <selection pane="bottomLeft" activeCell="A7" sqref="A7:A8"/>
      <selection activeCell="N7" sqref="N7"/>
    </sheetView>
  </sheetViews>
  <sheetFormatPr defaultColWidth="11.42578125" defaultRowHeight="14.25"/>
  <cols>
    <col min="1" max="1" width="21.5703125" style="3" bestFit="1" customWidth="1"/>
    <col min="2" max="2" width="39" style="3" bestFit="1" customWidth="1"/>
    <col min="3" max="3" width="42.140625" style="3" bestFit="1" customWidth="1"/>
    <col min="4" max="4" width="59.140625" style="3" bestFit="1" customWidth="1"/>
    <col min="5" max="5" width="38.7109375" style="3" bestFit="1" customWidth="1"/>
    <col min="6" max="6" width="27.85546875" style="3" bestFit="1" customWidth="1"/>
    <col min="7" max="7" width="57.42578125" style="3" bestFit="1" customWidth="1"/>
    <col min="8" max="8" width="34.85546875" style="42" bestFit="1" customWidth="1"/>
    <col min="9" max="9" width="28.42578125" style="47" customWidth="1"/>
    <col min="10" max="10" width="10.85546875" style="47" bestFit="1" customWidth="1"/>
    <col min="11" max="11" width="10.42578125" style="42" bestFit="1" customWidth="1"/>
    <col min="12" max="12" width="48.7109375" style="42" bestFit="1" customWidth="1"/>
    <col min="13" max="13" width="24.42578125" style="42" bestFit="1" customWidth="1"/>
    <col min="14" max="14" width="23.140625" style="42" bestFit="1" customWidth="1"/>
    <col min="15" max="15" width="30.42578125" style="42" bestFit="1" customWidth="1"/>
    <col min="16" max="16" width="25.140625" style="42" bestFit="1" customWidth="1"/>
    <col min="17" max="17" width="22" style="42" bestFit="1" customWidth="1"/>
    <col min="18" max="20" width="22" style="42" customWidth="1"/>
    <col min="21" max="21" width="107.42578125" style="42" customWidth="1"/>
    <col min="22" max="22" width="40.7109375" style="2" bestFit="1" customWidth="1"/>
    <col min="23" max="24" width="38" style="2" bestFit="1" customWidth="1"/>
    <col min="25" max="25" width="30.42578125" style="2" bestFit="1" customWidth="1"/>
    <col min="26" max="16384" width="11.42578125" style="3"/>
  </cols>
  <sheetData>
    <row r="1" spans="1:25" ht="21" customHeight="1">
      <c r="A1" s="87" t="s">
        <v>0</v>
      </c>
      <c r="B1" s="87"/>
      <c r="C1" s="87"/>
      <c r="D1" s="87"/>
      <c r="E1" s="87"/>
      <c r="F1" s="87"/>
      <c r="G1" s="87"/>
      <c r="H1" s="87"/>
      <c r="I1" s="87"/>
      <c r="J1" s="87"/>
      <c r="K1" s="87"/>
      <c r="L1" s="87"/>
      <c r="M1" s="87"/>
      <c r="N1" s="87"/>
      <c r="O1" s="87"/>
      <c r="P1" s="87"/>
      <c r="Q1" s="87"/>
      <c r="R1" s="87"/>
      <c r="S1" s="87"/>
      <c r="T1" s="87"/>
      <c r="U1" s="87"/>
      <c r="V1" s="1" t="s">
        <v>1</v>
      </c>
      <c r="X1" s="1" t="s">
        <v>1</v>
      </c>
      <c r="Y1" s="1" t="s">
        <v>1</v>
      </c>
    </row>
    <row r="2" spans="1:25" ht="21" customHeight="1">
      <c r="A2" s="87" t="s">
        <v>2</v>
      </c>
      <c r="B2" s="87"/>
      <c r="C2" s="87"/>
      <c r="D2" s="87"/>
      <c r="E2" s="87"/>
      <c r="F2" s="87"/>
      <c r="G2" s="87"/>
      <c r="H2" s="87"/>
      <c r="I2" s="87"/>
      <c r="J2" s="87"/>
      <c r="K2" s="87"/>
      <c r="L2" s="87"/>
      <c r="M2" s="87"/>
      <c r="N2" s="87"/>
      <c r="O2" s="87"/>
      <c r="P2" s="87"/>
      <c r="Q2" s="87"/>
      <c r="R2" s="87"/>
      <c r="S2" s="87"/>
      <c r="T2" s="87"/>
      <c r="U2" s="87"/>
      <c r="V2" s="1" t="s">
        <v>3</v>
      </c>
      <c r="X2" s="1" t="s">
        <v>3</v>
      </c>
      <c r="Y2" s="1" t="s">
        <v>3</v>
      </c>
    </row>
    <row r="3" spans="1:25" ht="21" customHeight="1">
      <c r="A3" s="87" t="s">
        <v>4</v>
      </c>
      <c r="B3" s="87"/>
      <c r="C3" s="87"/>
      <c r="D3" s="87"/>
      <c r="E3" s="87"/>
      <c r="F3" s="87"/>
      <c r="G3" s="87"/>
      <c r="H3" s="87"/>
      <c r="I3" s="87"/>
      <c r="J3" s="87"/>
      <c r="K3" s="87"/>
      <c r="L3" s="87"/>
      <c r="M3" s="87"/>
      <c r="N3" s="87"/>
      <c r="O3" s="87"/>
      <c r="P3" s="87"/>
      <c r="Q3" s="87"/>
      <c r="R3" s="87"/>
      <c r="S3" s="87"/>
      <c r="T3" s="87"/>
      <c r="U3" s="87"/>
      <c r="V3" s="1" t="s">
        <v>5</v>
      </c>
      <c r="X3" s="1" t="s">
        <v>5</v>
      </c>
      <c r="Y3" s="1" t="s">
        <v>5</v>
      </c>
    </row>
    <row r="4" spans="1:25" ht="21" customHeight="1">
      <c r="A4" s="87" t="s">
        <v>6</v>
      </c>
      <c r="B4" s="87"/>
      <c r="C4" s="87"/>
      <c r="D4" s="87"/>
      <c r="E4" s="87"/>
      <c r="F4" s="87"/>
      <c r="G4" s="87"/>
      <c r="H4" s="87"/>
      <c r="I4" s="87"/>
      <c r="J4" s="87"/>
      <c r="K4" s="87"/>
      <c r="L4" s="87"/>
      <c r="M4" s="87"/>
      <c r="N4" s="87"/>
      <c r="O4" s="87"/>
      <c r="P4" s="87"/>
      <c r="Q4" s="87"/>
      <c r="R4" s="87"/>
      <c r="S4" s="87"/>
      <c r="T4" s="87"/>
      <c r="U4" s="87"/>
      <c r="V4" s="1" t="s">
        <v>7</v>
      </c>
      <c r="X4" s="1" t="s">
        <v>7</v>
      </c>
      <c r="Y4" s="1" t="s">
        <v>7</v>
      </c>
    </row>
    <row r="5" spans="1:25" ht="26.25" customHeight="1">
      <c r="A5" s="4"/>
      <c r="B5" s="5"/>
      <c r="C5" s="5"/>
      <c r="D5" s="5"/>
      <c r="E5" s="5"/>
      <c r="F5" s="5"/>
      <c r="G5" s="5"/>
      <c r="H5" s="5"/>
      <c r="I5" s="44"/>
      <c r="J5" s="44"/>
      <c r="K5" s="5"/>
      <c r="L5" s="5"/>
      <c r="M5" s="5"/>
      <c r="N5" s="5"/>
      <c r="O5" s="5"/>
      <c r="P5" s="5"/>
      <c r="Q5" s="5"/>
      <c r="R5" s="5"/>
      <c r="S5" s="5"/>
      <c r="T5" s="5"/>
      <c r="U5" s="5"/>
      <c r="V5" s="6"/>
      <c r="X5" s="6"/>
      <c r="Y5" s="6"/>
    </row>
    <row r="6" spans="1:25" ht="39" customHeight="1">
      <c r="A6" s="88"/>
      <c r="B6" s="88"/>
      <c r="C6" s="88"/>
      <c r="D6" s="88"/>
      <c r="E6" s="88"/>
      <c r="F6" s="88"/>
      <c r="G6" s="88"/>
      <c r="H6" s="88"/>
      <c r="I6" s="88"/>
      <c r="J6" s="88"/>
      <c r="K6" s="88"/>
      <c r="L6" s="88"/>
      <c r="M6" s="88"/>
      <c r="N6" s="88"/>
      <c r="O6" s="88"/>
      <c r="P6" s="88"/>
      <c r="Q6" s="88"/>
      <c r="R6" s="88"/>
      <c r="S6" s="88"/>
      <c r="T6" s="88"/>
      <c r="U6" s="88"/>
    </row>
    <row r="7" spans="1:25" s="7" customFormat="1" ht="67.900000000000006" customHeight="1">
      <c r="A7" s="77" t="s">
        <v>8</v>
      </c>
      <c r="B7" s="77" t="s">
        <v>9</v>
      </c>
      <c r="C7" s="77" t="s">
        <v>10</v>
      </c>
      <c r="D7" s="77" t="s">
        <v>11</v>
      </c>
      <c r="E7" s="77" t="s">
        <v>12</v>
      </c>
      <c r="F7" s="77" t="s">
        <v>13</v>
      </c>
      <c r="G7" s="89" t="s">
        <v>14</v>
      </c>
      <c r="H7" s="77" t="s">
        <v>15</v>
      </c>
      <c r="I7" s="83" t="s">
        <v>16</v>
      </c>
      <c r="J7" s="85" t="s">
        <v>17</v>
      </c>
      <c r="K7" s="86"/>
      <c r="L7" s="77" t="s">
        <v>18</v>
      </c>
      <c r="M7" s="77" t="s">
        <v>19</v>
      </c>
      <c r="N7" s="77" t="s">
        <v>20</v>
      </c>
      <c r="O7" s="79" t="s">
        <v>21</v>
      </c>
      <c r="P7" s="81" t="s">
        <v>22</v>
      </c>
      <c r="Q7" s="81" t="s">
        <v>23</v>
      </c>
      <c r="R7" s="81" t="s">
        <v>24</v>
      </c>
      <c r="S7" s="81" t="s">
        <v>25</v>
      </c>
      <c r="T7" s="81" t="s">
        <v>24</v>
      </c>
      <c r="U7" s="74" t="s">
        <v>26</v>
      </c>
      <c r="V7" s="76" t="s">
        <v>27</v>
      </c>
      <c r="W7" s="76" t="s">
        <v>28</v>
      </c>
      <c r="X7" s="68" t="s">
        <v>29</v>
      </c>
      <c r="Y7" s="68" t="s">
        <v>30</v>
      </c>
    </row>
    <row r="8" spans="1:25" s="7" customFormat="1" ht="51" customHeight="1">
      <c r="A8" s="78"/>
      <c r="B8" s="78"/>
      <c r="C8" s="78"/>
      <c r="D8" s="78"/>
      <c r="E8" s="78"/>
      <c r="F8" s="78"/>
      <c r="G8" s="90"/>
      <c r="H8" s="78"/>
      <c r="I8" s="84"/>
      <c r="J8" s="55" t="s">
        <v>31</v>
      </c>
      <c r="K8" s="8" t="s">
        <v>32</v>
      </c>
      <c r="L8" s="78"/>
      <c r="M8" s="78"/>
      <c r="N8" s="78"/>
      <c r="O8" s="80"/>
      <c r="P8" s="82"/>
      <c r="Q8" s="82"/>
      <c r="R8" s="82"/>
      <c r="S8" s="82"/>
      <c r="T8" s="82"/>
      <c r="U8" s="75"/>
      <c r="V8" s="76"/>
      <c r="W8" s="76"/>
      <c r="X8" s="68"/>
      <c r="Y8" s="68"/>
    </row>
    <row r="9" spans="1:25" s="7" customFormat="1" ht="88.9" customHeight="1">
      <c r="A9" s="69" t="s">
        <v>33</v>
      </c>
      <c r="B9" s="70" t="s">
        <v>34</v>
      </c>
      <c r="C9" s="9" t="s">
        <v>35</v>
      </c>
      <c r="D9" s="10" t="s">
        <v>36</v>
      </c>
      <c r="E9" s="9" t="s">
        <v>37</v>
      </c>
      <c r="F9" s="11" t="s">
        <v>38</v>
      </c>
      <c r="G9" s="9" t="s">
        <v>39</v>
      </c>
      <c r="H9" s="12" t="s">
        <v>40</v>
      </c>
      <c r="I9" s="45">
        <v>0.25</v>
      </c>
      <c r="J9" s="13" t="s">
        <v>41</v>
      </c>
      <c r="K9" s="11"/>
      <c r="L9" s="9" t="s">
        <v>42</v>
      </c>
      <c r="M9" s="9">
        <v>12</v>
      </c>
      <c r="N9" s="9">
        <v>3</v>
      </c>
      <c r="O9" s="13">
        <v>0</v>
      </c>
      <c r="P9" s="9">
        <f>SUM(O9:O9)</f>
        <v>0</v>
      </c>
      <c r="Q9" s="28">
        <f>+(P9/N9)*I9</f>
        <v>0</v>
      </c>
      <c r="R9" s="28">
        <v>0</v>
      </c>
      <c r="S9" s="28">
        <v>0</v>
      </c>
      <c r="T9" s="28">
        <v>0</v>
      </c>
      <c r="U9" s="9" t="s">
        <v>43</v>
      </c>
      <c r="V9" s="59">
        <v>19256763089</v>
      </c>
      <c r="W9" s="59">
        <v>34004857809.57</v>
      </c>
      <c r="X9" s="59">
        <v>31358892203.310001</v>
      </c>
      <c r="Y9" s="62">
        <f>+X9/W9</f>
        <v>0.92218859960898458</v>
      </c>
    </row>
    <row r="10" spans="1:25" s="7" customFormat="1" ht="90">
      <c r="A10" s="69"/>
      <c r="B10" s="71"/>
      <c r="C10" s="9" t="s">
        <v>35</v>
      </c>
      <c r="D10" s="10" t="s">
        <v>36</v>
      </c>
      <c r="E10" s="9" t="s">
        <v>44</v>
      </c>
      <c r="F10" s="11" t="s">
        <v>38</v>
      </c>
      <c r="G10" s="14" t="s">
        <v>45</v>
      </c>
      <c r="H10" s="9" t="s">
        <v>46</v>
      </c>
      <c r="I10" s="45">
        <v>0.25</v>
      </c>
      <c r="J10" s="13" t="s">
        <v>41</v>
      </c>
      <c r="K10" s="16"/>
      <c r="L10" s="9" t="s">
        <v>47</v>
      </c>
      <c r="M10" s="14">
        <v>1</v>
      </c>
      <c r="N10" s="14">
        <v>0.5</v>
      </c>
      <c r="O10" s="13">
        <v>0.27</v>
      </c>
      <c r="P10" s="9">
        <f>SUM(O10:O10)</f>
        <v>0.27</v>
      </c>
      <c r="Q10" s="28">
        <f>+(P10/N10)*I10</f>
        <v>0.13500000000000001</v>
      </c>
      <c r="R10" s="28">
        <f>(P10/M10)*I10</f>
        <v>6.7500000000000004E-2</v>
      </c>
      <c r="S10" s="28">
        <f>P10/N10</f>
        <v>0.54</v>
      </c>
      <c r="T10" s="28">
        <f>P10/M10</f>
        <v>0.27</v>
      </c>
      <c r="U10" s="9" t="s">
        <v>48</v>
      </c>
      <c r="V10" s="60"/>
      <c r="W10" s="60"/>
      <c r="X10" s="60"/>
      <c r="Y10" s="63"/>
    </row>
    <row r="11" spans="1:25" s="7" customFormat="1" ht="90">
      <c r="A11" s="69"/>
      <c r="B11" s="71"/>
      <c r="C11" s="9" t="s">
        <v>35</v>
      </c>
      <c r="D11" s="10" t="s">
        <v>36</v>
      </c>
      <c r="E11" s="9" t="s">
        <v>49</v>
      </c>
      <c r="F11" s="11" t="s">
        <v>38</v>
      </c>
      <c r="G11" s="14" t="s">
        <v>50</v>
      </c>
      <c r="H11" s="9" t="s">
        <v>51</v>
      </c>
      <c r="I11" s="45">
        <v>0.25</v>
      </c>
      <c r="J11" s="13" t="s">
        <v>41</v>
      </c>
      <c r="K11" s="11"/>
      <c r="L11" s="9" t="s">
        <v>52</v>
      </c>
      <c r="M11" s="9">
        <v>16</v>
      </c>
      <c r="N11" s="9">
        <v>4</v>
      </c>
      <c r="O11" s="13">
        <f>1+1</f>
        <v>2</v>
      </c>
      <c r="P11" s="9">
        <f>SUM(O11:O11)</f>
        <v>2</v>
      </c>
      <c r="Q11" s="28">
        <f>+(P11/N11)*I11</f>
        <v>0.125</v>
      </c>
      <c r="R11" s="28">
        <f>(P11/M11)*I11</f>
        <v>3.125E-2</v>
      </c>
      <c r="S11" s="28">
        <f>P11/N11</f>
        <v>0.5</v>
      </c>
      <c r="T11" s="28">
        <f>P11/M11</f>
        <v>0.125</v>
      </c>
      <c r="U11" s="48" t="s">
        <v>53</v>
      </c>
      <c r="V11" s="60"/>
      <c r="W11" s="60"/>
      <c r="X11" s="60"/>
      <c r="Y11" s="73" t="e">
        <f t="shared" ref="Y11" si="0">+X11/W11</f>
        <v>#DIV/0!</v>
      </c>
    </row>
    <row r="12" spans="1:25" s="7" customFormat="1" ht="206.45" customHeight="1">
      <c r="A12" s="69"/>
      <c r="B12" s="71"/>
      <c r="C12" s="9" t="s">
        <v>54</v>
      </c>
      <c r="D12" s="10" t="s">
        <v>36</v>
      </c>
      <c r="E12" s="9" t="s">
        <v>55</v>
      </c>
      <c r="F12" s="11" t="s">
        <v>38</v>
      </c>
      <c r="G12" s="14" t="s">
        <v>56</v>
      </c>
      <c r="H12" s="14" t="s">
        <v>57</v>
      </c>
      <c r="I12" s="45">
        <v>0.25</v>
      </c>
      <c r="J12" s="13" t="s">
        <v>41</v>
      </c>
      <c r="K12" s="11"/>
      <c r="L12" s="9" t="s">
        <v>58</v>
      </c>
      <c r="M12" s="9">
        <v>300</v>
      </c>
      <c r="N12" s="9">
        <v>276</v>
      </c>
      <c r="O12" s="13">
        <v>368</v>
      </c>
      <c r="P12" s="9">
        <f>SUM(O12:O12)</f>
        <v>368</v>
      </c>
      <c r="Q12" s="48">
        <f>+(276/N12)*I12</f>
        <v>0.25</v>
      </c>
      <c r="R12" s="48">
        <f>+(276/M12)*I12</f>
        <v>0.23</v>
      </c>
      <c r="S12" s="48">
        <v>1</v>
      </c>
      <c r="T12" s="48">
        <v>1</v>
      </c>
      <c r="U12" s="48" t="s">
        <v>59</v>
      </c>
      <c r="V12" s="61"/>
      <c r="W12" s="61"/>
      <c r="X12" s="61"/>
      <c r="Y12" s="64"/>
    </row>
    <row r="13" spans="1:25" s="7" customFormat="1" ht="102" customHeight="1">
      <c r="A13" s="69"/>
      <c r="B13" s="71"/>
      <c r="C13" s="9"/>
      <c r="D13" s="66" t="s">
        <v>60</v>
      </c>
      <c r="E13" s="67"/>
      <c r="F13" s="67"/>
      <c r="G13" s="67"/>
      <c r="H13" s="67"/>
      <c r="I13" s="67"/>
      <c r="J13" s="67"/>
      <c r="K13" s="67"/>
      <c r="L13" s="67"/>
      <c r="M13" s="67"/>
      <c r="N13" s="67"/>
      <c r="O13" s="67"/>
      <c r="P13" s="67"/>
      <c r="Q13" s="18">
        <f>SUM(Q9:Q12)</f>
        <v>0.51</v>
      </c>
      <c r="R13" s="18">
        <f>SUM(R9:R12)</f>
        <v>0.32874999999999999</v>
      </c>
      <c r="S13" s="18">
        <f>AVERAGE(S9:S12)</f>
        <v>0.51</v>
      </c>
      <c r="T13" s="18">
        <f>AVERAGE(T9:T12)</f>
        <v>0.34875</v>
      </c>
      <c r="U13" s="20"/>
      <c r="V13" s="21"/>
      <c r="W13" s="21"/>
      <c r="X13" s="21"/>
      <c r="Y13" s="22"/>
    </row>
    <row r="14" spans="1:25" s="7" customFormat="1" ht="253.15" customHeight="1">
      <c r="A14" s="69"/>
      <c r="B14" s="71"/>
      <c r="C14" s="9" t="s">
        <v>61</v>
      </c>
      <c r="D14" s="10" t="s">
        <v>62</v>
      </c>
      <c r="E14" s="9" t="s">
        <v>63</v>
      </c>
      <c r="F14" s="11" t="s">
        <v>38</v>
      </c>
      <c r="G14" s="23" t="s">
        <v>64</v>
      </c>
      <c r="H14" s="14" t="s">
        <v>65</v>
      </c>
      <c r="I14" s="45">
        <v>0.5</v>
      </c>
      <c r="J14" s="13"/>
      <c r="K14" s="11" t="s">
        <v>41</v>
      </c>
      <c r="L14" s="9" t="s">
        <v>66</v>
      </c>
      <c r="M14" s="9">
        <v>1132</v>
      </c>
      <c r="N14" s="9">
        <v>20</v>
      </c>
      <c r="O14" s="13">
        <f>17</f>
        <v>17</v>
      </c>
      <c r="P14" s="14">
        <f>SUM(O14:O14)</f>
        <v>17</v>
      </c>
      <c r="Q14" s="15">
        <f>+(P14/N14)*I14</f>
        <v>0.42499999999999999</v>
      </c>
      <c r="R14" s="17">
        <f>+(P14/M14)*I14</f>
        <v>7.5088339222614837E-3</v>
      </c>
      <c r="S14" s="15">
        <v>1</v>
      </c>
      <c r="T14" s="15">
        <f>O14/M14</f>
        <v>1.5017667844522967E-2</v>
      </c>
      <c r="U14" s="49" t="s">
        <v>67</v>
      </c>
      <c r="V14" s="59">
        <v>2362994720</v>
      </c>
      <c r="W14" s="59">
        <v>4130843186.29</v>
      </c>
      <c r="X14" s="59">
        <v>4097664533</v>
      </c>
      <c r="Y14" s="62">
        <f>+X14/W14</f>
        <v>0.99196806758481715</v>
      </c>
    </row>
    <row r="15" spans="1:25" s="7" customFormat="1" ht="218.45" customHeight="1">
      <c r="A15" s="69"/>
      <c r="B15" s="71"/>
      <c r="C15" s="9" t="s">
        <v>61</v>
      </c>
      <c r="D15" s="10" t="s">
        <v>62</v>
      </c>
      <c r="E15" s="9" t="s">
        <v>68</v>
      </c>
      <c r="F15" s="11" t="s">
        <v>38</v>
      </c>
      <c r="G15" s="14" t="s">
        <v>69</v>
      </c>
      <c r="H15" s="14" t="s">
        <v>70</v>
      </c>
      <c r="I15" s="45">
        <v>0.5</v>
      </c>
      <c r="J15" s="13"/>
      <c r="K15" s="11" t="s">
        <v>41</v>
      </c>
      <c r="L15" s="9" t="s">
        <v>71</v>
      </c>
      <c r="M15" s="9">
        <v>320</v>
      </c>
      <c r="N15" s="9">
        <v>15</v>
      </c>
      <c r="O15" s="13">
        <f>9+8+1+1</f>
        <v>19</v>
      </c>
      <c r="P15" s="14">
        <f>SUM(O15:O15)</f>
        <v>19</v>
      </c>
      <c r="Q15" s="15">
        <f>+(15/N15)*I15</f>
        <v>0.5</v>
      </c>
      <c r="R15" s="15">
        <f>(O15/M15)*I15</f>
        <v>2.9687499999999999E-2</v>
      </c>
      <c r="S15" s="15">
        <v>1</v>
      </c>
      <c r="T15" s="15">
        <f>O15/M15</f>
        <v>5.9374999999999997E-2</v>
      </c>
      <c r="U15" s="50" t="s">
        <v>72</v>
      </c>
      <c r="V15" s="61"/>
      <c r="W15" s="61"/>
      <c r="X15" s="61"/>
      <c r="Y15" s="64"/>
    </row>
    <row r="16" spans="1:25" s="7" customFormat="1" ht="81" customHeight="1">
      <c r="A16" s="69"/>
      <c r="B16" s="71"/>
      <c r="C16" s="9"/>
      <c r="D16" s="66" t="s">
        <v>73</v>
      </c>
      <c r="E16" s="67"/>
      <c r="F16" s="67"/>
      <c r="G16" s="67"/>
      <c r="H16" s="67"/>
      <c r="I16" s="67"/>
      <c r="J16" s="67"/>
      <c r="K16" s="67"/>
      <c r="L16" s="67"/>
      <c r="M16" s="67"/>
      <c r="N16" s="67"/>
      <c r="O16" s="67"/>
      <c r="P16" s="67"/>
      <c r="Q16" s="19">
        <f>SUM(Q14:Q15)</f>
        <v>0.92500000000000004</v>
      </c>
      <c r="R16" s="19">
        <f>SUM(R14:R15)</f>
        <v>3.7196333922261481E-2</v>
      </c>
      <c r="S16" s="19">
        <f>AVERAGE(S14:S15)</f>
        <v>1</v>
      </c>
      <c r="T16" s="19">
        <f>AVERAGE(T14:T15)</f>
        <v>3.7196333922261481E-2</v>
      </c>
      <c r="U16" s="24"/>
      <c r="V16" s="21"/>
      <c r="W16" s="21"/>
      <c r="X16" s="21"/>
      <c r="Y16" s="22"/>
    </row>
    <row r="17" spans="1:25" s="7" customFormat="1" ht="148.15" customHeight="1">
      <c r="A17" s="69"/>
      <c r="B17" s="71"/>
      <c r="C17" s="9" t="s">
        <v>74</v>
      </c>
      <c r="D17" s="14" t="s">
        <v>75</v>
      </c>
      <c r="E17" s="9" t="s">
        <v>76</v>
      </c>
      <c r="F17" s="11" t="s">
        <v>38</v>
      </c>
      <c r="G17" s="23" t="s">
        <v>77</v>
      </c>
      <c r="H17" s="14" t="s">
        <v>78</v>
      </c>
      <c r="I17" s="45">
        <v>0.7</v>
      </c>
      <c r="J17" s="13" t="s">
        <v>41</v>
      </c>
      <c r="K17" s="11"/>
      <c r="L17" s="9" t="s">
        <v>79</v>
      </c>
      <c r="M17" s="9">
        <v>21500</v>
      </c>
      <c r="N17" s="9">
        <v>5400</v>
      </c>
      <c r="O17" s="13">
        <f>4005+70+375+69+39+29+17+528+2055</f>
        <v>7187</v>
      </c>
      <c r="P17" s="14">
        <f>SUM(O17:O17)</f>
        <v>7187</v>
      </c>
      <c r="Q17" s="15">
        <f>+(5400/N17)*I17</f>
        <v>0.7</v>
      </c>
      <c r="R17" s="15">
        <f>(O17/M17)*I17</f>
        <v>0.23399534883720929</v>
      </c>
      <c r="S17" s="15">
        <v>1</v>
      </c>
      <c r="T17" s="15">
        <f>O17/M17</f>
        <v>0.33427906976744187</v>
      </c>
      <c r="U17" s="48" t="s">
        <v>80</v>
      </c>
      <c r="V17" s="59">
        <v>680469129</v>
      </c>
      <c r="W17" s="59">
        <v>1038274202</v>
      </c>
      <c r="X17" s="59">
        <v>768708334</v>
      </c>
      <c r="Y17" s="62">
        <f>+X17/W17</f>
        <v>0.74037121650452031</v>
      </c>
    </row>
    <row r="18" spans="1:25" s="7" customFormat="1" ht="195.6" customHeight="1">
      <c r="A18" s="69"/>
      <c r="B18" s="71"/>
      <c r="C18" s="9" t="s">
        <v>74</v>
      </c>
      <c r="D18" s="14" t="s">
        <v>75</v>
      </c>
      <c r="E18" s="9" t="s">
        <v>81</v>
      </c>
      <c r="F18" s="11" t="s">
        <v>38</v>
      </c>
      <c r="G18" s="14" t="s">
        <v>82</v>
      </c>
      <c r="H18" s="14" t="s">
        <v>83</v>
      </c>
      <c r="I18" s="45">
        <v>0.3</v>
      </c>
      <c r="J18" s="13" t="s">
        <v>41</v>
      </c>
      <c r="K18" s="11"/>
      <c r="L18" s="9" t="s">
        <v>84</v>
      </c>
      <c r="M18" s="9">
        <v>12</v>
      </c>
      <c r="N18" s="9">
        <v>3</v>
      </c>
      <c r="O18" s="13">
        <f>3+0.5+0.5</f>
        <v>4</v>
      </c>
      <c r="P18" s="14">
        <f>SUM(O18:O18)</f>
        <v>4</v>
      </c>
      <c r="Q18" s="17">
        <f>+(3/N18)*I18</f>
        <v>0.3</v>
      </c>
      <c r="R18" s="17">
        <f>(O18/M18)*I18</f>
        <v>9.9999999999999992E-2</v>
      </c>
      <c r="S18" s="17">
        <v>1</v>
      </c>
      <c r="T18" s="17">
        <f>O18/M18</f>
        <v>0.33333333333333331</v>
      </c>
      <c r="U18" s="48" t="s">
        <v>85</v>
      </c>
      <c r="V18" s="61"/>
      <c r="W18" s="61"/>
      <c r="X18" s="61"/>
      <c r="Y18" s="64"/>
    </row>
    <row r="19" spans="1:25" s="7" customFormat="1" ht="51.75" customHeight="1">
      <c r="A19" s="69"/>
      <c r="B19" s="71"/>
      <c r="C19" s="9"/>
      <c r="D19" s="66" t="s">
        <v>86</v>
      </c>
      <c r="E19" s="67"/>
      <c r="F19" s="67"/>
      <c r="G19" s="67"/>
      <c r="H19" s="67"/>
      <c r="I19" s="67"/>
      <c r="J19" s="67"/>
      <c r="K19" s="67"/>
      <c r="L19" s="67"/>
      <c r="M19" s="67"/>
      <c r="N19" s="67"/>
      <c r="O19" s="67"/>
      <c r="P19" s="67"/>
      <c r="Q19" s="19">
        <f>SUM(Q17:Q18)</f>
        <v>1</v>
      </c>
      <c r="R19" s="19">
        <f>SUM(R17:R18)</f>
        <v>0.33399534883720927</v>
      </c>
      <c r="S19" s="19">
        <f>AVERAGE(S17:S18)</f>
        <v>1</v>
      </c>
      <c r="T19" s="19">
        <f>AVERAGE(T17:T18)</f>
        <v>0.33380620155038759</v>
      </c>
      <c r="U19" s="18"/>
      <c r="V19" s="21"/>
      <c r="W19" s="21"/>
      <c r="X19" s="21"/>
      <c r="Y19" s="22"/>
    </row>
    <row r="20" spans="1:25" s="7" customFormat="1" ht="337.9" customHeight="1">
      <c r="A20" s="69"/>
      <c r="B20" s="71"/>
      <c r="C20" s="9" t="s">
        <v>61</v>
      </c>
      <c r="D20" s="10" t="s">
        <v>87</v>
      </c>
      <c r="E20" s="9" t="s">
        <v>88</v>
      </c>
      <c r="F20" s="11" t="s">
        <v>38</v>
      </c>
      <c r="G20" s="23" t="s">
        <v>89</v>
      </c>
      <c r="H20" s="14" t="s">
        <v>90</v>
      </c>
      <c r="I20" s="45">
        <v>0.4</v>
      </c>
      <c r="J20" s="45"/>
      <c r="K20" s="11" t="s">
        <v>41</v>
      </c>
      <c r="L20" s="9" t="s">
        <v>91</v>
      </c>
      <c r="M20" s="9">
        <v>26800</v>
      </c>
      <c r="N20" s="9">
        <v>6700</v>
      </c>
      <c r="O20" s="13">
        <f>5902+4+113+743</f>
        <v>6762</v>
      </c>
      <c r="P20" s="14">
        <f>SUM(O20:O20)</f>
        <v>6762</v>
      </c>
      <c r="Q20" s="15">
        <f>+(P20/N20)*I20</f>
        <v>0.40370149253731347</v>
      </c>
      <c r="R20" s="15">
        <f>+(O20/M20)*I20</f>
        <v>0.10092537313432837</v>
      </c>
      <c r="S20" s="15">
        <v>1</v>
      </c>
      <c r="T20" s="15">
        <f>O20/M20</f>
        <v>0.25231343283582092</v>
      </c>
      <c r="U20" s="51" t="s">
        <v>92</v>
      </c>
      <c r="V20" s="59">
        <v>4262832640</v>
      </c>
      <c r="W20" s="59">
        <v>7554798056.21</v>
      </c>
      <c r="X20" s="59">
        <v>3315264549</v>
      </c>
      <c r="Y20" s="62">
        <f>+X20/W20</f>
        <v>0.43882900963512478</v>
      </c>
    </row>
    <row r="21" spans="1:25" s="7" customFormat="1" ht="118.15" customHeight="1">
      <c r="A21" s="69"/>
      <c r="B21" s="71"/>
      <c r="C21" s="9" t="s">
        <v>61</v>
      </c>
      <c r="D21" s="10" t="s">
        <v>87</v>
      </c>
      <c r="E21" s="9" t="s">
        <v>93</v>
      </c>
      <c r="F21" s="11" t="s">
        <v>38</v>
      </c>
      <c r="G21" s="14" t="s">
        <v>94</v>
      </c>
      <c r="H21" s="14" t="s">
        <v>95</v>
      </c>
      <c r="I21" s="45">
        <v>0.1</v>
      </c>
      <c r="J21" s="45"/>
      <c r="K21" s="11" t="s">
        <v>41</v>
      </c>
      <c r="L21" s="9" t="s">
        <v>96</v>
      </c>
      <c r="M21" s="9">
        <v>210</v>
      </c>
      <c r="N21" s="9">
        <v>55</v>
      </c>
      <c r="O21" s="13">
        <v>55</v>
      </c>
      <c r="P21" s="14">
        <f>SUM(O21:O21)</f>
        <v>55</v>
      </c>
      <c r="Q21" s="25">
        <f>+(P21/N21)*I21</f>
        <v>0.1</v>
      </c>
      <c r="R21" s="25">
        <f>+(P21/M21)*I21</f>
        <v>2.6190476190476195E-2</v>
      </c>
      <c r="S21" s="25">
        <v>1</v>
      </c>
      <c r="T21" s="25">
        <f>O21/M21</f>
        <v>0.26190476190476192</v>
      </c>
      <c r="U21" s="9" t="s">
        <v>97</v>
      </c>
      <c r="V21" s="60"/>
      <c r="W21" s="60"/>
      <c r="X21" s="60"/>
      <c r="Y21" s="63"/>
    </row>
    <row r="22" spans="1:25" s="7" customFormat="1" ht="136.15" customHeight="1">
      <c r="A22" s="69"/>
      <c r="B22" s="71"/>
      <c r="C22" s="9" t="s">
        <v>61</v>
      </c>
      <c r="D22" s="10" t="s">
        <v>87</v>
      </c>
      <c r="E22" s="9" t="s">
        <v>98</v>
      </c>
      <c r="F22" s="11" t="s">
        <v>38</v>
      </c>
      <c r="G22" s="11" t="s">
        <v>99</v>
      </c>
      <c r="H22" s="14" t="s">
        <v>100</v>
      </c>
      <c r="I22" s="45">
        <v>0</v>
      </c>
      <c r="J22" s="45"/>
      <c r="K22" s="11" t="s">
        <v>41</v>
      </c>
      <c r="L22" s="9" t="s">
        <v>101</v>
      </c>
      <c r="M22" s="9">
        <v>4</v>
      </c>
      <c r="N22" s="9" t="s">
        <v>102</v>
      </c>
      <c r="O22" s="13" t="s">
        <v>103</v>
      </c>
      <c r="P22" s="14">
        <f>SUM(O22:O22)</f>
        <v>0</v>
      </c>
      <c r="Q22" s="13" t="s">
        <v>103</v>
      </c>
      <c r="R22" s="13" t="s">
        <v>103</v>
      </c>
      <c r="S22" s="13" t="s">
        <v>103</v>
      </c>
      <c r="T22" s="13" t="s">
        <v>103</v>
      </c>
      <c r="U22" s="52" t="s">
        <v>104</v>
      </c>
      <c r="V22" s="60"/>
      <c r="W22" s="60"/>
      <c r="X22" s="60"/>
      <c r="Y22" s="63"/>
    </row>
    <row r="23" spans="1:25" s="7" customFormat="1" ht="222.6" customHeight="1">
      <c r="A23" s="69"/>
      <c r="B23" s="71"/>
      <c r="C23" s="9" t="s">
        <v>61</v>
      </c>
      <c r="D23" s="10" t="s">
        <v>87</v>
      </c>
      <c r="E23" s="9" t="s">
        <v>105</v>
      </c>
      <c r="F23" s="11" t="s">
        <v>38</v>
      </c>
      <c r="G23" s="23" t="s">
        <v>106</v>
      </c>
      <c r="H23" s="14" t="s">
        <v>107</v>
      </c>
      <c r="I23" s="45">
        <v>0.25</v>
      </c>
      <c r="J23" s="45"/>
      <c r="K23" s="11" t="s">
        <v>41</v>
      </c>
      <c r="L23" s="9" t="s">
        <v>108</v>
      </c>
      <c r="M23" s="9">
        <v>28000</v>
      </c>
      <c r="N23" s="9">
        <v>7000</v>
      </c>
      <c r="O23" s="13">
        <v>7166</v>
      </c>
      <c r="P23" s="14">
        <f>SUM(O23:O23)</f>
        <v>7166</v>
      </c>
      <c r="Q23" s="15">
        <f>+(7000/N23)*I23</f>
        <v>0.25</v>
      </c>
      <c r="R23" s="15">
        <f>(P23/M23)*I23</f>
        <v>6.3982142857142862E-2</v>
      </c>
      <c r="S23" s="15">
        <v>1</v>
      </c>
      <c r="T23" s="15">
        <f>O23/M23</f>
        <v>0.25592857142857145</v>
      </c>
      <c r="U23" s="48" t="s">
        <v>109</v>
      </c>
      <c r="V23" s="60"/>
      <c r="W23" s="60"/>
      <c r="X23" s="60"/>
      <c r="Y23" s="63"/>
    </row>
    <row r="24" spans="1:25" s="7" customFormat="1" ht="117" customHeight="1">
      <c r="A24" s="69"/>
      <c r="B24" s="71"/>
      <c r="C24" s="9" t="s">
        <v>61</v>
      </c>
      <c r="D24" s="10" t="s">
        <v>87</v>
      </c>
      <c r="E24" s="9" t="s">
        <v>110</v>
      </c>
      <c r="F24" s="11" t="s">
        <v>38</v>
      </c>
      <c r="G24" s="14" t="s">
        <v>111</v>
      </c>
      <c r="H24" s="14" t="s">
        <v>112</v>
      </c>
      <c r="I24" s="45">
        <v>0.25</v>
      </c>
      <c r="J24" s="45"/>
      <c r="K24" s="11" t="s">
        <v>41</v>
      </c>
      <c r="L24" s="9" t="s">
        <v>101</v>
      </c>
      <c r="M24" s="9">
        <v>200</v>
      </c>
      <c r="N24" s="9">
        <v>172</v>
      </c>
      <c r="O24" s="13">
        <f>137+3</f>
        <v>140</v>
      </c>
      <c r="P24" s="14">
        <f>SUM(O24:O24)</f>
        <v>140</v>
      </c>
      <c r="Q24" s="15">
        <f>+(P24/N24)*I24</f>
        <v>0.20348837209302326</v>
      </c>
      <c r="R24" s="15">
        <f>(O24/M24)*I24</f>
        <v>0.17499999999999999</v>
      </c>
      <c r="S24" s="15">
        <f>O24/N24</f>
        <v>0.81395348837209303</v>
      </c>
      <c r="T24" s="15">
        <f>O24/M24</f>
        <v>0.7</v>
      </c>
      <c r="U24" s="49" t="s">
        <v>113</v>
      </c>
      <c r="V24" s="61"/>
      <c r="W24" s="61"/>
      <c r="X24" s="61"/>
      <c r="Y24" s="64"/>
    </row>
    <row r="25" spans="1:25" s="7" customFormat="1" ht="49.5" customHeight="1">
      <c r="A25" s="69"/>
      <c r="B25" s="71"/>
      <c r="C25" s="9"/>
      <c r="D25" s="66" t="s">
        <v>114</v>
      </c>
      <c r="E25" s="67"/>
      <c r="F25" s="67"/>
      <c r="G25" s="67"/>
      <c r="H25" s="67"/>
      <c r="I25" s="67"/>
      <c r="J25" s="67"/>
      <c r="K25" s="67"/>
      <c r="L25" s="67"/>
      <c r="M25" s="67"/>
      <c r="N25" s="67"/>
      <c r="O25" s="67"/>
      <c r="P25" s="67"/>
      <c r="Q25" s="19">
        <f>SUM(Q20:Q24)</f>
        <v>0.95718986463033673</v>
      </c>
      <c r="R25" s="19">
        <f>SUM(R20:R24)</f>
        <v>0.36609799218194744</v>
      </c>
      <c r="S25" s="19">
        <f>AVERAGE(S20:S24)</f>
        <v>0.95348837209302328</v>
      </c>
      <c r="T25" s="19">
        <f>AVERAGE(T20:T24)</f>
        <v>0.36753669154228857</v>
      </c>
      <c r="U25" s="19"/>
      <c r="V25" s="21"/>
      <c r="W25" s="21"/>
      <c r="X25" s="21"/>
      <c r="Y25" s="22"/>
    </row>
    <row r="26" spans="1:25" s="7" customFormat="1" ht="234">
      <c r="A26" s="69"/>
      <c r="B26" s="71"/>
      <c r="C26" s="9" t="s">
        <v>61</v>
      </c>
      <c r="D26" s="14" t="s">
        <v>115</v>
      </c>
      <c r="E26" s="9" t="s">
        <v>116</v>
      </c>
      <c r="F26" s="11" t="s">
        <v>38</v>
      </c>
      <c r="G26" s="23" t="s">
        <v>117</v>
      </c>
      <c r="H26" s="14" t="s">
        <v>118</v>
      </c>
      <c r="I26" s="45">
        <v>1</v>
      </c>
      <c r="J26" s="13"/>
      <c r="K26" s="11" t="s">
        <v>41</v>
      </c>
      <c r="L26" s="9" t="s">
        <v>108</v>
      </c>
      <c r="M26" s="26">
        <v>61000</v>
      </c>
      <c r="N26" s="9">
        <v>15500</v>
      </c>
      <c r="O26" s="13">
        <f>10014+36+1335+4193</f>
        <v>15578</v>
      </c>
      <c r="P26" s="14">
        <f>SUM(O26:O26)</f>
        <v>15578</v>
      </c>
      <c r="Q26" s="15">
        <f>+(15500/N26)*I26</f>
        <v>1</v>
      </c>
      <c r="R26" s="15">
        <f>(O26/M26)*I26</f>
        <v>0.25537704918032789</v>
      </c>
      <c r="S26" s="15">
        <v>1</v>
      </c>
      <c r="T26" s="15">
        <f>O26/M26</f>
        <v>0.25537704918032789</v>
      </c>
      <c r="U26" s="48" t="s">
        <v>119</v>
      </c>
      <c r="V26" s="27">
        <v>2644218684</v>
      </c>
      <c r="W26" s="27">
        <v>5019719457.71</v>
      </c>
      <c r="X26" s="27">
        <v>4462754327</v>
      </c>
      <c r="Y26" s="22">
        <f>+X26/W26</f>
        <v>0.88904457003975912</v>
      </c>
    </row>
    <row r="27" spans="1:25" s="7" customFormat="1" ht="45.75" customHeight="1">
      <c r="A27" s="69"/>
      <c r="B27" s="71"/>
      <c r="C27" s="9"/>
      <c r="D27" s="66" t="s">
        <v>120</v>
      </c>
      <c r="E27" s="67"/>
      <c r="F27" s="67"/>
      <c r="G27" s="67"/>
      <c r="H27" s="67"/>
      <c r="I27" s="67"/>
      <c r="J27" s="67"/>
      <c r="K27" s="67"/>
      <c r="L27" s="67"/>
      <c r="M27" s="67"/>
      <c r="N27" s="67"/>
      <c r="O27" s="67"/>
      <c r="P27" s="67"/>
      <c r="Q27" s="19">
        <f>SUM(Q26)</f>
        <v>1</v>
      </c>
      <c r="R27" s="19">
        <f>SUM(R26)</f>
        <v>0.25537704918032789</v>
      </c>
      <c r="S27" s="19">
        <f>AVERAGE(S26)</f>
        <v>1</v>
      </c>
      <c r="T27" s="19"/>
      <c r="U27" s="19"/>
      <c r="V27" s="21"/>
      <c r="W27" s="21"/>
      <c r="X27" s="21"/>
      <c r="Y27" s="22"/>
    </row>
    <row r="28" spans="1:25" s="7" customFormat="1" ht="386.45" customHeight="1">
      <c r="A28" s="69"/>
      <c r="B28" s="71"/>
      <c r="C28" s="9" t="s">
        <v>121</v>
      </c>
      <c r="D28" s="10" t="s">
        <v>122</v>
      </c>
      <c r="E28" s="9" t="s">
        <v>123</v>
      </c>
      <c r="F28" s="11" t="s">
        <v>38</v>
      </c>
      <c r="G28" s="23" t="s">
        <v>124</v>
      </c>
      <c r="H28" s="14" t="s">
        <v>125</v>
      </c>
      <c r="I28" s="45">
        <v>0.55000000000000004</v>
      </c>
      <c r="J28" s="13"/>
      <c r="K28" s="11" t="s">
        <v>41</v>
      </c>
      <c r="L28" s="9" t="s">
        <v>108</v>
      </c>
      <c r="M28" s="9">
        <v>180000</v>
      </c>
      <c r="N28" s="9">
        <v>45000</v>
      </c>
      <c r="O28" s="13">
        <f>42857+5236+4432+4747</f>
        <v>57272</v>
      </c>
      <c r="P28" s="9">
        <f>SUM(O28:O28)</f>
        <v>57272</v>
      </c>
      <c r="Q28" s="28">
        <f>+I28</f>
        <v>0.55000000000000004</v>
      </c>
      <c r="R28" s="28">
        <f>(O28/M28)*I28</f>
        <v>0.17499777777777781</v>
      </c>
      <c r="S28" s="28">
        <f>100%</f>
        <v>1</v>
      </c>
      <c r="T28" s="28">
        <f>P28/M28</f>
        <v>0.31817777777777778</v>
      </c>
      <c r="U28" s="53" t="s">
        <v>126</v>
      </c>
      <c r="V28" s="59">
        <v>5631640972</v>
      </c>
      <c r="W28" s="59">
        <v>8546662038.7399998</v>
      </c>
      <c r="X28" s="59">
        <v>6208726607.5600004</v>
      </c>
      <c r="Y28" s="62">
        <f>+X28/W28</f>
        <v>0.72645046445235695</v>
      </c>
    </row>
    <row r="29" spans="1:25" s="7" customFormat="1" ht="281.45" customHeight="1">
      <c r="A29" s="69"/>
      <c r="B29" s="71"/>
      <c r="C29" s="9" t="s">
        <v>121</v>
      </c>
      <c r="D29" s="10" t="s">
        <v>122</v>
      </c>
      <c r="E29" s="9" t="s">
        <v>127</v>
      </c>
      <c r="F29" s="11" t="s">
        <v>38</v>
      </c>
      <c r="G29" s="23" t="s">
        <v>128</v>
      </c>
      <c r="H29" s="14" t="s">
        <v>129</v>
      </c>
      <c r="I29" s="45">
        <v>0.45</v>
      </c>
      <c r="J29" s="13"/>
      <c r="K29" s="11" t="s">
        <v>41</v>
      </c>
      <c r="L29" s="9" t="s">
        <v>108</v>
      </c>
      <c r="M29" s="9">
        <v>120000</v>
      </c>
      <c r="N29" s="9">
        <v>30000</v>
      </c>
      <c r="O29" s="13">
        <f>15796+3793+14129</f>
        <v>33718</v>
      </c>
      <c r="P29" s="9">
        <f>SUM(O29:O29)</f>
        <v>33718</v>
      </c>
      <c r="Q29" s="28">
        <f>+I29</f>
        <v>0.45</v>
      </c>
      <c r="R29" s="28">
        <f>(P29/M29)*I29</f>
        <v>0.12644249999999999</v>
      </c>
      <c r="S29" s="28">
        <v>1</v>
      </c>
      <c r="T29" s="28">
        <f>(O29/M29)</f>
        <v>0.28098333333333331</v>
      </c>
      <c r="U29" s="48" t="s">
        <v>130</v>
      </c>
      <c r="V29" s="61"/>
      <c r="W29" s="61"/>
      <c r="X29" s="61"/>
      <c r="Y29" s="64"/>
    </row>
    <row r="30" spans="1:25" s="7" customFormat="1" ht="61.9" customHeight="1">
      <c r="A30" s="69"/>
      <c r="B30" s="71"/>
      <c r="C30" s="9"/>
      <c r="D30" s="66" t="s">
        <v>131</v>
      </c>
      <c r="E30" s="67"/>
      <c r="F30" s="67"/>
      <c r="G30" s="67"/>
      <c r="H30" s="67"/>
      <c r="I30" s="67"/>
      <c r="J30" s="67"/>
      <c r="K30" s="67"/>
      <c r="L30" s="67"/>
      <c r="M30" s="67"/>
      <c r="N30" s="67"/>
      <c r="O30" s="67"/>
      <c r="P30" s="67"/>
      <c r="Q30" s="19">
        <f>SUM(Q28:Q29)</f>
        <v>1</v>
      </c>
      <c r="R30" s="19">
        <f>SUM(R28:R29)</f>
        <v>0.30144027777777782</v>
      </c>
      <c r="S30" s="19">
        <f>AVERAGE(S28:S29)</f>
        <v>1</v>
      </c>
      <c r="T30" s="19">
        <f>AVERAGE(T28:T29)</f>
        <v>0.29958055555555552</v>
      </c>
      <c r="U30" s="19"/>
      <c r="V30" s="21"/>
      <c r="W30" s="21"/>
      <c r="X30" s="21"/>
      <c r="Y30" s="22"/>
    </row>
    <row r="31" spans="1:25" s="7" customFormat="1" ht="253.15" customHeight="1">
      <c r="A31" s="69"/>
      <c r="B31" s="71"/>
      <c r="C31" s="9" t="s">
        <v>61</v>
      </c>
      <c r="D31" s="14" t="s">
        <v>132</v>
      </c>
      <c r="E31" s="9" t="s">
        <v>133</v>
      </c>
      <c r="F31" s="11" t="s">
        <v>38</v>
      </c>
      <c r="G31" s="14" t="s">
        <v>134</v>
      </c>
      <c r="H31" s="14" t="s">
        <v>135</v>
      </c>
      <c r="I31" s="45">
        <v>0.2</v>
      </c>
      <c r="J31" s="45"/>
      <c r="K31" s="11" t="s">
        <v>41</v>
      </c>
      <c r="L31" s="9" t="s">
        <v>136</v>
      </c>
      <c r="M31" s="9">
        <v>200</v>
      </c>
      <c r="N31" s="9">
        <v>20</v>
      </c>
      <c r="O31" s="11">
        <f>40+5+25</f>
        <v>70</v>
      </c>
      <c r="P31" s="14">
        <f>SUM(O31:O31)</f>
        <v>70</v>
      </c>
      <c r="Q31" s="29">
        <f>+(20/N31)*I31</f>
        <v>0.2</v>
      </c>
      <c r="R31" s="29">
        <f>(O31/M31)*I31</f>
        <v>6.9999999999999993E-2</v>
      </c>
      <c r="S31" s="29">
        <v>1</v>
      </c>
      <c r="T31" s="29">
        <f>(O31/M31)</f>
        <v>0.35</v>
      </c>
      <c r="U31" s="9" t="s">
        <v>137</v>
      </c>
      <c r="V31" s="59">
        <v>0</v>
      </c>
      <c r="W31" s="59">
        <v>500000000</v>
      </c>
      <c r="X31" s="59">
        <v>500000000</v>
      </c>
      <c r="Y31" s="62">
        <f>+X31/W31</f>
        <v>1</v>
      </c>
    </row>
    <row r="32" spans="1:25" s="7" customFormat="1" ht="191.45" customHeight="1">
      <c r="A32" s="69"/>
      <c r="B32" s="71"/>
      <c r="C32" s="9" t="s">
        <v>61</v>
      </c>
      <c r="D32" s="14" t="s">
        <v>132</v>
      </c>
      <c r="E32" s="9" t="s">
        <v>138</v>
      </c>
      <c r="F32" s="11" t="s">
        <v>38</v>
      </c>
      <c r="G32" s="23" t="s">
        <v>139</v>
      </c>
      <c r="H32" s="14" t="s">
        <v>140</v>
      </c>
      <c r="I32" s="45">
        <v>0.35</v>
      </c>
      <c r="J32" s="45"/>
      <c r="K32" s="11" t="s">
        <v>41</v>
      </c>
      <c r="L32" s="9" t="s">
        <v>108</v>
      </c>
      <c r="M32" s="9">
        <v>60000</v>
      </c>
      <c r="N32" s="9">
        <f t="shared" ref="N32" si="1">60000/4</f>
        <v>15000</v>
      </c>
      <c r="O32" s="11">
        <f>15000+5000</f>
        <v>20000</v>
      </c>
      <c r="P32" s="14">
        <f>SUM(O32:O32)</f>
        <v>20000</v>
      </c>
      <c r="Q32" s="29">
        <f>(15000/N32)*I32</f>
        <v>0.35</v>
      </c>
      <c r="R32" s="29">
        <f>(O32/M32)*I32</f>
        <v>0.11666666666666665</v>
      </c>
      <c r="S32" s="29">
        <v>1</v>
      </c>
      <c r="T32" s="29">
        <f>(O32/M32)</f>
        <v>0.33333333333333331</v>
      </c>
      <c r="U32" s="52" t="s">
        <v>141</v>
      </c>
      <c r="V32" s="60"/>
      <c r="W32" s="60"/>
      <c r="X32" s="60"/>
      <c r="Y32" s="63"/>
    </row>
    <row r="33" spans="1:25" s="7" customFormat="1" ht="162.6" customHeight="1">
      <c r="A33" s="69"/>
      <c r="B33" s="71"/>
      <c r="C33" s="9" t="s">
        <v>121</v>
      </c>
      <c r="D33" s="14" t="s">
        <v>132</v>
      </c>
      <c r="E33" s="9" t="s">
        <v>142</v>
      </c>
      <c r="F33" s="11" t="s">
        <v>38</v>
      </c>
      <c r="G33" s="14" t="s">
        <v>143</v>
      </c>
      <c r="H33" s="14" t="s">
        <v>144</v>
      </c>
      <c r="I33" s="45">
        <v>0.2</v>
      </c>
      <c r="J33" s="45"/>
      <c r="K33" s="11" t="s">
        <v>41</v>
      </c>
      <c r="L33" s="9" t="s">
        <v>136</v>
      </c>
      <c r="M33" s="9">
        <v>96</v>
      </c>
      <c r="N33" s="14">
        <v>16</v>
      </c>
      <c r="O33" s="11">
        <f>13 +1+3+16+2</f>
        <v>35</v>
      </c>
      <c r="P33" s="14">
        <f>SUM(O33:O33)</f>
        <v>35</v>
      </c>
      <c r="Q33" s="29">
        <f>(16/N33)*I33</f>
        <v>0.2</v>
      </c>
      <c r="R33" s="29">
        <f>(O33/M33)*I33</f>
        <v>7.2916666666666671E-2</v>
      </c>
      <c r="S33" s="29">
        <v>1</v>
      </c>
      <c r="T33" s="29">
        <f>(O33/M33)</f>
        <v>0.36458333333333331</v>
      </c>
      <c r="U33" s="48" t="s">
        <v>145</v>
      </c>
      <c r="V33" s="60"/>
      <c r="W33" s="60"/>
      <c r="X33" s="60"/>
      <c r="Y33" s="63"/>
    </row>
    <row r="34" spans="1:25" s="7" customFormat="1" ht="133.9" customHeight="1">
      <c r="A34" s="69"/>
      <c r="B34" s="71"/>
      <c r="C34" s="9" t="s">
        <v>121</v>
      </c>
      <c r="D34" s="14" t="s">
        <v>132</v>
      </c>
      <c r="E34" s="9" t="s">
        <v>146</v>
      </c>
      <c r="F34" s="11" t="s">
        <v>38</v>
      </c>
      <c r="G34" s="23" t="s">
        <v>147</v>
      </c>
      <c r="H34" s="14" t="s">
        <v>148</v>
      </c>
      <c r="I34" s="45">
        <v>0.25</v>
      </c>
      <c r="J34" s="45"/>
      <c r="K34" s="11" t="s">
        <v>41</v>
      </c>
      <c r="L34" s="9" t="s">
        <v>149</v>
      </c>
      <c r="M34" s="9">
        <v>65000</v>
      </c>
      <c r="N34" s="9">
        <v>10000</v>
      </c>
      <c r="O34" s="30">
        <v>32637</v>
      </c>
      <c r="P34" s="14">
        <f>SUM(O34:O34)</f>
        <v>32637</v>
      </c>
      <c r="Q34" s="15">
        <f>+(10000/N34)*I34</f>
        <v>0.25</v>
      </c>
      <c r="R34" s="29">
        <f>(O34/M34)*I34</f>
        <v>0.12552692307692306</v>
      </c>
      <c r="S34" s="29">
        <v>1</v>
      </c>
      <c r="T34" s="29">
        <f>(O34/M34)</f>
        <v>0.50210769230769225</v>
      </c>
      <c r="U34" s="48" t="s">
        <v>145</v>
      </c>
      <c r="V34" s="61"/>
      <c r="W34" s="61"/>
      <c r="X34" s="61"/>
      <c r="Y34" s="64"/>
    </row>
    <row r="35" spans="1:25" s="7" customFormat="1" ht="47.25" customHeight="1">
      <c r="A35" s="69"/>
      <c r="B35" s="71"/>
      <c r="C35" s="9"/>
      <c r="D35" s="66" t="s">
        <v>150</v>
      </c>
      <c r="E35" s="67"/>
      <c r="F35" s="67"/>
      <c r="G35" s="67"/>
      <c r="H35" s="67"/>
      <c r="I35" s="67"/>
      <c r="J35" s="67"/>
      <c r="K35" s="67"/>
      <c r="L35" s="67"/>
      <c r="M35" s="67"/>
      <c r="N35" s="67"/>
      <c r="O35" s="67"/>
      <c r="P35" s="67"/>
      <c r="Q35" s="19">
        <f>SUM(Q31:Q34)</f>
        <v>1</v>
      </c>
      <c r="R35" s="19">
        <f>SUM(R31:R34)</f>
        <v>0.38511025641025642</v>
      </c>
      <c r="S35" s="19">
        <f>AVERAGE(S31:S34)</f>
        <v>1</v>
      </c>
      <c r="T35" s="19">
        <f>AVERAGE(T31:T34)</f>
        <v>0.38750608974358969</v>
      </c>
      <c r="U35" s="19"/>
      <c r="V35" s="21"/>
      <c r="W35" s="21"/>
      <c r="X35" s="21"/>
      <c r="Y35" s="22"/>
    </row>
    <row r="36" spans="1:25" s="7" customFormat="1" ht="173.45" customHeight="1">
      <c r="A36" s="69"/>
      <c r="B36" s="71"/>
      <c r="C36" s="9" t="s">
        <v>61</v>
      </c>
      <c r="D36" s="31" t="s">
        <v>151</v>
      </c>
      <c r="E36" s="14" t="s">
        <v>152</v>
      </c>
      <c r="F36" s="11" t="s">
        <v>38</v>
      </c>
      <c r="G36" s="13" t="s">
        <v>99</v>
      </c>
      <c r="H36" s="14" t="s">
        <v>153</v>
      </c>
      <c r="I36" s="45">
        <v>0.5</v>
      </c>
      <c r="J36" s="45"/>
      <c r="K36" s="11" t="s">
        <v>41</v>
      </c>
      <c r="L36" s="9" t="s">
        <v>136</v>
      </c>
      <c r="M36" s="9">
        <v>4</v>
      </c>
      <c r="N36" s="9">
        <v>1</v>
      </c>
      <c r="O36" s="13">
        <v>0</v>
      </c>
      <c r="P36" s="14">
        <f>SUM(O36:O36)</f>
        <v>0</v>
      </c>
      <c r="Q36" s="15">
        <f>+(P36/N36)*J36</f>
        <v>0</v>
      </c>
      <c r="R36" s="15">
        <v>0</v>
      </c>
      <c r="S36" s="15">
        <v>0</v>
      </c>
      <c r="T36" s="15">
        <v>0</v>
      </c>
      <c r="U36" s="54" t="s">
        <v>154</v>
      </c>
      <c r="V36" s="59">
        <v>0</v>
      </c>
      <c r="W36" s="59">
        <v>360000000</v>
      </c>
      <c r="X36" s="59">
        <v>0</v>
      </c>
      <c r="Y36" s="62">
        <f>+X36/W36</f>
        <v>0</v>
      </c>
    </row>
    <row r="37" spans="1:25" s="7" customFormat="1" ht="147.75" customHeight="1">
      <c r="A37" s="69"/>
      <c r="B37" s="71"/>
      <c r="C37" s="9" t="s">
        <v>61</v>
      </c>
      <c r="D37" s="31" t="s">
        <v>151</v>
      </c>
      <c r="E37" s="14" t="s">
        <v>155</v>
      </c>
      <c r="F37" s="11" t="s">
        <v>38</v>
      </c>
      <c r="G37" s="32" t="s">
        <v>99</v>
      </c>
      <c r="H37" s="14" t="s">
        <v>156</v>
      </c>
      <c r="I37" s="45">
        <v>0.5</v>
      </c>
      <c r="J37" s="45"/>
      <c r="K37" s="11" t="s">
        <v>41</v>
      </c>
      <c r="L37" s="9" t="s">
        <v>136</v>
      </c>
      <c r="M37" s="9">
        <v>4</v>
      </c>
      <c r="N37" s="9">
        <v>1</v>
      </c>
      <c r="O37" s="13">
        <v>0</v>
      </c>
      <c r="P37" s="14">
        <f>SUM(O37:O37)</f>
        <v>0</v>
      </c>
      <c r="Q37" s="15">
        <f>+(P37/N37)*J37</f>
        <v>0</v>
      </c>
      <c r="R37" s="15">
        <v>0</v>
      </c>
      <c r="S37" s="15">
        <v>0</v>
      </c>
      <c r="T37" s="15">
        <v>0</v>
      </c>
      <c r="U37" s="54" t="s">
        <v>157</v>
      </c>
      <c r="V37" s="61"/>
      <c r="W37" s="61"/>
      <c r="X37" s="61"/>
      <c r="Y37" s="64"/>
    </row>
    <row r="38" spans="1:25" s="7" customFormat="1" ht="64.5" customHeight="1">
      <c r="A38" s="69"/>
      <c r="B38" s="71"/>
      <c r="C38" s="9"/>
      <c r="D38" s="66" t="s">
        <v>158</v>
      </c>
      <c r="E38" s="67"/>
      <c r="F38" s="67"/>
      <c r="G38" s="67"/>
      <c r="H38" s="67"/>
      <c r="I38" s="67"/>
      <c r="J38" s="67"/>
      <c r="K38" s="67"/>
      <c r="L38" s="67"/>
      <c r="M38" s="67"/>
      <c r="N38" s="67"/>
      <c r="O38" s="67"/>
      <c r="P38" s="67"/>
      <c r="Q38" s="19">
        <f>SUM(Q36:Q37)</f>
        <v>0</v>
      </c>
      <c r="R38" s="19">
        <f t="shared" ref="R38:T38" si="2">SUM(R36:R37)</f>
        <v>0</v>
      </c>
      <c r="S38" s="19">
        <f t="shared" si="2"/>
        <v>0</v>
      </c>
      <c r="T38" s="19">
        <f t="shared" si="2"/>
        <v>0</v>
      </c>
      <c r="U38" s="19"/>
      <c r="V38" s="21"/>
      <c r="W38" s="21"/>
      <c r="X38" s="21"/>
      <c r="Y38" s="22"/>
    </row>
    <row r="39" spans="1:25" s="7" customFormat="1" ht="126">
      <c r="A39" s="69"/>
      <c r="B39" s="72"/>
      <c r="C39" s="9" t="s">
        <v>61</v>
      </c>
      <c r="D39" s="14" t="s">
        <v>159</v>
      </c>
      <c r="E39" s="14" t="s">
        <v>160</v>
      </c>
      <c r="F39" s="11" t="s">
        <v>38</v>
      </c>
      <c r="G39" s="23" t="s">
        <v>161</v>
      </c>
      <c r="H39" s="14" t="s">
        <v>162</v>
      </c>
      <c r="I39" s="45">
        <v>1</v>
      </c>
      <c r="J39" s="13"/>
      <c r="K39" s="11" t="s">
        <v>41</v>
      </c>
      <c r="L39" s="9" t="s">
        <v>136</v>
      </c>
      <c r="M39" s="9">
        <v>4</v>
      </c>
      <c r="N39" s="9">
        <v>1</v>
      </c>
      <c r="O39" s="13">
        <v>0</v>
      </c>
      <c r="P39" s="14">
        <f>SUM(O39:O39)</f>
        <v>0</v>
      </c>
      <c r="Q39" s="56">
        <f>+(P39/N39)*I39</f>
        <v>0</v>
      </c>
      <c r="R39" s="15">
        <v>0</v>
      </c>
      <c r="S39" s="15">
        <v>0</v>
      </c>
      <c r="T39" s="15">
        <v>0</v>
      </c>
      <c r="U39" s="54" t="s">
        <v>163</v>
      </c>
      <c r="V39" s="21">
        <v>0</v>
      </c>
      <c r="W39" s="21">
        <v>150000000</v>
      </c>
      <c r="X39" s="21">
        <v>0</v>
      </c>
      <c r="Y39" s="22">
        <f>+X39/W39</f>
        <v>0</v>
      </c>
    </row>
    <row r="40" spans="1:25" s="7" customFormat="1" ht="60.75" customHeight="1">
      <c r="A40" s="33"/>
      <c r="B40" s="33"/>
      <c r="D40" s="66" t="s">
        <v>164</v>
      </c>
      <c r="E40" s="67"/>
      <c r="F40" s="67"/>
      <c r="G40" s="67"/>
      <c r="H40" s="67"/>
      <c r="I40" s="67"/>
      <c r="J40" s="67"/>
      <c r="K40" s="67"/>
      <c r="L40" s="67"/>
      <c r="M40" s="67"/>
      <c r="N40" s="67"/>
      <c r="O40" s="67"/>
      <c r="P40" s="67"/>
      <c r="Q40" s="57">
        <f>SUM(Q39)</f>
        <v>0</v>
      </c>
      <c r="R40" s="57">
        <f t="shared" ref="R40:T40" si="3">SUM(R39)</f>
        <v>0</v>
      </c>
      <c r="S40" s="57">
        <f t="shared" si="3"/>
        <v>0</v>
      </c>
      <c r="T40" s="57">
        <f t="shared" si="3"/>
        <v>0</v>
      </c>
      <c r="U40" s="34"/>
      <c r="V40" s="35"/>
      <c r="W40" s="35"/>
      <c r="X40" s="35"/>
      <c r="Y40" s="35"/>
    </row>
    <row r="41" spans="1:25" s="7" customFormat="1" ht="18">
      <c r="A41" s="33"/>
      <c r="B41" s="33"/>
      <c r="H41" s="36"/>
      <c r="I41" s="32"/>
      <c r="J41" s="32"/>
      <c r="K41" s="36"/>
      <c r="L41" s="36"/>
      <c r="M41" s="36"/>
      <c r="N41" s="36"/>
      <c r="O41" s="36"/>
      <c r="P41" s="36"/>
      <c r="Q41" s="36"/>
      <c r="R41" s="11"/>
      <c r="S41" s="11"/>
      <c r="T41" s="11"/>
      <c r="U41" s="36"/>
      <c r="V41" s="35"/>
      <c r="W41" s="35"/>
      <c r="X41" s="35"/>
      <c r="Y41" s="35"/>
    </row>
    <row r="42" spans="1:25" s="7" customFormat="1" ht="47.25" customHeight="1">
      <c r="A42" s="33"/>
      <c r="B42" s="33"/>
      <c r="D42" s="37" t="s">
        <v>165</v>
      </c>
      <c r="E42" s="37"/>
      <c r="F42" s="37"/>
      <c r="G42" s="37"/>
      <c r="H42" s="37"/>
      <c r="I42" s="46"/>
      <c r="J42" s="46"/>
      <c r="K42" s="37"/>
      <c r="L42" s="37"/>
      <c r="M42" s="37"/>
      <c r="N42" s="65" t="s">
        <v>166</v>
      </c>
      <c r="O42" s="65"/>
      <c r="P42" s="65"/>
      <c r="Q42" s="58">
        <f>+(Q13+Q16+Q19+Q25+Q27+Q30+Q35+Q38+Q40)/9</f>
        <v>0.71024331829225973</v>
      </c>
      <c r="R42" s="58">
        <f t="shared" ref="R42:T42" si="4">+(R13+R16+R19+R25+R27+R30+R35+R38+R40)/9</f>
        <v>0.22310747314553112</v>
      </c>
      <c r="S42" s="58">
        <f t="shared" si="4"/>
        <v>0.71816537467700259</v>
      </c>
      <c r="T42" s="58">
        <f t="shared" si="4"/>
        <v>0.19715287470156476</v>
      </c>
      <c r="U42" s="38"/>
      <c r="V42" s="39">
        <f>+SUM(V9:V39)</f>
        <v>34838919234</v>
      </c>
      <c r="W42" s="39">
        <f>+SUM(W9:W39)</f>
        <v>61305154750.519997</v>
      </c>
      <c r="X42" s="39">
        <f>+SUM(X9:X39)</f>
        <v>50712010553.869995</v>
      </c>
      <c r="Y42" s="40">
        <f>+X42/W42</f>
        <v>0.82720630524857863</v>
      </c>
    </row>
    <row r="43" spans="1:25">
      <c r="A43" s="41"/>
      <c r="B43" s="41"/>
    </row>
    <row r="44" spans="1:25">
      <c r="A44" s="41"/>
      <c r="B44" s="41"/>
    </row>
    <row r="45" spans="1:25">
      <c r="A45" s="41"/>
      <c r="B45" s="41"/>
    </row>
    <row r="46" spans="1:25">
      <c r="A46" s="41"/>
      <c r="B46" s="41"/>
    </row>
    <row r="47" spans="1:25">
      <c r="A47" s="41"/>
      <c r="B47" s="41"/>
      <c r="U47" s="43"/>
    </row>
    <row r="48" spans="1:25">
      <c r="A48" s="41"/>
      <c r="B48" s="41"/>
    </row>
    <row r="49" spans="1:2">
      <c r="A49" s="41"/>
      <c r="B49" s="41"/>
    </row>
    <row r="50" spans="1:2">
      <c r="A50" s="41"/>
      <c r="B50" s="41"/>
    </row>
    <row r="51" spans="1:2">
      <c r="A51" s="41"/>
      <c r="B51" s="41"/>
    </row>
    <row r="52" spans="1:2">
      <c r="A52" s="41"/>
      <c r="B52" s="41"/>
    </row>
    <row r="53" spans="1:2">
      <c r="A53" s="41"/>
      <c r="B53" s="41"/>
    </row>
    <row r="54" spans="1:2">
      <c r="A54" s="41"/>
      <c r="B54" s="41"/>
    </row>
    <row r="55" spans="1:2">
      <c r="A55" s="41"/>
      <c r="B55" s="41"/>
    </row>
    <row r="56" spans="1:2">
      <c r="A56" s="41"/>
      <c r="B56" s="41"/>
    </row>
    <row r="57" spans="1:2">
      <c r="A57" s="41"/>
      <c r="B57" s="41"/>
    </row>
    <row r="58" spans="1:2">
      <c r="A58" s="41"/>
      <c r="B58" s="41"/>
    </row>
    <row r="59" spans="1:2">
      <c r="A59" s="41"/>
      <c r="B59" s="41"/>
    </row>
    <row r="60" spans="1:2">
      <c r="A60" s="41"/>
      <c r="B60" s="41"/>
    </row>
    <row r="61" spans="1:2">
      <c r="A61" s="41"/>
      <c r="B61" s="41"/>
    </row>
    <row r="62" spans="1:2">
      <c r="A62" s="41"/>
      <c r="B62" s="41"/>
    </row>
    <row r="63" spans="1:2">
      <c r="A63" s="41"/>
      <c r="B63" s="41"/>
    </row>
    <row r="64" spans="1:2">
      <c r="A64" s="41"/>
      <c r="B64" s="41"/>
    </row>
    <row r="65" spans="1:2">
      <c r="A65" s="41"/>
      <c r="B65" s="41"/>
    </row>
    <row r="66" spans="1:2">
      <c r="A66" s="41"/>
      <c r="B66" s="41"/>
    </row>
    <row r="67" spans="1:2">
      <c r="A67" s="41"/>
      <c r="B67" s="41"/>
    </row>
    <row r="68" spans="1:2">
      <c r="A68" s="41"/>
      <c r="B68" s="41"/>
    </row>
    <row r="69" spans="1:2">
      <c r="A69" s="41"/>
      <c r="B69" s="41"/>
    </row>
    <row r="70" spans="1:2">
      <c r="A70" s="41"/>
      <c r="B70" s="41"/>
    </row>
    <row r="71" spans="1:2">
      <c r="A71" s="41"/>
      <c r="B71" s="41"/>
    </row>
    <row r="72" spans="1:2">
      <c r="A72" s="41"/>
      <c r="B72" s="41"/>
    </row>
    <row r="73" spans="1:2">
      <c r="A73" s="41"/>
      <c r="B73" s="41"/>
    </row>
    <row r="74" spans="1:2">
      <c r="A74" s="41"/>
      <c r="B74" s="41"/>
    </row>
    <row r="75" spans="1:2">
      <c r="A75" s="41"/>
      <c r="B75" s="41"/>
    </row>
    <row r="76" spans="1:2">
      <c r="A76" s="41"/>
      <c r="B76" s="41"/>
    </row>
    <row r="77" spans="1:2">
      <c r="A77" s="41"/>
      <c r="B77" s="41"/>
    </row>
    <row r="78" spans="1:2">
      <c r="A78" s="41"/>
      <c r="B78" s="41"/>
    </row>
    <row r="79" spans="1:2">
      <c r="A79" s="41"/>
      <c r="B79" s="41"/>
    </row>
    <row r="80" spans="1:2">
      <c r="A80" s="41"/>
      <c r="B80" s="41"/>
    </row>
    <row r="81" spans="1:2">
      <c r="A81" s="41"/>
      <c r="B81" s="41"/>
    </row>
    <row r="82" spans="1:2">
      <c r="A82" s="41"/>
      <c r="B82" s="41"/>
    </row>
    <row r="83" spans="1:2">
      <c r="A83" s="41"/>
      <c r="B83" s="41"/>
    </row>
    <row r="84" spans="1:2">
      <c r="A84" s="41"/>
      <c r="B84" s="41"/>
    </row>
    <row r="85" spans="1:2">
      <c r="A85" s="41"/>
      <c r="B85" s="41"/>
    </row>
    <row r="86" spans="1:2">
      <c r="A86" s="41"/>
      <c r="B86" s="41"/>
    </row>
    <row r="87" spans="1:2">
      <c r="A87" s="41"/>
      <c r="B87" s="41"/>
    </row>
    <row r="88" spans="1:2">
      <c r="A88" s="41"/>
      <c r="B88" s="41"/>
    </row>
    <row r="89" spans="1:2">
      <c r="A89" s="41"/>
      <c r="B89" s="41"/>
    </row>
    <row r="90" spans="1:2">
      <c r="A90" s="41"/>
      <c r="B90" s="41"/>
    </row>
    <row r="91" spans="1:2">
      <c r="A91" s="41"/>
      <c r="B91" s="41"/>
    </row>
    <row r="92" spans="1:2">
      <c r="A92" s="41"/>
      <c r="B92" s="41"/>
    </row>
    <row r="93" spans="1:2">
      <c r="A93" s="41"/>
      <c r="B93" s="41"/>
    </row>
    <row r="94" spans="1:2">
      <c r="A94" s="41"/>
      <c r="B94" s="41"/>
    </row>
    <row r="95" spans="1:2">
      <c r="A95" s="41"/>
      <c r="B95" s="41"/>
    </row>
    <row r="96" spans="1:2">
      <c r="A96" s="41"/>
      <c r="B96" s="41"/>
    </row>
    <row r="97" spans="1:2">
      <c r="A97" s="41"/>
      <c r="B97" s="41"/>
    </row>
    <row r="98" spans="1:2">
      <c r="A98" s="41"/>
      <c r="B98" s="41"/>
    </row>
    <row r="99" spans="1:2">
      <c r="A99" s="41"/>
      <c r="B99" s="41"/>
    </row>
    <row r="100" spans="1:2">
      <c r="A100" s="41"/>
      <c r="B100" s="41"/>
    </row>
    <row r="101" spans="1:2">
      <c r="A101" s="41"/>
      <c r="B101" s="41"/>
    </row>
    <row r="102" spans="1:2">
      <c r="A102" s="41"/>
      <c r="B102" s="41"/>
    </row>
    <row r="103" spans="1:2">
      <c r="A103" s="41"/>
      <c r="B103" s="41"/>
    </row>
  </sheetData>
  <mergeCells count="69">
    <mergeCell ref="A1:U1"/>
    <mergeCell ref="A2:U2"/>
    <mergeCell ref="A3:U3"/>
    <mergeCell ref="A4:U4"/>
    <mergeCell ref="R7:R8"/>
    <mergeCell ref="S7:S8"/>
    <mergeCell ref="T7:T8"/>
    <mergeCell ref="M7:M8"/>
    <mergeCell ref="A6:U6"/>
    <mergeCell ref="A7:A8"/>
    <mergeCell ref="B7:B8"/>
    <mergeCell ref="C7:C8"/>
    <mergeCell ref="D7:D8"/>
    <mergeCell ref="E7:E8"/>
    <mergeCell ref="F7:F8"/>
    <mergeCell ref="G7:G8"/>
    <mergeCell ref="H7:H8"/>
    <mergeCell ref="I7:I8"/>
    <mergeCell ref="J7:K7"/>
    <mergeCell ref="L7:L8"/>
    <mergeCell ref="D16:P16"/>
    <mergeCell ref="X7:X8"/>
    <mergeCell ref="Y7:Y8"/>
    <mergeCell ref="A9:A39"/>
    <mergeCell ref="B9:B39"/>
    <mergeCell ref="V9:V12"/>
    <mergeCell ref="W9:W12"/>
    <mergeCell ref="X9:X12"/>
    <mergeCell ref="Y9:Y12"/>
    <mergeCell ref="U7:U8"/>
    <mergeCell ref="V7:V8"/>
    <mergeCell ref="W7:W8"/>
    <mergeCell ref="N7:N8"/>
    <mergeCell ref="O7:O8"/>
    <mergeCell ref="P7:P8"/>
    <mergeCell ref="Q7:Q8"/>
    <mergeCell ref="D13:P13"/>
    <mergeCell ref="V14:V15"/>
    <mergeCell ref="W14:W15"/>
    <mergeCell ref="X14:X15"/>
    <mergeCell ref="Y14:Y15"/>
    <mergeCell ref="D19:P19"/>
    <mergeCell ref="V17:V18"/>
    <mergeCell ref="W17:W18"/>
    <mergeCell ref="X17:X18"/>
    <mergeCell ref="Y17:Y18"/>
    <mergeCell ref="V20:V24"/>
    <mergeCell ref="W20:W24"/>
    <mergeCell ref="X20:X24"/>
    <mergeCell ref="Y20:Y24"/>
    <mergeCell ref="X28:X29"/>
    <mergeCell ref="Y28:Y29"/>
    <mergeCell ref="D25:P25"/>
    <mergeCell ref="D27:P27"/>
    <mergeCell ref="V28:V29"/>
    <mergeCell ref="W28:W29"/>
    <mergeCell ref="D30:P30"/>
    <mergeCell ref="X31:X34"/>
    <mergeCell ref="Y31:Y34"/>
    <mergeCell ref="N42:P42"/>
    <mergeCell ref="V36:V37"/>
    <mergeCell ref="W36:W37"/>
    <mergeCell ref="X36:X37"/>
    <mergeCell ref="Y36:Y37"/>
    <mergeCell ref="D38:P38"/>
    <mergeCell ref="D40:P40"/>
    <mergeCell ref="D35:P35"/>
    <mergeCell ref="V31:V34"/>
    <mergeCell ref="W31:W34"/>
  </mergeCells>
  <dataValidations count="1">
    <dataValidation type="list" allowBlank="1" showInputMessage="1" showErrorMessage="1" sqref="K17:K18 K43:K299 K41 K9:K12" xr:uid="{1EE3FD27-810E-4A56-93CF-3E5E23C2C9CC}">
      <formula1>$W$10:$W$11</formula1>
    </dataValidation>
  </dataValidation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Elisa Barcenas</dc:creator>
  <cp:keywords/>
  <dc:description/>
  <cp:lastModifiedBy>Plan De Desarrollo</cp:lastModifiedBy>
  <cp:revision/>
  <dcterms:created xsi:type="dcterms:W3CDTF">2025-01-13T21:51:46Z</dcterms:created>
  <dcterms:modified xsi:type="dcterms:W3CDTF">2025-01-30T21:04:54Z</dcterms:modified>
  <cp:category/>
  <cp:contentStatus/>
</cp:coreProperties>
</file>